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updateLinks="always" codeName="ThisWorkbook" defaultThemeVersion="166925"/>
  <mc:AlternateContent xmlns:mc="http://schemas.openxmlformats.org/markup-compatibility/2006">
    <mc:Choice Requires="x15">
      <x15ac:absPath xmlns:x15ac="http://schemas.microsoft.com/office/spreadsheetml/2010/11/ac" url="/Users/ashaw/Desktop/"/>
    </mc:Choice>
  </mc:AlternateContent>
  <xr:revisionPtr revIDLastSave="0" documentId="8_{8ABFDF62-D449-FE4A-8CAB-2DE19BD0C784}" xr6:coauthVersionLast="47" xr6:coauthVersionMax="47" xr10:uidLastSave="{00000000-0000-0000-0000-000000000000}"/>
  <workbookProtection workbookAlgorithmName="SHA-512" workbookHashValue="pCCqV3ESmXhnEOh7iiML3C1G687jD93RNvi8oH/F6SGwNNDjXs2OBMvpuA84pVjXzvICmNj0IOCswXo4RilXZw==" workbookSaltValue="/m76fuipS6nhoBntMScOyw==" workbookSpinCount="100000" lockStructure="1"/>
  <bookViews>
    <workbookView xWindow="15040" yWindow="960" windowWidth="15680" windowHeight="16540" activeTab="5" xr2:uid="{3244073F-4E1B-4439-BEB1-4E6CAC6EF1BC}"/>
  </bookViews>
  <sheets>
    <sheet name="Change Log" sheetId="92" state="hidden" r:id="rId1"/>
    <sheet name="QAP Constants" sheetId="110" state="hidden" r:id="rId2"/>
    <sheet name="Dropdown Lists" sheetId="4" state="hidden" r:id="rId3"/>
    <sheet name="ProLink" sheetId="102" state="hidden" r:id="rId4"/>
    <sheet name="ProLink Mapping" sheetId="42" state="hidden" r:id="rId5"/>
    <sheet name="1. TOC" sheetId="106" r:id="rId6"/>
    <sheet name="2. Project Summary" sheetId="108" r:id="rId7"/>
    <sheet name="3. Project Location" sheetId="1" r:id="rId8"/>
    <sheet name="4. Project Description" sheetId="3" r:id="rId9"/>
    <sheet name="5. Applicant Information" sheetId="6" r:id="rId10"/>
    <sheet name="6. Site Description" sheetId="7" r:id="rId11"/>
    <sheet name="7. Site Control" sheetId="9" r:id="rId12"/>
    <sheet name="8. Zoning" sheetId="10" r:id="rId13"/>
    <sheet name="9. Ownership and Project Team" sheetId="11" r:id="rId14"/>
    <sheet name="10. Project and Unit Amenities" sheetId="13" r:id="rId15"/>
    <sheet name="Unit Mix Helper" sheetId="93" state="hidden" r:id="rId16"/>
    <sheet name="State HTC Gap" sheetId="101" state="hidden" r:id="rId17"/>
    <sheet name="11. Unit Mix" sheetId="45" r:id="rId18"/>
    <sheet name="12. Funding Sources" sheetId="46" r:id="rId19"/>
    <sheet name="13. Construction Cost SOV" sheetId="105" r:id="rId20"/>
    <sheet name="14. Project Costs" sheetId="47" r:id="rId21"/>
    <sheet name="15. Credit Calculation" sheetId="103" r:id="rId22"/>
    <sheet name="16. Projected Operating Costs" sheetId="48" r:id="rId23"/>
    <sheet name="17. Cash Flow and Reserves" sheetId="49" r:id="rId24"/>
    <sheet name="18. Max Cost Model" sheetId="109" r:id="rId25"/>
    <sheet name="19. Construction Draw Schedule" sheetId="52" r:id="rId26"/>
    <sheet name="20. Instructions Scoring Sum" sheetId="20" r:id="rId27"/>
    <sheet name="21. Location Score" sheetId="68" r:id="rId28"/>
    <sheet name="22. Tenants Served Score" sheetId="59" r:id="rId29"/>
    <sheet name="23. Building Design Score" sheetId="57" r:id="rId30"/>
    <sheet name="24. Development Process Score" sheetId="65" r:id="rId31"/>
    <sheet name="Threshold Checklist" sheetId="88" r:id="rId32"/>
    <sheet name="Self Scoring Checklist" sheetId="89" r:id="rId33"/>
    <sheet name="WHEDA Loan Signatures" sheetId="91" r:id="rId34"/>
    <sheet name="Tax Credit Signatures" sheetId="90" r:id="rId35"/>
    <sheet name="App R Data" sheetId="107" state="hidden" r:id="rId36"/>
    <sheet name="SD_Dropdowns" sheetId="72" state="veryHidden" r:id="rId37"/>
    <sheet name="RentLimits" sheetId="54" state="hidden" r:id="rId38"/>
    <sheet name="IncomeLimits" sheetId="55" state="hidden" r:id="rId39"/>
    <sheet name="ACR Form" sheetId="111" state="hidden" r:id="rId40"/>
  </sheets>
  <definedNames>
    <definedName name="_20RentLimit">RentLimits!$B$1:$G$49</definedName>
    <definedName name="_24_Hour_On_Site_Resident_Manager">'10. Project and Unit Amenities'!$D$37</definedName>
    <definedName name="_30RentLimit">RentLimits!$H$1:$M$49</definedName>
    <definedName name="_40RentLimit">RentLimits!$N$1:$S$49</definedName>
    <definedName name="_50RentLimit">RentLimits!$T$1:$Y$49</definedName>
    <definedName name="A_C_Sleeve">'10. Project and Unit Amenities'!$D$73</definedName>
    <definedName name="Accountant">'9. Ownership and Project Team'!$D$156</definedName>
    <definedName name="Accountant_City">'9. Ownership and Project Team'!$D$160</definedName>
    <definedName name="Accountant_Contact_First_Name">'9. Ownership and Project Team'!$D$164</definedName>
    <definedName name="Accountant_Contact_Last_Name">'9. Ownership and Project Team'!$F$164</definedName>
    <definedName name="Accountant_Email_Address">'9. Ownership and Project Team'!$G$162</definedName>
    <definedName name="Accountant_Identity_of_Interest?">'9. Ownership and Project Team'!$F$154</definedName>
    <definedName name="Accountant_State">'9. Ownership and Project Team'!$F$160</definedName>
    <definedName name="Accountant_Street_Address">'9. Ownership and Project Team'!$D$158</definedName>
    <definedName name="Accountant_Telephone_Number">'9. Ownership and Project Team'!$D$162</definedName>
    <definedName name="Accountant_Zipcode">'9. Ownership and Project Team'!$H$160</definedName>
    <definedName name="Acquisition_Rehab_Units">'4. Project Description'!$D$9</definedName>
    <definedName name="Activities_Purchased_Serv">'16. Projected Operating Costs'!$D$80</definedName>
    <definedName name="Activities_Supplies">'16. Projected Operating Costs'!$D$79</definedName>
    <definedName name="Adaptive_Reuse_Units">'4. Project Description'!$D$10</definedName>
    <definedName name="Adjusted_building_basis">'7. Site Control'!$D$31</definedName>
    <definedName name="Administrative_Rent___Free_Unit">'16. Projected Operating Costs'!$D$21</definedName>
    <definedName name="Advertising___Marketing_Expense">'16. Projected Operating Costs'!$D$10</definedName>
    <definedName name="Age_Restricted_Number_of_Units">'4. Project Description'!$F$37</definedName>
    <definedName name="Amount_1">'12. Funding Sources'!$E$11</definedName>
    <definedName name="Amount_10">'12. Funding Sources'!$E$20</definedName>
    <definedName name="Amount_11">'12. Funding Sources'!$E$21</definedName>
    <definedName name="Amount_12">'12. Funding Sources'!$E$22</definedName>
    <definedName name="Amount_13">'12. Funding Sources'!$E$23</definedName>
    <definedName name="Amount_2">'12. Funding Sources'!$E$12</definedName>
    <definedName name="Amount_3">'12. Funding Sources'!$E$13</definedName>
    <definedName name="Amount_4">'12. Funding Sources'!$E$14</definedName>
    <definedName name="Amount_5">'12. Funding Sources'!$E$15</definedName>
    <definedName name="Amount_6">'12. Funding Sources'!$E$16</definedName>
    <definedName name="Amount_7">'12. Funding Sources'!$E$17</definedName>
    <definedName name="Amount_8">'12. Funding Sources'!$E$18</definedName>
    <definedName name="Amount_9">'12. Funding Sources'!$E$19</definedName>
    <definedName name="And_Number_of_Units">'4. Project Description'!$D$15</definedName>
    <definedName name="Annual_DSC_1">'12. Funding Sources'!$N$11</definedName>
    <definedName name="Annual_DSC_10">'12. Funding Sources'!$N$20</definedName>
    <definedName name="Annual_DSC_2">'12. Funding Sources'!$N$12</definedName>
    <definedName name="Annual_DSC_3">'12. Funding Sources'!$N$13</definedName>
    <definedName name="Annual_DSC_4">'12. Funding Sources'!$N$14</definedName>
    <definedName name="Annual_DSC_5">'12. Funding Sources'!$N$15</definedName>
    <definedName name="Annual_DSC_6">'12. Funding Sources'!$N$16</definedName>
    <definedName name="Annual_DSC_7">'12. Funding Sources'!$N$17</definedName>
    <definedName name="Annual_DSC_8">'12. Funding Sources'!$N$18</definedName>
    <definedName name="Annual_DSC_9">'12. Funding Sources'!$N$19</definedName>
    <definedName name="Annual_Replacement_Reserve">'16. Projected Operating Costs'!$D$86</definedName>
    <definedName name="AnnualPermanentDebtSevice">'12. Funding Sources'!$L$25</definedName>
    <definedName name="Any_existing_LURA?">'4. Project Description'!$D$30</definedName>
    <definedName name="Applicant_Information">'5. Applicant Information'!$B$4</definedName>
    <definedName name="Application_Threshold">'Threshold Checklist'!$B$4</definedName>
    <definedName name="ApplicationType" localSheetId="27">'Dropdown Lists'!$G$2:$G$4</definedName>
    <definedName name="ApplicationType" localSheetId="28">'Dropdown Lists'!$G$2:$G$4</definedName>
    <definedName name="ApplicationType" localSheetId="29">'Dropdown Lists'!$G$2:$G$4</definedName>
    <definedName name="ApplicationType" localSheetId="30">'Dropdown Lists'!$G$2:$G$4</definedName>
    <definedName name="ApplicationType">'Dropdown Lists'!$G$2:$G$4</definedName>
    <definedName name="ApplName">'5. Applicant Information'!$D$8:$H$8</definedName>
    <definedName name="ApplNmbr">'9. Ownership and Project Team'!$D$64</definedName>
    <definedName name="Apt_Type_1">'11. Unit Mix'!$C$16</definedName>
    <definedName name="Apt_Type_10">'11. Unit Mix'!$C$25</definedName>
    <definedName name="Apt_Type_11">'11. Unit Mix'!$C$26</definedName>
    <definedName name="Apt_Type_12">'11. Unit Mix'!$C$27</definedName>
    <definedName name="Apt_Type_13">'11. Unit Mix'!$C$28</definedName>
    <definedName name="Apt_Type_14">'11. Unit Mix'!$C$29</definedName>
    <definedName name="Apt_Type_15">'11. Unit Mix'!$C$30</definedName>
    <definedName name="Apt_Type_16">'11. Unit Mix'!$C$31</definedName>
    <definedName name="Apt_Type_17">'11. Unit Mix'!$C$32</definedName>
    <definedName name="Apt_Type_18">'11. Unit Mix'!$C$33</definedName>
    <definedName name="Apt_Type_19">'11. Unit Mix'!$C$34</definedName>
    <definedName name="Apt_Type_2">'11. Unit Mix'!$C$17</definedName>
    <definedName name="Apt_Type_20">'11. Unit Mix'!$C$35</definedName>
    <definedName name="Apt_Type_21">'11. Unit Mix'!$C$36</definedName>
    <definedName name="Apt_Type_22">'11. Unit Mix'!$C$37</definedName>
    <definedName name="Apt_Type_23">'11. Unit Mix'!$C$38</definedName>
    <definedName name="Apt_Type_24">'11. Unit Mix'!$C$39</definedName>
    <definedName name="Apt_Type_25">'11. Unit Mix'!$C$40</definedName>
    <definedName name="Apt_Type_26">'11. Unit Mix'!$C$41</definedName>
    <definedName name="Apt_Type_27">'11. Unit Mix'!$C$42</definedName>
    <definedName name="Apt_Type_28">'11. Unit Mix'!$C$43</definedName>
    <definedName name="Apt_Type_29">'11. Unit Mix'!$C$44</definedName>
    <definedName name="Apt_Type_3">'11. Unit Mix'!$C$18</definedName>
    <definedName name="Apt_Type_30">'11. Unit Mix'!$C$45</definedName>
    <definedName name="Apt_Type_31">'11. Unit Mix'!$C$46</definedName>
    <definedName name="Apt_Type_32">'11. Unit Mix'!$C$47</definedName>
    <definedName name="Apt_Type_33">'11. Unit Mix'!$C$48</definedName>
    <definedName name="Apt_Type_34">'11. Unit Mix'!$C$49</definedName>
    <definedName name="Apt_Type_35">'11. Unit Mix'!$C$50</definedName>
    <definedName name="Apt_Type_36">'11. Unit Mix'!$C$51</definedName>
    <definedName name="Apt_Type_37">'11. Unit Mix'!$C$52</definedName>
    <definedName name="Apt_Type_38">'11. Unit Mix'!$C$53</definedName>
    <definedName name="Apt_Type_39">'11. Unit Mix'!$C$54</definedName>
    <definedName name="Apt_Type_4">'11. Unit Mix'!$C$19</definedName>
    <definedName name="Apt_Type_40">'11. Unit Mix'!$C$55</definedName>
    <definedName name="Apt_Type_41">'11. Unit Mix'!$C$56</definedName>
    <definedName name="Apt_Type_42">'11. Unit Mix'!$C$57</definedName>
    <definedName name="Apt_Type_43">'11. Unit Mix'!$C$58</definedName>
    <definedName name="Apt_Type_44">'11. Unit Mix'!$C$59</definedName>
    <definedName name="Apt_Type_45">'11. Unit Mix'!$C$60</definedName>
    <definedName name="Apt_Type_46">'11. Unit Mix'!$C$61</definedName>
    <definedName name="Apt_Type_47">'11. Unit Mix'!$C$62</definedName>
    <definedName name="Apt_Type_48">'11. Unit Mix'!$C$63</definedName>
    <definedName name="Apt_Type_49">'11. Unit Mix'!$C$64</definedName>
    <definedName name="Apt_Type_5">'11. Unit Mix'!$C$20</definedName>
    <definedName name="Apt_Type_50">'11. Unit Mix'!$C$65</definedName>
    <definedName name="Apt_Type_51">'11. Unit Mix'!$C$96</definedName>
    <definedName name="Apt_Type_52">'11. Unit Mix'!$C$97</definedName>
    <definedName name="Apt_Type_53">'11. Unit Mix'!$C$98</definedName>
    <definedName name="Apt_Type_54">'11. Unit Mix'!$C$104</definedName>
    <definedName name="Apt_Type_55">'11. Unit Mix'!$C$105</definedName>
    <definedName name="Apt_Type_56">'11. Unit Mix'!$C$106</definedName>
    <definedName name="Apt_Type_57">'11. Unit Mix'!$C$107</definedName>
    <definedName name="Apt_Type_58">'11. Unit Mix'!$C$108</definedName>
    <definedName name="Apt_Type_59">'11. Unit Mix'!$C$109</definedName>
    <definedName name="Apt_Type_6">'11. Unit Mix'!$C$21</definedName>
    <definedName name="Apt_Type_60">'11. Unit Mix'!$C$110</definedName>
    <definedName name="Apt_Type_61">'11. Unit Mix'!$C$111</definedName>
    <definedName name="Apt_Type_62">'11. Unit Mix'!$C$112</definedName>
    <definedName name="Apt_Type_63">'11. Unit Mix'!$C$113</definedName>
    <definedName name="Apt_Type_7">'11. Unit Mix'!$C$22</definedName>
    <definedName name="Apt_Type_8">'11. Unit Mix'!$C$23</definedName>
    <definedName name="Apt_Type_9">'11. Unit Mix'!$C$24</definedName>
    <definedName name="Architect">'9. Ownership and Project Team'!$D$128</definedName>
    <definedName name="Architect_City">'9. Ownership and Project Team'!$D$132</definedName>
    <definedName name="Architect_Contact_First_Name">'9. Ownership and Project Team'!$D$136</definedName>
    <definedName name="Architect_Contact_Last_Name">'9. Ownership and Project Team'!$F$136</definedName>
    <definedName name="Architect_Email_Address">'9. Ownership and Project Team'!$G$134</definedName>
    <definedName name="Architect_Identity_of_Interest?">'9. Ownership and Project Team'!$F$126</definedName>
    <definedName name="Architect_State">'9. Ownership and Project Team'!$F$132</definedName>
    <definedName name="Architect_Street_Address">'9. Ownership and Project Team'!$D$130</definedName>
    <definedName name="Architect_Telephone_Number">'9. Ownership and Project Team'!$D$134</definedName>
    <definedName name="Architect_Zipcode">'9. Ownership and Project Team'!$H$132</definedName>
    <definedName name="Area_of_Economic_Opportunity">'21. Location Score'!$B$11</definedName>
    <definedName name="Areas_Economic_Opp_Points">'20. Instructions Scoring Sum'!$G$24</definedName>
    <definedName name="Attorney">'9. Ownership and Project Team'!$D$142</definedName>
    <definedName name="Attorney_City">'9. Ownership and Project Team'!$D$146</definedName>
    <definedName name="Attorney_Email_Address">'9. Ownership and Project Team'!$G$148</definedName>
    <definedName name="Attorney_First_Name">'9. Ownership and Project Team'!$D$150</definedName>
    <definedName name="Attorney_Identity_of_Interest?">'9. Ownership and Project Team'!$D$140</definedName>
    <definedName name="Attorney_Last_Name">'9. Ownership and Project Team'!$F$150</definedName>
    <definedName name="Attorney_State">'9. Ownership and Project Team'!$F$146</definedName>
    <definedName name="Attorney_Street_Address">'9. Ownership and Project Team'!$D$144</definedName>
    <definedName name="Attorney_Telephone_Number">'9. Ownership and Project Team'!$D$148</definedName>
    <definedName name="Attorney_Zipcode">'9. Ownership and Project Team'!$H$146</definedName>
    <definedName name="Auditing_Expenses___Project_Only">'16. Projected Operating Costs'!$D$23</definedName>
    <definedName name="Bad_Debt_Expense">'16. Projected Operating Costs'!$D$26</definedName>
    <definedName name="Beauty_Salon_Barber">'10. Project and Unit Amenities'!$J$31</definedName>
    <definedName name="Bookkeeping_Fees_Accounting_Services">'16. Projected Operating Costs'!$D$24</definedName>
    <definedName name="Building_Address_1">'7. Site Control'!$C$47</definedName>
    <definedName name="Building_Address_10">'7. Site Control'!$C$56</definedName>
    <definedName name="Building_Address_11">'7. Site Control'!$C$57</definedName>
    <definedName name="Building_Address_12">'7. Site Control'!$C$58</definedName>
    <definedName name="Building_Address_13">'7. Site Control'!$C$59</definedName>
    <definedName name="Building_Address_14">'7. Site Control'!$C$60</definedName>
    <definedName name="Building_Address_15">'7. Site Control'!$C$61</definedName>
    <definedName name="Building_Address_16">'7. Site Control'!$C$62</definedName>
    <definedName name="Building_Address_17">'7. Site Control'!$C$63</definedName>
    <definedName name="Building_Address_18">'7. Site Control'!$C$64</definedName>
    <definedName name="Building_Address_19">'7. Site Control'!$C$65</definedName>
    <definedName name="Building_Address_2">'7. Site Control'!$C$48</definedName>
    <definedName name="Building_Address_20">'7. Site Control'!$C$66</definedName>
    <definedName name="Building_Address_21">'7. Site Control'!$C$67</definedName>
    <definedName name="Building_Address_22">'7. Site Control'!$C$68</definedName>
    <definedName name="Building_Address_23">'7. Site Control'!$C$69</definedName>
    <definedName name="Building_Address_24">'7. Site Control'!$C$70</definedName>
    <definedName name="Building_Address_25">'7. Site Control'!$C$71</definedName>
    <definedName name="Building_Address_26">'7. Site Control'!$C$72</definedName>
    <definedName name="Building_Address_27">'7. Site Control'!$C$73</definedName>
    <definedName name="Building_Address_28">'7. Site Control'!$C$74</definedName>
    <definedName name="Building_Address_29">'7. Site Control'!$C$75</definedName>
    <definedName name="Building_Address_3">'7. Site Control'!$C$49</definedName>
    <definedName name="Building_Address_30">'7. Site Control'!$C$76</definedName>
    <definedName name="Building_Address_31">'7. Site Control'!$C$77</definedName>
    <definedName name="Building_Address_32">'7. Site Control'!$C$78</definedName>
    <definedName name="Building_Address_33">'7. Site Control'!$C$79</definedName>
    <definedName name="Building_Address_34">'7. Site Control'!$C$80</definedName>
    <definedName name="Building_Address_4">'7. Site Control'!$C$50</definedName>
    <definedName name="Building_Address_5">'7. Site Control'!$C$51</definedName>
    <definedName name="Building_Address_6">'7. Site Control'!$C$52</definedName>
    <definedName name="Building_Address_7">'7. Site Control'!$C$53</definedName>
    <definedName name="Building_Address_8">'7. Site Control'!$C$54</definedName>
    <definedName name="Building_Address_9">'7. Site Control'!$C$55</definedName>
    <definedName name="Building_City_1">'7. Site Control'!$D$47</definedName>
    <definedName name="Building_City_10">'7. Site Control'!$D$56</definedName>
    <definedName name="Building_City_11">'7. Site Control'!$D$57</definedName>
    <definedName name="Building_City_12">'7. Site Control'!$D$58</definedName>
    <definedName name="Building_City_13">'7. Site Control'!$D$59</definedName>
    <definedName name="Building_City_14">'7. Site Control'!$D$60</definedName>
    <definedName name="Building_City_15">'7. Site Control'!$D$61</definedName>
    <definedName name="Building_City_16">'7. Site Control'!$D$62</definedName>
    <definedName name="Building_City_17">'7. Site Control'!$D$63</definedName>
    <definedName name="Building_City_18">'7. Site Control'!$D$64</definedName>
    <definedName name="Building_City_19">'7. Site Control'!$D$65</definedName>
    <definedName name="Building_City_2">'7. Site Control'!$D$48</definedName>
    <definedName name="Building_City_20">'7. Site Control'!$D$66</definedName>
    <definedName name="Building_City_21">'7. Site Control'!$D$67</definedName>
    <definedName name="Building_City_22">'7. Site Control'!$D$68</definedName>
    <definedName name="Building_City_23">'7. Site Control'!$D$69</definedName>
    <definedName name="Building_City_24">'7. Site Control'!$D$70</definedName>
    <definedName name="Building_City_25">'7. Site Control'!$D$71</definedName>
    <definedName name="Building_City_26">'7. Site Control'!$D$72</definedName>
    <definedName name="Building_City_27">'7. Site Control'!$D$73</definedName>
    <definedName name="Building_City_28">'7. Site Control'!$D$74</definedName>
    <definedName name="Building_City_29">'7. Site Control'!$D$75</definedName>
    <definedName name="Building_City_3">'7. Site Control'!$D$49</definedName>
    <definedName name="Building_City_30">'7. Site Control'!$D$76</definedName>
    <definedName name="Building_City_31">'7. Site Control'!$D$77</definedName>
    <definedName name="Building_City_32">'7. Site Control'!$D$78</definedName>
    <definedName name="Building_City_33">'7. Site Control'!$D$79</definedName>
    <definedName name="Building_City_34">'7. Site Control'!$D$80</definedName>
    <definedName name="Building_City_4">'7. Site Control'!$D$50</definedName>
    <definedName name="Building_City_5">'7. Site Control'!$D$51</definedName>
    <definedName name="Building_City_6">'7. Site Control'!$D$52</definedName>
    <definedName name="Building_City_7">'7. Site Control'!$D$53</definedName>
    <definedName name="Building_City_8">'7. Site Control'!$D$54</definedName>
    <definedName name="Building_City_9">'7. Site Control'!$D$55</definedName>
    <definedName name="Building_Zip_Code_1">'7. Site Control'!$E$47</definedName>
    <definedName name="Building_Zip_Code_10">'7. Site Control'!$E$56</definedName>
    <definedName name="Building_Zip_Code_11">'7. Site Control'!$E$57</definedName>
    <definedName name="Building_Zip_Code_12">'7. Site Control'!$E$58</definedName>
    <definedName name="Building_Zip_Code_13">'7. Site Control'!$E$59</definedName>
    <definedName name="Building_Zip_Code_14">'7. Site Control'!$E$60</definedName>
    <definedName name="Building_Zip_Code_15">'7. Site Control'!$E$61</definedName>
    <definedName name="Building_Zip_Code_16">'7. Site Control'!$E$62</definedName>
    <definedName name="Building_Zip_Code_17">'7. Site Control'!$E$63</definedName>
    <definedName name="Building_Zip_Code_18">'7. Site Control'!$E$64</definedName>
    <definedName name="Building_Zip_Code_19">'7. Site Control'!$E$65</definedName>
    <definedName name="Building_Zip_Code_2">'7. Site Control'!$E$48</definedName>
    <definedName name="Building_Zip_Code_20">'7. Site Control'!$E$66</definedName>
    <definedName name="Building_Zip_Code_21">'7. Site Control'!$E$67</definedName>
    <definedName name="Building_Zip_Code_22">'7. Site Control'!$E$68</definedName>
    <definedName name="Building_Zip_Code_23">'7. Site Control'!$E$69</definedName>
    <definedName name="Building_Zip_Code_24">'7. Site Control'!$E$70</definedName>
    <definedName name="Building_Zip_Code_25">'7. Site Control'!$E$71</definedName>
    <definedName name="Building_Zip_Code_26">'7. Site Control'!$E$72</definedName>
    <definedName name="Building_Zip_Code_27">'7. Site Control'!$E$73</definedName>
    <definedName name="Building_Zip_Code_28">'7. Site Control'!$E$74</definedName>
    <definedName name="Building_Zip_Code_29">'7. Site Control'!$E$75</definedName>
    <definedName name="Building_Zip_Code_3">'7. Site Control'!$E$49</definedName>
    <definedName name="Building_Zip_Code_30">'7. Site Control'!$E$76</definedName>
    <definedName name="Building_Zip_Code_31">'7. Site Control'!$E$77</definedName>
    <definedName name="Building_Zip_Code_32">'7. Site Control'!$E$78</definedName>
    <definedName name="Building_Zip_Code_33">'7. Site Control'!$E$79</definedName>
    <definedName name="Building_Zip_Code_34">'7. Site Control'!$E$80</definedName>
    <definedName name="Building_Zip_Code_4">'7. Site Control'!$E$50</definedName>
    <definedName name="Building_Zip_Code_5">'7. Site Control'!$E$51</definedName>
    <definedName name="Building_Zip_Code_6">'7. Site Control'!$E$52</definedName>
    <definedName name="Building_Zip_Code_7">'7. Site Control'!$E$53</definedName>
    <definedName name="Building_Zip_Code_8">'7. Site Control'!$E$54</definedName>
    <definedName name="Building_Zip_Code_9">'7. Site Control'!$E$55</definedName>
    <definedName name="Buildings_Occupied">'6. Site Description'!$E$25</definedName>
    <definedName name="C_O">'9. Ownership and Project Team'!$C$8</definedName>
    <definedName name="Car_Care_Area">'10. Project and Unit Amenities'!$D$34</definedName>
    <definedName name="Carpet">'10. Project and Unit Amenities'!$D$67</definedName>
    <definedName name="CBRF">'4. Project Description'!$D$41</definedName>
    <definedName name="CBRF_Number_of_Units">'4. Project Description'!$F$41</definedName>
    <definedName name="Ceiling_fans">'10. Project and Unit Amenities'!$D$62</definedName>
    <definedName name="Central_Air">'10. Project and Unit Amenities'!$G$72</definedName>
    <definedName name="Ceramic_Tile">'10. Project and Unit Amenities'!$D$68</definedName>
    <definedName name="Chapel">'10. Project and Unit Amenities'!$G$32</definedName>
    <definedName name="CMI_1">'11. Unit Mix'!$I$16</definedName>
    <definedName name="CMI_10">'11. Unit Mix'!$I$25</definedName>
    <definedName name="CMI_11">'11. Unit Mix'!$I$26</definedName>
    <definedName name="CMI_12">'11. Unit Mix'!$I$27</definedName>
    <definedName name="CMI_13">'11. Unit Mix'!$I$28</definedName>
    <definedName name="CMI_14">'11. Unit Mix'!$I$29</definedName>
    <definedName name="CMI_15">'11. Unit Mix'!$I$30</definedName>
    <definedName name="CMI_16">'11. Unit Mix'!$I$31</definedName>
    <definedName name="CMI_17">'11. Unit Mix'!$I$32</definedName>
    <definedName name="CMI_18">'11. Unit Mix'!$I$33</definedName>
    <definedName name="CMI_19">'11. Unit Mix'!$I$34</definedName>
    <definedName name="CMI_2">'11. Unit Mix'!$I$17</definedName>
    <definedName name="CMI_20">'11. Unit Mix'!$I$35</definedName>
    <definedName name="CMI_21">'11. Unit Mix'!$I$36</definedName>
    <definedName name="CMI_22">'11. Unit Mix'!$I$37</definedName>
    <definedName name="CMI_23">'11. Unit Mix'!$I$38</definedName>
    <definedName name="CMI_24">'11. Unit Mix'!$I$39</definedName>
    <definedName name="CMI_25">'11. Unit Mix'!$I$40</definedName>
    <definedName name="CMI_26">'11. Unit Mix'!$I$41</definedName>
    <definedName name="CMI_27">'11. Unit Mix'!$I$42</definedName>
    <definedName name="CMI_28">'11. Unit Mix'!$I$43</definedName>
    <definedName name="CMI_29">'11. Unit Mix'!$I$44</definedName>
    <definedName name="CMI_3">'11. Unit Mix'!$I$18</definedName>
    <definedName name="CMI_30">'11. Unit Mix'!$I$45</definedName>
    <definedName name="CMI_31">'11. Unit Mix'!$I$46</definedName>
    <definedName name="CMI_32">'11. Unit Mix'!$I$47</definedName>
    <definedName name="CMI_33">'11. Unit Mix'!$I$48</definedName>
    <definedName name="CMI_34">'11. Unit Mix'!$I$49</definedName>
    <definedName name="CMI_35">'11. Unit Mix'!$I$50</definedName>
    <definedName name="CMI_36">'11. Unit Mix'!$I$51</definedName>
    <definedName name="CMI_37">'11. Unit Mix'!$I$52</definedName>
    <definedName name="CMI_38">'11. Unit Mix'!$I$53</definedName>
    <definedName name="CMI_39">'11. Unit Mix'!$I$54</definedName>
    <definedName name="CMI_4">'11. Unit Mix'!$I$19</definedName>
    <definedName name="CMI_40">'11. Unit Mix'!$I$55</definedName>
    <definedName name="CMI_41">'11. Unit Mix'!$I$56</definedName>
    <definedName name="CMI_42">'11. Unit Mix'!$I$57</definedName>
    <definedName name="CMI_43">'11. Unit Mix'!$I$58</definedName>
    <definedName name="CMI_44">'11. Unit Mix'!$I$59</definedName>
    <definedName name="CMI_45">'11. Unit Mix'!$I$60</definedName>
    <definedName name="CMI_46">'11. Unit Mix'!$I$61</definedName>
    <definedName name="CMI_47">'11. Unit Mix'!$I$62</definedName>
    <definedName name="CMI_48">'11. Unit Mix'!$I$63</definedName>
    <definedName name="CMI_49">'11. Unit Mix'!$I$64</definedName>
    <definedName name="CMI_5">'11. Unit Mix'!$I$20</definedName>
    <definedName name="CMI_50">'11. Unit Mix'!$I$65</definedName>
    <definedName name="CMI_6">'11. Unit Mix'!$I$21</definedName>
    <definedName name="CMI_7">'11. Unit Mix'!$I$22</definedName>
    <definedName name="CMI_8">'11. Unit Mix'!$I$23</definedName>
    <definedName name="CMI_9">'11. Unit Mix'!$I$24</definedName>
    <definedName name="CMI_Percentage_Unit_Mix" comment="CMI% used on Unit Mix page to define the income designations for the unit(s)." localSheetId="27">'Dropdown Lists'!$I$2:$I$8</definedName>
    <definedName name="CMI_Percentage_Unit_Mix" comment="CMI% used on Unit Mix page to define the income designations for the unit(s)." localSheetId="28">'Dropdown Lists'!$I$2:$I$8</definedName>
    <definedName name="CMI_Percentage_Unit_Mix" comment="CMI% used on Unit Mix page to define the income designations for the unit(s)." localSheetId="29">'Dropdown Lists'!$I$2:$I$8</definedName>
    <definedName name="CMI_Percentage_Unit_Mix" comment="CMI% used on Unit Mix page to define the income designations for the unit(s)." localSheetId="30">'Dropdown Lists'!$I$2:$I$8</definedName>
    <definedName name="CMI_Percentage_Unit_Mix" comment="CMI% used on Unit Mix page to define the income designations for the unit(s).">'Dropdown Lists'!$I$2:$I$8</definedName>
    <definedName name="Community_Building">'10. Project and Unit Amenities'!$D$17</definedName>
    <definedName name="Community_Building___Sq._Ft.">'10. Project and Unit Amenities'!$G$17</definedName>
    <definedName name="Community_Dining_Room">'10. Project and Unit Amenities'!$G$36</definedName>
    <definedName name="Community_Patio">'10. Project and Unit Amenities'!$J$37</definedName>
    <definedName name="Community_Room">'10. Project and Unit Amenities'!$D$18</definedName>
    <definedName name="Community_Room___Sq._Ft.">'10. Project and Unit Amenities'!$G$18</definedName>
    <definedName name="Community_Service_Facilities">'23. Building Design Score'!$B$204</definedName>
    <definedName name="Community_Service_Facilities_Points">'20. Instructions Scoring Sum'!$G$37</definedName>
    <definedName name="Construction_Amount_1">'12. Funding Sources'!$E$61</definedName>
    <definedName name="Construction_Amount_10">'12. Funding Sources'!$E$70</definedName>
    <definedName name="Construction_Amount_11">'12. Funding Sources'!$E$71</definedName>
    <definedName name="Construction_Amount_12">'12. Funding Sources'!$E$72</definedName>
    <definedName name="Construction_Amount_2">'12. Funding Sources'!$E$62</definedName>
    <definedName name="Construction_Amount_3">'12. Funding Sources'!$E$63</definedName>
    <definedName name="Construction_Amount_4">'12. Funding Sources'!$E$64</definedName>
    <definedName name="Construction_Amount_5">'12. Funding Sources'!$E$65</definedName>
    <definedName name="Construction_Amount_6">'12. Funding Sources'!$E$66</definedName>
    <definedName name="Construction_Amount_7">'12. Funding Sources'!$E$67</definedName>
    <definedName name="Construction_Amount_8">'12. Funding Sources'!$E$68</definedName>
    <definedName name="Construction_Amount_9">'12. Funding Sources'!$E$69</definedName>
    <definedName name="Construction_Complete">'4. Project Description'!$D$89</definedName>
    <definedName name="Construction_Draw_Schedule">'19. Construction Draw Schedule'!$B$4</definedName>
    <definedName name="Construction_Loan_Closing">'4. Project Description'!$D$87</definedName>
    <definedName name="Construction_Rate_1">'12. Funding Sources'!$H$61</definedName>
    <definedName name="Construction_Rate_10">'12. Funding Sources'!$H$70</definedName>
    <definedName name="Construction_Rate_11">'12. Funding Sources'!$H$71</definedName>
    <definedName name="Construction_Rate_12">'12. Funding Sources'!$H$72</definedName>
    <definedName name="Construction_Rate_2">'12. Funding Sources'!$H$62</definedName>
    <definedName name="Construction_Rate_3">'12. Funding Sources'!$H$63</definedName>
    <definedName name="Construction_Rate_4">'12. Funding Sources'!$H$64</definedName>
    <definedName name="Construction_Rate_5">'12. Funding Sources'!$H$65</definedName>
    <definedName name="Construction_Rate_6">'12. Funding Sources'!$H$66</definedName>
    <definedName name="Construction_Rate_7">'12. Funding Sources'!$H$67</definedName>
    <definedName name="Construction_Rate_8">'12. Funding Sources'!$H$68</definedName>
    <definedName name="Construction_Rate_9">'12. Funding Sources'!$H$69</definedName>
    <definedName name="Construction_Source_1">'12. Funding Sources'!$C$61</definedName>
    <definedName name="Construction_Source_10">'12. Funding Sources'!$C$70</definedName>
    <definedName name="Construction_Source_11">'12. Funding Sources'!$C$71</definedName>
    <definedName name="Construction_Source_12">'12. Funding Sources'!$C$72</definedName>
    <definedName name="Construction_Source_2">'12. Funding Sources'!$C$62</definedName>
    <definedName name="Construction_Source_3">'12. Funding Sources'!$C$63</definedName>
    <definedName name="Construction_Source_4">'12. Funding Sources'!$C$64</definedName>
    <definedName name="Construction_Source_5">'12. Funding Sources'!$C$65</definedName>
    <definedName name="Construction_Source_6">'12. Funding Sources'!$C$66</definedName>
    <definedName name="Construction_Source_7">'12. Funding Sources'!$C$67</definedName>
    <definedName name="Construction_Source_8">'12. Funding Sources'!$C$68</definedName>
    <definedName name="Construction_Source_9">'12. Funding Sources'!$C$69</definedName>
    <definedName name="Construction_Start_Date">'4. Project Description'!$D$88</definedName>
    <definedName name="Construction_Term_1">'12. Funding Sources'!$I$61</definedName>
    <definedName name="Construction_Term_10">'12. Funding Sources'!$I$70</definedName>
    <definedName name="Construction_Term_11">'12. Funding Sources'!$I$71</definedName>
    <definedName name="Construction_Term_12">'12. Funding Sources'!$I$72</definedName>
    <definedName name="Construction_Term_2">'12. Funding Sources'!$I$62</definedName>
    <definedName name="Construction_Term_3">'12. Funding Sources'!$I$63</definedName>
    <definedName name="Construction_Term_4">'12. Funding Sources'!$I$64</definedName>
    <definedName name="Construction_Term_5">'12. Funding Sources'!$I$65</definedName>
    <definedName name="Construction_Term_6">'12. Funding Sources'!$I$66</definedName>
    <definedName name="Construction_Term_7">'12. Funding Sources'!$I$67</definedName>
    <definedName name="Construction_Term_8">'12. Funding Sources'!$I$68</definedName>
    <definedName name="Construction_Term_9">'12. Funding Sources'!$I$69</definedName>
    <definedName name="Consultant_City">'9. Ownership and Project Team'!$D$76</definedName>
    <definedName name="Consultant_Contact_First_Name">'9. Ownership and Project Team'!$D$80</definedName>
    <definedName name="Consultant_Contact_Last_Name">'9. Ownership and Project Team'!$F$80</definedName>
    <definedName name="Consultant_Email_Address">'9. Ownership and Project Team'!$G$78</definedName>
    <definedName name="Consultant_Identity_of_Interest?">'9. Ownership and Project Team'!$F$70</definedName>
    <definedName name="Consultant_Name">'9. Ownership and Project Team'!$D$72</definedName>
    <definedName name="Consultant_State">'9. Ownership and Project Team'!$F$76</definedName>
    <definedName name="Consultant_Street_Address">'9. Ownership and Project Team'!$D$74</definedName>
    <definedName name="Consultant_Telephone_Number">'9. Ownership and Project Team'!$D$78</definedName>
    <definedName name="Consultant_Zipcode">'9. Ownership and Project Team'!$H$76</definedName>
    <definedName name="Contractor_City">'9. Ownership and Project Team'!$D$90</definedName>
    <definedName name="Contractor_Contact_First_Name">'9. Ownership and Project Team'!$D$94</definedName>
    <definedName name="Contractor_Contact_Last_Name">'9. Ownership and Project Team'!$F$94</definedName>
    <definedName name="Contractor_Email_Address">'9. Ownership and Project Team'!$G$92</definedName>
    <definedName name="Contractor_Identity_of_Interest?">'9. Ownership and Project Team'!$D$84</definedName>
    <definedName name="Contractor_Name">'9. Ownership and Project Team'!$D$86</definedName>
    <definedName name="Contractor_State">'9. Ownership and Project Team'!$F$90</definedName>
    <definedName name="Contractor_Street_Address">'9. Ownership and Project Team'!$D$88</definedName>
    <definedName name="Contractor_Telephone_Number">'9. Ownership and Project Team'!$D$92</definedName>
    <definedName name="Contractor_Zipcode">'9. Ownership and Project Team'!$H$90</definedName>
    <definedName name="Contracts">'16. Projected Operating Costs'!$D$40</definedName>
    <definedName name="Convention_and_Meetings">'16. Projected Operating Costs'!$D$8</definedName>
    <definedName name="Cooking">'Dropdown Lists'!$AK$2:$AK$5</definedName>
    <definedName name="Cooling">'Dropdown Lists'!$AJ$2:$AJ$6</definedName>
    <definedName name="Covered_Drive_Thru">'10. Project and Unit Amenities'!$G$33</definedName>
    <definedName name="Credit_Calc">'15. Credit Calculation'!$B$4</definedName>
    <definedName name="Credit_percentage_applied_for">'4. Project Description'!$D$54</definedName>
    <definedName name="DA_City">'9. Ownership and Project Team'!$D$118</definedName>
    <definedName name="DA_Email_Address">'9. Ownership and Project Team'!$G$120</definedName>
    <definedName name="DA_First_Name">'9. Ownership and Project Team'!$D$122</definedName>
    <definedName name="DA_Identity_of_Interest?">'9. Ownership and Project Team'!$F$112</definedName>
    <definedName name="DA_Last_Name">'9. Ownership and Project Team'!$F$122</definedName>
    <definedName name="DA_State">'9. Ownership and Project Team'!$F$118</definedName>
    <definedName name="DA_Street_Address">'9. Ownership and Project Team'!$D$116</definedName>
    <definedName name="DA_Telephone_Number">'9. Ownership and Project Team'!$D$120</definedName>
    <definedName name="DA_Zipcode">'9. Ownership and Project Team'!$H$118</definedName>
    <definedName name="Date_first_building_is_to_be_placed_in_service">'4. Project Description'!$D$90</definedName>
    <definedName name="Date_last_building_is_to_be_placed_in_service">'4. Project Description'!$D$91</definedName>
    <definedName name="DDA">'3. Project Location'!$F$14</definedName>
    <definedName name="Deal_Stage">ProLink!$F$5</definedName>
    <definedName name="Deal_Status">ProLink!$F$6</definedName>
    <definedName name="Demand_Score">'22. Tenants Served Score'!$B$4</definedName>
    <definedName name="Demotition_Required">'6. Site Description'!$E$20</definedName>
    <definedName name="Describe_Differences_in_Low_income___Market_rate_Unit_Amenities">'10. Project and Unit Amenities'!$D$48</definedName>
    <definedName name="Design_Architect">'9. Ownership and Project Team'!$D$114</definedName>
    <definedName name="Detached_Single_Family">'4. Project Description'!$D$66</definedName>
    <definedName name="Detached_Two_Family__Duplex">'4. Project Description'!$D$67</definedName>
    <definedName name="DEV_Contact_First_Name">'5. Applicant Information'!$D$14</definedName>
    <definedName name="DEV_Contact_First_Name_2">'5. Applicant Information'!$D$28</definedName>
    <definedName name="DEV_Contact_First_Name_3">'5. Applicant Information'!$D$42</definedName>
    <definedName name="DEV_Contact_First_Name_4">'5. Applicant Information'!$D$56</definedName>
    <definedName name="DEV_Contact_Last_Name">'5. Applicant Information'!$F$14</definedName>
    <definedName name="DEV_Contact_Last_Name_2">'5. Applicant Information'!$F$28</definedName>
    <definedName name="DEV_Contact_Last_Name_3">'5. Applicant Information'!$F$42</definedName>
    <definedName name="DEV_Contact_Last_Name_4">'5. Applicant Information'!$F$56</definedName>
    <definedName name="DEV_Email_Address">'5. Applicant Information'!$D$16</definedName>
    <definedName name="DEV_Street_Address">'5. Applicant Information'!$D$10</definedName>
    <definedName name="DEV_Telephone_Number">'5. Applicant Information'!$D$15</definedName>
    <definedName name="DEV2_City">'5. Applicant Information'!$D$25</definedName>
    <definedName name="DEV2_Email_Address">'5. Applicant Information'!$D$30</definedName>
    <definedName name="DEV2_State">'5. Applicant Information'!$F$25</definedName>
    <definedName name="DEV2_Street_Address">'5. Applicant Information'!$D$24</definedName>
    <definedName name="DEV2_Telephone_Number">'5. Applicant Information'!$D$29</definedName>
    <definedName name="DEV2_Zip_Code">'5. Applicant Information'!$H$25</definedName>
    <definedName name="DEV3_City">'5. Applicant Information'!$D$39</definedName>
    <definedName name="DEV3_Email_Address">'5. Applicant Information'!$D$44</definedName>
    <definedName name="DEV3_State">'5. Applicant Information'!$F$39</definedName>
    <definedName name="DEV3_Street_Address">'5. Applicant Information'!$D$38</definedName>
    <definedName name="DEV3_Telephone_Number">'5. Applicant Information'!$D$43</definedName>
    <definedName name="DEV3_Zip_Code">'5. Applicant Information'!$H$39</definedName>
    <definedName name="DEV4_City">'5. Applicant Information'!$D$53</definedName>
    <definedName name="DEV4_Email_Address">'5. Applicant Information'!$D$58</definedName>
    <definedName name="DEV4_State">'5. Applicant Information'!$F$53</definedName>
    <definedName name="DEV4_Street_Address">'5. Applicant Information'!$D$52</definedName>
    <definedName name="DEV4_Telephone_Number">'5. Applicant Information'!$D$57</definedName>
    <definedName name="DEV4_Zip_Code">'5. Applicant Information'!$H$53</definedName>
    <definedName name="Developer_City">'5. Applicant Information'!$D$11</definedName>
    <definedName name="Developer_Name">'5. Applicant Information'!$D$8</definedName>
    <definedName name="Developer_Name_2">'5. Applicant Information'!$D$22</definedName>
    <definedName name="Developer_Name_3">'5. Applicant Information'!$D$36</definedName>
    <definedName name="Developer_Name_4">'5. Applicant Information'!$D$50</definedName>
    <definedName name="Developer_Score">'24. Development Process Score'!$B$4</definedName>
    <definedName name="Developer_State">'5. Applicant Information'!$F$11</definedName>
    <definedName name="Developer_Zip_Code">'5. Applicant Information'!$H$11</definedName>
    <definedName name="Development_Team_Points">'20. Instructions Scoring Sum'!$G$41</definedName>
    <definedName name="Dietary_Purchased_Serv">'16. Projected Operating Costs'!$D$62</definedName>
    <definedName name="Dietary_Salaries">'16. Projected Operating Costs'!$D$61</definedName>
    <definedName name="Dishwasher">'10. Project and Unit Amenities'!$J$59</definedName>
    <definedName name="Disposal">'10. Project and Unit Amenities'!$D$60</definedName>
    <definedName name="Drapes">'10. Project and Unit Amenities'!$J$62</definedName>
    <definedName name="Effective_Gross_Income">'17. Cash Flow and Reserves'!$D$71</definedName>
    <definedName name="Elderly">'4. Project Description'!$D$37</definedName>
    <definedName name="Electric_Heat">'10. Project and Unit Amenities'!$D$72</definedName>
    <definedName name="Electric_Pump">'10. Project and Unit Amenities'!$J$71</definedName>
    <definedName name="Electricity">'16. Projected Operating Costs'!$D$31</definedName>
    <definedName name="Elevator_Building">'4. Project Description'!$D$63</definedName>
    <definedName name="EncNA" localSheetId="27">'Dropdown Lists'!$U$2:$U$3</definedName>
    <definedName name="EncNA" localSheetId="28">'Dropdown Lists'!$U$2:$U$3</definedName>
    <definedName name="EncNA" localSheetId="29">'Dropdown Lists'!$U$2:$U$3</definedName>
    <definedName name="EncNA" localSheetId="30">'Dropdown Lists'!$U$2:$U$3</definedName>
    <definedName name="EncNA">'Dropdown Lists'!$U$2:$U$3</definedName>
    <definedName name="Energy_Efficiency_and_Sustainablilty">'23. Building Design Score'!$B$11</definedName>
    <definedName name="Energy_Points">'20. Instructions Scoring Sum'!$G$34</definedName>
    <definedName name="Entity_Principal_Function_1">'9. Ownership and Project Team'!$I$22</definedName>
    <definedName name="Entity_Principal_Function_2">'9. Ownership and Project Team'!$I$33</definedName>
    <definedName name="Entity_Principal_Function_3">'9. Ownership and Project Team'!$I$44</definedName>
    <definedName name="Entity_Principal_Name_1">'9. Ownership and Project Team'!$C$20</definedName>
    <definedName name="Entity_Principal_Name_2">'9. Ownership and Project Team'!$C$31</definedName>
    <definedName name="Entity_Principal_Name_3">'9. Ownership and Project Team'!$C$42</definedName>
    <definedName name="Entity_Status">'9. Ownership and Project Team'!$I$12</definedName>
    <definedName name="Entity_Type">'9. Ownership and Project Team'!$F$12</definedName>
    <definedName name="EntityPrincipalFunction" localSheetId="27">'Dropdown Lists'!$P$2:$P$4</definedName>
    <definedName name="EntityPrincipalFunction" localSheetId="28">'Dropdown Lists'!$P$2:$P$4</definedName>
    <definedName name="EntityPrincipalFunction" localSheetId="29">'Dropdown Lists'!$P$2:$P$4</definedName>
    <definedName name="EntityPrincipalFunction" localSheetId="30">'Dropdown Lists'!$P$2:$P$4</definedName>
    <definedName name="EntityPrincipalFunction">'Dropdown Lists'!$P$2:$P$4</definedName>
    <definedName name="EntityStatus" localSheetId="27">'Dropdown Lists'!$O$2:$O$3</definedName>
    <definedName name="EntityStatus" localSheetId="28">'Dropdown Lists'!$O$2:$O$3</definedName>
    <definedName name="EntityStatus" localSheetId="29">'Dropdown Lists'!$O$2:$O$3</definedName>
    <definedName name="EntityStatus" localSheetId="30">'Dropdown Lists'!$O$2:$O$3</definedName>
    <definedName name="EntityStatus">'Dropdown Lists'!$O$2:$O$3</definedName>
    <definedName name="EntityType" localSheetId="27">'Dropdown Lists'!$N$2:$N$7</definedName>
    <definedName name="EntityType" localSheetId="28">'Dropdown Lists'!$N$2:$N$7</definedName>
    <definedName name="EntityType" localSheetId="29">'Dropdown Lists'!$N$2:$N$7</definedName>
    <definedName name="EntityType" localSheetId="30">'Dropdown Lists'!$N$2:$N$7</definedName>
    <definedName name="EntityType">'Dropdown Lists'!$N$2:$N$7</definedName>
    <definedName name="Environmental_Issues">'5. Applicant Information'!$E$68</definedName>
    <definedName name="Equity_Takeout_Refinance_Units">'4. Project Description'!$D$11</definedName>
    <definedName name="Eventual_Tenant_Own_Points">'20. Instructions Scoring Sum'!$G$36</definedName>
    <definedName name="Eventual_Tenant_Ownership">'23. Building Design Score'!$B$159</definedName>
    <definedName name="Exam_Room">'10. Project and Unit Amenities'!$J$29</definedName>
    <definedName name="Exercise_Room">'10. Project and Unit Amenities'!$J$30</definedName>
    <definedName name="Expenses_Other">'16. Projected Operating Costs'!$D$11</definedName>
    <definedName name="Explanation">'5. Applicant Information'!$E$73</definedName>
    <definedName name="Exterior_Storage">'10. Project and Unit Amenities'!$J$60</definedName>
    <definedName name="Family">'4. Project Description'!$D$36</definedName>
    <definedName name="Family_Number_of_Units">'4. Project Description'!$F$36</definedName>
    <definedName name="Federal_Credits">'15. Credit Calculation'!$H$50</definedName>
    <definedName name="Federal_HTC_Equity">'12. Funding Sources'!$E$44</definedName>
    <definedName name="Federal_Tax_ID_Number_of_Ownership_Entity">'9. Ownership and Project Team'!$C$12</definedName>
    <definedName name="FederalFinancingType" localSheetId="27">'Dropdown Lists'!$L$2:$L$8</definedName>
    <definedName name="FederalFinancingType" localSheetId="28">'Dropdown Lists'!$L$2:$L$8</definedName>
    <definedName name="FederalFinancingType" localSheetId="29">'Dropdown Lists'!$L$2:$L$8</definedName>
    <definedName name="FederalFinancingType" localSheetId="30">'Dropdown Lists'!$L$2:$L$8</definedName>
    <definedName name="FederalFinancingType">'Dropdown Lists'!$L$2:$L$8</definedName>
    <definedName name="Fidelity_Bond_Issuance">'16. Projected Operating Costs'!$D$55</definedName>
    <definedName name="Financial_Leverage">'24. Development Process Score'!$B$11</definedName>
    <definedName name="Financial_Leverage_Points">'20. Instructions Scoring Sum'!$G$40</definedName>
    <definedName name="FinancingType">'Dropdown Lists'!$Z$2:$Z$12</definedName>
    <definedName name="Flood_Zone">'6. Site Description'!$E$44</definedName>
    <definedName name="Food">'16. Projected Operating Costs'!$D$63</definedName>
    <definedName name="Front_Porches">'10. Project and Unit Amenities'!$G$64</definedName>
    <definedName name="Fuel_Oil">'16. Projected Operating Costs'!$D$30</definedName>
    <definedName name="Funding_Sources">'12. Funding Sources'!$B$4</definedName>
    <definedName name="g" localSheetId="6">IF(Values_Entered,Header_Row+Number_of_Payments,Header_Row)</definedName>
    <definedName name="g" localSheetId="39">IF('ACR Form'!Values_Entered,Header_Row+'ACR Form'!Number_of_Payments,Header_Row)</definedName>
    <definedName name="g">IF(Values_Entered,Header_Row+Number_of_Payments,Header_Row)</definedName>
    <definedName name="Game_Craft_Room">'10. Project and Unit Amenities'!$G$30</definedName>
    <definedName name="Garage_Rent_Per_Year">'10. Project and Unit Amenities'!$L$20</definedName>
    <definedName name="Garages">'10. Project and Unit Amenities'!$D$22</definedName>
    <definedName name="Garbage_and_Trash_Removal">'16. Projected Operating Costs'!$D$42</definedName>
    <definedName name="Garden_Plots">'10. Project and Unit Amenities'!$D$33</definedName>
    <definedName name="Gas">'16. Projected Operating Costs'!$D$33</definedName>
    <definedName name="Gas_Heat">'10. Project and Unit Amenities'!$D$71</definedName>
    <definedName name="Gazebos">'10. Project and Unit Amenities'!$G$35</definedName>
    <definedName name="GC_Telephone_Number">'9. Ownership and Project Team'!$D$92</definedName>
    <definedName name="Grant_1">'12. Funding Sources'!$C$29</definedName>
    <definedName name="Grant_10">'12. Funding Sources'!$C$38</definedName>
    <definedName name="Grant_11">'12. Funding Sources'!$C$39</definedName>
    <definedName name="Grant_2">'12. Funding Sources'!$C$30</definedName>
    <definedName name="Grant_3">'12. Funding Sources'!$C$31</definedName>
    <definedName name="Grant_4">'12. Funding Sources'!$C$32</definedName>
    <definedName name="Grant_5">'12. Funding Sources'!$C$33</definedName>
    <definedName name="Grant_6">'12. Funding Sources'!$C$34</definedName>
    <definedName name="Grant_7">'12. Funding Sources'!$C$35</definedName>
    <definedName name="Grant_8">'12. Funding Sources'!$C$36</definedName>
    <definedName name="Grant_9">'12. Funding Sources'!$C$37</definedName>
    <definedName name="Grant_Amount_1">'12. Funding Sources'!$E$29</definedName>
    <definedName name="Grant_Amount_10">'12. Funding Sources'!$E$38</definedName>
    <definedName name="Grant_Amount_11">'12. Funding Sources'!$E$39</definedName>
    <definedName name="Grant_Amount_2">'12. Funding Sources'!$E$30</definedName>
    <definedName name="Grant_Amount_3">'12. Funding Sources'!$E$31</definedName>
    <definedName name="Grant_Amount_4">'12. Funding Sources'!$E$32</definedName>
    <definedName name="Grant_Amount_5">'12. Funding Sources'!$E$33</definedName>
    <definedName name="Grant_Amount_6">'12. Funding Sources'!$E$34</definedName>
    <definedName name="Grant_Amount_7">'12. Funding Sources'!$E$35</definedName>
    <definedName name="Grant_Amount_8">'12. Funding Sources'!$E$36</definedName>
    <definedName name="Grant_Amount_9">'12. Funding Sources'!$E$37</definedName>
    <definedName name="Guest_Lodging">'10. Project and Unit Amenities'!$D$32</definedName>
    <definedName name="Health_Insurance_and_Other_Employee_Benefits">'16. Projected Operating Costs'!$D$57</definedName>
    <definedName name="Heat_Pump">'10. Project and Unit Amenities'!$G$71</definedName>
    <definedName name="Heating___Cooling_Repairs_Maintenance">'16. Projected Operating Costs'!$D$45</definedName>
    <definedName name="Homeless">'4. Project Description'!$D$38</definedName>
    <definedName name="Homeless_Number_of_Units">'4. Project Description'!$F$38</definedName>
    <definedName name="Hot_Water">'Dropdown Lists'!$AL$2:$AL$5</definedName>
    <definedName name="Housekeeping_Purchased_Serv">'16. Projected Operating Costs'!$D$68</definedName>
    <definedName name="Housekeeping_Salary">'16. Projected Operating Costs'!$D$65</definedName>
    <definedName name="Housekeeping_Supply">'16. Projected Operating Costs'!$D$66</definedName>
    <definedName name="How_Score">'24. Development Process Score'!$A$4</definedName>
    <definedName name="HUD_RAD">'4. Project Description'!$D$17</definedName>
    <definedName name="HUD_RAD_Number_of_Units">'4. Project Description'!$F$17</definedName>
    <definedName name="HUD202NoOfUnits" localSheetId="6">'2. Project Summary'!$P$49</definedName>
    <definedName name="HUD236NoOfUnits" localSheetId="6">'2. Project Summary'!$P$51</definedName>
    <definedName name="HUD811NoOfUnits" localSheetId="6">'2. Project Summary'!$P$47</definedName>
    <definedName name="HUDRADNoOfUnits" localSheetId="6">'2. Project Summary'!$P$50</definedName>
    <definedName name="HUDSection8NoOfUnits" localSheetId="6">'2. Project Summary'!$P$48</definedName>
    <definedName name="hyuytvyvy" localSheetId="6">DATE(YEAR(Loan_Start),MONTH(Loan_Start)+Payment_Number,DAY(Loan_Start))</definedName>
    <definedName name="hyuytvyvy" localSheetId="39">DATE(YEAR(Loan_Start),MONTH(Loan_Start)+Payment_Number,DAY(Loan_Start))</definedName>
    <definedName name="hyuytvyvy">DATE(YEAR(Loan_Start),MONTH(Loan_Start)+Payment_Number,DAY(Loan_Start))</definedName>
    <definedName name="Identity_Interest_Direct_Indirect">'7. Site Control'!$D$20</definedName>
    <definedName name="If_yes__list_name_of_project_and_WHEDA_application_number">'4. Project Description'!$D$48</definedName>
    <definedName name="If_yes__provide_the_subsidy_source">'4. Project Description'!$D$14</definedName>
    <definedName name="In_Unit_Internet_Access">'10. Project and Unit Amenities'!$D$27</definedName>
    <definedName name="Instructions_Scoring_Summary">'20. Instructions Scoring Sum'!$B$4</definedName>
    <definedName name="Is_HUD_approval_for_transfer_of_physical_asset_required?">'4. Project Description'!$D$27</definedName>
    <definedName name="Is_project_a_Scattered_Site?">'3. Project Location'!$F$6</definedName>
    <definedName name="Is_project_in_a_Difficult_Development_Area?">'3. Project Location'!$F$13</definedName>
    <definedName name="Is_project_in_a_Qualified_Census_Tract?">'3. Project Location'!$D$13</definedName>
    <definedName name="Is_RD_approval_for_transfer_of_physical_asset_required?">'4. Project Description'!$D$28</definedName>
    <definedName name="Is_this_a_credit_application_for_a_property_that_has_completed_its_HTC_compliance_period?">'4. Project Description'!$D$49</definedName>
    <definedName name="Is_this_an_application_for_additional_credit?">'4. Project Description'!$D$47</definedName>
    <definedName name="Is_WHEDA_approval_for_transfer_of_physical_asset_required?">'4. Project Description'!$D$29</definedName>
    <definedName name="isQualifiedSenior">'22. Tenants Served Score'!$C$24</definedName>
    <definedName name="jojoishkjngfsfd" localSheetId="6">IF(Loan_Amount*Interest_Rate*Loan_Years*Loan_Start&gt;0,1,0)</definedName>
    <definedName name="jojoishkjngfsfd" localSheetId="39">IF(Loan_Amount*Interest_Rate*Loan_Years*Loan_Start&gt;0,1,0)</definedName>
    <definedName name="jojoishkjngfsfd">IF(Loan_Amount*Interest_Rate*Loan_Years*Loan_Start&gt;0,1,0)</definedName>
    <definedName name="Judgements">'5. Applicant Information'!$E$62</definedName>
    <definedName name="Jurisdiction_CEO_First_Name">'3. Project Location'!$D$20</definedName>
    <definedName name="Jurisdiction_CEO_Last_Name">'3. Project Location'!$F$20</definedName>
    <definedName name="Jurisdiction_City">'3. Project Location'!$D$22</definedName>
    <definedName name="Jurisdiction_E_Mail_Address">'3. Project Location'!$F$23</definedName>
    <definedName name="Jurisdiction_Phone">'3. Project Location'!$D$23</definedName>
    <definedName name="Jurisdiction_Street_Address">'3. Project Location'!$D$21</definedName>
    <definedName name="Jurisdiction_Title">'3. Project Location'!$H$20</definedName>
    <definedName name="Jurisdiction_Zip_Code">'3. Project Location'!$F$22</definedName>
    <definedName name="Last_Row" localSheetId="6">IF('2. Project Summary'!Values_Entered,Header_Row+'2. Project Summary'!Number_of_Payments,Header_Row)</definedName>
    <definedName name="Last_Row" localSheetId="39">IF('ACR Form'!Values_Entered,Header_Row+'ACR Form'!Number_of_Payments,Header_Row)</definedName>
    <definedName name="Last_Row">IF(Values_Entered,Header_Row+Number_of_Payments,Header_Row)</definedName>
    <definedName name="Laundry_Linen">'16. Projected Operating Costs'!$D$71</definedName>
    <definedName name="Laundry_Purchased_Serv">'16. Projected Operating Costs'!$D$73</definedName>
    <definedName name="Laundry_Room">'10. Project and Unit Amenities'!$D$26</definedName>
    <definedName name="Laundry_Salaries">'16. Projected Operating Costs'!$D$72</definedName>
    <definedName name="Laundry_Supplies">'16. Projected Operating Costs'!$D$74</definedName>
    <definedName name="Legal_Expenses___Project_Only">'16. Projected Operating Costs'!$D$22</definedName>
    <definedName name="Lender_Name">'Dropdown Lists'!$AH$2:$AH$6</definedName>
    <definedName name="Litigation">'5. Applicant Information'!$E$65</definedName>
    <definedName name="Location_Score">'21. Location Score'!$B$4</definedName>
    <definedName name="Low_Income_Total_Units">'11. Unit Mix'!$F$126</definedName>
    <definedName name="Lower_Income_Area_Points">'20. Instructions Scoring Sum'!$G$25</definedName>
    <definedName name="Lower_Income_Areas">'21. Location Score'!$B$79</definedName>
    <definedName name="LowIncome3BRUnits">'11. Unit Mix'!$BC$66</definedName>
    <definedName name="LURA_Project_Number">'4. Project Description'!$D$32</definedName>
    <definedName name="MA_City">'9. Ownership and Project Team'!$D$62</definedName>
    <definedName name="MA_Email_Address">'9. Ownership and Project Team'!$G$64</definedName>
    <definedName name="MA_Identity_of_Interest?">'9. Ownership and Project Team'!$D$56</definedName>
    <definedName name="MA_State">'9. Ownership and Project Team'!$F$62</definedName>
    <definedName name="MA_Street_Address">'9. Ownership and Project Team'!$D$60</definedName>
    <definedName name="MA_Telephone_Number">'9. Ownership and Project Team'!$D$64</definedName>
    <definedName name="MA_Zipcode">'9. Ownership and Project Team'!$H$62</definedName>
    <definedName name="Management_Agent_Email_Address">'9. Ownership and Project Team'!$G$64</definedName>
    <definedName name="Management_Consultants">'16. Projected Operating Costs'!$D$9</definedName>
    <definedName name="Management_Fee___Commercial_Rents">'16. Projected Operating Costs'!$D$18</definedName>
    <definedName name="Management_Fee___Misc._Income">'16. Projected Operating Costs'!$D$19</definedName>
    <definedName name="Management_Fee___Residential_Rents">'16. Projected Operating Costs'!$D$17</definedName>
    <definedName name="Manager_Superintendent_Salaries">'16. Projected Operating Costs'!$D$20</definedName>
    <definedName name="Max_Cost_Model">'18. Max Cost Model'!$B$4</definedName>
    <definedName name="Med_Records_Purchased_Srv">'16. Projected Operating Costs'!$D$77</definedName>
    <definedName name="Media_Center_Room">'10. Project and Unit Amenities'!$G$31</definedName>
    <definedName name="Medical_Purchased_Serv">'16. Projected Operating Costs'!$D$70</definedName>
    <definedName name="Medical_Records_Salary">'16. Projected Operating Costs'!$D$75</definedName>
    <definedName name="Medical_Records_Supply">'16. Projected Operating Costs'!$D$76</definedName>
    <definedName name="Medical_Supplies">'16. Projected Operating Costs'!$D$69</definedName>
    <definedName name="Mgmt_Company_Name">'9. Ownership and Project Team'!$D$58</definedName>
    <definedName name="Mgmt_Contact_First_Name">'9. Ownership and Project Team'!$D$66</definedName>
    <definedName name="Mgmt_Contact_Last_Name">'9. Ownership and Project Team'!$F$66</definedName>
    <definedName name="Microwave">'10. Project and Unit Amenities'!$J$63</definedName>
    <definedName name="Mini_blinds">'10. Project and Unit Amenities'!$D$63</definedName>
    <definedName name="Minimum_Set_Aside_Requirements">'4. Project Description'!$D$59</definedName>
    <definedName name="Misc._Operating___Maintenance_Expenses">'16. Projected Operating Costs'!$D$48</definedName>
    <definedName name="Misc._Taxes__Licenses__Permits__and_Insuaance">'16. Projected Operating Costs'!$D$58</definedName>
    <definedName name="Miscellaneous_Taxes__Licenses_and_Permits">'16. Projected Operating Costs'!$D$53</definedName>
    <definedName name="Mixed_Income_Points">'20. Instructions Scoring Sum'!$G$38</definedName>
    <definedName name="MKT_Units_1">'7. Site Control'!$F$47</definedName>
    <definedName name="MKT_Units_10">'7. Site Control'!$F$56</definedName>
    <definedName name="MKT_Units_11">'7. Site Control'!$F$57</definedName>
    <definedName name="MKT_Units_12">'7. Site Control'!$F$58</definedName>
    <definedName name="MKT_Units_13">'7. Site Control'!$F$59</definedName>
    <definedName name="MKT_Units_14">'7. Site Control'!$F$60</definedName>
    <definedName name="MKT_Units_15">'7. Site Control'!$F$61</definedName>
    <definedName name="MKT_Units_16">'7. Site Control'!$F$62</definedName>
    <definedName name="MKT_Units_17">'7. Site Control'!$F$63</definedName>
    <definedName name="MKT_Units_18">'7. Site Control'!$F$64</definedName>
    <definedName name="MKT_Units_19">'7. Site Control'!$F$65</definedName>
    <definedName name="MKT_Units_2">'7. Site Control'!$F$48</definedName>
    <definedName name="MKT_Units_20">'7. Site Control'!$F$66</definedName>
    <definedName name="MKT_Units_21">'7. Site Control'!$F$67</definedName>
    <definedName name="MKT_Units_22">'7. Site Control'!$F$68</definedName>
    <definedName name="MKT_Units_23">'7. Site Control'!$F$69</definedName>
    <definedName name="MKT_Units_24">'7. Site Control'!$F$70</definedName>
    <definedName name="MKT_Units_25">'7. Site Control'!$F$71</definedName>
    <definedName name="MKT_Units_26">'7. Site Control'!$F$72</definedName>
    <definedName name="MKT_Units_27">'7. Site Control'!$F$73</definedName>
    <definedName name="MKT_Units_28">'7. Site Control'!$F$74</definedName>
    <definedName name="MKT_Units_29">'7. Site Control'!$F$75</definedName>
    <definedName name="MKT_Units_3">'7. Site Control'!$F$49</definedName>
    <definedName name="MKT_Units_30">'7. Site Control'!$F$76</definedName>
    <definedName name="MKT_Units_31">'7. Site Control'!$F$77</definedName>
    <definedName name="MKT_Units_32">'7. Site Control'!$F$78</definedName>
    <definedName name="MKT_Units_33">'7. Site Control'!$F$79</definedName>
    <definedName name="MKT_Units_34">'7. Site Control'!$F$80</definedName>
    <definedName name="MKT_Units_4">'7. Site Control'!$F$50</definedName>
    <definedName name="MKT_Units_5">'7. Site Control'!$F$51</definedName>
    <definedName name="MKT_Units_6">'7. Site Control'!$F$52</definedName>
    <definedName name="MKT_Units_7">'7. Site Control'!$F$53</definedName>
    <definedName name="MKT_Units_8">'7. Site Control'!$F$54</definedName>
    <definedName name="MKT_Units_9">'7. Site Control'!$F$55</definedName>
    <definedName name="Monthly_Rent_1">'11. Unit Mix'!$K$16</definedName>
    <definedName name="Monthly_Rent_10">'11. Unit Mix'!$K$25</definedName>
    <definedName name="Monthly_Rent_11">'11. Unit Mix'!$K$26</definedName>
    <definedName name="Monthly_Rent_12">'11. Unit Mix'!$K$27</definedName>
    <definedName name="Monthly_Rent_13">'11. Unit Mix'!$K$28</definedName>
    <definedName name="Monthly_Rent_14">'11. Unit Mix'!$K$29</definedName>
    <definedName name="Monthly_Rent_15">'11. Unit Mix'!$K$30</definedName>
    <definedName name="Monthly_Rent_16">'11. Unit Mix'!$K$31</definedName>
    <definedName name="Monthly_Rent_17">'11. Unit Mix'!$K$32</definedName>
    <definedName name="Monthly_Rent_18">'11. Unit Mix'!$K$33</definedName>
    <definedName name="Monthly_Rent_19">'11. Unit Mix'!$K$34</definedName>
    <definedName name="Monthly_Rent_2">'11. Unit Mix'!$K$17</definedName>
    <definedName name="Monthly_Rent_20">'11. Unit Mix'!$K$35</definedName>
    <definedName name="Monthly_Rent_21">'11. Unit Mix'!$K$36</definedName>
    <definedName name="Monthly_Rent_22">'11. Unit Mix'!$K$37</definedName>
    <definedName name="Monthly_Rent_23">'11. Unit Mix'!$K$38</definedName>
    <definedName name="Monthly_Rent_24">'11. Unit Mix'!$K$39</definedName>
    <definedName name="Monthly_Rent_25">'11. Unit Mix'!$K$40</definedName>
    <definedName name="Monthly_Rent_26">'11. Unit Mix'!$K$41</definedName>
    <definedName name="Monthly_Rent_27">'11. Unit Mix'!$K$42</definedName>
    <definedName name="Monthly_Rent_28">'11. Unit Mix'!$K$43</definedName>
    <definedName name="Monthly_Rent_29">'11. Unit Mix'!$K$44</definedName>
    <definedName name="Monthly_Rent_3">'11. Unit Mix'!$K$18</definedName>
    <definedName name="Monthly_Rent_30">'11. Unit Mix'!$K$45</definedName>
    <definedName name="Monthly_Rent_31">'11. Unit Mix'!$K$46</definedName>
    <definedName name="Monthly_Rent_32">'11. Unit Mix'!$K$47</definedName>
    <definedName name="Monthly_Rent_33">'11. Unit Mix'!$K$48</definedName>
    <definedName name="Monthly_Rent_34">'11. Unit Mix'!$K$49</definedName>
    <definedName name="Monthly_Rent_35">'11. Unit Mix'!$K$50</definedName>
    <definedName name="Monthly_Rent_36">'11. Unit Mix'!$K$51</definedName>
    <definedName name="Monthly_Rent_37">'11. Unit Mix'!$K$52</definedName>
    <definedName name="Monthly_Rent_38">'11. Unit Mix'!$K$53</definedName>
    <definedName name="Monthly_Rent_39">'11. Unit Mix'!$K$54</definedName>
    <definedName name="Monthly_Rent_4">'11. Unit Mix'!$K$19</definedName>
    <definedName name="Monthly_Rent_40">'11. Unit Mix'!$K$55</definedName>
    <definedName name="Monthly_Rent_41">'11. Unit Mix'!$K$56</definedName>
    <definedName name="Monthly_Rent_42">'11. Unit Mix'!$K$57</definedName>
    <definedName name="Monthly_Rent_43">'11. Unit Mix'!$K$58</definedName>
    <definedName name="Monthly_Rent_44">'11. Unit Mix'!$K$59</definedName>
    <definedName name="Monthly_Rent_45">'11. Unit Mix'!$K$60</definedName>
    <definedName name="Monthly_Rent_46">'11. Unit Mix'!$K$61</definedName>
    <definedName name="Monthly_Rent_47">'11. Unit Mix'!$K$62</definedName>
    <definedName name="Monthly_Rent_48">'11. Unit Mix'!$K$63</definedName>
    <definedName name="Monthly_Rent_49">'11. Unit Mix'!$K$64</definedName>
    <definedName name="Monthly_Rent_5">'11. Unit Mix'!$K$20</definedName>
    <definedName name="Monthly_Rent_50">'11. Unit Mix'!$K$65</definedName>
    <definedName name="Monthly_Rent_6">'11. Unit Mix'!$K$21</definedName>
    <definedName name="Monthly_Rent_7">'11. Unit Mix'!$K$22</definedName>
    <definedName name="Monthly_Rent_8">'11. Unit Mix'!$K$23</definedName>
    <definedName name="Monthly_Rent_9">'11. Unit Mix'!$K$24</definedName>
    <definedName name="Name_Project_App_Nunber">'4. Project Description'!$D$50</definedName>
    <definedName name="New_Construction_Units">'4. Project Description'!$D$8</definedName>
    <definedName name="Non_elevator_Building">'4. Project Description'!$D$64</definedName>
    <definedName name="Non_Voucher_Unit_Types">'Dropdown Lists'!$X$2:$X$4</definedName>
    <definedName name="Number_Garages">'10. Project and Unit Amenities'!$G$22</definedName>
    <definedName name="Number_of__Units_1">'7. Site Control'!$G$47</definedName>
    <definedName name="Number_of__Units_10">'7. Site Control'!$G$56</definedName>
    <definedName name="Number_of__Units_11">'7. Site Control'!$G$57</definedName>
    <definedName name="Number_of__Units_12">'7. Site Control'!$G$58</definedName>
    <definedName name="Number_of__Units_13">'7. Site Control'!$G$59</definedName>
    <definedName name="Number_of__Units_14">'7. Site Control'!$G$60</definedName>
    <definedName name="Number_of__Units_15">'7. Site Control'!$G$61</definedName>
    <definedName name="Number_of__Units_16">'7. Site Control'!$G$62</definedName>
    <definedName name="Number_of__Units_17">'7. Site Control'!$G$63</definedName>
    <definedName name="Number_of__Units_18">'7. Site Control'!$G$64</definedName>
    <definedName name="Number_of__Units_19">'7. Site Control'!$G$65</definedName>
    <definedName name="Number_of__Units_2">'7. Site Control'!$G$48</definedName>
    <definedName name="Number_of__Units_20">'7. Site Control'!$G$66</definedName>
    <definedName name="Number_of__Units_21">'7. Site Control'!$G$67</definedName>
    <definedName name="Number_of__Units_22">'7. Site Control'!$G$68</definedName>
    <definedName name="Number_of__Units_23">'7. Site Control'!$G$69</definedName>
    <definedName name="Number_of__Units_24">'7. Site Control'!$G$70</definedName>
    <definedName name="Number_of__Units_25">'7. Site Control'!$G$71</definedName>
    <definedName name="Number_of__Units_26">'7. Site Control'!$G$72</definedName>
    <definedName name="Number_of__Units_27">'7. Site Control'!$G$73</definedName>
    <definedName name="Number_of__Units_28">'7. Site Control'!$G$74</definedName>
    <definedName name="Number_of__Units_29">'7. Site Control'!$G$75</definedName>
    <definedName name="Number_of__Units_3">'7. Site Control'!$G$49</definedName>
    <definedName name="Number_of__Units_30">'7. Site Control'!$G$76</definedName>
    <definedName name="Number_of__Units_31">'7. Site Control'!$G$77</definedName>
    <definedName name="Number_of__Units_32">'7. Site Control'!$G$78</definedName>
    <definedName name="Number_of__Units_33">'7. Site Control'!$G$79</definedName>
    <definedName name="Number_of__Units_34">'7. Site Control'!$G$80</definedName>
    <definedName name="Number_of__Units_4">'7. Site Control'!$G$50</definedName>
    <definedName name="Number_of__Units_5">'7. Site Control'!$G$51</definedName>
    <definedName name="Number_of__Units_6">'7. Site Control'!$G$52</definedName>
    <definedName name="Number_of__Units_7">'7. Site Control'!$G$53</definedName>
    <definedName name="Number_of__Units_8">'7. Site Control'!$G$54</definedName>
    <definedName name="Number_of__Units_9">'7. Site Control'!$G$55</definedName>
    <definedName name="Number_of_existing_units">'6. Site Description'!$E$38</definedName>
    <definedName name="Number_of_Payments" localSheetId="6">MATCH(0.01,End_Bal,-1)+1</definedName>
    <definedName name="Number_of_Payments" localSheetId="39">MATCH(0.01,End_Bal,-1)+1</definedName>
    <definedName name="Number_of_Payments">MATCH(0.01,End_Bal,-1)+1</definedName>
    <definedName name="Number_of_Stories_Elevator">'4. Project Description'!$F$63</definedName>
    <definedName name="Number_of_Stories_No_Elevator">'4. Project Description'!$F$64</definedName>
    <definedName name="Number_Surface_Parking">'10. Project and Unit Amenities'!$G$23</definedName>
    <definedName name="Number_Underground_Parking">'10. Project and Unit Amenities'!$G$24</definedName>
    <definedName name="NumberBedrooms" localSheetId="27">'Dropdown Lists'!$Y$2:$Y$7</definedName>
    <definedName name="NumberBedrooms" localSheetId="28">'Dropdown Lists'!$Y$2:$Y$7</definedName>
    <definedName name="NumberBedrooms" localSheetId="29">'Dropdown Lists'!$Y$2:$Y$7</definedName>
    <definedName name="NumberBedrooms" localSheetId="30">'Dropdown Lists'!$Y$2:$Y$7</definedName>
    <definedName name="NumberBedrooms">'Dropdown Lists'!$Y$2:$Y$7</definedName>
    <definedName name="Office_Expenses">'16. Projected Operating Costs'!$D$15</definedName>
    <definedName name="Office_or_Model_Apartment_Rent">'16. Projected Operating Costs'!$D$16</definedName>
    <definedName name="Office_Salaries">'16. Projected Operating Costs'!$D$14</definedName>
    <definedName name="Onsite_Leasing_Office">'10. Project and Unit Amenities'!$J$34</definedName>
    <definedName name="Operating_and_Maintenance_Rent_Fee_Unit">'16. Projected Operating Costs'!$D$41</definedName>
    <definedName name="Other">'4. Project Description'!$D$25</definedName>
    <definedName name="Other__Please_describe">'4. Project Description'!$D$68</definedName>
    <definedName name="Other_Administrative_Expenses">'16. Projected Operating Costs'!$D$27</definedName>
    <definedName name="Other_Housekeeping">'16. Projected Operating Costs'!$D$67</definedName>
    <definedName name="Other_Number_of_Units">'4. Project Description'!$F$25</definedName>
    <definedName name="Other_Support_Serv">'16. Projected Operating Costs'!$D$84</definedName>
    <definedName name="Owner___Paid_Amenities">'16. Projected Operating Costs'!$D$35</definedName>
    <definedName name="Owner_Address">'9. Ownership and Project Team'!$C$9</definedName>
    <definedName name="Owner_City">'9. Ownership and Project Team'!$C$11</definedName>
    <definedName name="Owner_Name">'9. Ownership and Project Team'!$C$7</definedName>
    <definedName name="Owner_State">'9. Ownership and Project Team'!$F$11</definedName>
    <definedName name="Owner_Zip">'9. Ownership and Project Team'!$I$11</definedName>
    <definedName name="Ownership_Contact_Person_First_Name">'9. Ownership and Project Team'!$C$13</definedName>
    <definedName name="Ownership_Contact_Person_Last_Name">'9. Ownership and Project Team'!$F$13</definedName>
    <definedName name="Ownership_Entity">'9. Ownership and Project Team'!$B$4</definedName>
    <definedName name="Pantry">'10. Project and Unit Amenities'!$J$61</definedName>
    <definedName name="Patio_Balcony">'10. Project and Unit Amenities'!$G$63</definedName>
    <definedName name="Payment_Date" localSheetId="6">DATE(YEAR(Loan_Start),MONTH(Loan_Start)+Payment_Number,DAY(Loan_Start))</definedName>
    <definedName name="Payment_Date" localSheetId="39">DATE(YEAR(Loan_Start),MONTH(Loan_Start)+Payment_Number,DAY(Loan_Start))</definedName>
    <definedName name="Payment_Date">DATE(YEAR(Loan_Start),MONTH(Loan_Start)+Payment_Number,DAY(Loan_Start))</definedName>
    <definedName name="Payroll">'16. Projected Operating Costs'!$D$38</definedName>
    <definedName name="Payroll_Taxes___Project_Share">'16. Projected Operating Costs'!$D$54</definedName>
    <definedName name="PC_ACQ_ACQ_Subtotal_4">'14. Project Costs'!$K$16</definedName>
    <definedName name="PC_ACQ_ACQ_Subtotal_9">'14. Project Costs'!$J$16</definedName>
    <definedName name="PC_ACQ_ACQ_Subtotal_State">'14. Project Costs'!$L$16</definedName>
    <definedName name="PC_ACQ_ACQ_Subtotal_Total">'14. Project Costs'!$F$16</definedName>
    <definedName name="PC_ACQ_Building_Acq">'14. Project Costs'!$K$13</definedName>
    <definedName name="PC_ACQ_Building_Acq_State">'14. Project Costs'!$L$13</definedName>
    <definedName name="PC_ACQ_Building_Acq_Total">'14. Project Costs'!$F$13</definedName>
    <definedName name="PC_ACQ_Land_Acq_Total">'14. Project Costs'!$F$12</definedName>
    <definedName name="PC_ACQ_Other_Acq_4">'14. Project Costs'!$K$15</definedName>
    <definedName name="PC_ACQ_Other_Acq_9">'14. Project Costs'!$J$15</definedName>
    <definedName name="PC_ACQ_Other_Acq_State">'14. Project Costs'!$L$15</definedName>
    <definedName name="PC_ACQ_Other_Acq_Total">'14. Project Costs'!$F$15</definedName>
    <definedName name="PC_ACQ_Other_Purchase">'14. Project Costs'!$K$14</definedName>
    <definedName name="PC_ACQ_Other_Purchase_State">'14. Project Costs'!$L$14</definedName>
    <definedName name="PC_ACQ_Other_Purchase_Total">'14. Project Costs'!$F$14</definedName>
    <definedName name="PC_ARC_ALTA_4">'14. Project Costs'!$K$115</definedName>
    <definedName name="PC_ARC_ALTA_9">'14. Project Costs'!$J$115</definedName>
    <definedName name="PC_ARC_ALTA_State">'14. Project Costs'!$L$115</definedName>
    <definedName name="PC_ARC_ALTA_Total">'14. Project Costs'!$F$115</definedName>
    <definedName name="PC_ARC_Arch_Design_4">'14. Project Costs'!$K$112</definedName>
    <definedName name="PC_ARC_Arch_Design_9">'14. Project Costs'!$J$112</definedName>
    <definedName name="PC_ARC_Arch_Design_State">'14. Project Costs'!$L$112</definedName>
    <definedName name="PC_ARC_Arch_Design_Total">'14. Project Costs'!$F$112</definedName>
    <definedName name="PC_ARC_Arch_Super_4">'14. Project Costs'!$K$113</definedName>
    <definedName name="PC_ARC_Arch_Super_9">'14. Project Costs'!$J$113</definedName>
    <definedName name="PC_ARC_Arch_Super_State">'14. Project Costs'!$L$113</definedName>
    <definedName name="PC_ARC_Arch_Super_Total">'14. Project Costs'!$F$113</definedName>
    <definedName name="PC_ARC_Engineer_Fee_4">'14. Project Costs'!$K$114</definedName>
    <definedName name="PC_ARC_Engineer_Fee_9">'14. Project Costs'!$J$114</definedName>
    <definedName name="PC_ARC_Engineer_Fee_State">'14. Project Costs'!$L$114</definedName>
    <definedName name="PC_ARC_Engineer_Fee_Total">'14. Project Costs'!$F$114</definedName>
    <definedName name="PC_ARC_Other_Arch_4">'14. Project Costs'!$K$116</definedName>
    <definedName name="PC_ARC_Other_Arch_9">'14. Project Costs'!$J$116</definedName>
    <definedName name="PC_ARC_Other_Arch_State">'14. Project Costs'!$L$116</definedName>
    <definedName name="PC_ARC_Other_Arch_Total">'14. Project Costs'!$F$116</definedName>
    <definedName name="PC_CAP_Capital_Needs_Res_Total">'14. Project Costs'!$F$129</definedName>
    <definedName name="PC_CAP_Capitalized_Reserv_Subtotal_4">'14. Project Costs'!$K$133</definedName>
    <definedName name="PC_CAP_Capitalized_Reserv_Subtotal_9">'14. Project Costs'!$J$133</definedName>
    <definedName name="PC_CAP_Capitalized_Reserv_Subtotal_State">'14. Project Costs'!$L$133</definedName>
    <definedName name="PC_CAP_Capitalized_Reserv_Subtotal_Total">'14. Project Costs'!$F$133</definedName>
    <definedName name="PC_CAP_Debt_Serv_Reserve_Total">'14. Project Costs'!$F$128</definedName>
    <definedName name="PC_CAP_Escrow_Total">'14. Project Costs'!$F$131</definedName>
    <definedName name="PC_CAP_Operating_Expen_Res_Total">'14. Project Costs'!$F$125</definedName>
    <definedName name="PC_CAP_Other_Cap_Reserves_Total">'14. Project Costs'!$F$132</definedName>
    <definedName name="PC_CAP_Other_Reserve_Total">'14. Project Costs'!$F$130</definedName>
    <definedName name="PC_CAP_Replacement_Reserves_Total">'14. Project Costs'!$F$126</definedName>
    <definedName name="PC_CAP_Stab_RentUp_Res_Total">'14. Project Costs'!$F$127</definedName>
    <definedName name="PC_CNT_Contingency_Subtotal_4">'14. Project Costs'!$K$62</definedName>
    <definedName name="PC_CNT_Contingency_Subtotal_9">'14. Project Costs'!$J$62</definedName>
    <definedName name="PC_CNT_Contingency_Subtotal_State">'14. Project Costs'!$L$62</definedName>
    <definedName name="PC_CNT_Contingency_Subtotal_Total">'14. Project Costs'!$F$62</definedName>
    <definedName name="PC_CNT_Res_HC_Contingency">'14. Project Costs'!$K$60</definedName>
    <definedName name="PC_CNT_Res_HC_Contingency_State">'14. Project Costs'!$L$60</definedName>
    <definedName name="PC_CNT_Res_HC_Contingency_Total">'14. Project Costs'!$F$60</definedName>
    <definedName name="PC_CNT_Res_SC_Contingency">'14. Project Costs'!$K$61</definedName>
    <definedName name="PC_CNT_Res_SC_Contingency_State">'14. Project Costs'!$L$61</definedName>
    <definedName name="PC_CNT_Res_SC_Contingency_Total">'14. Project Costs'!$F$61</definedName>
    <definedName name="PC_CSP_Bond_Issuance_Fee_Total">'14. Project Costs'!$F$74</definedName>
    <definedName name="PC_CSP_Bonding_Fee_Subtotal_4">'14. Project Costs'!$K$75</definedName>
    <definedName name="PC_CSP_Bonding_Fee_Subtotal_9">'14. Project Costs'!$J$75</definedName>
    <definedName name="PC_CSP_Bonding_Fee_Subtotal_State">'14. Project Costs'!$L$75</definedName>
    <definedName name="PC_CSP_Bonding_Fee_Subtotal_Total">'14. Project Costs'!$F$75</definedName>
    <definedName name="PC_CSP_Constr_Hazard_insur_4">'14. Project Costs'!$K$91</definedName>
    <definedName name="PC_CSP_Constr_Hazard_insur_9">'14. Project Costs'!$J$91</definedName>
    <definedName name="PC_CSP_Constr_Hazard_insur_State">'14. Project Costs'!$L$91</definedName>
    <definedName name="PC_CSP_Constr_Hazard_insur_Total">'14. Project Costs'!$F$91</definedName>
    <definedName name="PC_CSP_Constr_Lender_Fees_4">'14. Project Costs'!$K$82</definedName>
    <definedName name="PC_CSP_Constr_Lender_Fees_9">'14. Project Costs'!$J$82</definedName>
    <definedName name="PC_CSP_Constr_Lender_Fees_State">'14. Project Costs'!$L$82</definedName>
    <definedName name="PC_CSP_Constr_Lender_Fees_Total">'14. Project Costs'!$F$82</definedName>
    <definedName name="PC_CSP_Constr_Liability_4">'14. Project Costs'!$K$92</definedName>
    <definedName name="PC_CSP_Constr_Liability_9">'14. Project Costs'!$J$92</definedName>
    <definedName name="PC_CSP_Constr_Liability_State">'14. Project Costs'!$L$92</definedName>
    <definedName name="PC_CSP_Constr_Liability_Total">'14. Project Costs'!$F$92</definedName>
    <definedName name="PC_CSP_Constr_Period_Int_4">'14. Project Costs'!$K$80</definedName>
    <definedName name="PC_CSP_Constr_Period_Int_9">'14. Project Costs'!$J$80</definedName>
    <definedName name="PC_CSP_Constr_Period_Int_State">'14. Project Costs'!$L$80</definedName>
    <definedName name="PC_CSP_Constr_Period_Int_Total">'14. Project Costs'!$F$80</definedName>
    <definedName name="PC_CSP_Contractor_Related_Fees_Subtotal_4">'14. Project Costs'!$K$97</definedName>
    <definedName name="PC_CSP_Contractor_Related_Fees_Subtotal_9">'14. Project Costs'!$J$97</definedName>
    <definedName name="PC_CSP_Contractor_Related_Fees_Subtotal_State">'14. Project Costs'!$L$97</definedName>
    <definedName name="PC_CSP_Contractor_Related_Fees_Subtotal_Total">'14. Project Costs'!$F$97</definedName>
    <definedName name="PC_CSP_Credit_Enhance_Fee_4">'14. Project Costs'!$K$87</definedName>
    <definedName name="PC_CSP_Credit_Enhance_Fee_9">'14. Project Costs'!$J$87</definedName>
    <definedName name="PC_CSP_Credit_Enhance_Fee_State">'14. Project Costs'!$L$87</definedName>
    <definedName name="PC_CSP_Credit_Enhance_Fee_Total">'14. Project Costs'!$F$87</definedName>
    <definedName name="PC_CSP_Green_Building_4">'14. Project Costs'!$K$90</definedName>
    <definedName name="PC_CSP_Green_Building_9">'14. Project Costs'!$J$90</definedName>
    <definedName name="PC_CSP_Green_Building_State">'14. Project Costs'!$L$90</definedName>
    <definedName name="PC_CSP_Green_Building_Total">'14. Project Costs'!$F$90</definedName>
    <definedName name="PC_CSP_Lender_Insp_Fees_4">'14. Project Costs'!$K$83</definedName>
    <definedName name="PC_CSP_Lender_Insp_Fees_9">'14. Project Costs'!$J$83</definedName>
    <definedName name="PC_CSP_Lender_Insp_Fees_State">'14. Project Costs'!$L$83</definedName>
    <definedName name="PC_CSP_Lender_Insp_Fees_Total">'14. Project Costs'!$F$83</definedName>
    <definedName name="PC_CSP_LU_Period_Constr_4">'14. Project Costs'!$K$81</definedName>
    <definedName name="PC_CSP_LU_Period_Constr_9">'14. Project Costs'!$J$81</definedName>
    <definedName name="PC_CSP_LU_Period_Constr_State">'14. Project Costs'!$L$81</definedName>
    <definedName name="PC_CSP_LU_Period_Constr_Total">'14. Project Costs'!$F$81</definedName>
    <definedName name="PC_CSP_Other_Constr_Costs_4">'14. Project Costs'!$K$96</definedName>
    <definedName name="PC_CSP_Other_Constr_Costs_9">'14. Project Costs'!$J$96</definedName>
    <definedName name="PC_CSP_Other_Constr_Costs_State">'14. Project Costs'!$L$96</definedName>
    <definedName name="PC_CSP_Other_Constr_Costs_Total">'14. Project Costs'!$F$96</definedName>
    <definedName name="PC_CSP_Other_Fees_4">'14. Project Costs'!$K$71</definedName>
    <definedName name="PC_CSP_Other_Fees_9">'14. Project Costs'!$J$71</definedName>
    <definedName name="PC_CSP_Other_Fees_State">'14. Project Costs'!$L$71</definedName>
    <definedName name="PC_CSP_Other_Fees_Total">'14. Project Costs'!$F$71</definedName>
    <definedName name="PC_CSP_Other_Interim_4">'14. Project Costs'!$K$93</definedName>
    <definedName name="PC_CSP_Other_Interim_9">'14. Project Costs'!$J$93</definedName>
    <definedName name="PC_CSP_Other_Interim_State">'14. Project Costs'!$L$93</definedName>
    <definedName name="PC_CSP_Other_Interim_Total">'14. Project Costs'!$F$93</definedName>
    <definedName name="PC_CSP_Other_Lender_Fees_4">'14. Project Costs'!$K$84</definedName>
    <definedName name="PC_CSP_Other_Lender_Fees_9">'14. Project Costs'!$J$84</definedName>
    <definedName name="PC_CSP_Other_Lender_Fees_State">'14. Project Costs'!$L$84</definedName>
    <definedName name="PC_CSP_Other_Lender_Fees_Total">'14. Project Costs'!$F$84</definedName>
    <definedName name="PC_CSP_Other_Lender_Subtotal_4">'14. Project Costs'!$K$85</definedName>
    <definedName name="PC_CSP_Other_Lender_Subtotal_9">'14. Project Costs'!$J$85</definedName>
    <definedName name="PC_CSP_Other_Lender_Subtotal_State">'14. Project Costs'!$L$85</definedName>
    <definedName name="PC_CSP_Other_Lender_Subtotal_Total">'14. Project Costs'!$F$85</definedName>
    <definedName name="PC_CSP_Perm_Relocation_Total">'14. Project Costs'!$F$95</definedName>
    <definedName name="PC_CSP_Predev_Bridge_Finan_Fees_Total">'14. Project Costs'!$F$78</definedName>
    <definedName name="PC_CSP_Predev_Bridge_Loan_Int_Total">'14. Project Costs'!$F$77</definedName>
    <definedName name="PC_CSP_Predev_Bridge_Orig_Fees_Total">'14. Project Costs'!$F$79</definedName>
    <definedName name="PC_CSP_Taxes_During_Constr_4">'14. Project Costs'!$K$88</definedName>
    <definedName name="PC_CSP_Taxes_During_Constr_9">'14. Project Costs'!$J$88</definedName>
    <definedName name="PC_CSP_Taxes_During_Constr_State">'14. Project Costs'!$L$88</definedName>
    <definedName name="PC_CSP_Taxes_During_Constr_Total">'14. Project Costs'!$F$88</definedName>
    <definedName name="PC_CSP_TE_Bond_Alloc_Total">'14. Project Costs'!$F$66</definedName>
    <definedName name="PC_CSP_Temp_Relocation_State">'14. Project Costs'!$L$94</definedName>
    <definedName name="PC_CSP_Temp_Reloocation_4">'14. Project Costs'!$K$94</definedName>
    <definedName name="PC_CSP_Temp_Reloocation_9">'14. Project Costs'!$J$94</definedName>
    <definedName name="PC_CSP_Temp_Reloocation_Total">'14. Project Costs'!$F$94</definedName>
    <definedName name="PC_CSP_Title_Recording_4">'14. Project Costs'!$K$89</definedName>
    <definedName name="PC_CSP_Title_Recording_9">'14. Project Costs'!$J$89</definedName>
    <definedName name="PC_CSP_Title_Recording_State">'14. Project Costs'!$L$89</definedName>
    <definedName name="PC_CSP_Title_Recording_Total">'14. Project Costs'!$F$89</definedName>
    <definedName name="PC_CSP_WHEDA_App_Fees_4">'14. Project Costs'!$K$65</definedName>
    <definedName name="PC_CSP_WHEDA_App_Fees_9">'14. Project Costs'!$J$65</definedName>
    <definedName name="PC_CSP_WHEDA_App_Fees_State">'14. Project Costs'!$L$65</definedName>
    <definedName name="PC_CSP_WHEDA_App_Fees_Total">'14. Project Costs'!$F$65</definedName>
    <definedName name="PC_CSP_WHEDA_Constr_Inspect_4">'14. Project Costs'!$K$70</definedName>
    <definedName name="PC_CSP_WHEDA_Constr_Inspect_9">'14. Project Costs'!$J$70</definedName>
    <definedName name="PC_CSP_WHEDA_Constr_Inspect_State">'14. Project Costs'!$L$70</definedName>
    <definedName name="PC_CSP_WHEDA_Constr_Inspect_Total">'14. Project Costs'!$F$70</definedName>
    <definedName name="PC_CSP_WHEDA_Constr_Loan">'14. Project Costs'!$K$67</definedName>
    <definedName name="PC_CSP_WHEDA_Constr_Loan_State">'14. Project Costs'!$L$67</definedName>
    <definedName name="PC_CSP_WHEDA_Constr_Loan_Total">'14. Project Costs'!$F$67</definedName>
    <definedName name="PC_CSP_WHEDA_Fees_Subtotal_4">'14. Project Costs'!$K$72</definedName>
    <definedName name="PC_CSP_WHEDA_Fees_Subtotal_9">'14. Project Costs'!$J$72</definedName>
    <definedName name="PC_CSP_WHEDA_Fees_Subtotal_State">'14. Project Costs'!$L$72</definedName>
    <definedName name="PC_CSP_WHEDA_Fees_Subtotal_Total">'14. Project Costs'!$F$72</definedName>
    <definedName name="PC_CSP_WHEDA_Legal_4">'14. Project Costs'!$K$69</definedName>
    <definedName name="PC_CSP_WHEDA_Legal_9">'14. Project Costs'!$J$69</definedName>
    <definedName name="PC_CSP_WHEDA_Legal_State">'14. Project Costs'!$L$69</definedName>
    <definedName name="PC_CSP_WHEDA_Legal_Total">'14. Project Costs'!$F$69</definedName>
    <definedName name="PC_CSP_WHEDA_Other_Finan">'14. Project Costs'!$K$68</definedName>
    <definedName name="PC_CSP_WHEDA_Other_Finan_State">'14. Project Costs'!$L$68</definedName>
    <definedName name="PC_CSP_WHEDA_Other_Finan_Total">'14. Project Costs'!$F$68</definedName>
    <definedName name="PC_CST_Accessory_Building">'14. Project Costs'!$K$28</definedName>
    <definedName name="PC_CST_Accessory_Building_State">'14. Project Costs'!$L$28</definedName>
    <definedName name="PC_CST_Accessory_Building_Total">'14. Project Costs'!$F$28</definedName>
    <definedName name="PC_CST_Builders_Overhead">'14. Project Costs'!$K$52</definedName>
    <definedName name="PC_CST_Builders_Overhead_State">'14. Project Costs'!$L$52</definedName>
    <definedName name="PC_CST_Builders_Overhead_Total">'14. Project Costs'!$F$52</definedName>
    <definedName name="PC_CST_Builders_Profit">'14. Project Costs'!$K$53</definedName>
    <definedName name="PC_CST_Builders_Profit_State">'14. Project Costs'!$L$53</definedName>
    <definedName name="PC_CST_Builders_Profit_Total">'14. Project Costs'!$F$53</definedName>
    <definedName name="PC_CST_Builders_Risk_Ins_4">'14. Project Costs'!$K$55</definedName>
    <definedName name="PC_CST_Builders_Risk_Ins_9">'14. Project Costs'!$J$55</definedName>
    <definedName name="PC_CST_Builders_Risk_Ins_State">'14. Project Costs'!$L$55</definedName>
    <definedName name="PC_CST_Builders_Risk_Ins_Total">'14. Project Costs'!$F$55</definedName>
    <definedName name="PC_CST_Building">'14. Project Costs'!$K$19</definedName>
    <definedName name="PC_CST_Building_State">'14. Project Costs'!$L$19</definedName>
    <definedName name="PC_CST_Building_Total">'14. Project Costs'!$F$19</definedName>
    <definedName name="PC_CST_Constr_Mgmt_Fee">'14. Project Costs'!$K$54</definedName>
    <definedName name="PC_CST_Constr_Mgmt_Fee_State">'14. Project Costs'!$L$54</definedName>
    <definedName name="PC_CST_Constr_Mgmt_Fee_Total">'14. Project Costs'!$F$54</definedName>
    <definedName name="PC_CST_Demolition">'14. Project Costs'!$K$41</definedName>
    <definedName name="PC_CST_Demolition_State">'14. Project Costs'!$L$41</definedName>
    <definedName name="PC_CST_Demolition_Total">'14. Project Costs'!$F$41</definedName>
    <definedName name="PC_CST_Earthwork">'14. Project Costs'!$K$42</definedName>
    <definedName name="PC_CST_Earthwork_Other_4">'14. Project Costs'!$K$33</definedName>
    <definedName name="PC_CST_Earthwork_Other_9">'14. Project Costs'!$J$33</definedName>
    <definedName name="PC_CST_Earthwork_Other_State">'14. Project Costs'!$L$33</definedName>
    <definedName name="PC_CST_Earthwork_Other_Total">'14. Project Costs'!$F$33</definedName>
    <definedName name="PC_CST_Earthwork_State">'14. Project Costs'!$L$42</definedName>
    <definedName name="PC_CST_Earthwork_Total">'14. Project Costs'!$F$42</definedName>
    <definedName name="PC_CST_Fixtures_Furn">'14. Project Costs'!$K$46</definedName>
    <definedName name="PC_CST_Fixtures_Furn_State">'14. Project Costs'!$L$46</definedName>
    <definedName name="PC_CST_Fixtures_Furn_Total">'14. Project Costs'!$F$46</definedName>
    <definedName name="PC_CST_General_Requirements">'14. Project Costs'!$K$51</definedName>
    <definedName name="PC_CST_General_Requirements_State">'14. Project Costs'!$L$51</definedName>
    <definedName name="PC_CST_General_Requirements_Total">'14. Project Costs'!$F$51</definedName>
    <definedName name="PC_CST_Lawn_4">'14. Project Costs'!$K$35</definedName>
    <definedName name="PC_CST_Lawn_9">'14. Project Costs'!$J$35</definedName>
    <definedName name="PC_CST_Lawn_Planting">'14. Project Costs'!$K$45</definedName>
    <definedName name="PC_CST_Lawn_Planting_State">'14. Project Costs'!$L$45</definedName>
    <definedName name="PC_CST_Lawn_Planting_Total">'14. Project Costs'!$F$45</definedName>
    <definedName name="PC_CST_Lawn_State">'14. Project Costs'!$L$35</definedName>
    <definedName name="PC_CST_Lawn_Total">'14. Project Costs'!$F$35</definedName>
    <definedName name="PC_CST_New_Constr_Subtotal_4">'14. Project Costs'!$K$31</definedName>
    <definedName name="PC_CST_New_Constr_Subtotal_9">'14. Project Costs'!$J$31</definedName>
    <definedName name="PC_CST_New_Constr_Subtotal_State">'14. Project Costs'!$L$31</definedName>
    <definedName name="PC_CST_New_Constr_Subtotal_Total">'14. Project Costs'!$F$31</definedName>
    <definedName name="PC_CST_Off_Site_Work_4">'14. Project Costs'!$K$38</definedName>
    <definedName name="PC_CST_Off_Site_Work_9">'14. Project Costs'!$J$38</definedName>
    <definedName name="PC_CST_Off_Site_Work_State">'14. Project Costs'!$L$38</definedName>
    <definedName name="PC_CST_Off_Site_Work_Total">'14. Project Costs'!$F$38</definedName>
    <definedName name="PC_CST_OffSite_Subtotal">'14. Project Costs'!$K$39</definedName>
    <definedName name="PC_CST_OffSite_Subtotal_State">'14. Project Costs'!$L$39</definedName>
    <definedName name="PC_CST_OffSite_Subtotal_Total">'14. Project Costs'!$F$39</definedName>
    <definedName name="PC_CST_Other_Contractor_Fee_4">'14. Project Costs'!$K$56</definedName>
    <definedName name="PC_CST_Other_Contractor_Fee_9">'14. Project Costs'!$J$56</definedName>
    <definedName name="PC_CST_Other_Contractor_Fee_State">'14. Project Costs'!$L$56</definedName>
    <definedName name="PC_CST_Other_Contractor_Fee_Total">'14. Project Costs'!$F$56</definedName>
    <definedName name="PC_CST_Other_New_Construction">'14. Project Costs'!$K$30</definedName>
    <definedName name="PC_CST_Other_New_Construction_State">'14. Project Costs'!$L$30</definedName>
    <definedName name="PC_CST_Other_New_Construction_Total">'14. Project Costs'!$F$30</definedName>
    <definedName name="PC_CST_Other_Site_Work">'14. Project Costs'!$K$48</definedName>
    <definedName name="PC_CST_Other_Site_Work_State">'14. Project Costs'!$L$48</definedName>
    <definedName name="PC_CST_Other_Site_Work_Total">'14. Project Costs'!$F$48</definedName>
    <definedName name="PC_CST_Personal_Property">'14. Project Costs'!$K$29</definedName>
    <definedName name="PC_CST_Personal_Property_State">'14. Project Costs'!$L$29</definedName>
    <definedName name="PC_CST_Personal_Property_Total">'14. Project Costs'!$F$29</definedName>
    <definedName name="PC_CST_Roads_4">'14. Project Costs'!$K$37</definedName>
    <definedName name="PC_CST_Roads_9">'14. Project Costs'!$J$37</definedName>
    <definedName name="PC_CST_Roads_State">'14. Project Costs'!$L$37</definedName>
    <definedName name="PC_CST_Roads_Total">'14. Project Costs'!$F$37</definedName>
    <definedName name="PC_CST_Roads_Walks_4">'14. Project Costs'!$K$43</definedName>
    <definedName name="PC_CST_Roads_Walks_9">'14. Project Costs'!$J$43</definedName>
    <definedName name="PC_CST_Roads_Walks_State">'14. Project Costs'!$L$43</definedName>
    <definedName name="PC_CST_Roads_Walks_Total">'14. Project Costs'!$F$43</definedName>
    <definedName name="PC_CST_Site_Subtotal_4">'14. Project Costs'!$K$49</definedName>
    <definedName name="PC_CST_Site_Subtotal_9">'14. Project Costs'!$J$49</definedName>
    <definedName name="PC_CST_Site_Subtotal_State">'14. Project Costs'!$L$49</definedName>
    <definedName name="PC_CST_Site_Subtotal_Total">'14. Project Costs'!$F$49</definedName>
    <definedName name="PC_CST_Site_Utilities_4">'14. Project Costs'!$K$44</definedName>
    <definedName name="PC_CST_Site_Utilities_9">'14. Project Costs'!$J$44</definedName>
    <definedName name="PC_CST_Site_Utilities_State">'14. Project Costs'!$L$44</definedName>
    <definedName name="PC_CST_Site_Utilities_Total">'14. Project Costs'!$F$44</definedName>
    <definedName name="PC_CST_Unusual_SC_4">'14. Project Costs'!$K$47</definedName>
    <definedName name="PC_CST_Unusual_SC_9">'14. Project Costs'!$J$47</definedName>
    <definedName name="PC_CST_Unusual_SC_State">'14. Project Costs'!$L$47</definedName>
    <definedName name="PC_CST_Unusual_SC_Total">'14. Project Costs'!$F$47</definedName>
    <definedName name="PC_CST_Unusual_Site_4">'14. Project Costs'!$K$36</definedName>
    <definedName name="PC_CST_Unusual_Site_9">'14. Project Costs'!$J$36</definedName>
    <definedName name="PC_CST_Unusual_Site_State">'14. Project Costs'!$L$36</definedName>
    <definedName name="PC_CST_Unusual_Site_Total">'14. Project Costs'!$F$36</definedName>
    <definedName name="PC_CST_Utilities_4">'14. Project Costs'!$K$34</definedName>
    <definedName name="PC_CST_Utilities_9">'14. Project Costs'!$J$34</definedName>
    <definedName name="PC_CST_Utilities_State">'14. Project Costs'!$L$34</definedName>
    <definedName name="PC_CST_Utilities_Total">'14. Project Costs'!$F$34</definedName>
    <definedName name="PC_DEV_Consult_Agent_4">'14. Project Costs'!$K$170</definedName>
    <definedName name="PC_DEV_Consult_Agent_9">'14. Project Costs'!$J$170</definedName>
    <definedName name="PC_DEV_Consult_Agent_State">'14. Project Costs'!$L$170</definedName>
    <definedName name="PC_DEV_Consult_Agent_Total">'14. Project Costs'!$F$170</definedName>
    <definedName name="PC_DEV_Dev_Fee_Deferred_4">'14. Project Costs'!$K$168</definedName>
    <definedName name="PC_DEV_Dev_Fee_Deferred_9">'14. Project Costs'!$J$168</definedName>
    <definedName name="PC_DEV_Dev_Fee_Deferred_State">'14. Project Costs'!$L$168</definedName>
    <definedName name="PC_DEV_Dev_Fee_Deferred_Total">'14. Project Costs'!$F$168</definedName>
    <definedName name="PC_DEV_Dev_Fee_Received_4">'14. Project Costs'!$K$167</definedName>
    <definedName name="PC_DEV_Dev_Fee_Received_9">'14. Project Costs'!$J$167</definedName>
    <definedName name="PC_DEV_Dev_Fee_Received_State">'14. Project Costs'!$L$167</definedName>
    <definedName name="PC_DEV_Dev_Fee_Received_Total">'14. Project Costs'!$F$167</definedName>
    <definedName name="PC_DEV_Dev_Overhead_4">'14. Project Costs'!$K$169</definedName>
    <definedName name="PC_DEV_Dev_Overhead_9">'14. Project Costs'!$J$169</definedName>
    <definedName name="PC_DEV_Dev_Overhead_State">'14. Project Costs'!$L$169</definedName>
    <definedName name="PC_DEV_Dev_Overhead_Total">'14. Project Costs'!$F$169</definedName>
    <definedName name="PC_DEV_Developer_Costs_Subtotal_Total">'14. Project Costs'!$F$172</definedName>
    <definedName name="PC_DEV_Other_Dev_Fees_4">'14. Project Costs'!$K$171</definedName>
    <definedName name="PC_DEV_Other_Dev_Fees_9">'14. Project Costs'!$J$171</definedName>
    <definedName name="PC_DEV_Other_Dev_Fees_State">'14. Project Costs'!$L$171</definedName>
    <definedName name="PC_DEV_Other_Dev_Fees_Total">'14. Project Costs'!$F$171</definedName>
    <definedName name="PC_FIN_Credit_Enhance_Perm_Loan_Total">'14. Project Costs'!$F$105</definedName>
    <definedName name="PC_FIN_Legal_Fees_RE_Total">'14. Project Costs'!$F$108</definedName>
    <definedName name="PC_FIN_Other_Perm_Finan_Total">'14. Project Costs'!$F$109</definedName>
    <definedName name="PC_FIN_Perm_Closing_Property_Total">'14. Project Costs'!$F$107</definedName>
    <definedName name="PC_FIN_Perm_Closing_Title_Total">'14. Project Costs'!$F$106</definedName>
    <definedName name="PC_FIN_Perm_Lender_Finan_Total">'14. Project Costs'!$F$101</definedName>
    <definedName name="PC_FIN_Perm_Lender_Legal_Total">'14. Project Costs'!$F$104</definedName>
    <definedName name="PC_FIN_Perm_Lender_Orig_Total">'14. Project Costs'!$F$103</definedName>
    <definedName name="PC_FIN_Permanent_Loan_Fees_Subtotal_4">'14. Project Costs'!$K$110</definedName>
    <definedName name="PC_FIN_Permanent_Loan_Fees_Subtotal_9">'14. Project Costs'!$J$110</definedName>
    <definedName name="PC_FIN_Permanent_Loan_Fees_Subtotal_State">'14. Project Costs'!$L$110</definedName>
    <definedName name="PC_FIN_Permanent_Loan_Fees_Subtotal_Total">'14. Project Costs'!$F$110</definedName>
    <definedName name="PC_FIN_WHEDA_Perm_Loan_Total">'14. Project Costs'!$F$102</definedName>
    <definedName name="PC_OLD_Applicable_Fraction_9">'14. Project Costs'!$G$186</definedName>
    <definedName name="PC_OLD_Applicable_Fraction_State">'14. Project Costs'!$I$186</definedName>
    <definedName name="PC_OLD_Equity_Gap_4">'14. Project Costs'!$G$201</definedName>
    <definedName name="PC_OLD_Equity_Gap_State">'14. Project Costs'!$I$201</definedName>
    <definedName name="PC_OLD_Fed_Applicable_Fraction">'14. Project Costs'!$G$186</definedName>
    <definedName name="PC_OLD_Fed_Total_Eligible_Basis">'14. Project Costs'!$G$181</definedName>
    <definedName name="PC_OLD_Tax_Credits_Requested_4">'14. Project Costs'!$G$212</definedName>
    <definedName name="PC_OLD_Tax_Credits_Requested_State">'14. Project Costs'!$I$212</definedName>
    <definedName name="PC_RPT_Additonal_Reports_Subtotal_4">'14. Project Costs'!$K$148</definedName>
    <definedName name="PC_RPT_Additonal_Reports_Subtotal_9">'14. Project Costs'!$J$149</definedName>
    <definedName name="PC_RPT_Additonal_Reports_Subtotal_State">'14. Project Costs'!$L$149</definedName>
    <definedName name="PC_RPT_Additonal_Reports_Subtotal_Total">'14. Project Costs'!$F$148</definedName>
    <definedName name="PC_RPT_Appraisals_4">'14. Project Costs'!$K$136</definedName>
    <definedName name="PC_RPT_Appraisals_9">'14. Project Costs'!$J$136</definedName>
    <definedName name="PC_RPT_Appraisals_State">'14. Project Costs'!$L$136</definedName>
    <definedName name="PC_RPT_Appraisals_Total">'14. Project Costs'!$F$136</definedName>
    <definedName name="PC_RPT_Boundry_4">'14. Project Costs'!$K$144</definedName>
    <definedName name="PC_RPT_Boundry_9">'14. Project Costs'!$J$144</definedName>
    <definedName name="PC_RPT_Boundry_State">'14. Project Costs'!$L$144</definedName>
    <definedName name="PC_RPT_Boundry_Total">'14. Project Costs'!$F$144</definedName>
    <definedName name="PC_RPT_Environmental_Review_4">'14. Project Costs'!$K$142</definedName>
    <definedName name="PC_RPT_Environmental_Review_9">'14. Project Costs'!$J$142</definedName>
    <definedName name="PC_RPT_Environmental_Review_State">'14. Project Costs'!$L$142</definedName>
    <definedName name="PC_RPT_Environmental_Review_Total">'14. Project Costs'!$F$142</definedName>
    <definedName name="PC_RPT_Environmental_Study_4">'14. Project Costs'!$K$139</definedName>
    <definedName name="PC_RPT_Environmental_Study_9">'14. Project Costs'!$J$139</definedName>
    <definedName name="PC_RPT_Environmental_Study_State">'14. Project Costs'!$L$139</definedName>
    <definedName name="PC_RPT_Environmental_Study_Total">'14. Project Costs'!$F$139</definedName>
    <definedName name="PC_RPT_Market_Study_4">'14. Project Costs'!$K$137</definedName>
    <definedName name="PC_RPT_Market_Study_9">'14. Project Costs'!$J$137</definedName>
    <definedName name="PC_RPT_Market_Study_State">'14. Project Costs'!$L$137</definedName>
    <definedName name="PC_RPT_Market_Study_Total">'14. Project Costs'!$F$137</definedName>
    <definedName name="PC_RPT_Other_Reports_4">'14. Project Costs'!$K$147</definedName>
    <definedName name="PC_RPT_Other_Reports_9">'14. Project Costs'!$J$147</definedName>
    <definedName name="PC_RPT_Other_Reports_State">'14. Project Costs'!$L$147</definedName>
    <definedName name="PC_RPT_Other_Reports_Total">'14. Project Costs'!$F$147</definedName>
    <definedName name="PC_RPT_Other_Zoning_Fees_4">'14. Project Costs'!$K$146</definedName>
    <definedName name="PC_RPT_Other_Zoning_Fees_9">'14. Project Costs'!$J$146</definedName>
    <definedName name="PC_RPT_Other_Zoning_Fees_State">'14. Project Costs'!$L$146</definedName>
    <definedName name="PC_RPT_Other_Zoning_Fees_Total">'14. Project Costs'!$F$146</definedName>
    <definedName name="PC_RPT_Physical_Capital_4">'14. Project Costs'!$K$138</definedName>
    <definedName name="PC_RPT_Physical_Capital_9">'14. Project Costs'!$J$138</definedName>
    <definedName name="PC_RPT_Physical_Capital_State">'14. Project Costs'!$L$138</definedName>
    <definedName name="PC_RPT_Physical_Capital_Total">'14. Project Costs'!$F$138</definedName>
    <definedName name="PC_RPT_Soils_4">'14. Project Costs'!$K$143</definedName>
    <definedName name="PC_RPT_Soils_9">'14. Project Costs'!$J$143</definedName>
    <definedName name="PC_RPT_Soils_State">'14. Project Costs'!$L$143</definedName>
    <definedName name="PC_RPT_Soils_Total">'14. Project Costs'!$F$143</definedName>
    <definedName name="PC_RPT_Third_Party_Review_4">'14. Project Costs'!$K$145</definedName>
    <definedName name="PC_RPT_Third_Party_Review_9">'14. Project Costs'!$J$145</definedName>
    <definedName name="PC_RPT_Third_Party_Review_State">'14. Project Costs'!$L$145</definedName>
    <definedName name="PC_RPT_Third_Party_Review_Total">'14. Project Costs'!$F$145</definedName>
    <definedName name="PC_SFT_Accting_Fees_4">'14. Project Costs'!$K$159</definedName>
    <definedName name="PC_SFT_Accting_Fees_9">'14. Project Costs'!$J$159</definedName>
    <definedName name="PC_SFT_Accting_Fees_State">'14. Project Costs'!$L$159</definedName>
    <definedName name="PC_SFT_Accting_Fees_Total">'14. Project Costs'!$F$159</definedName>
    <definedName name="PC_SFT_Developer_Costs_Subtotal_4">'14. Project Costs'!$K$164</definedName>
    <definedName name="PC_SFT_Developer_Costs_Subtotal_9">'14. Project Costs'!$J$164</definedName>
    <definedName name="PC_SFT_Developer_Costs_Subtotal_State">'14. Project Costs'!$L$164</definedName>
    <definedName name="PC_SFT_HTC_Fees_Total">'14. Project Costs'!$F$151</definedName>
    <definedName name="PC_SFT_LIHTC_App_Fees_Total">'14. Project Costs'!$F$152</definedName>
    <definedName name="PC_SFT_LIHTC_Monitoring_Fees_Total">'14. Project Costs'!$F$154</definedName>
    <definedName name="PC_SFT_LIHTC_Reserv_Fees_Total">'14. Project Costs'!$F$153</definedName>
    <definedName name="PC_SFT_Local_Bldg_Permit_4">'14. Project Costs'!$K$155</definedName>
    <definedName name="PC_SFT_Local_Bldg_Permit_9">'14. Project Costs'!$J$155</definedName>
    <definedName name="PC_SFT_Local_Bldg_Permit_State">'14. Project Costs'!$L$155</definedName>
    <definedName name="PC_SFT_Local_Bldg_Permit_Total">'14. Project Costs'!$F$155</definedName>
    <definedName name="PC_SFT_Net_Local_Dev_4">'14. Project Costs'!$K$157</definedName>
    <definedName name="PC_SFT_Net_Local_Dev_9">'14. Project Costs'!$J$157</definedName>
    <definedName name="PC_SFT_Net_Local_Dev_State">'14. Project Costs'!$L$157</definedName>
    <definedName name="PC_SFT_Net_Local_Dev_Total">'14. Project Costs'!$F$157</definedName>
    <definedName name="PC_SFT_Other_Misc_Costs_4">'14. Project Costs'!$K$163</definedName>
    <definedName name="PC_SFT_Other_Misc_Costs_9">'14. Project Costs'!$J$163</definedName>
    <definedName name="PC_SFT_Other_Misc_Costs_State">'14. Project Costs'!$L$163</definedName>
    <definedName name="PC_SFT_Other_Misc_Costs_Total">'14. Project Costs'!$F$163</definedName>
    <definedName name="PC_SFT_Other_SC_Subtotal_4">'14. Project Costs'!$K$164</definedName>
    <definedName name="PC_SFT_Other_SC_Subtotal_9">'14. Project Costs'!$J$164</definedName>
    <definedName name="PC_SFT_Other_SC_Subtotal_State">'14. Project Costs'!$L$164</definedName>
    <definedName name="PC_SFT_Other_SC_Subtotal_Total">'14. Project Costs'!$F$164</definedName>
    <definedName name="PC_SFT_Water_Sewer_4">'14. Project Costs'!$K$156</definedName>
    <definedName name="PC_SFT_Water_Sewer_9">'14. Project Costs'!$J$156</definedName>
    <definedName name="PC_SFT_Water_Sewer_State">'14. Project Costs'!$L$156</definedName>
    <definedName name="PC_SFT_Water_Sewer_Total">'14. Project Costs'!$F$156</definedName>
    <definedName name="PC_SYN_Organ_Legal_Fees_Total">'14. Project Costs'!$F$119</definedName>
    <definedName name="PC_SYN_Other_Syn_Costs_Total">'14. Project Costs'!$F$120</definedName>
    <definedName name="PC_SYN_Other_Syn_Fees_Total">'14. Project Costs'!$F$122</definedName>
    <definedName name="PC_SYN_Syndication_Fee_Subtotal_4">'14. Project Costs'!$K$123</definedName>
    <definedName name="PC_SYN_Syndication_Fee_Subtotal_9">'14. Project Costs'!$J$123</definedName>
    <definedName name="PC_SYN_Syndication_Fee_Subtotal_State">'14. Project Costs'!$L$123</definedName>
    <definedName name="PC_SYN_Syndication_Fee_Subtotal_Total">'14. Project Costs'!$F$123</definedName>
    <definedName name="PC_SYN_Tax_Opinion_Total">'14. Project Costs'!$F$121</definedName>
    <definedName name="Per_Unit_Per_Month">'16. Projected Operating Costs'!$D$90</definedName>
    <definedName name="Permanent_Financing">'12. Funding Sources'!$E$56</definedName>
    <definedName name="Permanently_Displaced">'6. Site Description'!$E$30</definedName>
    <definedName name="Picnic_Area">'10. Project and Unit Amenities'!$J$32</definedName>
    <definedName name="Playground">'10. Project and Unit Amenities'!$G$34</definedName>
    <definedName name="Political_Jurisdiction">'3. Project Location'!$D$19</definedName>
    <definedName name="Pool">'10. Project and Unit Amenities'!$J$33</definedName>
    <definedName name="Principal1_Address">'9. Ownership and Project Team'!$C$23</definedName>
    <definedName name="Principal1_City">'9. Ownership and Project Team'!$C$24</definedName>
    <definedName name="Principal1_Email">'9. Ownership and Project Team'!$I$25</definedName>
    <definedName name="Principal1_First_Name">'9. Ownership and Project Team'!$C$22</definedName>
    <definedName name="Principal1_Last_Name">'9. Ownership and Project Team'!$F$22</definedName>
    <definedName name="Principal1_State">'9. Ownership and Project Team'!$F$24</definedName>
    <definedName name="Principal1_Telephone">'9. Ownership and Project Team'!$C$25</definedName>
    <definedName name="Principal1_Zip">'9. Ownership and Project Team'!$I$24</definedName>
    <definedName name="Principal2_Address">'9. Ownership and Project Team'!$C$34</definedName>
    <definedName name="Principal2_City">'9. Ownership and Project Team'!$C$35</definedName>
    <definedName name="Principal2_Email">'9. Ownership and Project Team'!$I$36</definedName>
    <definedName name="Principal2_First_Name">'9. Ownership and Project Team'!$C$33</definedName>
    <definedName name="Principal2_Last_Name">'9. Ownership and Project Team'!$F$33</definedName>
    <definedName name="Principal2_State">'9. Ownership and Project Team'!$F$35</definedName>
    <definedName name="Principal2_Telephone">'9. Ownership and Project Team'!$C$36</definedName>
    <definedName name="Principal2_Zip">'9. Ownership and Project Team'!$I$35</definedName>
    <definedName name="Principal3_Address">'9. Ownership and Project Team'!$C$45</definedName>
    <definedName name="Principal3_City">'9. Ownership and Project Team'!$C$46</definedName>
    <definedName name="Principal3_Email">'9. Ownership and Project Team'!$I$47</definedName>
    <definedName name="Principal3_First_Name">'9. Ownership and Project Team'!$C$44</definedName>
    <definedName name="Principal3_Last_Name">'9. Ownership and Project Team'!$F$44</definedName>
    <definedName name="Principal3_State">'9. Ownership and Project Team'!$F$46</definedName>
    <definedName name="Principal3_Telephone">'9. Ownership and Project Team'!$C$47</definedName>
    <definedName name="Principal3_Zip">'9. Ownership and Project Team'!$I$46</definedName>
    <definedName name="_xlnm.Print_Area" localSheetId="5">'1. TOC'!$B$1:$R$40</definedName>
    <definedName name="_xlnm.Print_Area" localSheetId="14">'10. Project and Unit Amenities'!$B$5:$K$95</definedName>
    <definedName name="_xlnm.Print_Area" localSheetId="17">'11. Unit Mix'!$B$4:$W$171</definedName>
    <definedName name="_xlnm.Print_Area" localSheetId="18">'12. Funding Sources'!$A$4:$N$104</definedName>
    <definedName name="_xlnm.Print_Area" localSheetId="19">'13. Construction Cost SOV'!$B$4:$AP$425</definedName>
    <definedName name="_xlnm.Print_Area" localSheetId="20">'14. Project Costs'!$A$4:$N$236</definedName>
    <definedName name="_xlnm.Print_Area" localSheetId="21">'15. Credit Calculation'!$B$5:$R$56</definedName>
    <definedName name="_xlnm.Print_Area" localSheetId="22">'16. Projected Operating Costs'!$A$4:$H$117</definedName>
    <definedName name="_xlnm.Print_Area" localSheetId="23">'17. Cash Flow and Reserves'!$C$6:$G$43,'17. Cash Flow and Reserves'!$B$53:$Z$195</definedName>
    <definedName name="_xlnm.Print_Area" localSheetId="24">'18. Max Cost Model'!$E$8:$J$75</definedName>
    <definedName name="_xlnm.Print_Area" localSheetId="25">'19. Construction Draw Schedule'!$B$4:$AK$262</definedName>
    <definedName name="_xlnm.Print_Area" localSheetId="26">'20. Instructions Scoring Sum'!$B$5:$I$46</definedName>
    <definedName name="_xlnm.Print_Area" localSheetId="27">'21. Location Score'!$A$11:$Q$78</definedName>
    <definedName name="_xlnm.Print_Area" localSheetId="28">'22. Tenants Served Score'!$A$11:$P$43</definedName>
    <definedName name="_xlnm.Print_Area" localSheetId="29">'23. Building Design Score'!$A$11:$Q$86</definedName>
    <definedName name="_xlnm.Print_Area" localSheetId="30">'24. Development Process Score'!$A$64:$I$65</definedName>
    <definedName name="_xlnm.Print_Area" localSheetId="7">'3. Project Location'!$B$5:$I$50</definedName>
    <definedName name="_xlnm.Print_Area" localSheetId="8">'4. Project Description'!$A$4:$G$114</definedName>
    <definedName name="_xlnm.Print_Area" localSheetId="9">'5. Applicant Information'!$B$4:$M$99</definedName>
    <definedName name="_xlnm.Print_Area" localSheetId="10">'6. Site Description'!$B$4:$I$121</definedName>
    <definedName name="_xlnm.Print_Area" localSheetId="11">'7. Site Control'!$A$4:$K$101</definedName>
    <definedName name="_xlnm.Print_Area" localSheetId="12">'8. Zoning'!$B$4:$I$54</definedName>
    <definedName name="_xlnm.Print_Area" localSheetId="13">'9. Ownership and Project Team'!$B$4:$J$185</definedName>
    <definedName name="_xlnm.Print_Area" localSheetId="32">'Self Scoring Checklist'!$B$5:$N$36</definedName>
    <definedName name="_xlnm.Print_Area" localSheetId="34">'Tax Credit Signatures'!$A$5:$T$56</definedName>
    <definedName name="_xlnm.Print_Area" localSheetId="31">'Threshold Checklist'!$B$6:$N$41</definedName>
    <definedName name="_xlnm.Print_Area" localSheetId="33">'WHEDA Loan Signatures'!$A$5:$T$40</definedName>
    <definedName name="Project_and_Unit_Amenities">'10. Project and Unit Amenities'!$B$4</definedName>
    <definedName name="Project_Cash_Flow">'17. Cash Flow and Reserves'!$B$4</definedName>
    <definedName name="Project_Costs_and_Credit_Calculation">'14. Project Costs'!$B$4</definedName>
    <definedName name="Project_Description">'4. Project Description'!$B$4</definedName>
    <definedName name="Project_Name">'3. Project Location'!$D$6</definedName>
    <definedName name="Project_Name_and_Location">'3. Project Location'!$B$4</definedName>
    <definedName name="Project_SOV">'13. Construction Cost SOV'!$B$4</definedName>
    <definedName name="Project_Summary_Tab">'2. Project Summary'!$B$4</definedName>
    <definedName name="Project_Team">'9. Ownership and Project Team'!$B$54</definedName>
    <definedName name="Project_Type">'4. Project Description'!$D$6</definedName>
    <definedName name="ProjectBasedVASHRuralNoOfUnits" localSheetId="6">'2. Project Summary'!$P$46</definedName>
    <definedName name="Projected_Operating_Costs">'16. Projected Operating Costs'!$B$4</definedName>
    <definedName name="ProjectType" localSheetId="27">'Dropdown Lists'!$D$2:$D$8</definedName>
    <definedName name="ProjectType" localSheetId="28">'Dropdown Lists'!$D$2:$D$8</definedName>
    <definedName name="ProjectType" localSheetId="29">'Dropdown Lists'!$D$2:$D$8</definedName>
    <definedName name="ProjectType" localSheetId="30">'Dropdown Lists'!$D$2:$D$8</definedName>
    <definedName name="ProjectType">'Dropdown Lists'!$D$2:$D$8</definedName>
    <definedName name="Property_address">'3. Project Location'!$D$8</definedName>
    <definedName name="Property_and_Liability_Insurance__Hazard">'16. Projected Operating Costs'!$D$52</definedName>
    <definedName name="Property_Census_Tract">'3. Project Location'!$D$14</definedName>
    <definedName name="Property_City">'3. Project Location'!$D$11</definedName>
    <definedName name="Property_County">'3. Project Location'!$D$12</definedName>
    <definedName name="Property_Description">'6. Site Description'!$E$55</definedName>
    <definedName name="Property_Score">'23. Building Design Score'!$B$4</definedName>
    <definedName name="Property_State">'3. Project Location'!$F$11</definedName>
    <definedName name="Property_Zip_Code">'3. Project Location'!$F$12</definedName>
    <definedName name="Range_Hood">'10. Project and Unit Amenities'!$G$59</definedName>
    <definedName name="Range_Oven">'10. Project and Unit Amenities'!$D$59</definedName>
    <definedName name="Rate_1">'12. Funding Sources'!$K$11</definedName>
    <definedName name="Rate_10">'12. Funding Sources'!$K$20</definedName>
    <definedName name="Rate_11">'12. Funding Sources'!$K$21</definedName>
    <definedName name="Rate_12">'12. Funding Sources'!$K$22</definedName>
    <definedName name="Rate_13">'12. Funding Sources'!$K$23</definedName>
    <definedName name="Rate_2">'12. Funding Sources'!$K$12</definedName>
    <definedName name="Rate_3">'12. Funding Sources'!$K$13</definedName>
    <definedName name="Rate_4">'12. Funding Sources'!$K$14</definedName>
    <definedName name="Rate_5">'12. Funding Sources'!$K$15</definedName>
    <definedName name="Rate_6">'12. Funding Sources'!$K$16</definedName>
    <definedName name="Rate_7">'12. Funding Sources'!$K$17</definedName>
    <definedName name="Rate_8">'12. Funding Sources'!$K$18</definedName>
    <definedName name="Rate_9">'12. Funding Sources'!$K$19</definedName>
    <definedName name="RCAC">'4. Project Description'!$D$42</definedName>
    <definedName name="RCAC_Number_of_Units">'4. Project Description'!$F$42</definedName>
    <definedName name="RD_Rental_Assistance">'4. Project Description'!$D$18</definedName>
    <definedName name="RD_Rental_Assistance_Number_of_Units">'4. Project Description'!$F$18</definedName>
    <definedName name="Readiness_to_Proceed_Points">'20. Instructions Scoring Sum'!$G$41</definedName>
    <definedName name="Reading_Room_Library">'10. Project and Unit Amenities'!$D$31</definedName>
    <definedName name="Real_Estate___Personal_Property__Taxes">'16. Projected Operating Costs'!$D$51</definedName>
    <definedName name="Recreation_Rehab">'16. Projected Operating Costs'!$D$78</definedName>
    <definedName name="Refrigerator">'10. Project and Unit Amenities'!$G$60</definedName>
    <definedName name="Registerd_Nurse_Salary">'16. Projected Operating Costs'!$D$64</definedName>
    <definedName name="Rehab_Neighborhood_Points">'20. Instructions Scoring Sum'!$G$27</definedName>
    <definedName name="Rehab_Neighborhood_Stabilization">'21. Location Score'!$B$155</definedName>
    <definedName name="Rehab_Purchased_Serv">'16. Projected Operating Costs'!$D$83</definedName>
    <definedName name="Rehab_Salaries">'16. Projected Operating Costs'!$D$81</definedName>
    <definedName name="Rehab_Supplies">'16. Projected Operating Costs'!$D$82</definedName>
    <definedName name="Rehabilitation_expenditures_allocable_to_low_income_units">'7. Site Control'!$D$30</definedName>
    <definedName name="Rent_Surface_Parking">'10. Project and Unit Amenities'!$J$23</definedName>
    <definedName name="Rent_Underground_Parking">'10. Project and Unit Amenities'!$J$24</definedName>
    <definedName name="Rental">'4. Project Description'!$D$79</definedName>
    <definedName name="Rental_Targeted_For_Eventual_Resident_Ownership">'4. Project Description'!$D$80</definedName>
    <definedName name="Replacement_Reserves">'17. Cash Flow and Reserves'!$B$169</definedName>
    <definedName name="Resident_Computer_Center">'10. Project and Unit Amenities'!$D$30</definedName>
    <definedName name="Revitalization">'3. Project Location'!$D$16</definedName>
    <definedName name="Row_House_Town_House">'4. Project Description'!$D$65</definedName>
    <definedName name="rural_area_points">'ProLink Mapping'!$C$618</definedName>
    <definedName name="Rural_Areas_Points">'20. Instructions Scoring Sum'!$G$42</definedName>
    <definedName name="RuralDevNoOfUnits" localSheetId="6">'2. Project Summary'!$P$45</definedName>
    <definedName name="Screened_Porch">'10. Project and Unit Amenities'!$G$29</definedName>
    <definedName name="SD_17_G_0" localSheetId="7" hidden="1">ProLink!$F$4</definedName>
    <definedName name="SD_34x1_102_S_0" localSheetId="4" hidden="1">ProLink!$F$49</definedName>
    <definedName name="SD_34x1_114_S_0" localSheetId="4" hidden="1">'ProLink Mapping'!$D$526</definedName>
    <definedName name="SD_34x1_115_S_0" localSheetId="4" hidden="1">'ProLink Mapping'!$C$530</definedName>
    <definedName name="SD_34x1_116_S_0" localSheetId="4" hidden="1">'ProLink Mapping'!$C$531</definedName>
    <definedName name="SD_34x1_117_S_0" localSheetId="4" hidden="1">'ProLink Mapping'!$C$532</definedName>
    <definedName name="SD_34x1_118_S_0" localSheetId="4" hidden="1">'ProLink Mapping'!$D$535</definedName>
    <definedName name="SD_34x1_119_S_0" localSheetId="4" hidden="1">'ProLink Mapping'!$C$536</definedName>
    <definedName name="SD_34x1_120_S_0" localSheetId="4" hidden="1">'ProLink Mapping'!$C$537</definedName>
    <definedName name="SD_34x1_121_S_0" localSheetId="4" hidden="1">'ProLink Mapping'!$C$538</definedName>
    <definedName name="SD_34x1_122_S_0" localSheetId="4" hidden="1">'ProLink Mapping'!$C$539</definedName>
    <definedName name="SD_34x1_123_S_0" localSheetId="4" hidden="1">'ProLink Mapping'!$C$540</definedName>
    <definedName name="SD_34x1_124_S_0" localSheetId="4" hidden="1">'ProLink Mapping'!$C$527</definedName>
    <definedName name="SD_34x1_125_S_0" localSheetId="4" hidden="1">'ProLink Mapping'!$C$541</definedName>
    <definedName name="SD_34x1_126_S_0" localSheetId="4" hidden="1">'ProLink Mapping'!$D$543</definedName>
    <definedName name="SD_34x1_127_S_0" localSheetId="4" hidden="1">'ProLink Mapping'!$C$546</definedName>
    <definedName name="SD_34x1_128_S_0" localSheetId="4" hidden="1">'ProLink Mapping'!$C$547</definedName>
    <definedName name="SD_34x1_129_S_0" localSheetId="4" hidden="1">'ProLink Mapping'!$C$548</definedName>
    <definedName name="SD_34x1_130_S_0" localSheetId="4" hidden="1">'ProLink Mapping'!$C$549</definedName>
    <definedName name="SD_34x1_131_S_0" localSheetId="4" hidden="1">'ProLink Mapping'!$C$550</definedName>
    <definedName name="SD_34x1_136_S_0" localSheetId="4" hidden="1">'ProLink Mapping'!$C$558</definedName>
    <definedName name="SD_34x1_137_S_0" localSheetId="4" hidden="1">'ProLink Mapping'!$C$559</definedName>
    <definedName name="SD_34x1_139_S_0" localSheetId="4" hidden="1">'ProLink Mapping'!$C$555</definedName>
    <definedName name="SD_34x1_140_S_0" localSheetId="4" hidden="1">'ProLink Mapping'!$C$556</definedName>
    <definedName name="SD_34x1_141_S_0" localSheetId="4" hidden="1">'ProLink Mapping'!$C$554</definedName>
    <definedName name="SD_34x1_145_S_0" localSheetId="4" hidden="1">'ProLink Mapping'!$C$561</definedName>
    <definedName name="SD_34x1_147_S_0" localSheetId="4" hidden="1">'ProLink Mapping'!$C$562</definedName>
    <definedName name="SD_34x1_150_S_0" localSheetId="4" hidden="1">'ProLink Mapping'!$D$602</definedName>
    <definedName name="SD_34x1_151_S_0" localSheetId="4" hidden="1">'ProLink Mapping'!$C$567</definedName>
    <definedName name="SD_34x1_152_S_0" localSheetId="4" hidden="1">'ProLink Mapping'!$C$570</definedName>
    <definedName name="SD_34x1_153_S_0" localSheetId="4" hidden="1">'ProLink Mapping'!$C$569</definedName>
    <definedName name="SD_34x1_154_S_0" localSheetId="4" hidden="1">'ProLink Mapping'!$C$568</definedName>
    <definedName name="SD_34x1_155_S_0" localSheetId="4" hidden="1">'ProLink Mapping'!$C$571</definedName>
    <definedName name="SD_34x1_156_S_0" localSheetId="4" hidden="1">'ProLink Mapping'!$C$572</definedName>
    <definedName name="SD_34x1_157_S_0" localSheetId="4" hidden="1">'ProLink Mapping'!$C$573</definedName>
    <definedName name="SD_34x1_158_S_0" localSheetId="4" hidden="1">'ProLink Mapping'!$C$574</definedName>
    <definedName name="SD_34x1_178_S_0" localSheetId="4" hidden="1">'ProLink Mapping'!$B$509</definedName>
    <definedName name="SD_34x1_179_S_0" localSheetId="4" hidden="1">'ProLink Mapping'!$C$126</definedName>
    <definedName name="SD_34x1_20_S_0" localSheetId="4" hidden="1">'ProLink Mapping'!$C$53</definedName>
    <definedName name="SD_34x1_21_S_0" localSheetId="4" hidden="1">ProLink!$F$14</definedName>
    <definedName name="SD_34x1_212_S_0" localSheetId="4" hidden="1">ProLink!$F$55</definedName>
    <definedName name="SD_34x1_216_S_0" localSheetId="4" hidden="1">ProLink!$F$57</definedName>
    <definedName name="SD_34x1_23_S_0" localSheetId="4" hidden="1">ProLink!$F$15</definedName>
    <definedName name="SD_34x1_234_S_0" localSheetId="4" hidden="1">ProLink!$F$59</definedName>
    <definedName name="SD_34x1_237_S_0" localSheetId="4" hidden="1">ProLink!$F$66</definedName>
    <definedName name="SD_34x1_24_S_0" localSheetId="4" hidden="1">ProLink!$F$18</definedName>
    <definedName name="SD_34x1_26_S_0" localSheetId="4" hidden="1">ProLink!$F$20</definedName>
    <definedName name="SD_34x1_27_S_0" localSheetId="3" hidden="1">ProLink!$F$19</definedName>
    <definedName name="SD_34x1_28_S_0" localSheetId="3" hidden="1">ProLink!$F$21</definedName>
    <definedName name="SD_34x1_29_S_0" localSheetId="4" hidden="1">ProLink!$F$23</definedName>
    <definedName name="SD_34x1_312_G_0" localSheetId="3" hidden="1">ProLink!$F$274</definedName>
    <definedName name="SD_34x1_32_S_0" localSheetId="3" hidden="1">ProLink!$F$37</definedName>
    <definedName name="SD_34x1_337_S_1" localSheetId="4" hidden="1">ProLink!$F$16</definedName>
    <definedName name="SD_34x1_339_S_1" localSheetId="4" hidden="1">ProLink!$F$17</definedName>
    <definedName name="SD_34x1_34_S_0" localSheetId="3" hidden="1">ProLink!$F$36</definedName>
    <definedName name="SD_34x1_347_S_1" localSheetId="4" hidden="1">ProLink!$F$86</definedName>
    <definedName name="SD_34x1_349_S_1" localSheetId="4" hidden="1">'ProLink Mapping'!$C$642</definedName>
    <definedName name="SD_34x1_35_S_0" localSheetId="3" hidden="1">ProLink!$F$35</definedName>
    <definedName name="SD_34x1_363_S_1" localSheetId="4" hidden="1">ProLink!$F$40</definedName>
    <definedName name="SD_34x1_38_S_0" localSheetId="4" hidden="1">'ProLink Mapping'!$C$516</definedName>
    <definedName name="SD_34x1_40_S_0" localSheetId="4" hidden="1">'ProLink Mapping'!$C$35</definedName>
    <definedName name="SD_34x1_42x1_10_S_0" localSheetId="4" hidden="1">'ProLink Mapping'!$C$334</definedName>
    <definedName name="SD_34x1_42x1_12_S_0" localSheetId="4" hidden="1">'ProLink Mapping'!$C$347</definedName>
    <definedName name="SD_34x1_42x1_15_S_0" localSheetId="4" hidden="1">'ProLink Mapping'!$C$357</definedName>
    <definedName name="SD_34x1_42x1_16_S_0" localSheetId="4" hidden="1">'ProLink Mapping'!$C$358</definedName>
    <definedName name="SD_34x1_42x1_17_S_0" localSheetId="4" hidden="1">'ProLink Mapping'!$C$359</definedName>
    <definedName name="SD_34x1_42x1_19_S_0" localSheetId="4" hidden="1">'ProLink Mapping'!$C$335</definedName>
    <definedName name="SD_34x1_42x1_22_S_0" localSheetId="4" hidden="1">'ProLink Mapping'!$C$418</definedName>
    <definedName name="SD_34x1_42x1_23_S_0" localSheetId="4" hidden="1">'ProLink Mapping'!$C$419</definedName>
    <definedName name="SD_34x1_42x1_24_S_0" localSheetId="4" hidden="1">'ProLink Mapping'!$C$462</definedName>
    <definedName name="SD_34x1_42x1_26_S_0" localSheetId="4" hidden="1">'ProLink Mapping'!$C$374</definedName>
    <definedName name="SD_34x1_42x1_27_S_0" localSheetId="4" hidden="1">'ProLink Mapping'!$C$387</definedName>
    <definedName name="SD_34x1_42x1_28_S_0" localSheetId="4" hidden="1">'ProLink Mapping'!$C$394</definedName>
    <definedName name="SD_34x1_42x1_29_S_0" localSheetId="4" hidden="1">'ProLink Mapping'!$C$397</definedName>
    <definedName name="SD_34x1_42x1_30_S_0" localSheetId="4" hidden="1">'ProLink Mapping'!$C$465</definedName>
    <definedName name="SD_34x1_42x1_31_S_0" localSheetId="4" hidden="1">'ProLink Mapping'!$C$395</definedName>
    <definedName name="SD_34x1_42x1_32_S_0" localSheetId="4" hidden="1">'ProLink Mapping'!$C$390</definedName>
    <definedName name="SD_34x1_42x1_33_S_0" localSheetId="4" hidden="1">'ProLink Mapping'!$C$407</definedName>
    <definedName name="SD_34x1_42x1_34_S_0" localSheetId="4" hidden="1">'ProLink Mapping'!$C$411</definedName>
    <definedName name="SD_34x1_42x1_35_S_0" localSheetId="4" hidden="1">'ProLink Mapping'!$C$393</definedName>
    <definedName name="SD_34x1_42x1_37_S_0" localSheetId="4" hidden="1">'ProLink Mapping'!$C$445</definedName>
    <definedName name="SD_34x1_42x1_39_S_0" localSheetId="4" hidden="1">'ProLink Mapping'!$C$442</definedName>
    <definedName name="SD_34x1_42x1_40_S_0" localSheetId="4" hidden="1">'ProLink Mapping'!$C$443</definedName>
    <definedName name="SD_34x1_42x1_41_S_0" localSheetId="4" hidden="1">'ProLink Mapping'!$C$431</definedName>
    <definedName name="SD_34x1_42x1_42_S_0" localSheetId="4" hidden="1">'ProLink Mapping'!$C$458</definedName>
    <definedName name="SD_34x1_42x1_43_S_0" localSheetId="4" hidden="1">'ProLink Mapping'!$C$367</definedName>
    <definedName name="SD_34x1_42x1_44_S_0" localSheetId="4" hidden="1">'ProLink Mapping'!$C$473</definedName>
    <definedName name="SD_34x1_42x1_45_S_0" localSheetId="4" hidden="1">'ProLink Mapping'!$C$325</definedName>
    <definedName name="SD_34x1_42x1_46_S_0" localSheetId="4" hidden="1">'ProLink Mapping'!$C$326</definedName>
    <definedName name="SD_34x1_42x1_47_S_0" localSheetId="4" hidden="1">'ProLink Mapping'!$C$505</definedName>
    <definedName name="SD_34x1_42x1_48_S_0" localSheetId="4" hidden="1">'ProLink Mapping'!$C$504</definedName>
    <definedName name="SD_34x1_42x1_49_S_0" localSheetId="4" hidden="1">'ProLink Mapping'!$C$507</definedName>
    <definedName name="SD_34x1_42x1_5_S_0" localSheetId="4" hidden="1">'ProLink Mapping'!$C$345</definedName>
    <definedName name="SD_34x1_42x1_50_S_0" localSheetId="4" hidden="1">'ProLink Mapping'!$C$506</definedName>
    <definedName name="SD_34x1_42x1_52_S_0" localSheetId="4" hidden="1">'ProLink Mapping'!$C$494</definedName>
    <definedName name="SD_34x1_42x1_53_S_0" localSheetId="4" hidden="1">'ProLink Mapping'!$C$496</definedName>
    <definedName name="SD_34x1_42x1_6_S_0" localSheetId="4" hidden="1">'ProLink Mapping'!$C$348</definedName>
    <definedName name="SD_34x1_42x1_62_S_0" localSheetId="4" hidden="1">'ProLink Mapping'!$C$327</definedName>
    <definedName name="SD_34x1_42x1_63_S_0" localSheetId="4" hidden="1">'ProLink Mapping'!$C$336</definedName>
    <definedName name="SD_34x1_42x1_64_S_0" localSheetId="4" hidden="1">'ProLink Mapping'!$C$422</definedName>
    <definedName name="SD_34x1_42x1_65_S_0" localSheetId="4" hidden="1">'ProLink Mapping'!$C$373</definedName>
    <definedName name="SD_34x1_42x1_66_S_0" localSheetId="4" hidden="1">'ProLink Mapping'!$C$429</definedName>
    <definedName name="SD_34x1_42x1_67_S_0" localSheetId="4" hidden="1">'ProLink Mapping'!$C$380</definedName>
    <definedName name="SD_34x1_42x1_68_S_0" localSheetId="4" hidden="1">'ProLink Mapping'!$C$408</definedName>
    <definedName name="SD_34x1_42x1_69_S_0" localSheetId="4" hidden="1">'ProLink Mapping'!$C$415</definedName>
    <definedName name="SD_34x1_42x1_7_S_0" localSheetId="4" hidden="1">'ProLink Mapping'!$C$354</definedName>
    <definedName name="SD_34x1_42x1_70_S_0" localSheetId="4" hidden="1">'ProLink Mapping'!$C$421</definedName>
    <definedName name="SD_34x1_42x1_71_S_0" localSheetId="4" hidden="1">'ProLink Mapping'!$C$466</definedName>
    <definedName name="SD_34x1_42x1_72_S_0" localSheetId="4" hidden="1">'ProLink Mapping'!$C$401</definedName>
    <definedName name="SD_34x1_42x1_73_S_0" localSheetId="4" hidden="1">'ProLink Mapping'!$C$400</definedName>
    <definedName name="SD_34x1_42x1_74_S_0" localSheetId="4" hidden="1">'ProLink Mapping'!$C$444</definedName>
    <definedName name="SD_34x1_42x1_75_S_0" localSheetId="4" hidden="1">'ProLink Mapping'!$C$414</definedName>
    <definedName name="SD_34x1_42x1_76_S_0" localSheetId="4" hidden="1">'ProLink Mapping'!$C$469</definedName>
    <definedName name="SD_34x1_42x1_77_S_0" localSheetId="4" hidden="1">'ProLink Mapping'!$C$383</definedName>
    <definedName name="SD_34x1_42x1_78_S_0" localSheetId="4" hidden="1">'ProLink Mapping'!$C$474</definedName>
    <definedName name="SD_34x1_42x1_79_S_0" localSheetId="4" hidden="1">'ProLink Mapping'!$C$476</definedName>
    <definedName name="SD_34x1_42x1_8_S_0" localSheetId="4" hidden="1">'ProLink Mapping'!$C$332</definedName>
    <definedName name="SD_34x1_42x1_80_S_0" localSheetId="4" hidden="1">'ProLink Mapping'!$C$432</definedName>
    <definedName name="SD_34x1_42x1_81_S_0" localSheetId="4" hidden="1">'ProLink Mapping'!$C$433</definedName>
    <definedName name="SD_34x1_42x1_88_S_0" localSheetId="4" hidden="1">'ProLink Mapping'!$C$351</definedName>
    <definedName name="SD_34x1_42x1_89_S_0" localSheetId="4" hidden="1">'ProLink Mapping'!$C$420</definedName>
    <definedName name="SD_34x1_42x1_9_S_0" localSheetId="4" hidden="1">'ProLink Mapping'!$C$333</definedName>
    <definedName name="SD_34x1_42x1_93_S_0" localSheetId="4" hidden="1">'ProLink Mapping'!$C$360</definedName>
    <definedName name="SD_34x1_42x1_94_S_0" localSheetId="4" hidden="1">'ProLink Mapping'!$C$402</definedName>
    <definedName name="SD_34x1_42x1_95_S_0" localSheetId="4" hidden="1">'ProLink Mapping'!$C$366</definedName>
    <definedName name="SD_34x1_4467x1_17_S_1" localSheetId="4" hidden="1">'ProLink Mapping'!$D$263</definedName>
    <definedName name="SD_34x1_4467x1_18_S_0" localSheetId="4" hidden="1">'ProLink Mapping'!$F$263</definedName>
    <definedName name="SD_34x1_4467x1_19_S_0" localSheetId="4" hidden="1">'ProLink Mapping'!$E$263</definedName>
    <definedName name="SD_34x1_4467x1_20_S_0" localSheetId="4" hidden="1">'ProLink Mapping'!$L$263</definedName>
    <definedName name="SD_34x1_4467x2_17_S_1" localSheetId="4" hidden="1">'ProLink Mapping'!$D$264</definedName>
    <definedName name="SD_34x1_4467x2_18_S_0" localSheetId="4" hidden="1">'ProLink Mapping'!$F$264</definedName>
    <definedName name="SD_34x1_4467x2_19_S_0" localSheetId="4" hidden="1">'ProLink Mapping'!$E$264</definedName>
    <definedName name="SD_34x1_4467x2_20_S_0" localSheetId="4" hidden="1">'ProLink Mapping'!$L$264</definedName>
    <definedName name="SD_34x1_4467x3_17_S_1" localSheetId="4" hidden="1">'ProLink Mapping'!$D$265</definedName>
    <definedName name="SD_34x1_4467x3_18_S_0" localSheetId="4" hidden="1">'ProLink Mapping'!$F$265</definedName>
    <definedName name="SD_34x1_4467x3_19_S_0" localSheetId="4" hidden="1">'ProLink Mapping'!$E$265</definedName>
    <definedName name="SD_34x1_4467x3_20_S_0" localSheetId="4" hidden="1">'ProLink Mapping'!$L$265</definedName>
    <definedName name="SD_34x1_4467x4_17_S_1" localSheetId="4" hidden="1">'ProLink Mapping'!$D$266</definedName>
    <definedName name="SD_34x1_4467x4_18_S_0" localSheetId="4" hidden="1">'ProLink Mapping'!$F$266</definedName>
    <definedName name="SD_34x1_4467x4_19_S_0" localSheetId="4" hidden="1">'ProLink Mapping'!$E$266</definedName>
    <definedName name="SD_34x1_4467x4_20_S_0" localSheetId="4" hidden="1">'ProLink Mapping'!$L$266</definedName>
    <definedName name="SD_34x1_4467x5_17_S_1" localSheetId="4" hidden="1">'ProLink Mapping'!$D$267</definedName>
    <definedName name="SD_34x1_4467x5_18_S_0" localSheetId="4" hidden="1">'ProLink Mapping'!$F$267</definedName>
    <definedName name="SD_34x1_4467x5_19_S_0" localSheetId="4" hidden="1">'ProLink Mapping'!$E$267</definedName>
    <definedName name="SD_34x1_4467x5_20_S_0" localSheetId="4" hidden="1">'ProLink Mapping'!$L$267</definedName>
    <definedName name="SD_34x1_4467x6_17_S_1" localSheetId="4" hidden="1">'ProLink Mapping'!$D$268</definedName>
    <definedName name="SD_34x1_4467x6_18_S_0" localSheetId="4" hidden="1">'ProLink Mapping'!$F$268</definedName>
    <definedName name="SD_34x1_4467x6_19_S_0" localSheetId="4" hidden="1">'ProLink Mapping'!$E$268</definedName>
    <definedName name="SD_34x1_4467x6_20_S_0" localSheetId="4" hidden="1">'ProLink Mapping'!$L$268</definedName>
    <definedName name="SD_34x1_464_S_0" localSheetId="4" hidden="1">'ProLink Mapping'!$C$272</definedName>
    <definedName name="SD_34x1_465_S_0" localSheetId="4" hidden="1">'ProLink Mapping'!$F$275</definedName>
    <definedName name="SD_34x1_467_S_0" localSheetId="4" hidden="1">'ProLink Mapping'!$C$106</definedName>
    <definedName name="SD_34x1_468_S_0" localSheetId="4" hidden="1">'ProLink Mapping'!$C$114</definedName>
    <definedName name="SD_34x1_470_S_0" localSheetId="4" hidden="1">'ProLink Mapping'!$C$115</definedName>
    <definedName name="SD_34x1_471_S_0" localSheetId="4" hidden="1">'ProLink Mapping'!$C$107</definedName>
    <definedName name="SD_34x1_472_S_0" localSheetId="4" hidden="1">'ProLink Mapping'!$C$108</definedName>
    <definedName name="SD_34x1_474_S_0" localSheetId="4" hidden="1">'ProLink Mapping'!$C$110</definedName>
    <definedName name="SD_34x1_475_S_0" localSheetId="4" hidden="1">'ProLink Mapping'!$C$111</definedName>
    <definedName name="SD_34x1_479_S_0" localSheetId="4" hidden="1">'ProLink Mapping'!$C$130</definedName>
    <definedName name="SD_34x1_480_S_0" localSheetId="4" hidden="1">'ProLink Mapping'!$C$129</definedName>
    <definedName name="SD_34x1_482_S_0" localSheetId="4" hidden="1">'ProLink Mapping'!$C$123</definedName>
    <definedName name="SD_34x1_483_S_0" localSheetId="4" hidden="1">'ProLink Mapping'!$C$122</definedName>
    <definedName name="SD_34x1_485_S_0" localSheetId="4" hidden="1">'ProLink Mapping'!$C$121</definedName>
    <definedName name="SD_34x1_486_S_0" localSheetId="4" hidden="1">'ProLink Mapping'!$C$120</definedName>
    <definedName name="SD_34x1_488_S_0" localSheetId="4" hidden="1">'ProLink Mapping'!$C$125</definedName>
    <definedName name="SD_34x1_489_S_0" localSheetId="4" hidden="1">'ProLink Mapping'!$C$124</definedName>
    <definedName name="SD_34x1_491_S_0" localSheetId="4" hidden="1">'ProLink Mapping'!$C$128</definedName>
    <definedName name="SD_34x1_492_S_0" localSheetId="4" hidden="1">'ProLink Mapping'!$C$127</definedName>
    <definedName name="SD_34x1_50_S_0" localSheetId="4" hidden="1">'ProLink Mapping'!$C$273</definedName>
    <definedName name="SD_34x1_51_S_0" localSheetId="4" hidden="1">'ProLink Mapping'!$C$271</definedName>
    <definedName name="SD_34x1_5103x1_112_S_1" localSheetId="4" hidden="1">ProLink!$F$116</definedName>
    <definedName name="SD_34x1_5103x1_113_S_1" localSheetId="4" hidden="1">ProLink!$F$117</definedName>
    <definedName name="SD_34x1_5103x1_139_S_0" localSheetId="4" hidden="1">'ProLink Mapping'!$C$54</definedName>
    <definedName name="SD_34x1_5103x1_140_S_1" localSheetId="4" hidden="1">'ProLink Mapping'!$C$55</definedName>
    <definedName name="SD_34x1_5103x1_141_S_1" localSheetId="4" hidden="1">'ProLink Mapping'!$C$59</definedName>
    <definedName name="SD_34x1_5103x1_142_S_1" localSheetId="4" hidden="1">'ProLink Mapping'!$C$56</definedName>
    <definedName name="SD_34x1_5103x1_143_S_1" localSheetId="4" hidden="1">'ProLink Mapping'!$C$57</definedName>
    <definedName name="SD_34x1_5103x1_144_S_1" localSheetId="4" hidden="1">'ProLink Mapping'!$C$58</definedName>
    <definedName name="SD_34x1_5103x1_145_S_0" localSheetId="4" hidden="1">'ProLink Mapping'!$I$175</definedName>
    <definedName name="SD_34x1_5103x1_146_S_0" localSheetId="4" hidden="1">'ProLink Mapping'!$I$176</definedName>
    <definedName name="SD_34x1_5103x1_147_S_0" localSheetId="4" hidden="1">'ProLink Mapping'!$I$177</definedName>
    <definedName name="SD_34x1_5103x1_148_S_0" localSheetId="4" hidden="1">'ProLink Mapping'!$I$178</definedName>
    <definedName name="SD_34x1_5103x1_149_S_0" localSheetId="4" hidden="1">'ProLink Mapping'!$I$179</definedName>
    <definedName name="SD_34x1_5103x1_150_S_0" localSheetId="4" hidden="1">'ProLink Mapping'!$I$185</definedName>
    <definedName name="SD_34x1_5103x1_151_S_0" localSheetId="4" hidden="1">'ProLink Mapping'!$G$524</definedName>
    <definedName name="SD_34x1_5103x1_152_S_0" localSheetId="4" hidden="1">'ProLink Mapping'!$G$525</definedName>
    <definedName name="SD_34x1_5103x1_153_S_0" localSheetId="4" hidden="1">'ProLink Mapping'!$G$526</definedName>
    <definedName name="SD_34x1_5103x1_154_S_0" localSheetId="4" hidden="1">'ProLink Mapping'!$G$527</definedName>
    <definedName name="SD_34x1_5103x1_155_S_0" localSheetId="4" hidden="1">'ProLink Mapping'!$G$528</definedName>
    <definedName name="SD_34x1_5103x1_156_S_0" localSheetId="4" hidden="1">'ProLink Mapping'!$G$529</definedName>
    <definedName name="SD_34x1_5103x1_157_S_0" localSheetId="4" hidden="1">'ProLink Mapping'!$G$530</definedName>
    <definedName name="SD_34x1_5103x1_158_S_0" localSheetId="4" hidden="1">'ProLink Mapping'!$G$531</definedName>
    <definedName name="SD_34x1_5103x1_159_S_0" localSheetId="4" hidden="1">ProLink!$F$48</definedName>
    <definedName name="SD_34x1_5103x1_163_S_0" localSheetId="4" hidden="1">ProLink!$F$60</definedName>
    <definedName name="SD_34x1_5103x1_164_S_0" localSheetId="4" hidden="1">ProLink!$F$62</definedName>
    <definedName name="SD_34x1_5103x1_165_S_0" localSheetId="4" hidden="1">ProLink!$F$64</definedName>
    <definedName name="SD_34x1_5103x1_166_S_0" localSheetId="4" hidden="1">ProLink!$F$70</definedName>
    <definedName name="SD_34x1_5103x1_168_S_1" localSheetId="4" hidden="1">ProLink!$F$51</definedName>
    <definedName name="SD_34x1_5103x1_169_S_1" localSheetId="4" hidden="1">ProLink!$F$61</definedName>
    <definedName name="SD_34x1_5103x1_170_S_1" localSheetId="4" hidden="1">ProLink!$F$63</definedName>
    <definedName name="SD_34x1_5103x1_171_S_1" localSheetId="4" hidden="1">ProLink!$F$67</definedName>
    <definedName name="SD_34x1_5103x1_172_S_1" localSheetId="4" hidden="1">ProLink!$F$68</definedName>
    <definedName name="SD_34x1_5103x1_173_S_1" localSheetId="4" hidden="1">ProLink!$F$69</definedName>
    <definedName name="SD_34x1_5103x1_174_S_0" localSheetId="3" hidden="1">ProLink!$F$73</definedName>
    <definedName name="SD_34x1_5103x1_175_S_0" localSheetId="3" hidden="1">ProLink!$F$75</definedName>
    <definedName name="SD_34x1_5103x1_176_S_0" localSheetId="3" hidden="1">ProLink!$F$77</definedName>
    <definedName name="SD_34x1_5103x1_177_S_0" localSheetId="3" hidden="1">ProLink!$F$79</definedName>
    <definedName name="SD_34x1_512_S_1" localSheetId="4" hidden="1">'ProLink Mapping'!$C$109</definedName>
    <definedName name="SD_34x1_5155x1_10_S_0" localSheetId="4" hidden="1">'ProLink Mapping'!$G$295</definedName>
    <definedName name="SD_34x1_5155x1_21_S_1" localSheetId="4" hidden="1">'ProLink Mapping'!$E$295</definedName>
    <definedName name="SD_34x1_5155x1_7_S_0" localSheetId="4" hidden="1">'ProLink Mapping'!$C$295</definedName>
    <definedName name="SD_34x1_5155x10_10_S_0" localSheetId="4" hidden="1">'ProLink Mapping'!$G$304</definedName>
    <definedName name="SD_34x1_5155x10_21_S_1" localSheetId="4" hidden="1">'ProLink Mapping'!$E$304</definedName>
    <definedName name="SD_34x1_5155x10_7_S_0" localSheetId="4" hidden="1">'ProLink Mapping'!$C$304</definedName>
    <definedName name="SD_34x1_5155x11_10_S_0" localSheetId="4" hidden="1">'ProLink Mapping'!$G$305</definedName>
    <definedName name="SD_34x1_5155x11_21_S_1" localSheetId="4" hidden="1">'ProLink Mapping'!$E$305</definedName>
    <definedName name="SD_34x1_5155x11_7_S_0" localSheetId="4" hidden="1">'ProLink Mapping'!$C$305</definedName>
    <definedName name="SD_34x1_5155x2_10_S_0" localSheetId="4" hidden="1">'ProLink Mapping'!$G$296</definedName>
    <definedName name="SD_34x1_5155x2_21_S_1" localSheetId="4" hidden="1">'ProLink Mapping'!$E$296</definedName>
    <definedName name="SD_34x1_5155x2_7_S_0" localSheetId="4" hidden="1">'ProLink Mapping'!$C$296</definedName>
    <definedName name="SD_34x1_5155x3_10_S_0" localSheetId="4" hidden="1">'ProLink Mapping'!$G$297</definedName>
    <definedName name="SD_34x1_5155x3_21_S_1" localSheetId="4" hidden="1">'ProLink Mapping'!$E$297</definedName>
    <definedName name="SD_34x1_5155x3_7_S_0" localSheetId="4" hidden="1">'ProLink Mapping'!$C$297</definedName>
    <definedName name="SD_34x1_5155x4_10_S_0" localSheetId="4" hidden="1">'ProLink Mapping'!$G$298</definedName>
    <definedName name="SD_34x1_5155x4_21_S_1" localSheetId="4" hidden="1">'ProLink Mapping'!$E$298</definedName>
    <definedName name="SD_34x1_5155x4_7_S_0" localSheetId="4" hidden="1">'ProLink Mapping'!$C$298</definedName>
    <definedName name="SD_34x1_5155x5_10_S_0" localSheetId="4" hidden="1">'ProLink Mapping'!$G$299</definedName>
    <definedName name="SD_34x1_5155x5_21_S_1" localSheetId="4" hidden="1">'ProLink Mapping'!$E$299</definedName>
    <definedName name="SD_34x1_5155x5_7_S_0" localSheetId="4" hidden="1">'ProLink Mapping'!$C$299</definedName>
    <definedName name="SD_34x1_5155x6_10_S_0" localSheetId="4" hidden="1">'ProLink Mapping'!$G$300</definedName>
    <definedName name="SD_34x1_5155x6_21_S_1" localSheetId="4" hidden="1">'ProLink Mapping'!$E$300</definedName>
    <definedName name="SD_34x1_5155x6_7_S_0" localSheetId="4" hidden="1">'ProLink Mapping'!$C$300</definedName>
    <definedName name="SD_34x1_5155x7_10_S_0" localSheetId="4" hidden="1">'ProLink Mapping'!$G$301</definedName>
    <definedName name="SD_34x1_5155x7_21_S_1" localSheetId="4" hidden="1">'ProLink Mapping'!$E$301</definedName>
    <definedName name="SD_34x1_5155x7_7_S_0" localSheetId="4" hidden="1">'ProLink Mapping'!$C$301</definedName>
    <definedName name="SD_34x1_5155x8_10_S_0" localSheetId="4" hidden="1">'ProLink Mapping'!$G$302</definedName>
    <definedName name="SD_34x1_5155x8_21_S_1" localSheetId="4" hidden="1">'ProLink Mapping'!$E$302</definedName>
    <definedName name="SD_34x1_5155x8_7_S_0" localSheetId="4" hidden="1">'ProLink Mapping'!$C$302</definedName>
    <definedName name="SD_34x1_5155x9_10_S_0" localSheetId="4" hidden="1">'ProLink Mapping'!$G$303</definedName>
    <definedName name="SD_34x1_5155x9_21_S_1" localSheetId="4" hidden="1">'ProLink Mapping'!$E$303</definedName>
    <definedName name="SD_34x1_5155x9_7_S_0" localSheetId="4" hidden="1">'ProLink Mapping'!$C$303</definedName>
    <definedName name="SD_34x1_5158x1_10_S_0" localSheetId="4" hidden="1">'ProLink Mapping'!$G$280</definedName>
    <definedName name="SD_34x1_5158x1_11_S_0" localSheetId="4" hidden="1">'ProLink Mapping'!$M$280</definedName>
    <definedName name="SD_34x1_5158x1_12_S_0" localSheetId="4" hidden="1">'ProLink Mapping'!$I$280</definedName>
    <definedName name="SD_34x1_5158x1_14_S_0" localSheetId="4" hidden="1">'ProLink Mapping'!$K$280</definedName>
    <definedName name="SD_34x1_5158x1_21_S_1" localSheetId="4" hidden="1">'ProLink Mapping'!$E$280</definedName>
    <definedName name="SD_34x1_5158x1_7_S_0" localSheetId="4" hidden="1">'ProLink Mapping'!$C$280</definedName>
    <definedName name="SD_34x1_5158x10_10_S_0" localSheetId="4" hidden="1">'ProLink Mapping'!$G$289</definedName>
    <definedName name="SD_34x1_5158x10_11_S_0" localSheetId="4" hidden="1">'ProLink Mapping'!$M$289</definedName>
    <definedName name="SD_34x1_5158x10_12_S_0" localSheetId="4" hidden="1">'ProLink Mapping'!$I$289</definedName>
    <definedName name="SD_34x1_5158x10_14_S_0" localSheetId="4" hidden="1">'ProLink Mapping'!$K$289</definedName>
    <definedName name="SD_34x1_5158x10_21_S_1" localSheetId="4" hidden="1">'ProLink Mapping'!$E$289</definedName>
    <definedName name="SD_34x1_5158x10_7_S_0" localSheetId="4" hidden="1">'ProLink Mapping'!$C$289</definedName>
    <definedName name="SD_34x1_5158x11_10_S_0" localSheetId="4" hidden="1">'ProLink Mapping'!$G$290</definedName>
    <definedName name="SD_34x1_5158x11_11_S_0" localSheetId="4" hidden="1">'ProLink Mapping'!$M$290</definedName>
    <definedName name="SD_34x1_5158x11_12_S_0" localSheetId="4" hidden="1">'ProLink Mapping'!$I$290</definedName>
    <definedName name="SD_34x1_5158x11_14_S_0" localSheetId="4" hidden="1">'ProLink Mapping'!$K$290</definedName>
    <definedName name="SD_34x1_5158x11_21_S_1" localSheetId="4" hidden="1">'ProLink Mapping'!$E$290</definedName>
    <definedName name="SD_34x1_5158x11_7_S_0" localSheetId="4" hidden="1">'ProLink Mapping'!$C$290</definedName>
    <definedName name="SD_34x1_5158x12_10_S_0" localSheetId="4" hidden="1">'ProLink Mapping'!$G$291</definedName>
    <definedName name="SD_34x1_5158x12_11_S_0" localSheetId="4" hidden="1">'ProLink Mapping'!$M$291</definedName>
    <definedName name="SD_34x1_5158x12_12_S_0" localSheetId="4" hidden="1">'ProLink Mapping'!$I$291</definedName>
    <definedName name="SD_34x1_5158x12_14_S_0" localSheetId="4" hidden="1">'ProLink Mapping'!$K$291</definedName>
    <definedName name="SD_34x1_5158x12_21_S_1" localSheetId="4" hidden="1">'ProLink Mapping'!$E$291</definedName>
    <definedName name="SD_34x1_5158x12_7_S_0" localSheetId="4" hidden="1">'ProLink Mapping'!$C$291</definedName>
    <definedName name="SD_34x1_5158x13_10_S_0" localSheetId="4" hidden="1">'ProLink Mapping'!$G$292</definedName>
    <definedName name="SD_34x1_5158x13_11_S_0" localSheetId="4" hidden="1">'ProLink Mapping'!$M$292</definedName>
    <definedName name="SD_34x1_5158x13_12_S_0" localSheetId="4" hidden="1">'ProLink Mapping'!$I$292</definedName>
    <definedName name="SD_34x1_5158x13_14_S_0" localSheetId="4" hidden="1">'ProLink Mapping'!$K$292</definedName>
    <definedName name="SD_34x1_5158x13_21_S_1" localSheetId="4" hidden="1">'ProLink Mapping'!$E$292</definedName>
    <definedName name="SD_34x1_5158x13_7_S_0" localSheetId="4" hidden="1">'ProLink Mapping'!$C$292</definedName>
    <definedName name="SD_34x1_5158x2_10_S_0" localSheetId="4" hidden="1">'ProLink Mapping'!$G$281</definedName>
    <definedName name="SD_34x1_5158x2_11_S_0" localSheetId="4" hidden="1">'ProLink Mapping'!$M$281</definedName>
    <definedName name="SD_34x1_5158x2_12_S_0" localSheetId="4" hidden="1">'ProLink Mapping'!$I$281</definedName>
    <definedName name="SD_34x1_5158x2_14_S_0" localSheetId="4" hidden="1">'ProLink Mapping'!$K$281</definedName>
    <definedName name="SD_34x1_5158x2_21_S_1" localSheetId="4" hidden="1">'ProLink Mapping'!$E$281</definedName>
    <definedName name="SD_34x1_5158x2_7_S_0" localSheetId="4" hidden="1">'ProLink Mapping'!$C$281</definedName>
    <definedName name="SD_34x1_5158x3_10_S_0" localSheetId="4" hidden="1">'ProLink Mapping'!$G$282</definedName>
    <definedName name="SD_34x1_5158x3_11_S_0" localSheetId="4" hidden="1">'ProLink Mapping'!$M$282</definedName>
    <definedName name="SD_34x1_5158x3_12_S_0" localSheetId="4" hidden="1">'ProLink Mapping'!$I$282</definedName>
    <definedName name="SD_34x1_5158x3_14_S_0" localSheetId="4" hidden="1">'ProLink Mapping'!$K$282</definedName>
    <definedName name="SD_34x1_5158x3_21_S_1" localSheetId="4" hidden="1">'ProLink Mapping'!$E$282</definedName>
    <definedName name="SD_34x1_5158x3_7_S_0" localSheetId="4" hidden="1">'ProLink Mapping'!$C$282</definedName>
    <definedName name="SD_34x1_5158x4_10_S_0" localSheetId="4" hidden="1">'ProLink Mapping'!$G$283</definedName>
    <definedName name="SD_34x1_5158x4_11_S_0" localSheetId="4" hidden="1">'ProLink Mapping'!$M$283</definedName>
    <definedName name="SD_34x1_5158x4_12_S_0" localSheetId="4" hidden="1">'ProLink Mapping'!$I$283</definedName>
    <definedName name="SD_34x1_5158x4_14_S_0" localSheetId="4" hidden="1">'ProLink Mapping'!$K$283</definedName>
    <definedName name="SD_34x1_5158x4_21_S_1" localSheetId="4" hidden="1">'ProLink Mapping'!$E$283</definedName>
    <definedName name="SD_34x1_5158x4_7_S_0" localSheetId="4" hidden="1">'ProLink Mapping'!$C$283</definedName>
    <definedName name="SD_34x1_5158x5_10_S_0" localSheetId="4" hidden="1">'ProLink Mapping'!$G$284</definedName>
    <definedName name="SD_34x1_5158x5_11_S_0" localSheetId="4" hidden="1">'ProLink Mapping'!$M$284</definedName>
    <definedName name="SD_34x1_5158x5_12_S_0" localSheetId="4" hidden="1">'ProLink Mapping'!$I$284</definedName>
    <definedName name="SD_34x1_5158x5_14_S_0" localSheetId="4" hidden="1">'ProLink Mapping'!$K$284</definedName>
    <definedName name="SD_34x1_5158x5_21_S_1" localSheetId="4" hidden="1">'ProLink Mapping'!$E$284</definedName>
    <definedName name="SD_34x1_5158x5_7_S_0" localSheetId="4" hidden="1">'ProLink Mapping'!$C$284</definedName>
    <definedName name="SD_34x1_5158x6_10_S_0" localSheetId="4" hidden="1">'ProLink Mapping'!$G$285</definedName>
    <definedName name="SD_34x1_5158x6_11_S_0" localSheetId="4" hidden="1">'ProLink Mapping'!$M$285</definedName>
    <definedName name="SD_34x1_5158x6_12_S_0" localSheetId="4" hidden="1">'ProLink Mapping'!$I$285</definedName>
    <definedName name="SD_34x1_5158x6_14_S_0" localSheetId="4" hidden="1">'ProLink Mapping'!$K$285</definedName>
    <definedName name="SD_34x1_5158x6_21_S_1" localSheetId="4" hidden="1">'ProLink Mapping'!$E$285</definedName>
    <definedName name="SD_34x1_5158x6_7_S_0" localSheetId="4" hidden="1">'ProLink Mapping'!$C$285</definedName>
    <definedName name="SD_34x1_5158x7_10_S_0" localSheetId="4" hidden="1">'ProLink Mapping'!$G$286</definedName>
    <definedName name="SD_34x1_5158x7_11_S_0" localSheetId="4" hidden="1">'ProLink Mapping'!$M$286</definedName>
    <definedName name="SD_34x1_5158x7_12_S_0" localSheetId="4" hidden="1">'ProLink Mapping'!$I$286</definedName>
    <definedName name="SD_34x1_5158x7_14_S_0" localSheetId="4" hidden="1">'ProLink Mapping'!$K$286</definedName>
    <definedName name="SD_34x1_5158x7_21_S_1" localSheetId="4" hidden="1">'ProLink Mapping'!$E$286</definedName>
    <definedName name="SD_34x1_5158x7_7_S_0" localSheetId="4" hidden="1">'ProLink Mapping'!$C$286</definedName>
    <definedName name="SD_34x1_5158x8_10_S_0" localSheetId="4" hidden="1">'ProLink Mapping'!$G$287</definedName>
    <definedName name="SD_34x1_5158x8_11_S_0" localSheetId="4" hidden="1">'ProLink Mapping'!$M$287</definedName>
    <definedName name="SD_34x1_5158x8_12_S_0" localSheetId="4" hidden="1">'ProLink Mapping'!$I$287</definedName>
    <definedName name="SD_34x1_5158x8_14_S_0" localSheetId="4" hidden="1">'ProLink Mapping'!$K$287</definedName>
    <definedName name="SD_34x1_5158x8_21_S_1" localSheetId="4" hidden="1">'ProLink Mapping'!$E$287</definedName>
    <definedName name="SD_34x1_5158x8_7_S_0" localSheetId="4" hidden="1">'ProLink Mapping'!$C$287</definedName>
    <definedName name="SD_34x1_5158x9_10_S_0" localSheetId="4" hidden="1">'ProLink Mapping'!$G$288</definedName>
    <definedName name="SD_34x1_5158x9_11_S_0" localSheetId="4" hidden="1">'ProLink Mapping'!$M$288</definedName>
    <definedName name="SD_34x1_5158x9_12_S_0" localSheetId="4" hidden="1">'ProLink Mapping'!$I$288</definedName>
    <definedName name="SD_34x1_5158x9_14_S_0" localSheetId="4" hidden="1">'ProLink Mapping'!$K$288</definedName>
    <definedName name="SD_34x1_5158x9_21_S_1" localSheetId="4" hidden="1">'ProLink Mapping'!$E$288</definedName>
    <definedName name="SD_34x1_5158x9_7_S_0" localSheetId="4" hidden="1">'ProLink Mapping'!$C$288</definedName>
    <definedName name="SD_34x1_5161x1_10_S_0" localSheetId="4" hidden="1">'ProLink Mapping'!$G$308</definedName>
    <definedName name="SD_34x1_5161x1_12_S_0" localSheetId="4" hidden="1">'ProLink Mapping'!$I$308</definedName>
    <definedName name="SD_34x1_5161x1_14_S_0" localSheetId="4" hidden="1">'ProLink Mapping'!$K$308</definedName>
    <definedName name="SD_34x1_5161x1_21_S_1" localSheetId="4" hidden="1">'ProLink Mapping'!$E$308</definedName>
    <definedName name="SD_34x1_5161x1_7_S_0" localSheetId="4" hidden="1">'ProLink Mapping'!$C$308</definedName>
    <definedName name="SD_34x1_5161x10_10_S_0" localSheetId="4" hidden="1">'ProLink Mapping'!$G$317</definedName>
    <definedName name="SD_34x1_5161x10_12_S_0" localSheetId="4" hidden="1">'ProLink Mapping'!$I$317</definedName>
    <definedName name="SD_34x1_5161x10_14_S_0" localSheetId="4" hidden="1">'ProLink Mapping'!$K$317</definedName>
    <definedName name="SD_34x1_5161x10_21_S_1" localSheetId="4" hidden="1">'ProLink Mapping'!$E$317</definedName>
    <definedName name="SD_34x1_5161x10_7_S_0" localSheetId="4" hidden="1">'ProLink Mapping'!$C$317</definedName>
    <definedName name="SD_34x1_5161x11_10_S_0" localSheetId="4" hidden="1">'ProLink Mapping'!$G$318</definedName>
    <definedName name="SD_34x1_5161x11_12_S_0" localSheetId="4" hidden="1">'ProLink Mapping'!$I$318</definedName>
    <definedName name="SD_34x1_5161x11_14_S_0" localSheetId="4" hidden="1">'ProLink Mapping'!$K$318</definedName>
    <definedName name="SD_34x1_5161x11_21_S_1" localSheetId="4" hidden="1">'ProLink Mapping'!$E$318</definedName>
    <definedName name="SD_34x1_5161x11_7_S_0" localSheetId="4" hidden="1">'ProLink Mapping'!$C$318</definedName>
    <definedName name="SD_34x1_5161x12_10_S_0" localSheetId="4" hidden="1">'ProLink Mapping'!$G$319</definedName>
    <definedName name="SD_34x1_5161x12_12_S_0" localSheetId="4" hidden="1">'ProLink Mapping'!$I$319</definedName>
    <definedName name="SD_34x1_5161x12_14_S_0" localSheetId="4" hidden="1">'ProLink Mapping'!$K$319</definedName>
    <definedName name="SD_34x1_5161x12_21_S_1" localSheetId="4" hidden="1">'ProLink Mapping'!$E$319</definedName>
    <definedName name="SD_34x1_5161x12_7_S_0" localSheetId="4" hidden="1">'ProLink Mapping'!$C$319</definedName>
    <definedName name="SD_34x1_5161x2_10_S_0" localSheetId="4" hidden="1">'ProLink Mapping'!$G$309</definedName>
    <definedName name="SD_34x1_5161x2_12_S_0" localSheetId="4" hidden="1">'ProLink Mapping'!$I$309</definedName>
    <definedName name="SD_34x1_5161x2_14_S_0" localSheetId="4" hidden="1">'ProLink Mapping'!$K$309</definedName>
    <definedName name="SD_34x1_5161x2_21_S_1" localSheetId="4" hidden="1">'ProLink Mapping'!$E$309</definedName>
    <definedName name="SD_34x1_5161x2_7_S_0" localSheetId="4" hidden="1">'ProLink Mapping'!$C$309</definedName>
    <definedName name="SD_34x1_5161x3_10_S_0" localSheetId="4" hidden="1">'ProLink Mapping'!$G$310</definedName>
    <definedName name="SD_34x1_5161x3_12_S_0" localSheetId="4" hidden="1">'ProLink Mapping'!$I$310</definedName>
    <definedName name="SD_34x1_5161x3_14_S_0" localSheetId="4" hidden="1">'ProLink Mapping'!$K$310</definedName>
    <definedName name="SD_34x1_5161x3_21_S_1" localSheetId="4" hidden="1">'ProLink Mapping'!$E$310</definedName>
    <definedName name="SD_34x1_5161x3_7_S_0" localSheetId="4" hidden="1">'ProLink Mapping'!$C$310</definedName>
    <definedName name="SD_34x1_5161x4_10_S_0" localSheetId="4" hidden="1">'ProLink Mapping'!$G$311</definedName>
    <definedName name="SD_34x1_5161x4_12_S_0" localSheetId="4" hidden="1">'ProLink Mapping'!$I$311</definedName>
    <definedName name="SD_34x1_5161x4_14_S_0" localSheetId="4" hidden="1">'ProLink Mapping'!$K$311</definedName>
    <definedName name="SD_34x1_5161x4_21_S_1" localSheetId="4" hidden="1">'ProLink Mapping'!$E$311</definedName>
    <definedName name="SD_34x1_5161x4_7_S_0" localSheetId="4" hidden="1">'ProLink Mapping'!$C$311</definedName>
    <definedName name="SD_34x1_5161x5_10_S_0" localSheetId="4" hidden="1">'ProLink Mapping'!$G$312</definedName>
    <definedName name="SD_34x1_5161x5_12_S_0" localSheetId="4" hidden="1">'ProLink Mapping'!$I$312</definedName>
    <definedName name="SD_34x1_5161x5_14_S_0" localSheetId="4" hidden="1">'ProLink Mapping'!$K$312</definedName>
    <definedName name="SD_34x1_5161x5_21_S_1" localSheetId="4" hidden="1">'ProLink Mapping'!$E$312</definedName>
    <definedName name="SD_34x1_5161x5_7_S_0" localSheetId="4" hidden="1">'ProLink Mapping'!$C$312</definedName>
    <definedName name="SD_34x1_5161x6_10_S_0" localSheetId="4" hidden="1">'ProLink Mapping'!$G$313</definedName>
    <definedName name="SD_34x1_5161x6_12_S_0" localSheetId="4" hidden="1">'ProLink Mapping'!$I$313</definedName>
    <definedName name="SD_34x1_5161x6_14_S_0" localSheetId="4" hidden="1">'ProLink Mapping'!$K$313</definedName>
    <definedName name="SD_34x1_5161x6_21_S_1" localSheetId="4" hidden="1">'ProLink Mapping'!$E$313</definedName>
    <definedName name="SD_34x1_5161x6_7_S_0" localSheetId="4" hidden="1">'ProLink Mapping'!$C$313</definedName>
    <definedName name="SD_34x1_5161x7_10_S_0" localSheetId="4" hidden="1">'ProLink Mapping'!$G$314</definedName>
    <definedName name="SD_34x1_5161x7_12_S_0" localSheetId="4" hidden="1">'ProLink Mapping'!$I$314</definedName>
    <definedName name="SD_34x1_5161x7_14_S_0" localSheetId="4" hidden="1">'ProLink Mapping'!$K$314</definedName>
    <definedName name="SD_34x1_5161x7_21_S_1" localSheetId="4" hidden="1">'ProLink Mapping'!$E$314</definedName>
    <definedName name="SD_34x1_5161x7_7_S_0" localSheetId="4" hidden="1">'ProLink Mapping'!$C$314</definedName>
    <definedName name="SD_34x1_5161x8_10_S_0" localSheetId="4" hidden="1">'ProLink Mapping'!$G$315</definedName>
    <definedName name="SD_34x1_5161x8_12_S_0" localSheetId="4" hidden="1">'ProLink Mapping'!$I$315</definedName>
    <definedName name="SD_34x1_5161x8_14_S_0" localSheetId="4" hidden="1">'ProLink Mapping'!$K$315</definedName>
    <definedName name="SD_34x1_5161x8_21_S_1" localSheetId="4" hidden="1">'ProLink Mapping'!$E$315</definedName>
    <definedName name="SD_34x1_5161x8_7_S_0" localSheetId="4" hidden="1">'ProLink Mapping'!$C$315</definedName>
    <definedName name="SD_34x1_5161x9_10_S_0" localSheetId="4" hidden="1">'ProLink Mapping'!$G$316</definedName>
    <definedName name="SD_34x1_5161x9_12_S_0" localSheetId="4" hidden="1">'ProLink Mapping'!$I$316</definedName>
    <definedName name="SD_34x1_5161x9_14_S_0" localSheetId="4" hidden="1">'ProLink Mapping'!$K$316</definedName>
    <definedName name="SD_34x1_5161x9_21_S_1" localSheetId="4" hidden="1">'ProLink Mapping'!$E$316</definedName>
    <definedName name="SD_34x1_5161x9_7_S_0" localSheetId="4" hidden="1">'ProLink Mapping'!$C$316</definedName>
    <definedName name="SD_34x1_52_S_0" localSheetId="4" hidden="1">'ProLink Mapping'!$C$276</definedName>
    <definedName name="SD_34x1_53_S_0" localSheetId="4" hidden="1">'ProLink Mapping'!$C$277</definedName>
    <definedName name="SD_34x1_54_S_0" localSheetId="4" hidden="1">'ProLink Mapping'!$C$274</definedName>
    <definedName name="SD_34x1_55_S_0" localSheetId="4" hidden="1">'ProLink Mapping'!$C$275</definedName>
    <definedName name="SD_34x1_558_B_1" localSheetId="3" hidden="1">ProLink!$F$41</definedName>
    <definedName name="SD_34x1_56_S_0" localSheetId="4" hidden="1">'ProLink Mapping'!$C$621</definedName>
    <definedName name="SD_34x1_56x1_10_S_0" localSheetId="4" hidden="1">'ProLink Mapping'!$D$334</definedName>
    <definedName name="SD_34x1_56x1_12_S_0" localSheetId="4" hidden="1">'ProLink Mapping'!$D$347</definedName>
    <definedName name="SD_34x1_56x1_15_S_0" localSheetId="4" hidden="1">'ProLink Mapping'!$D$357</definedName>
    <definedName name="SD_34x1_56x1_16_S_0" localSheetId="4" hidden="1">'ProLink Mapping'!$D$358</definedName>
    <definedName name="SD_34x1_56x1_17_S_0" localSheetId="4" hidden="1">'ProLink Mapping'!$D$359</definedName>
    <definedName name="SD_34x1_56x1_19_S_0" localSheetId="4" hidden="1">'ProLink Mapping'!$D$335</definedName>
    <definedName name="SD_34x1_56x1_22_S_0" localSheetId="4" hidden="1">'ProLink Mapping'!$D$418</definedName>
    <definedName name="SD_34x1_56x1_23_S_0" localSheetId="4" hidden="1">'ProLink Mapping'!$D$419</definedName>
    <definedName name="SD_34x1_56x1_24_S_0" localSheetId="4" hidden="1">'ProLink Mapping'!$D$462</definedName>
    <definedName name="SD_34x1_56x1_26_S_0" localSheetId="4" hidden="1">'ProLink Mapping'!$D$374</definedName>
    <definedName name="SD_34x1_56x1_27_S_0" localSheetId="4" hidden="1">'ProLink Mapping'!$D$387</definedName>
    <definedName name="SD_34x1_56x1_28_S_0" localSheetId="4" hidden="1">'ProLink Mapping'!$D$394</definedName>
    <definedName name="SD_34x1_56x1_29_S_0" localSheetId="4" hidden="1">'ProLink Mapping'!$D$397</definedName>
    <definedName name="SD_34x1_56x1_30_S_0" localSheetId="4" hidden="1">'ProLink Mapping'!$D$465</definedName>
    <definedName name="SD_34x1_56x1_31_S_0" localSheetId="4" hidden="1">'ProLink Mapping'!$D$395</definedName>
    <definedName name="SD_34x1_56x1_32_S_0" localSheetId="4" hidden="1">'ProLink Mapping'!$D$390</definedName>
    <definedName name="SD_34x1_56x1_35_S_0" localSheetId="4" hidden="1">'ProLink Mapping'!$D$393</definedName>
    <definedName name="SD_34x1_56x1_37_S_0" localSheetId="4" hidden="1">'ProLink Mapping'!$D$445</definedName>
    <definedName name="SD_34x1_56x1_39_S_0" localSheetId="4" hidden="1">'ProLink Mapping'!$D$442</definedName>
    <definedName name="SD_34x1_56x1_40_S_0" localSheetId="4" hidden="1">'ProLink Mapping'!$D$443</definedName>
    <definedName name="SD_34x1_56x1_41_S_0" localSheetId="4" hidden="1">'ProLink Mapping'!$D$431</definedName>
    <definedName name="SD_34x1_56x1_42_S_0" localSheetId="4" hidden="1">'ProLink Mapping'!$D$458</definedName>
    <definedName name="SD_34x1_56x1_43_S_0" localSheetId="4" hidden="1">'ProLink Mapping'!$D$367</definedName>
    <definedName name="SD_34x1_56x1_44_S_0" localSheetId="4" hidden="1">'ProLink Mapping'!$D$473</definedName>
    <definedName name="SD_34x1_56x1_45_S_0" localSheetId="4" hidden="1">'ProLink Mapping'!$D$325</definedName>
    <definedName name="SD_34x1_56x1_46_S_0" localSheetId="4" hidden="1">'ProLink Mapping'!$D$326</definedName>
    <definedName name="SD_34x1_56x1_47_S_0" localSheetId="4" hidden="1">'ProLink Mapping'!$D$505</definedName>
    <definedName name="SD_34x1_56x1_48_S_0" localSheetId="4" hidden="1">'ProLink Mapping'!$D$504</definedName>
    <definedName name="SD_34x1_56x1_49_S_0" localSheetId="4" hidden="1">'ProLink Mapping'!$D$507</definedName>
    <definedName name="SD_34x1_56x1_5_S_0" localSheetId="4" hidden="1">'ProLink Mapping'!$D$345</definedName>
    <definedName name="SD_34x1_56x1_50_S_0" localSheetId="4" hidden="1">'ProLink Mapping'!$D$506</definedName>
    <definedName name="SD_34x1_56x1_52_S_0" localSheetId="4" hidden="1">'ProLink Mapping'!$D$494</definedName>
    <definedName name="SD_34x1_56x1_53_S_0" localSheetId="4" hidden="1">'ProLink Mapping'!$D$496</definedName>
    <definedName name="SD_34x1_56x1_6_S_0" localSheetId="4" hidden="1">'ProLink Mapping'!$D$348</definedName>
    <definedName name="SD_34x1_56x1_62_S_0" localSheetId="4" hidden="1">'ProLink Mapping'!$D$327</definedName>
    <definedName name="SD_34x1_56x1_63_S_0" localSheetId="4" hidden="1">'ProLink Mapping'!$D$336</definedName>
    <definedName name="SD_34x1_56x1_64_S_0" localSheetId="4" hidden="1">'ProLink Mapping'!$D$422</definedName>
    <definedName name="SD_34x1_56x1_65_S_0" localSheetId="4" hidden="1">'ProLink Mapping'!$D$373</definedName>
    <definedName name="SD_34x1_56x1_67_S_0" localSheetId="4" hidden="1">'ProLink Mapping'!$D$380</definedName>
    <definedName name="SD_34x1_56x1_69_S_0" localSheetId="4" hidden="1">'ProLink Mapping'!$D$415</definedName>
    <definedName name="SD_34x1_56x1_7_S_0" localSheetId="4" hidden="1">'ProLink Mapping'!$D$354</definedName>
    <definedName name="SD_34x1_56x1_70_S_0" localSheetId="4" hidden="1">'ProLink Mapping'!$D$421</definedName>
    <definedName name="SD_34x1_56x1_71_S_0" localSheetId="4" hidden="1">'ProLink Mapping'!$D$466</definedName>
    <definedName name="SD_34x1_56x1_72_S_0" localSheetId="4" hidden="1">'ProLink Mapping'!$D$401</definedName>
    <definedName name="SD_34x1_56x1_73_S_0" localSheetId="4" hidden="1">'ProLink Mapping'!$D$400</definedName>
    <definedName name="SD_34x1_56x1_74_S_0" localSheetId="4" hidden="1">'ProLink Mapping'!$D$444</definedName>
    <definedName name="SD_34x1_56x1_75_S_0" localSheetId="4" hidden="1">'ProLink Mapping'!$D$414</definedName>
    <definedName name="SD_34x1_56x1_76_S_0" localSheetId="4" hidden="1">'ProLink Mapping'!$D$469</definedName>
    <definedName name="SD_34x1_56x1_77_S_0" localSheetId="4" hidden="1">'ProLink Mapping'!$D$383</definedName>
    <definedName name="SD_34x1_56x1_78_S_0" localSheetId="4" hidden="1">'ProLink Mapping'!$D$474</definedName>
    <definedName name="SD_34x1_56x1_79_S_0" localSheetId="4" hidden="1">'ProLink Mapping'!$D$476</definedName>
    <definedName name="SD_34x1_56x1_8_S_0" localSheetId="4" hidden="1">'ProLink Mapping'!$D$332</definedName>
    <definedName name="SD_34x1_56x1_80_S_0" localSheetId="4" hidden="1">'ProLink Mapping'!$D$432</definedName>
    <definedName name="SD_34x1_56x1_81_S_0" localSheetId="4" hidden="1">'ProLink Mapping'!$D$433</definedName>
    <definedName name="SD_34x1_56x1_88_S_0" localSheetId="4" hidden="1">'ProLink Mapping'!$D$351</definedName>
    <definedName name="SD_34x1_56x1_89_S_0" localSheetId="4" hidden="1">'ProLink Mapping'!$D$420</definedName>
    <definedName name="SD_34x1_56x1_9_S_0" localSheetId="4" hidden="1">'ProLink Mapping'!$D$333</definedName>
    <definedName name="SD_34x1_56x1_93_S_0" localSheetId="4" hidden="1">'ProLink Mapping'!$D$360</definedName>
    <definedName name="SD_34x1_56x1_94_S_0" localSheetId="4" hidden="1">'ProLink Mapping'!$D$402</definedName>
    <definedName name="SD_34x1_56x1_95_S_0" localSheetId="4" hidden="1">'ProLink Mapping'!$D$366</definedName>
    <definedName name="SD_34x1_602_S_0" localSheetId="4" hidden="1">'ProLink Mapping'!$G$194</definedName>
    <definedName name="SD_34x1_603_S_0" localSheetId="4" hidden="1">'ProLink Mapping'!$G$191</definedName>
    <definedName name="SD_34x1_604_S_0" localSheetId="4" hidden="1">'ProLink Mapping'!$G$192</definedName>
    <definedName name="SD_34x1_605_S_0" localSheetId="4" hidden="1">'ProLink Mapping'!$G$189</definedName>
    <definedName name="SD_34x1_606_S_0" localSheetId="4" hidden="1">'ProLink Mapping'!$G$193</definedName>
    <definedName name="SD_34x1_607_S_0" localSheetId="4" hidden="1">'ProLink Mapping'!$G$187</definedName>
    <definedName name="SD_34x1_608_S_0" localSheetId="4" hidden="1">'ProLink Mapping'!$G$188</definedName>
    <definedName name="SD_34x1_609_S_0" localSheetId="4" hidden="1">'ProLink Mapping'!$G$190</definedName>
    <definedName name="SD_34x1_610_S_0" localSheetId="4" hidden="1">'ProLink Mapping'!$G$186</definedName>
    <definedName name="SD_34x1_611_S_0" localSheetId="4" hidden="1">'ProLink Mapping'!$C$192</definedName>
    <definedName name="SD_34x1_613_S_0" localSheetId="4" hidden="1">'ProLink Mapping'!$C$176</definedName>
    <definedName name="SD_34x1_615_S_0" localSheetId="4" hidden="1">'ProLink Mapping'!$C$181</definedName>
    <definedName name="SD_34x1_616_S_0" localSheetId="4" hidden="1">'ProLink Mapping'!$E$177</definedName>
    <definedName name="SD_34x1_618_S_0" localSheetId="4" hidden="1">'ProLink Mapping'!$C$187</definedName>
    <definedName name="SD_34x1_619_S_0" localSheetId="4" hidden="1">'ProLink Mapping'!$C$177</definedName>
    <definedName name="SD_34x1_622_S_0" localSheetId="4" hidden="1">'ProLink Mapping'!$E$185</definedName>
    <definedName name="SD_34x1_624_S_0" localSheetId="4" hidden="1">'ProLink Mapping'!$L$176</definedName>
    <definedName name="SD_34x1_625_S_0" localSheetId="4" hidden="1">'ProLink Mapping'!$E$180</definedName>
    <definedName name="SD_34x1_626_S_0" localSheetId="4" hidden="1">'ProLink Mapping'!$E$188</definedName>
    <definedName name="SD_34x1_628_S_0" localSheetId="4" hidden="1">'ProLink Mapping'!$C$180</definedName>
    <definedName name="SD_34x1_630_S_0" localSheetId="4" hidden="1">'ProLink Mapping'!$C$178</definedName>
    <definedName name="SD_34x1_631_S_0" localSheetId="4" hidden="1">'ProLink Mapping'!$B$178</definedName>
    <definedName name="SD_34x1_632_S_0" localSheetId="4" hidden="1">'ProLink Mapping'!$C$179</definedName>
    <definedName name="SD_34x1_633_S_0" localSheetId="4" hidden="1">'ProLink Mapping'!$B$179</definedName>
    <definedName name="SD_34x1_634_S_0" localSheetId="3" hidden="1">ProLink!$F$101</definedName>
    <definedName name="SD_34x1_635_S_0" localSheetId="3" hidden="1">ProLink!$G$101</definedName>
    <definedName name="SD_34x1_63x1_10_S_0" localSheetId="4" hidden="1">'ProLink Mapping'!$E$334</definedName>
    <definedName name="SD_34x1_63x1_12_S_0" localSheetId="4" hidden="1">'ProLink Mapping'!$E$347</definedName>
    <definedName name="SD_34x1_63x1_15_S_0" localSheetId="4" hidden="1">'ProLink Mapping'!$E$357</definedName>
    <definedName name="SD_34x1_63x1_16_S_0" localSheetId="4" hidden="1">'ProLink Mapping'!$E$358</definedName>
    <definedName name="SD_34x1_63x1_17_S_0" localSheetId="4" hidden="1">'ProLink Mapping'!$E$359</definedName>
    <definedName name="SD_34x1_63x1_19_S_0" localSheetId="4" hidden="1">'ProLink Mapping'!$E$335</definedName>
    <definedName name="SD_34x1_63x1_22_S_0" localSheetId="4" hidden="1">'ProLink Mapping'!$E$418</definedName>
    <definedName name="SD_34x1_63x1_23_S_0" localSheetId="4" hidden="1">'ProLink Mapping'!$E$419</definedName>
    <definedName name="SD_34x1_63x1_24_S_0" localSheetId="4" hidden="1">'ProLink Mapping'!$E$462</definedName>
    <definedName name="SD_34x1_63x1_26_S_0" localSheetId="4" hidden="1">'ProLink Mapping'!$E$374</definedName>
    <definedName name="SD_34x1_63x1_27_S_0" localSheetId="4" hidden="1">'ProLink Mapping'!$E$387</definedName>
    <definedName name="SD_34x1_63x1_28_S_0" localSheetId="4" hidden="1">'ProLink Mapping'!$E$394</definedName>
    <definedName name="SD_34x1_63x1_29_S_0" localSheetId="4" hidden="1">'ProLink Mapping'!$E$397</definedName>
    <definedName name="SD_34x1_63x1_30_S_0" localSheetId="4" hidden="1">'ProLink Mapping'!$E$465</definedName>
    <definedName name="SD_34x1_63x1_31_S_0" localSheetId="4" hidden="1">'ProLink Mapping'!$E$395</definedName>
    <definedName name="SD_34x1_63x1_32_S_0" localSheetId="4" hidden="1">'ProLink Mapping'!$E$390</definedName>
    <definedName name="SD_34x1_63x1_35_S_0" localSheetId="4" hidden="1">'ProLink Mapping'!$E$393</definedName>
    <definedName name="SD_34x1_63x1_37_S_0" localSheetId="4" hidden="1">'ProLink Mapping'!$E$445</definedName>
    <definedName name="SD_34x1_63x1_39_S_0" localSheetId="4" hidden="1">'ProLink Mapping'!$E$442</definedName>
    <definedName name="SD_34x1_63x1_40_S_0" localSheetId="4" hidden="1">'ProLink Mapping'!$E$443</definedName>
    <definedName name="SD_34x1_63x1_41_S_0" localSheetId="4" hidden="1">'ProLink Mapping'!$E$431</definedName>
    <definedName name="SD_34x1_63x1_42_S_0" localSheetId="4" hidden="1">'ProLink Mapping'!$E$458</definedName>
    <definedName name="SD_34x1_63x1_43_S_0" localSheetId="4" hidden="1">'ProLink Mapping'!$E$367</definedName>
    <definedName name="SD_34x1_63x1_44_S_0" localSheetId="4" hidden="1">'ProLink Mapping'!$E$473</definedName>
    <definedName name="SD_34x1_63x1_45_S_0" localSheetId="4" hidden="1">'ProLink Mapping'!$E$325</definedName>
    <definedName name="SD_34x1_63x1_46_S_0" localSheetId="4" hidden="1">'ProLink Mapping'!$E$326</definedName>
    <definedName name="SD_34x1_63x1_47_S_0" localSheetId="4" hidden="1">'ProLink Mapping'!$E$505</definedName>
    <definedName name="SD_34x1_63x1_48_S_0" localSheetId="4" hidden="1">'ProLink Mapping'!$E$504</definedName>
    <definedName name="SD_34x1_63x1_49_S_0" localSheetId="4" hidden="1">'ProLink Mapping'!$E$507</definedName>
    <definedName name="SD_34x1_63x1_5_S_0" localSheetId="4" hidden="1">'ProLink Mapping'!$E$345</definedName>
    <definedName name="SD_34x1_63x1_50_S_0" localSheetId="4" hidden="1">'ProLink Mapping'!$E$506</definedName>
    <definedName name="SD_34x1_63x1_52_S_0" localSheetId="4" hidden="1">'ProLink Mapping'!$E$494</definedName>
    <definedName name="SD_34x1_63x1_53_S_0" localSheetId="4" hidden="1">'ProLink Mapping'!$E$496</definedName>
    <definedName name="SD_34x1_63x1_6_S_0" localSheetId="4" hidden="1">'ProLink Mapping'!$E$348</definedName>
    <definedName name="SD_34x1_63x1_62_S_0" localSheetId="4" hidden="1">'ProLink Mapping'!$E$327</definedName>
    <definedName name="SD_34x1_63x1_63_S_0" localSheetId="4" hidden="1">'ProLink Mapping'!$E$336</definedName>
    <definedName name="SD_34x1_63x1_64_S_0" localSheetId="4" hidden="1">'ProLink Mapping'!$E$422</definedName>
    <definedName name="SD_34x1_63x1_65_S_0" localSheetId="4" hidden="1">'ProLink Mapping'!$E$373</definedName>
    <definedName name="SD_34x1_63x1_67_S_0" localSheetId="4" hidden="1">'ProLink Mapping'!$E$380</definedName>
    <definedName name="SD_34x1_63x1_69_S_0" localSheetId="4" hidden="1">'ProLink Mapping'!$E$415</definedName>
    <definedName name="SD_34x1_63x1_7_S_0" localSheetId="4" hidden="1">'ProLink Mapping'!$E$354</definedName>
    <definedName name="SD_34x1_63x1_70_S_0" localSheetId="4" hidden="1">'ProLink Mapping'!$E$421</definedName>
    <definedName name="SD_34x1_63x1_71_S_0" localSheetId="4" hidden="1">'ProLink Mapping'!$E$466</definedName>
    <definedName name="SD_34x1_63x1_72_S_0" localSheetId="4" hidden="1">'ProLink Mapping'!$E$401</definedName>
    <definedName name="SD_34x1_63x1_73_S_0" localSheetId="4" hidden="1">'ProLink Mapping'!$E$400</definedName>
    <definedName name="SD_34x1_63x1_74_S_0" localSheetId="4" hidden="1">'ProLink Mapping'!$E$444</definedName>
    <definedName name="SD_34x1_63x1_75_S_0" localSheetId="4" hidden="1">'ProLink Mapping'!$E$414</definedName>
    <definedName name="SD_34x1_63x1_76_S_0" localSheetId="4" hidden="1">'ProLink Mapping'!$E$469</definedName>
    <definedName name="SD_34x1_63x1_77_S_0" localSheetId="4" hidden="1">'ProLink Mapping'!$E$383</definedName>
    <definedName name="SD_34x1_63x1_78_S_0" localSheetId="4" hidden="1">'ProLink Mapping'!$E$474</definedName>
    <definedName name="SD_34x1_63x1_79_S_0" localSheetId="4" hidden="1">'ProLink Mapping'!$E$476</definedName>
    <definedName name="SD_34x1_63x1_8_S_0" localSheetId="4" hidden="1">'ProLink Mapping'!$E$332</definedName>
    <definedName name="SD_34x1_63x1_80_S_0" localSheetId="4" hidden="1">'ProLink Mapping'!$E$432</definedName>
    <definedName name="SD_34x1_63x1_81_S_0" localSheetId="4" hidden="1">'ProLink Mapping'!$E$433</definedName>
    <definedName name="SD_34x1_63x1_88_S_0" localSheetId="4" hidden="1">'ProLink Mapping'!$E$351</definedName>
    <definedName name="SD_34x1_63x1_89_S_0" localSheetId="4" hidden="1">'ProLink Mapping'!$E$420</definedName>
    <definedName name="SD_34x1_63x1_9_S_0" localSheetId="4" hidden="1">'ProLink Mapping'!$E$333</definedName>
    <definedName name="SD_34x1_63x1_93_S_0" localSheetId="4" hidden="1">'ProLink Mapping'!$E$360</definedName>
    <definedName name="SD_34x1_63x1_94_S_0" localSheetId="4" hidden="1">'ProLink Mapping'!$E$402</definedName>
    <definedName name="SD_34x1_63x1_95_S_0" localSheetId="4" hidden="1">'ProLink Mapping'!$E$366</definedName>
    <definedName name="SD_34x1_640_S_1" localSheetId="4" hidden="1">'ProLink Mapping'!$C$190</definedName>
    <definedName name="SD_34x1_641_S_1" localSheetId="4" hidden="1">'ProLink Mapping'!$C$191</definedName>
    <definedName name="SD_34x1_642_S_1" localSheetId="4" hidden="1">'ProLink Mapping'!$E$191</definedName>
    <definedName name="SD_34x1_643_S_1" localSheetId="4" hidden="1">'ProLink Mapping'!$E$190</definedName>
    <definedName name="SD_34x1_648_S_0" localSheetId="4" hidden="1">'ProLink Mapping'!$F$273</definedName>
    <definedName name="SD_34x1_651_S_1" localSheetId="4" hidden="1">ProLink!$F$109</definedName>
    <definedName name="SD_34x1_655_S_0" localSheetId="4" hidden="1">ProLink!$F$102</definedName>
    <definedName name="SD_34x1_656_S_0" localSheetId="4" hidden="1">'ProLink Mapping'!$L$179</definedName>
    <definedName name="SD_34x1_69_S_0" localSheetId="4" hidden="1">ProLink!$F$42</definedName>
    <definedName name="SD_34x1_7020x1_10_S_0" localSheetId="4" hidden="1">'ProLink Mapping'!$F$334</definedName>
    <definedName name="SD_34x1_7020x1_12_S_0" localSheetId="4" hidden="1">'ProLink Mapping'!$F$347</definedName>
    <definedName name="SD_34x1_7020x1_15_S_0" localSheetId="4" hidden="1">'ProLink Mapping'!$F$357</definedName>
    <definedName name="SD_34x1_7020x1_16_S_0" localSheetId="4" hidden="1">'ProLink Mapping'!$F$358</definedName>
    <definedName name="SD_34x1_7020x1_17_S_0" localSheetId="4" hidden="1">'ProLink Mapping'!$F$359</definedName>
    <definedName name="SD_34x1_7020x1_19_S_0" localSheetId="4" hidden="1">'ProLink Mapping'!$F$335</definedName>
    <definedName name="SD_34x1_7020x1_22_S_0" localSheetId="4" hidden="1">'ProLink Mapping'!$F$418</definedName>
    <definedName name="SD_34x1_7020x1_23_S_0" localSheetId="4" hidden="1">'ProLink Mapping'!$F$419</definedName>
    <definedName name="SD_34x1_7020x1_24_S_0" localSheetId="4" hidden="1">'ProLink Mapping'!$F$462</definedName>
    <definedName name="SD_34x1_7020x1_26_S_0" localSheetId="4" hidden="1">'ProLink Mapping'!$F$374</definedName>
    <definedName name="SD_34x1_7020x1_27_S_0" localSheetId="4" hidden="1">'ProLink Mapping'!$F$387</definedName>
    <definedName name="SD_34x1_7020x1_28_S_0" localSheetId="4" hidden="1">'ProLink Mapping'!$F$394</definedName>
    <definedName name="SD_34x1_7020x1_29_S_0" localSheetId="4" hidden="1">'ProLink Mapping'!$F$397</definedName>
    <definedName name="SD_34x1_7020x1_30_S_0" localSheetId="4" hidden="1">'ProLink Mapping'!$F$465</definedName>
    <definedName name="SD_34x1_7020x1_31_S_0" localSheetId="4" hidden="1">'ProLink Mapping'!$F$395</definedName>
    <definedName name="SD_34x1_7020x1_32_S_0" localSheetId="4" hidden="1">'ProLink Mapping'!$F$390</definedName>
    <definedName name="SD_34x1_7020x1_35_S_0" localSheetId="4" hidden="1">'ProLink Mapping'!$F$393</definedName>
    <definedName name="SD_34x1_7020x1_37_S_0" localSheetId="4" hidden="1">'ProLink Mapping'!$F$445</definedName>
    <definedName name="SD_34x1_7020x1_39_S_0" localSheetId="4" hidden="1">'ProLink Mapping'!$F$442</definedName>
    <definedName name="SD_34x1_7020x1_40_S_0" localSheetId="4" hidden="1">'ProLink Mapping'!$F$443</definedName>
    <definedName name="SD_34x1_7020x1_41_S_0" localSheetId="4" hidden="1">'ProLink Mapping'!$F$431</definedName>
    <definedName name="SD_34x1_7020x1_42_S_0" localSheetId="4" hidden="1">'ProLink Mapping'!$F$458</definedName>
    <definedName name="SD_34x1_7020x1_43_S_0" localSheetId="4" hidden="1">'ProLink Mapping'!$F$367</definedName>
    <definedName name="SD_34x1_7020x1_44_S_0" localSheetId="4" hidden="1">'ProLink Mapping'!$F$473</definedName>
    <definedName name="SD_34x1_7020x1_45_S_0" localSheetId="4" hidden="1">'ProLink Mapping'!$F$325</definedName>
    <definedName name="SD_34x1_7020x1_46_S_0" localSheetId="4" hidden="1">'ProLink Mapping'!$F$326</definedName>
    <definedName name="SD_34x1_7020x1_47_S_0" localSheetId="4" hidden="1">'ProLink Mapping'!$F$505</definedName>
    <definedName name="SD_34x1_7020x1_48_S_0" localSheetId="4" hidden="1">'ProLink Mapping'!$F$504</definedName>
    <definedName name="SD_34x1_7020x1_49_S_0" localSheetId="4" hidden="1">'ProLink Mapping'!$F$507</definedName>
    <definedName name="SD_34x1_7020x1_5_S_0" localSheetId="4" hidden="1">'ProLink Mapping'!$F$345</definedName>
    <definedName name="SD_34x1_7020x1_50_S_0" localSheetId="4" hidden="1">'ProLink Mapping'!$F$506</definedName>
    <definedName name="SD_34x1_7020x1_52_S_0" localSheetId="4" hidden="1">'ProLink Mapping'!$F$494</definedName>
    <definedName name="SD_34x1_7020x1_53_S_0" localSheetId="4" hidden="1">'ProLink Mapping'!$F$496</definedName>
    <definedName name="SD_34x1_7020x1_6_S_0" localSheetId="4" hidden="1">'ProLink Mapping'!$F$348</definedName>
    <definedName name="SD_34x1_7020x1_62_S_0" localSheetId="4" hidden="1">'ProLink Mapping'!$F$327</definedName>
    <definedName name="SD_34x1_7020x1_63_S_0" localSheetId="4" hidden="1">'ProLink Mapping'!$F$336</definedName>
    <definedName name="SD_34x1_7020x1_64_S_0" localSheetId="4" hidden="1">'ProLink Mapping'!$F$422</definedName>
    <definedName name="SD_34x1_7020x1_65_S_0" localSheetId="4" hidden="1">'ProLink Mapping'!$F$373</definedName>
    <definedName name="SD_34x1_7020x1_67_S_0" localSheetId="4" hidden="1">'ProLink Mapping'!$F$380</definedName>
    <definedName name="SD_34x1_7020x1_69_S_0" localSheetId="4" hidden="1">'ProLink Mapping'!$F$415</definedName>
    <definedName name="SD_34x1_7020x1_7_S_0" localSheetId="4" hidden="1">'ProLink Mapping'!$F$354</definedName>
    <definedName name="SD_34x1_7020x1_70_S_0" localSheetId="4" hidden="1">'ProLink Mapping'!$F$421</definedName>
    <definedName name="SD_34x1_7020x1_71_S_0" localSheetId="4" hidden="1">'ProLink Mapping'!$F$466</definedName>
    <definedName name="SD_34x1_7020x1_72_S_0" localSheetId="4" hidden="1">'ProLink Mapping'!$F$401</definedName>
    <definedName name="SD_34x1_7020x1_73_S_0" localSheetId="4" hidden="1">'ProLink Mapping'!$F$400</definedName>
    <definedName name="SD_34x1_7020x1_74_S_0" localSheetId="4" hidden="1">'ProLink Mapping'!$F$444</definedName>
    <definedName name="SD_34x1_7020x1_75_S_0" localSheetId="4" hidden="1">'ProLink Mapping'!$F$414</definedName>
    <definedName name="SD_34x1_7020x1_76_S_0" localSheetId="4" hidden="1">'ProLink Mapping'!$F$469</definedName>
    <definedName name="SD_34x1_7020x1_77_S_0" localSheetId="4" hidden="1">'ProLink Mapping'!$F$383</definedName>
    <definedName name="SD_34x1_7020x1_78_S_0" localSheetId="4" hidden="1">'ProLink Mapping'!$F$474</definedName>
    <definedName name="SD_34x1_7020x1_79_S_0" localSheetId="4" hidden="1">'ProLink Mapping'!$F$476</definedName>
    <definedName name="SD_34x1_7020x1_8_S_0" localSheetId="4" hidden="1">'ProLink Mapping'!$F$332</definedName>
    <definedName name="SD_34x1_7020x1_80_S_0" localSheetId="4" hidden="1">'ProLink Mapping'!$F$432</definedName>
    <definedName name="SD_34x1_7020x1_81_S_0" localSheetId="4" hidden="1">'ProLink Mapping'!$F$433</definedName>
    <definedName name="SD_34x1_7020x1_88_S_0" localSheetId="4" hidden="1">'ProLink Mapping'!$F$351</definedName>
    <definedName name="SD_34x1_7020x1_89_S_0" localSheetId="4" hidden="1">'ProLink Mapping'!$F$420</definedName>
    <definedName name="SD_34x1_7020x1_9_S_0" localSheetId="4" hidden="1">'ProLink Mapping'!$F$333</definedName>
    <definedName name="SD_34x1_7020x1_93_S_0" localSheetId="4" hidden="1">'ProLink Mapping'!$F$360</definedName>
    <definedName name="SD_34x1_7020x1_94_S_0" localSheetId="4" hidden="1">'ProLink Mapping'!$F$402</definedName>
    <definedName name="SD_34x1_7020x1_95_S_0" localSheetId="4" hidden="1">'ProLink Mapping'!$F$366</definedName>
    <definedName name="SD_34x1_71_S_0" localSheetId="4" hidden="1">ProLink!$F$44</definedName>
    <definedName name="SD_34x1_73_S_0" localSheetId="4" hidden="1">ProLink!$F$43</definedName>
    <definedName name="SD_34x1_77x1_107_S_0" localSheetId="4" hidden="1">'ProLink Mapping'!$C$607</definedName>
    <definedName name="SD_34x1_77x1_108_S_0" localSheetId="4" hidden="1">'ProLink Mapping'!$C$608</definedName>
    <definedName name="SD_34x1_77x1_109_S_0" localSheetId="4" hidden="1">'ProLink Mapping'!$C$614</definedName>
    <definedName name="SD_34x1_77x1_159_S_0" localSheetId="4" hidden="1">'ProLink Mapping'!$C$613</definedName>
    <definedName name="SD_34x1_77x1_29_S_0" localSheetId="4" hidden="1">'ProLink Mapping'!$C$616</definedName>
    <definedName name="SD_34x1_77x1_55_S_0" localSheetId="4" hidden="1">'ProLink Mapping'!$C$605</definedName>
    <definedName name="SD_34x1_77x1_56_S_0" localSheetId="4" hidden="1">'ProLink Mapping'!$C$609</definedName>
    <definedName name="SD_34x1_77x1_57_S_0" localSheetId="4" hidden="1">'ProLink Mapping'!$C$610</definedName>
    <definedName name="SD_34x1_77x1_58_S_0" localSheetId="4" hidden="1">'ProLink Mapping'!$C$617</definedName>
    <definedName name="SD_34x1_77x1_59_S_0" localSheetId="4" hidden="1">'ProLink Mapping'!$C$618</definedName>
    <definedName name="SD_34x1_77x1_60_S_0" localSheetId="4" hidden="1">'ProLink Mapping'!$C$619</definedName>
    <definedName name="SD_34x1_77x1_81_S_0" localSheetId="4" hidden="1">'ProLink Mapping'!$C$606</definedName>
    <definedName name="SD_34x1_77x1_82_S_0" localSheetId="4" hidden="1">'ProLink Mapping'!$C$611</definedName>
    <definedName name="SD_34x1_77x1_83_S_0" localSheetId="4" hidden="1">'ProLink Mapping'!$C$612</definedName>
    <definedName name="SD_34x1_77x1_84_S_0" localSheetId="4" hidden="1">'ProLink Mapping'!$C$615</definedName>
    <definedName name="SD_34x1_77x1_85_S_0" localSheetId="4" hidden="1">'ProLink Mapping'!$C$620</definedName>
    <definedName name="SD_34x1_78_S_0" localSheetId="4" hidden="1">'ProLink Mapping'!$F$276</definedName>
    <definedName name="SD_34x1_78x1_10_S_0" localSheetId="4" hidden="1">'ProLink Mapping'!$N$197</definedName>
    <definedName name="SD_34x1_78x1_17_S_1" localSheetId="4" hidden="1">'ProLink Mapping'!$P$197</definedName>
    <definedName name="SD_34x1_78x1_20_S_1" localSheetId="4" hidden="1">'ProLink Mapping'!$H$197</definedName>
    <definedName name="SD_34x1_78x1_8_S_0" localSheetId="4" hidden="1">'ProLink Mapping'!$J$197</definedName>
    <definedName name="SD_34x1_78x1_9_S_0" localSheetId="4" hidden="1">'ProLink Mapping'!$L$197</definedName>
    <definedName name="SD_34x1_78x10_10_S_0" localSheetId="4" hidden="1">'ProLink Mapping'!$N$206</definedName>
    <definedName name="SD_34x1_78x10_17_S_1" localSheetId="4" hidden="1">'ProLink Mapping'!$P$206</definedName>
    <definedName name="SD_34x1_78x10_20_S_1" localSheetId="4" hidden="1">'ProLink Mapping'!$H$206</definedName>
    <definedName name="SD_34x1_78x10_8_S_0" localSheetId="4" hidden="1">'ProLink Mapping'!$J$206</definedName>
    <definedName name="SD_34x1_78x10_9_S_0" localSheetId="4" hidden="1">'ProLink Mapping'!$L$206</definedName>
    <definedName name="SD_34x1_78x11_10_S_0" localSheetId="4" hidden="1">'ProLink Mapping'!$N$207</definedName>
    <definedName name="SD_34x1_78x11_17_S_1" localSheetId="4" hidden="1">'ProLink Mapping'!$P$207</definedName>
    <definedName name="SD_34x1_78x11_20_S_1" localSheetId="4" hidden="1">'ProLink Mapping'!$H$207</definedName>
    <definedName name="SD_34x1_78x11_8_S_0" localSheetId="4" hidden="1">'ProLink Mapping'!$J$207</definedName>
    <definedName name="SD_34x1_78x11_9_S_0" localSheetId="4" hidden="1">'ProLink Mapping'!$L$207</definedName>
    <definedName name="SD_34x1_78x12_10_S_0" localSheetId="4" hidden="1">'ProLink Mapping'!$N$208</definedName>
    <definedName name="SD_34x1_78x12_17_S_1" localSheetId="4" hidden="1">'ProLink Mapping'!$P$208</definedName>
    <definedName name="SD_34x1_78x12_20_S_1" localSheetId="4" hidden="1">'ProLink Mapping'!$H$208</definedName>
    <definedName name="SD_34x1_78x12_8_S_0" localSheetId="4" hidden="1">'ProLink Mapping'!$J$208</definedName>
    <definedName name="SD_34x1_78x12_9_S_0" localSheetId="4" hidden="1">'ProLink Mapping'!$L$208</definedName>
    <definedName name="SD_34x1_78x13_10_S_0" localSheetId="4" hidden="1">'ProLink Mapping'!$N$209</definedName>
    <definedName name="SD_34x1_78x13_17_S_1" localSheetId="4" hidden="1">'ProLink Mapping'!$P$209</definedName>
    <definedName name="SD_34x1_78x13_20_S_1" localSheetId="4" hidden="1">'ProLink Mapping'!$H$209</definedName>
    <definedName name="SD_34x1_78x13_8_S_0" localSheetId="4" hidden="1">'ProLink Mapping'!$J$209</definedName>
    <definedName name="SD_34x1_78x13_9_S_0" localSheetId="4" hidden="1">'ProLink Mapping'!$L$209</definedName>
    <definedName name="SD_34x1_78x14_10_S_0" localSheetId="4" hidden="1">'ProLink Mapping'!$N$210</definedName>
    <definedName name="SD_34x1_78x14_17_S_1" localSheetId="4" hidden="1">'ProLink Mapping'!$P$210</definedName>
    <definedName name="SD_34x1_78x14_20_S_1" localSheetId="4" hidden="1">'ProLink Mapping'!$H$210</definedName>
    <definedName name="SD_34x1_78x14_8_S_0" localSheetId="4" hidden="1">'ProLink Mapping'!$J$210</definedName>
    <definedName name="SD_34x1_78x14_9_S_0" localSheetId="4" hidden="1">'ProLink Mapping'!$L$210</definedName>
    <definedName name="SD_34x1_78x15_10_S_0" localSheetId="4" hidden="1">'ProLink Mapping'!$N$211</definedName>
    <definedName name="SD_34x1_78x15_17_S_1" localSheetId="4" hidden="1">'ProLink Mapping'!$P$211</definedName>
    <definedName name="SD_34x1_78x15_20_S_1" localSheetId="4" hidden="1">'ProLink Mapping'!$H$211</definedName>
    <definedName name="SD_34x1_78x15_8_S_0" localSheetId="4" hidden="1">'ProLink Mapping'!$J$211</definedName>
    <definedName name="SD_34x1_78x15_9_S_0" localSheetId="4" hidden="1">'ProLink Mapping'!$L$211</definedName>
    <definedName name="SD_34x1_78x16_10_S_0" localSheetId="4" hidden="1">'ProLink Mapping'!$N$212</definedName>
    <definedName name="SD_34x1_78x16_17_S_1" localSheetId="4" hidden="1">'ProLink Mapping'!$P$212</definedName>
    <definedName name="SD_34x1_78x16_20_S_1" localSheetId="4" hidden="1">'ProLink Mapping'!$H$212</definedName>
    <definedName name="SD_34x1_78x16_8_S_0" localSheetId="4" hidden="1">'ProLink Mapping'!$J$212</definedName>
    <definedName name="SD_34x1_78x16_9_S_0" localSheetId="4" hidden="1">'ProLink Mapping'!$L$212</definedName>
    <definedName name="SD_34x1_78x17_10_S_0" localSheetId="4" hidden="1">'ProLink Mapping'!$N$213</definedName>
    <definedName name="SD_34x1_78x17_17_S_1" localSheetId="4" hidden="1">'ProLink Mapping'!$P$213</definedName>
    <definedName name="SD_34x1_78x17_20_S_1" localSheetId="4" hidden="1">'ProLink Mapping'!$H$213</definedName>
    <definedName name="SD_34x1_78x17_8_S_0" localSheetId="4" hidden="1">'ProLink Mapping'!$J$213</definedName>
    <definedName name="SD_34x1_78x17_9_S_0" localSheetId="4" hidden="1">'ProLink Mapping'!$L$213</definedName>
    <definedName name="SD_34x1_78x18_10_S_0" localSheetId="4" hidden="1">'ProLink Mapping'!$N$214</definedName>
    <definedName name="SD_34x1_78x18_17_S_1" localSheetId="4" hidden="1">'ProLink Mapping'!$P$214</definedName>
    <definedName name="SD_34x1_78x18_20_S_1" localSheetId="4" hidden="1">'ProLink Mapping'!$H$214</definedName>
    <definedName name="SD_34x1_78x18_8_S_0" localSheetId="4" hidden="1">'ProLink Mapping'!$J$214</definedName>
    <definedName name="SD_34x1_78x18_9_S_0" localSheetId="4" hidden="1">'ProLink Mapping'!$L$214</definedName>
    <definedName name="SD_34x1_78x19_10_S_0" localSheetId="4" hidden="1">'ProLink Mapping'!$N$215</definedName>
    <definedName name="SD_34x1_78x19_17_S_1" localSheetId="4" hidden="1">'ProLink Mapping'!$P$215</definedName>
    <definedName name="SD_34x1_78x19_20_S_1" localSheetId="4" hidden="1">'ProLink Mapping'!$H$215</definedName>
    <definedName name="SD_34x1_78x19_8_S_0" localSheetId="4" hidden="1">'ProLink Mapping'!$J$215</definedName>
    <definedName name="SD_34x1_78x19_9_S_0" localSheetId="4" hidden="1">'ProLink Mapping'!$L$215</definedName>
    <definedName name="SD_34x1_78x2_10_S_0" localSheetId="4" hidden="1">'ProLink Mapping'!$N$198</definedName>
    <definedName name="SD_34x1_78x2_17_S_1" localSheetId="4" hidden="1">'ProLink Mapping'!$P$198</definedName>
    <definedName name="SD_34x1_78x2_20_S_1" localSheetId="4" hidden="1">'ProLink Mapping'!$H$198</definedName>
    <definedName name="SD_34x1_78x2_8_S_0" localSheetId="4" hidden="1">'ProLink Mapping'!$J$198</definedName>
    <definedName name="SD_34x1_78x2_9_S_0" localSheetId="4" hidden="1">'ProLink Mapping'!$L$198</definedName>
    <definedName name="SD_34x1_78x20_10_S_0" localSheetId="4" hidden="1">'ProLink Mapping'!$N$216</definedName>
    <definedName name="SD_34x1_78x20_17_S_1" localSheetId="4" hidden="1">'ProLink Mapping'!$P$216</definedName>
    <definedName name="SD_34x1_78x20_20_S_1" localSheetId="4" hidden="1">'ProLink Mapping'!$H$216</definedName>
    <definedName name="SD_34x1_78x20_8_S_0" localSheetId="4" hidden="1">'ProLink Mapping'!$J$216</definedName>
    <definedName name="SD_34x1_78x20_9_S_0" localSheetId="4" hidden="1">'ProLink Mapping'!$L$216</definedName>
    <definedName name="SD_34x1_78x21_10_S_0" localSheetId="4" hidden="1">'ProLink Mapping'!$N$217</definedName>
    <definedName name="SD_34x1_78x21_17_S_1" localSheetId="4" hidden="1">'ProLink Mapping'!$P$217</definedName>
    <definedName name="SD_34x1_78x21_20_S_1" localSheetId="4" hidden="1">'ProLink Mapping'!$H$217</definedName>
    <definedName name="SD_34x1_78x21_8_S_0" localSheetId="4" hidden="1">'ProLink Mapping'!$J$217</definedName>
    <definedName name="SD_34x1_78x21_9_S_0" localSheetId="4" hidden="1">'ProLink Mapping'!$L$217</definedName>
    <definedName name="SD_34x1_78x22_10_S_0" localSheetId="4" hidden="1">'ProLink Mapping'!$N$218</definedName>
    <definedName name="SD_34x1_78x22_17_S_1" localSheetId="4" hidden="1">'ProLink Mapping'!$P$218</definedName>
    <definedName name="SD_34x1_78x22_20_S_1" localSheetId="4" hidden="1">'ProLink Mapping'!$H$218</definedName>
    <definedName name="SD_34x1_78x22_8_S_0" localSheetId="4" hidden="1">'ProLink Mapping'!$J$218</definedName>
    <definedName name="SD_34x1_78x22_9_S_0" localSheetId="4" hidden="1">'ProLink Mapping'!$L$218</definedName>
    <definedName name="SD_34x1_78x23_10_S_0" localSheetId="4" hidden="1">'ProLink Mapping'!$N$219</definedName>
    <definedName name="SD_34x1_78x23_17_S_1" localSheetId="4" hidden="1">'ProLink Mapping'!$P$219</definedName>
    <definedName name="SD_34x1_78x23_20_S_1" localSheetId="4" hidden="1">'ProLink Mapping'!$H$219</definedName>
    <definedName name="SD_34x1_78x23_8_S_0" localSheetId="4" hidden="1">'ProLink Mapping'!$J$219</definedName>
    <definedName name="SD_34x1_78x23_9_S_0" localSheetId="4" hidden="1">'ProLink Mapping'!$L$219</definedName>
    <definedName name="SD_34x1_78x24_10_S_0" localSheetId="4" hidden="1">'ProLink Mapping'!$N$220</definedName>
    <definedName name="SD_34x1_78x24_17_S_1" localSheetId="4" hidden="1">'ProLink Mapping'!$P$220</definedName>
    <definedName name="SD_34x1_78x24_20_S_1" localSheetId="4" hidden="1">'ProLink Mapping'!$H$220</definedName>
    <definedName name="SD_34x1_78x24_8_S_0" localSheetId="4" hidden="1">'ProLink Mapping'!$J$220</definedName>
    <definedName name="SD_34x1_78x24_9_S_0" localSheetId="4" hidden="1">'ProLink Mapping'!$L$220</definedName>
    <definedName name="SD_34x1_78x25_10_S_0" localSheetId="4" hidden="1">'ProLink Mapping'!$N$221</definedName>
    <definedName name="SD_34x1_78x25_17_S_1" localSheetId="4" hidden="1">'ProLink Mapping'!$P$221</definedName>
    <definedName name="SD_34x1_78x25_20_S_1" localSheetId="4" hidden="1">'ProLink Mapping'!$H$221</definedName>
    <definedName name="SD_34x1_78x25_8_S_0" localSheetId="4" hidden="1">'ProLink Mapping'!$J$221</definedName>
    <definedName name="SD_34x1_78x25_9_S_0" localSheetId="4" hidden="1">'ProLink Mapping'!$L$221</definedName>
    <definedName name="SD_34x1_78x26_10_S_0" localSheetId="4" hidden="1">'ProLink Mapping'!$N$222</definedName>
    <definedName name="SD_34x1_78x26_17_S_1" localSheetId="4" hidden="1">'ProLink Mapping'!$P$222</definedName>
    <definedName name="SD_34x1_78x26_20_S_1" localSheetId="4" hidden="1">'ProLink Mapping'!$H$222</definedName>
    <definedName name="SD_34x1_78x26_8_S_0" localSheetId="4" hidden="1">'ProLink Mapping'!$J$222</definedName>
    <definedName name="SD_34x1_78x26_9_S_0" localSheetId="4" hidden="1">'ProLink Mapping'!$L$222</definedName>
    <definedName name="SD_34x1_78x27_10_S_0" localSheetId="4" hidden="1">'ProLink Mapping'!$N$223</definedName>
    <definedName name="SD_34x1_78x27_17_S_1" localSheetId="4" hidden="1">'ProLink Mapping'!$P$223</definedName>
    <definedName name="SD_34x1_78x27_20_S_1" localSheetId="4" hidden="1">'ProLink Mapping'!$H$223</definedName>
    <definedName name="SD_34x1_78x27_8_S_0" localSheetId="4" hidden="1">'ProLink Mapping'!$J$223</definedName>
    <definedName name="SD_34x1_78x27_9_S_0" localSheetId="4" hidden="1">'ProLink Mapping'!$L$223</definedName>
    <definedName name="SD_34x1_78x28_10_S_0" localSheetId="4" hidden="1">'ProLink Mapping'!$N$224</definedName>
    <definedName name="SD_34x1_78x28_17_S_1" localSheetId="4" hidden="1">'ProLink Mapping'!$P$224</definedName>
    <definedName name="SD_34x1_78x28_20_S_1" localSheetId="4" hidden="1">'ProLink Mapping'!$H$224</definedName>
    <definedName name="SD_34x1_78x28_8_S_0" localSheetId="4" hidden="1">'ProLink Mapping'!$J$224</definedName>
    <definedName name="SD_34x1_78x28_9_S_0" localSheetId="4" hidden="1">'ProLink Mapping'!$L$224</definedName>
    <definedName name="SD_34x1_78x29_10_S_0" localSheetId="4" hidden="1">'ProLink Mapping'!$N$225</definedName>
    <definedName name="SD_34x1_78x29_17_S_1" localSheetId="4" hidden="1">'ProLink Mapping'!$P$225</definedName>
    <definedName name="SD_34x1_78x29_20_S_1" localSheetId="4" hidden="1">'ProLink Mapping'!$H$225</definedName>
    <definedName name="SD_34x1_78x29_8_S_0" localSheetId="4" hidden="1">'ProLink Mapping'!$J$225</definedName>
    <definedName name="SD_34x1_78x29_9_S_0" localSheetId="4" hidden="1">'ProLink Mapping'!$L$225</definedName>
    <definedName name="SD_34x1_78x3_10_S_0" localSheetId="4" hidden="1">'ProLink Mapping'!$N$199</definedName>
    <definedName name="SD_34x1_78x3_17_S_1" localSheetId="4" hidden="1">'ProLink Mapping'!$P$199</definedName>
    <definedName name="SD_34x1_78x3_20_S_1" localSheetId="4" hidden="1">'ProLink Mapping'!$H$199</definedName>
    <definedName name="SD_34x1_78x3_8_S_0" localSheetId="4" hidden="1">'ProLink Mapping'!$J$199</definedName>
    <definedName name="SD_34x1_78x3_9_S_0" localSheetId="4" hidden="1">'ProLink Mapping'!$L$199</definedName>
    <definedName name="SD_34x1_78x30_10_S_0" localSheetId="4" hidden="1">'ProLink Mapping'!$N$226</definedName>
    <definedName name="SD_34x1_78x30_17_S_1" localSheetId="4" hidden="1">'ProLink Mapping'!$P$226</definedName>
    <definedName name="SD_34x1_78x30_20_S_1" localSheetId="4" hidden="1">'ProLink Mapping'!$H$226</definedName>
    <definedName name="SD_34x1_78x30_8_S_0" localSheetId="4" hidden="1">'ProLink Mapping'!$J$226</definedName>
    <definedName name="SD_34x1_78x30_9_S_0" localSheetId="4" hidden="1">'ProLink Mapping'!$L$226</definedName>
    <definedName name="SD_34x1_78x31_10_S_0" localSheetId="4" hidden="1">'ProLink Mapping'!$N$227</definedName>
    <definedName name="SD_34x1_78x31_17_S_1" localSheetId="4" hidden="1">'ProLink Mapping'!$P$227</definedName>
    <definedName name="SD_34x1_78x31_20_S_1" localSheetId="4" hidden="1">'ProLink Mapping'!$H$227</definedName>
    <definedName name="SD_34x1_78x31_8_S_0" localSheetId="4" hidden="1">'ProLink Mapping'!$J$227</definedName>
    <definedName name="SD_34x1_78x31_9_S_0" localSheetId="4" hidden="1">'ProLink Mapping'!$L$227</definedName>
    <definedName name="SD_34x1_78x32_10_S_0" localSheetId="4" hidden="1">'ProLink Mapping'!$N$228</definedName>
    <definedName name="SD_34x1_78x32_17_S_1" localSheetId="4" hidden="1">'ProLink Mapping'!$P$228</definedName>
    <definedName name="SD_34x1_78x32_20_S_1" localSheetId="4" hidden="1">'ProLink Mapping'!$H$228</definedName>
    <definedName name="SD_34x1_78x32_8_S_0" localSheetId="4" hidden="1">'ProLink Mapping'!$J$228</definedName>
    <definedName name="SD_34x1_78x32_9_S_0" localSheetId="4" hidden="1">'ProLink Mapping'!$L$228</definedName>
    <definedName name="SD_34x1_78x33_10_S_0" localSheetId="4" hidden="1">'ProLink Mapping'!$N$229</definedName>
    <definedName name="SD_34x1_78x33_17_S_1" localSheetId="4" hidden="1">'ProLink Mapping'!$P$229</definedName>
    <definedName name="SD_34x1_78x33_20_S_1" localSheetId="4" hidden="1">'ProLink Mapping'!$H$229</definedName>
    <definedName name="SD_34x1_78x33_8_S_0" localSheetId="4" hidden="1">'ProLink Mapping'!$J$229</definedName>
    <definedName name="SD_34x1_78x33_9_S_0" localSheetId="4" hidden="1">'ProLink Mapping'!$L$229</definedName>
    <definedName name="SD_34x1_78x34_10_S_0" localSheetId="4" hidden="1">'ProLink Mapping'!$N$230</definedName>
    <definedName name="SD_34x1_78x34_17_S_1" localSheetId="4" hidden="1">'ProLink Mapping'!$P$230</definedName>
    <definedName name="SD_34x1_78x34_20_S_1" localSheetId="4" hidden="1">'ProLink Mapping'!$H$230</definedName>
    <definedName name="SD_34x1_78x34_8_S_0" localSheetId="4" hidden="1">'ProLink Mapping'!$J$230</definedName>
    <definedName name="SD_34x1_78x34_9_S_0" localSheetId="4" hidden="1">'ProLink Mapping'!$L$230</definedName>
    <definedName name="SD_34x1_78x35_10_S_0" localSheetId="4" hidden="1">'ProLink Mapping'!$N$231</definedName>
    <definedName name="SD_34x1_78x35_17_S_1" localSheetId="4" hidden="1">'ProLink Mapping'!$P$231</definedName>
    <definedName name="SD_34x1_78x35_20_S_1" localSheetId="4" hidden="1">'ProLink Mapping'!$H$231</definedName>
    <definedName name="SD_34x1_78x35_8_S_0" localSheetId="4" hidden="1">'ProLink Mapping'!$J$231</definedName>
    <definedName name="SD_34x1_78x35_9_S_0" localSheetId="4" hidden="1">'ProLink Mapping'!$L$231</definedName>
    <definedName name="SD_34x1_78x36_10_S_0" localSheetId="4" hidden="1">'ProLink Mapping'!$N$232</definedName>
    <definedName name="SD_34x1_78x36_17_S_1" localSheetId="4" hidden="1">'ProLink Mapping'!$P$232</definedName>
    <definedName name="SD_34x1_78x36_20_S_1" localSheetId="4" hidden="1">'ProLink Mapping'!$H$232</definedName>
    <definedName name="SD_34x1_78x36_8_S_0" localSheetId="4" hidden="1">'ProLink Mapping'!$J$232</definedName>
    <definedName name="SD_34x1_78x36_9_S_0" localSheetId="4" hidden="1">'ProLink Mapping'!$L$232</definedName>
    <definedName name="SD_34x1_78x37_10_S_0" localSheetId="4" hidden="1">'ProLink Mapping'!$N$233</definedName>
    <definedName name="SD_34x1_78x37_17_S_1" localSheetId="4" hidden="1">'ProLink Mapping'!$P$233</definedName>
    <definedName name="SD_34x1_78x37_20_S_1" localSheetId="4" hidden="1">'ProLink Mapping'!$H$233</definedName>
    <definedName name="SD_34x1_78x37_8_S_0" localSheetId="4" hidden="1">'ProLink Mapping'!$J$233</definedName>
    <definedName name="SD_34x1_78x37_9_S_0" localSheetId="4" hidden="1">'ProLink Mapping'!$L$233</definedName>
    <definedName name="SD_34x1_78x38_10_S_0" localSheetId="4" hidden="1">'ProLink Mapping'!$N$234</definedName>
    <definedName name="SD_34x1_78x38_17_S_1" localSheetId="4" hidden="1">'ProLink Mapping'!$P$234</definedName>
    <definedName name="SD_34x1_78x38_20_S_1" localSheetId="4" hidden="1">'ProLink Mapping'!$H$234</definedName>
    <definedName name="SD_34x1_78x38_8_S_0" localSheetId="4" hidden="1">'ProLink Mapping'!$J$234</definedName>
    <definedName name="SD_34x1_78x38_9_S_0" localSheetId="4" hidden="1">'ProLink Mapping'!$L$234</definedName>
    <definedName name="SD_34x1_78x39_10_S_0" localSheetId="4" hidden="1">'ProLink Mapping'!$N$235</definedName>
    <definedName name="SD_34x1_78x39_17_S_1" localSheetId="4" hidden="1">'ProLink Mapping'!$P$235</definedName>
    <definedName name="SD_34x1_78x39_20_S_1" localSheetId="4" hidden="1">'ProLink Mapping'!$H$235</definedName>
    <definedName name="SD_34x1_78x39_8_S_0" localSheetId="4" hidden="1">'ProLink Mapping'!$J$235</definedName>
    <definedName name="SD_34x1_78x39_9_S_0" localSheetId="4" hidden="1">'ProLink Mapping'!$L$235</definedName>
    <definedName name="SD_34x1_78x4_10_S_0" localSheetId="4" hidden="1">'ProLink Mapping'!$N$200</definedName>
    <definedName name="SD_34x1_78x4_17_S_1" localSheetId="4" hidden="1">'ProLink Mapping'!$P$200</definedName>
    <definedName name="SD_34x1_78x4_20_S_1" localSheetId="4" hidden="1">'ProLink Mapping'!$H$200</definedName>
    <definedName name="SD_34x1_78x4_8_S_0" localSheetId="4" hidden="1">'ProLink Mapping'!$J$200</definedName>
    <definedName name="SD_34x1_78x4_9_S_0" localSheetId="4" hidden="1">'ProLink Mapping'!$L$200</definedName>
    <definedName name="SD_34x1_78x40_10_S_0" localSheetId="4" hidden="1">'ProLink Mapping'!$N$236</definedName>
    <definedName name="SD_34x1_78x40_17_S_1" localSheetId="4" hidden="1">'ProLink Mapping'!$P$236</definedName>
    <definedName name="SD_34x1_78x40_20_S_1" localSheetId="4" hidden="1">'ProLink Mapping'!$H$236</definedName>
    <definedName name="SD_34x1_78x40_8_S_0" localSheetId="4" hidden="1">'ProLink Mapping'!$J$236</definedName>
    <definedName name="SD_34x1_78x40_9_S_0" localSheetId="4" hidden="1">'ProLink Mapping'!$L$236</definedName>
    <definedName name="SD_34x1_78x41_10_S_0" localSheetId="4" hidden="1">'ProLink Mapping'!$N$237</definedName>
    <definedName name="SD_34x1_78x41_17_S_1" localSheetId="4" hidden="1">'ProLink Mapping'!$P$237</definedName>
    <definedName name="SD_34x1_78x41_20_S_1" localSheetId="4" hidden="1">'ProLink Mapping'!$H$237</definedName>
    <definedName name="SD_34x1_78x41_8_S_0" localSheetId="4" hidden="1">'ProLink Mapping'!$J$237</definedName>
    <definedName name="SD_34x1_78x41_9_S_0" localSheetId="4" hidden="1">'ProLink Mapping'!$L$237</definedName>
    <definedName name="SD_34x1_78x42_10_S_0" localSheetId="4" hidden="1">'ProLink Mapping'!$N$238</definedName>
    <definedName name="SD_34x1_78x42_17_S_1" localSheetId="4" hidden="1">'ProLink Mapping'!$P$238</definedName>
    <definedName name="SD_34x1_78x42_20_S_1" localSheetId="4" hidden="1">'ProLink Mapping'!$H$238</definedName>
    <definedName name="SD_34x1_78x42_8_S_0" localSheetId="4" hidden="1">'ProLink Mapping'!$J$238</definedName>
    <definedName name="SD_34x1_78x42_9_S_0" localSheetId="4" hidden="1">'ProLink Mapping'!$L$238</definedName>
    <definedName name="SD_34x1_78x43_10_S_0" localSheetId="4" hidden="1">'ProLink Mapping'!$N$239</definedName>
    <definedName name="SD_34x1_78x43_17_S_1" localSheetId="4" hidden="1">'ProLink Mapping'!$P$239</definedName>
    <definedName name="SD_34x1_78x43_20_S_1" localSheetId="4" hidden="1">'ProLink Mapping'!$H$239</definedName>
    <definedName name="SD_34x1_78x43_8_S_0" localSheetId="4" hidden="1">'ProLink Mapping'!$J$239</definedName>
    <definedName name="SD_34x1_78x43_9_S_0" localSheetId="4" hidden="1">'ProLink Mapping'!$L$239</definedName>
    <definedName name="SD_34x1_78x44_10_S_0" localSheetId="4" hidden="1">'ProLink Mapping'!$N$240</definedName>
    <definedName name="SD_34x1_78x44_17_S_1" localSheetId="4" hidden="1">'ProLink Mapping'!$P$240</definedName>
    <definedName name="SD_34x1_78x44_20_S_1" localSheetId="4" hidden="1">'ProLink Mapping'!$H$240</definedName>
    <definedName name="SD_34x1_78x44_8_S_0" localSheetId="4" hidden="1">'ProLink Mapping'!$J$240</definedName>
    <definedName name="SD_34x1_78x44_9_S_0" localSheetId="4" hidden="1">'ProLink Mapping'!$L$240</definedName>
    <definedName name="SD_34x1_78x45_10_S_0" localSheetId="4" hidden="1">'ProLink Mapping'!$N$241</definedName>
    <definedName name="SD_34x1_78x45_17_S_1" localSheetId="4" hidden="1">'ProLink Mapping'!$P$241</definedName>
    <definedName name="SD_34x1_78x45_20_S_1" localSheetId="4" hidden="1">'ProLink Mapping'!$H$241</definedName>
    <definedName name="SD_34x1_78x45_8_S_0" localSheetId="4" hidden="1">'ProLink Mapping'!$J$241</definedName>
    <definedName name="SD_34x1_78x45_9_S_0" localSheetId="4" hidden="1">'ProLink Mapping'!$L$241</definedName>
    <definedName name="SD_34x1_78x46_10_S_0" localSheetId="4" hidden="1">'ProLink Mapping'!$N$242</definedName>
    <definedName name="SD_34x1_78x46_17_S_1" localSheetId="4" hidden="1">'ProLink Mapping'!$P$242</definedName>
    <definedName name="SD_34x1_78x46_20_S_1" localSheetId="4" hidden="1">'ProLink Mapping'!$H$242</definedName>
    <definedName name="SD_34x1_78x46_8_S_0" localSheetId="4" hidden="1">'ProLink Mapping'!$J$242</definedName>
    <definedName name="SD_34x1_78x46_9_S_0" localSheetId="4" hidden="1">'ProLink Mapping'!$L$242</definedName>
    <definedName name="SD_34x1_78x47_10_S_0" localSheetId="4" hidden="1">'ProLink Mapping'!$N$243</definedName>
    <definedName name="SD_34x1_78x47_17_S_1" localSheetId="4" hidden="1">'ProLink Mapping'!$P$243</definedName>
    <definedName name="SD_34x1_78x47_20_S_1" localSheetId="4" hidden="1">'ProLink Mapping'!$H$243</definedName>
    <definedName name="SD_34x1_78x47_8_S_0" localSheetId="4" hidden="1">'ProLink Mapping'!$J$243</definedName>
    <definedName name="SD_34x1_78x47_9_S_0" localSheetId="4" hidden="1">'ProLink Mapping'!$L$243</definedName>
    <definedName name="SD_34x1_78x48_10_S_0" localSheetId="4" hidden="1">'ProLink Mapping'!$N$244</definedName>
    <definedName name="SD_34x1_78x48_17_S_1" localSheetId="4" hidden="1">'ProLink Mapping'!$P$244</definedName>
    <definedName name="SD_34x1_78x48_20_S_1" localSheetId="4" hidden="1">'ProLink Mapping'!$H$244</definedName>
    <definedName name="SD_34x1_78x48_8_S_0" localSheetId="4" hidden="1">'ProLink Mapping'!$J$244</definedName>
    <definedName name="SD_34x1_78x48_9_S_0" localSheetId="4" hidden="1">'ProLink Mapping'!$L$244</definedName>
    <definedName name="SD_34x1_78x49_10_S_0" localSheetId="4" hidden="1">'ProLink Mapping'!$N$245</definedName>
    <definedName name="SD_34x1_78x49_17_S_1" localSheetId="4" hidden="1">'ProLink Mapping'!$P$245</definedName>
    <definedName name="SD_34x1_78x49_20_S_1" localSheetId="4" hidden="1">'ProLink Mapping'!$H$245</definedName>
    <definedName name="SD_34x1_78x49_8_S_0" localSheetId="4" hidden="1">'ProLink Mapping'!$J$245</definedName>
    <definedName name="SD_34x1_78x49_9_S_0" localSheetId="4" hidden="1">'ProLink Mapping'!$L$245</definedName>
    <definedName name="SD_34x1_78x5_10_S_0" localSheetId="4" hidden="1">'ProLink Mapping'!$N$201</definedName>
    <definedName name="SD_34x1_78x5_17_S_1" localSheetId="4" hidden="1">'ProLink Mapping'!$P$201</definedName>
    <definedName name="SD_34x1_78x5_20_S_1" localSheetId="4" hidden="1">'ProLink Mapping'!$H$201</definedName>
    <definedName name="SD_34x1_78x5_8_S_0" localSheetId="4" hidden="1">'ProLink Mapping'!$J$201</definedName>
    <definedName name="SD_34x1_78x5_9_S_0" localSheetId="4" hidden="1">'ProLink Mapping'!$L$201</definedName>
    <definedName name="SD_34x1_78x50_10_S_0" localSheetId="4" hidden="1">'ProLink Mapping'!$N$246</definedName>
    <definedName name="SD_34x1_78x50_17_S_1" localSheetId="4" hidden="1">'ProLink Mapping'!$P$246</definedName>
    <definedName name="SD_34x1_78x50_20_S_1" localSheetId="4" hidden="1">'ProLink Mapping'!$H$246</definedName>
    <definedName name="SD_34x1_78x50_8_S_0" localSheetId="4" hidden="1">'ProLink Mapping'!$J$246</definedName>
    <definedName name="SD_34x1_78x50_9_S_0" localSheetId="4" hidden="1">'ProLink Mapping'!$L$246</definedName>
    <definedName name="SD_34x1_78x51_10_S_0" localSheetId="4" hidden="1">'ProLink Mapping'!$N$247</definedName>
    <definedName name="SD_34x1_78x51_17_S_1" localSheetId="4" hidden="1">'ProLink Mapping'!$P$247</definedName>
    <definedName name="SD_34x1_78x51_20_S_1" localSheetId="4" hidden="1">'ProLink Mapping'!$H$247</definedName>
    <definedName name="SD_34x1_78x51_8_S_0" localSheetId="4" hidden="1">'ProLink Mapping'!$J$247</definedName>
    <definedName name="SD_34x1_78x51_9_S_0" localSheetId="4" hidden="1">'ProLink Mapping'!$L$247</definedName>
    <definedName name="SD_34x1_78x52_10_S_0" localSheetId="4" hidden="1">'ProLink Mapping'!$N$248</definedName>
    <definedName name="SD_34x1_78x52_17_S_1" localSheetId="4" hidden="1">'ProLink Mapping'!$P$248</definedName>
    <definedName name="SD_34x1_78x52_20_S_1" localSheetId="4" hidden="1">'ProLink Mapping'!$H$248</definedName>
    <definedName name="SD_34x1_78x52_8_S_0" localSheetId="4" hidden="1">'ProLink Mapping'!$J$248</definedName>
    <definedName name="SD_34x1_78x52_9_S_0" localSheetId="4" hidden="1">'ProLink Mapping'!$L$248</definedName>
    <definedName name="SD_34x1_78x53_10_S_0" localSheetId="4" hidden="1">'ProLink Mapping'!$N$249</definedName>
    <definedName name="SD_34x1_78x53_17_S_1" localSheetId="4" hidden="1">'ProLink Mapping'!$P$249</definedName>
    <definedName name="SD_34x1_78x53_20_S_1" localSheetId="4" hidden="1">'ProLink Mapping'!$H$249</definedName>
    <definedName name="SD_34x1_78x53_8_S_0" localSheetId="4" hidden="1">'ProLink Mapping'!$J$249</definedName>
    <definedName name="SD_34x1_78x53_9_S_0" localSheetId="4" hidden="1">'ProLink Mapping'!$L$249</definedName>
    <definedName name="SD_34x1_78x54_10_S_0" localSheetId="4" hidden="1">'ProLink Mapping'!$N$250</definedName>
    <definedName name="SD_34x1_78x54_17_S_1" localSheetId="4" hidden="1">'ProLink Mapping'!$P$250</definedName>
    <definedName name="SD_34x1_78x54_20_S_1" localSheetId="4" hidden="1">'ProLink Mapping'!$H$250</definedName>
    <definedName name="SD_34x1_78x54_8_S_0" localSheetId="4" hidden="1">'ProLink Mapping'!$J$250</definedName>
    <definedName name="SD_34x1_78x54_9_S_0" localSheetId="4" hidden="1">'ProLink Mapping'!$L$250</definedName>
    <definedName name="SD_34x1_78x55_10_S_0" localSheetId="4" hidden="1">'ProLink Mapping'!$N$251</definedName>
    <definedName name="SD_34x1_78x55_17_S_1" localSheetId="4" hidden="1">'ProLink Mapping'!$P$251</definedName>
    <definedName name="SD_34x1_78x55_20_S_1" localSheetId="4" hidden="1">'ProLink Mapping'!$H$251</definedName>
    <definedName name="SD_34x1_78x55_8_S_0" localSheetId="4" hidden="1">'ProLink Mapping'!$J$251</definedName>
    <definedName name="SD_34x1_78x55_9_S_0" localSheetId="4" hidden="1">'ProLink Mapping'!$L$251</definedName>
    <definedName name="SD_34x1_78x56_10_S_0" localSheetId="4" hidden="1">'ProLink Mapping'!$N$252</definedName>
    <definedName name="SD_34x1_78x56_17_S_1" localSheetId="4" hidden="1">'ProLink Mapping'!$P$252</definedName>
    <definedName name="SD_34x1_78x56_20_S_1" localSheetId="4" hidden="1">'ProLink Mapping'!$H$252</definedName>
    <definedName name="SD_34x1_78x56_8_S_0" localSheetId="4" hidden="1">'ProLink Mapping'!$J$252</definedName>
    <definedName name="SD_34x1_78x56_9_S_0" localSheetId="4" hidden="1">'ProLink Mapping'!$L$252</definedName>
    <definedName name="SD_34x1_78x57_10_S_0" localSheetId="4" hidden="1">'ProLink Mapping'!$N$253</definedName>
    <definedName name="SD_34x1_78x57_17_S_1" localSheetId="4" hidden="1">'ProLink Mapping'!$P$253</definedName>
    <definedName name="SD_34x1_78x57_20_S_1" localSheetId="4" hidden="1">'ProLink Mapping'!$H$253</definedName>
    <definedName name="SD_34x1_78x57_8_S_0" localSheetId="4" hidden="1">'ProLink Mapping'!$J$253</definedName>
    <definedName name="SD_34x1_78x57_9_S_0" localSheetId="4" hidden="1">'ProLink Mapping'!$L$253</definedName>
    <definedName name="SD_34x1_78x58_10_S_0" localSheetId="4" hidden="1">'ProLink Mapping'!$N$254</definedName>
    <definedName name="SD_34x1_78x58_17_S_1" localSheetId="4" hidden="1">'ProLink Mapping'!$P$254</definedName>
    <definedName name="SD_34x1_78x58_20_S_1" localSheetId="4" hidden="1">'ProLink Mapping'!$H$254</definedName>
    <definedName name="SD_34x1_78x58_8_S_0" localSheetId="4" hidden="1">'ProLink Mapping'!$J$254</definedName>
    <definedName name="SD_34x1_78x58_9_S_0" localSheetId="4" hidden="1">'ProLink Mapping'!$L$254</definedName>
    <definedName name="SD_34x1_78x59_10_S_0" localSheetId="4" hidden="1">'ProLink Mapping'!$N$255</definedName>
    <definedName name="SD_34x1_78x59_17_S_1" localSheetId="4" hidden="1">'ProLink Mapping'!$P$255</definedName>
    <definedName name="SD_34x1_78x59_20_S_1" localSheetId="4" hidden="1">'ProLink Mapping'!$H$255</definedName>
    <definedName name="SD_34x1_78x59_8_S_0" localSheetId="4" hidden="1">'ProLink Mapping'!$J$255</definedName>
    <definedName name="SD_34x1_78x59_9_S_0" localSheetId="4" hidden="1">'ProLink Mapping'!$L$255</definedName>
    <definedName name="SD_34x1_78x6_10_S_0" localSheetId="4" hidden="1">'ProLink Mapping'!$N$202</definedName>
    <definedName name="SD_34x1_78x6_17_S_1" localSheetId="4" hidden="1">'ProLink Mapping'!$P$202</definedName>
    <definedName name="SD_34x1_78x6_20_S_1" localSheetId="4" hidden="1">'ProLink Mapping'!$H$202</definedName>
    <definedName name="SD_34x1_78x6_8_S_0" localSheetId="4" hidden="1">'ProLink Mapping'!$J$202</definedName>
    <definedName name="SD_34x1_78x6_9_S_0" localSheetId="4" hidden="1">'ProLink Mapping'!$L$202</definedName>
    <definedName name="SD_34x1_78x60_10_S_0" localSheetId="4" hidden="1">'ProLink Mapping'!$N$256</definedName>
    <definedName name="SD_34x1_78x60_17_S_1" localSheetId="4" hidden="1">'ProLink Mapping'!$P$256</definedName>
    <definedName name="SD_34x1_78x60_20_S_1" localSheetId="4" hidden="1">'ProLink Mapping'!$H$256</definedName>
    <definedName name="SD_34x1_78x60_8_S_0" localSheetId="4" hidden="1">'ProLink Mapping'!$J$256</definedName>
    <definedName name="SD_34x1_78x60_9_S_0" localSheetId="4" hidden="1">'ProLink Mapping'!$L$256</definedName>
    <definedName name="SD_34x1_78x61_10_S_0" localSheetId="4" hidden="1">'ProLink Mapping'!$N$257</definedName>
    <definedName name="SD_34x1_78x61_17_S_1" localSheetId="4" hidden="1">'ProLink Mapping'!$P$257</definedName>
    <definedName name="SD_34x1_78x61_20_S_1" localSheetId="4" hidden="1">'ProLink Mapping'!$H$257</definedName>
    <definedName name="SD_34x1_78x61_8_S_0" localSheetId="4" hidden="1">'ProLink Mapping'!$J$257</definedName>
    <definedName name="SD_34x1_78x61_9_S_0" localSheetId="4" hidden="1">'ProLink Mapping'!$L$257</definedName>
    <definedName name="SD_34x1_78x62_10_S_0" localSheetId="4" hidden="1">'ProLink Mapping'!$N$258</definedName>
    <definedName name="SD_34x1_78x62_17_S_1" localSheetId="4" hidden="1">'ProLink Mapping'!$P$258</definedName>
    <definedName name="SD_34x1_78x62_20_S_1" localSheetId="4" hidden="1">'ProLink Mapping'!$H$258</definedName>
    <definedName name="SD_34x1_78x62_8_S_0" localSheetId="4" hidden="1">'ProLink Mapping'!$J$258</definedName>
    <definedName name="SD_34x1_78x62_9_S_0" localSheetId="4" hidden="1">'ProLink Mapping'!$L$258</definedName>
    <definedName name="SD_34x1_78x63_10_S_0" localSheetId="4" hidden="1">'ProLink Mapping'!$N$259</definedName>
    <definedName name="SD_34x1_78x63_17_S_1" localSheetId="4" hidden="1">'ProLink Mapping'!$P$259</definedName>
    <definedName name="SD_34x1_78x63_20_S_1" localSheetId="4" hidden="1">'ProLink Mapping'!$H$259</definedName>
    <definedName name="SD_34x1_78x63_8_S_0" localSheetId="4" hidden="1">'ProLink Mapping'!$J$259</definedName>
    <definedName name="SD_34x1_78x63_9_S_0" localSheetId="4" hidden="1">'ProLink Mapping'!$L$259</definedName>
    <definedName name="SD_34x1_78x7_10_S_0" localSheetId="4" hidden="1">'ProLink Mapping'!$N$203</definedName>
    <definedName name="SD_34x1_78x7_17_S_1" localSheetId="4" hidden="1">'ProLink Mapping'!$P$203</definedName>
    <definedName name="SD_34x1_78x7_20_S_1" localSheetId="4" hidden="1">'ProLink Mapping'!$H$203</definedName>
    <definedName name="SD_34x1_78x7_8_S_0" localSheetId="4" hidden="1">'ProLink Mapping'!$J$203</definedName>
    <definedName name="SD_34x1_78x7_9_S_0" localSheetId="4" hidden="1">'ProLink Mapping'!$L$203</definedName>
    <definedName name="SD_34x1_78x8_10_S_0" localSheetId="4" hidden="1">'ProLink Mapping'!$N$204</definedName>
    <definedName name="SD_34x1_78x8_17_S_1" localSheetId="4" hidden="1">'ProLink Mapping'!$P$204</definedName>
    <definedName name="SD_34x1_78x8_20_S_1" localSheetId="4" hidden="1">'ProLink Mapping'!$H$204</definedName>
    <definedName name="SD_34x1_78x8_8_S_0" localSheetId="4" hidden="1">'ProLink Mapping'!$J$204</definedName>
    <definedName name="SD_34x1_78x8_9_S_0" localSheetId="4" hidden="1">'ProLink Mapping'!$L$204</definedName>
    <definedName name="SD_34x1_78x9_10_S_0" localSheetId="4" hidden="1">'ProLink Mapping'!$N$205</definedName>
    <definedName name="SD_34x1_78x9_17_S_1" localSheetId="4" hidden="1">'ProLink Mapping'!$P$205</definedName>
    <definedName name="SD_34x1_78x9_20_S_1" localSheetId="4" hidden="1">'ProLink Mapping'!$H$205</definedName>
    <definedName name="SD_34x1_78x9_8_S_0" localSheetId="4" hidden="1">'ProLink Mapping'!$J$205</definedName>
    <definedName name="SD_34x1_78x9_9_S_0" localSheetId="4" hidden="1">'ProLink Mapping'!$L$205</definedName>
    <definedName name="SD_34x1_79_S_0" localSheetId="4" hidden="1">'ProLink Mapping'!$C$98</definedName>
    <definedName name="SD_34x1_82_S_0" localSheetId="4" hidden="1">'ProLink Mapping'!$F$271</definedName>
    <definedName name="SD_34x1_83_S_0" localSheetId="4" hidden="1">'ProLink Mapping'!$F$272</definedName>
    <definedName name="SD_34x1_89_S_0" localSheetId="4" hidden="1">'ProLink Mapping'!$C$51</definedName>
    <definedName name="SD_34x1_91x1_36_S_1" localSheetId="4" hidden="1">'ProLink Mapping'!$H$64</definedName>
    <definedName name="SD_34x1_91x1_4_S_0" localSheetId="4" hidden="1">'ProLink Mapping'!$C$64</definedName>
    <definedName name="SD_34x1_91x1_6_S_0" localSheetId="4" hidden="1">'ProLink Mapping'!$E$64</definedName>
    <definedName name="SD_34x1_91x1_7_S_0" localSheetId="4" hidden="1">'ProLink Mapping'!$J$64</definedName>
    <definedName name="SD_34x1_91x1_8_S_0" localSheetId="4" hidden="1">'ProLink Mapping'!$N$64</definedName>
    <definedName name="SD_34x1_91x1_9_S_0" localSheetId="4" hidden="1">'ProLink Mapping'!$L$64</definedName>
    <definedName name="SD_34x1_91x10_36_S_1" localSheetId="4" hidden="1">'ProLink Mapping'!$H$73</definedName>
    <definedName name="SD_34x1_91x10_4_S_0" localSheetId="4" hidden="1">'ProLink Mapping'!$C$73</definedName>
    <definedName name="SD_34x1_91x10_6_S_0" localSheetId="4" hidden="1">'ProLink Mapping'!$E$73</definedName>
    <definedName name="SD_34x1_91x10_7_S_0" localSheetId="4" hidden="1">'ProLink Mapping'!$J$73</definedName>
    <definedName name="SD_34x1_91x10_8_S_0" localSheetId="4" hidden="1">'ProLink Mapping'!$N$73</definedName>
    <definedName name="SD_34x1_91x10_9_S_0" localSheetId="4" hidden="1">'ProLink Mapping'!$L$73</definedName>
    <definedName name="SD_34x1_91x11_36_S_1" localSheetId="4" hidden="1">'ProLink Mapping'!$H$74</definedName>
    <definedName name="SD_34x1_91x11_4_S_0" localSheetId="4" hidden="1">'ProLink Mapping'!$C$74</definedName>
    <definedName name="SD_34x1_91x11_6_S_0" localSheetId="4" hidden="1">'ProLink Mapping'!$E$74</definedName>
    <definedName name="SD_34x1_91x11_7_S_0" localSheetId="4" hidden="1">'ProLink Mapping'!$J$74</definedName>
    <definedName name="SD_34x1_91x11_8_S_0" localSheetId="4" hidden="1">'ProLink Mapping'!$N$74</definedName>
    <definedName name="SD_34x1_91x11_9_S_0" localSheetId="4" hidden="1">'ProLink Mapping'!$L$74</definedName>
    <definedName name="SD_34x1_91x12_36_S_1" localSheetId="4" hidden="1">'ProLink Mapping'!$H$75</definedName>
    <definedName name="SD_34x1_91x12_4_S_0" localSheetId="4" hidden="1">'ProLink Mapping'!$C$75</definedName>
    <definedName name="SD_34x1_91x12_6_S_0" localSheetId="4" hidden="1">'ProLink Mapping'!$E$75</definedName>
    <definedName name="SD_34x1_91x12_7_S_0" localSheetId="4" hidden="1">'ProLink Mapping'!$J$75</definedName>
    <definedName name="SD_34x1_91x12_8_S_0" localSheetId="4" hidden="1">'ProLink Mapping'!$N$75</definedName>
    <definedName name="SD_34x1_91x12_9_S_0" localSheetId="4" hidden="1">'ProLink Mapping'!$L$75</definedName>
    <definedName name="SD_34x1_91x13_36_S_1" localSheetId="4" hidden="1">'ProLink Mapping'!$H$76</definedName>
    <definedName name="SD_34x1_91x13_4_S_0" localSheetId="4" hidden="1">'ProLink Mapping'!$C$76</definedName>
    <definedName name="SD_34x1_91x13_6_S_0" localSheetId="4" hidden="1">'ProLink Mapping'!$E$76</definedName>
    <definedName name="SD_34x1_91x13_7_S_0" localSheetId="4" hidden="1">'ProLink Mapping'!$J$76</definedName>
    <definedName name="SD_34x1_91x13_8_S_0" localSheetId="4" hidden="1">'ProLink Mapping'!$N$76</definedName>
    <definedName name="SD_34x1_91x13_9_S_0" localSheetId="4" hidden="1">'ProLink Mapping'!$L$76</definedName>
    <definedName name="SD_34x1_91x14_36_S_1" localSheetId="4" hidden="1">'ProLink Mapping'!$H$77</definedName>
    <definedName name="SD_34x1_91x14_4_S_0" localSheetId="4" hidden="1">'ProLink Mapping'!$C$77</definedName>
    <definedName name="SD_34x1_91x14_6_S_0" localSheetId="4" hidden="1">'ProLink Mapping'!$E$77</definedName>
    <definedName name="SD_34x1_91x14_7_S_0" localSheetId="4" hidden="1">'ProLink Mapping'!$J$77</definedName>
    <definedName name="SD_34x1_91x14_8_S_0" localSheetId="4" hidden="1">'ProLink Mapping'!$N$77</definedName>
    <definedName name="SD_34x1_91x14_9_S_0" localSheetId="4" hidden="1">'ProLink Mapping'!$L$77</definedName>
    <definedName name="SD_34x1_91x15_36_S_1" localSheetId="4" hidden="1">'ProLink Mapping'!$H$78</definedName>
    <definedName name="SD_34x1_91x15_4_S_0" localSheetId="4" hidden="1">'ProLink Mapping'!$C$78</definedName>
    <definedName name="SD_34x1_91x15_6_S_0" localSheetId="4" hidden="1">'ProLink Mapping'!$E$78</definedName>
    <definedName name="SD_34x1_91x15_7_S_0" localSheetId="4" hidden="1">'ProLink Mapping'!$J$78</definedName>
    <definedName name="SD_34x1_91x15_8_S_0" localSheetId="4" hidden="1">'ProLink Mapping'!$N$78</definedName>
    <definedName name="SD_34x1_91x15_9_S_0" localSheetId="4" hidden="1">'ProLink Mapping'!$L$78</definedName>
    <definedName name="SD_34x1_91x16_36_S_1" localSheetId="4" hidden="1">'ProLink Mapping'!$H$79</definedName>
    <definedName name="SD_34x1_91x16_4_S_0" localSheetId="4" hidden="1">'ProLink Mapping'!$C$79</definedName>
    <definedName name="SD_34x1_91x16_6_S_0" localSheetId="4" hidden="1">'ProLink Mapping'!$E$79</definedName>
    <definedName name="SD_34x1_91x16_7_S_0" localSheetId="4" hidden="1">'ProLink Mapping'!$J$79</definedName>
    <definedName name="SD_34x1_91x16_8_S_0" localSheetId="4" hidden="1">'ProLink Mapping'!$N$79</definedName>
    <definedName name="SD_34x1_91x16_9_S_0" localSheetId="4" hidden="1">'ProLink Mapping'!$L$79</definedName>
    <definedName name="SD_34x1_91x17_36_S_1" localSheetId="4" hidden="1">'ProLink Mapping'!$H$80</definedName>
    <definedName name="SD_34x1_91x17_4_S_0" localSheetId="4" hidden="1">'ProLink Mapping'!$C$80</definedName>
    <definedName name="SD_34x1_91x17_6_S_0" localSheetId="4" hidden="1">'ProLink Mapping'!$E$80</definedName>
    <definedName name="SD_34x1_91x17_7_S_0" localSheetId="4" hidden="1">'ProLink Mapping'!$J$80</definedName>
    <definedName name="SD_34x1_91x17_8_S_0" localSheetId="4" hidden="1">'ProLink Mapping'!$N$80</definedName>
    <definedName name="SD_34x1_91x17_9_S_0" localSheetId="4" hidden="1">'ProLink Mapping'!$L$80</definedName>
    <definedName name="SD_34x1_91x18_36_S_1" localSheetId="4" hidden="1">'ProLink Mapping'!$H$81</definedName>
    <definedName name="SD_34x1_91x18_4_S_0" localSheetId="4" hidden="1">'ProLink Mapping'!$C$81</definedName>
    <definedName name="SD_34x1_91x18_6_S_0" localSheetId="4" hidden="1">'ProLink Mapping'!$E$81</definedName>
    <definedName name="SD_34x1_91x18_7_S_0" localSheetId="4" hidden="1">'ProLink Mapping'!$J$81</definedName>
    <definedName name="SD_34x1_91x18_8_S_0" localSheetId="4" hidden="1">'ProLink Mapping'!$N$81</definedName>
    <definedName name="SD_34x1_91x18_9_S_0" localSheetId="4" hidden="1">'ProLink Mapping'!$L$81</definedName>
    <definedName name="SD_34x1_91x19_36_S_1" localSheetId="4" hidden="1">'ProLink Mapping'!$H$82</definedName>
    <definedName name="SD_34x1_91x19_4_S_0" localSheetId="4" hidden="1">'ProLink Mapping'!$C$82</definedName>
    <definedName name="SD_34x1_91x19_6_S_0" localSheetId="4" hidden="1">'ProLink Mapping'!$E$82</definedName>
    <definedName name="SD_34x1_91x19_7_S_0" localSheetId="4" hidden="1">'ProLink Mapping'!$J$82</definedName>
    <definedName name="SD_34x1_91x19_8_S_0" localSheetId="4" hidden="1">'ProLink Mapping'!$N$82</definedName>
    <definedName name="SD_34x1_91x19_9_S_0" localSheetId="4" hidden="1">'ProLink Mapping'!$L$82</definedName>
    <definedName name="SD_34x1_91x2_36_S_1" localSheetId="4" hidden="1">'ProLink Mapping'!$H$65</definedName>
    <definedName name="SD_34x1_91x2_4_S_0" localSheetId="4" hidden="1">'ProLink Mapping'!$C$65</definedName>
    <definedName name="SD_34x1_91x2_6_S_0" localSheetId="4" hidden="1">'ProLink Mapping'!$E$65</definedName>
    <definedName name="SD_34x1_91x2_7_S_0" localSheetId="4" hidden="1">'ProLink Mapping'!$J$65</definedName>
    <definedName name="SD_34x1_91x2_8_S_0" localSheetId="4" hidden="1">'ProLink Mapping'!$N$65</definedName>
    <definedName name="SD_34x1_91x2_9_S_0" localSheetId="4" hidden="1">'ProLink Mapping'!$L$65</definedName>
    <definedName name="SD_34x1_91x20_36_S_1" localSheetId="4" hidden="1">'ProLink Mapping'!$H$83</definedName>
    <definedName name="SD_34x1_91x20_4_S_0" localSheetId="4" hidden="1">'ProLink Mapping'!$C$83</definedName>
    <definedName name="SD_34x1_91x20_6_S_0" localSheetId="4" hidden="1">'ProLink Mapping'!$E$83</definedName>
    <definedName name="SD_34x1_91x20_7_S_0" localSheetId="4" hidden="1">'ProLink Mapping'!$J$83</definedName>
    <definedName name="SD_34x1_91x20_8_S_0" localSheetId="4" hidden="1">'ProLink Mapping'!$N$83</definedName>
    <definedName name="SD_34x1_91x20_9_S_0" localSheetId="4" hidden="1">'ProLink Mapping'!$L$83</definedName>
    <definedName name="SD_34x1_91x21_36_S_1" localSheetId="4" hidden="1">'ProLink Mapping'!$H$84</definedName>
    <definedName name="SD_34x1_91x21_4_S_0" localSheetId="4" hidden="1">'ProLink Mapping'!$C$84</definedName>
    <definedName name="SD_34x1_91x21_6_S_0" localSheetId="4" hidden="1">'ProLink Mapping'!$E$84</definedName>
    <definedName name="SD_34x1_91x21_7_S_0" localSheetId="4" hidden="1">'ProLink Mapping'!$J$84</definedName>
    <definedName name="SD_34x1_91x21_8_S_0" localSheetId="4" hidden="1">'ProLink Mapping'!$N$84</definedName>
    <definedName name="SD_34x1_91x21_9_S_0" localSheetId="4" hidden="1">'ProLink Mapping'!$L$84</definedName>
    <definedName name="SD_34x1_91x22_36_S_1" localSheetId="4" hidden="1">'ProLink Mapping'!$H$85</definedName>
    <definedName name="SD_34x1_91x22_4_S_0" localSheetId="4" hidden="1">'ProLink Mapping'!$C$85</definedName>
    <definedName name="SD_34x1_91x22_6_S_0" localSheetId="4" hidden="1">'ProLink Mapping'!$E$85</definedName>
    <definedName name="SD_34x1_91x22_7_S_0" localSheetId="4" hidden="1">'ProLink Mapping'!$J$85</definedName>
    <definedName name="SD_34x1_91x22_8_S_0" localSheetId="4" hidden="1">'ProLink Mapping'!$N$85</definedName>
    <definedName name="SD_34x1_91x22_9_S_0" localSheetId="4" hidden="1">'ProLink Mapping'!$L$85</definedName>
    <definedName name="SD_34x1_91x23_36_S_1" localSheetId="4" hidden="1">'ProLink Mapping'!$H$86</definedName>
    <definedName name="SD_34x1_91x23_4_S_0" localSheetId="4" hidden="1">'ProLink Mapping'!$C$86</definedName>
    <definedName name="SD_34x1_91x23_6_S_0" localSheetId="4" hidden="1">'ProLink Mapping'!$E$86</definedName>
    <definedName name="SD_34x1_91x23_7_S_0" localSheetId="4" hidden="1">'ProLink Mapping'!$J$86</definedName>
    <definedName name="SD_34x1_91x23_8_S_0" localSheetId="4" hidden="1">'ProLink Mapping'!$N$86</definedName>
    <definedName name="SD_34x1_91x23_9_S_0" localSheetId="4" hidden="1">'ProLink Mapping'!$L$86</definedName>
    <definedName name="SD_34x1_91x24_36_S_1" localSheetId="4" hidden="1">'ProLink Mapping'!$H$87</definedName>
    <definedName name="SD_34x1_91x24_4_S_0" localSheetId="4" hidden="1">'ProLink Mapping'!$C$87</definedName>
    <definedName name="SD_34x1_91x24_6_S_0" localSheetId="4" hidden="1">'ProLink Mapping'!$E$87</definedName>
    <definedName name="SD_34x1_91x24_7_S_0" localSheetId="4" hidden="1">'ProLink Mapping'!$J$87</definedName>
    <definedName name="SD_34x1_91x24_8_S_0" localSheetId="4" hidden="1">'ProLink Mapping'!$N$87</definedName>
    <definedName name="SD_34x1_91x24_9_S_0" localSheetId="4" hidden="1">'ProLink Mapping'!$L$87</definedName>
    <definedName name="SD_34x1_91x25_36_S_1" localSheetId="4" hidden="1">'ProLink Mapping'!$H$88</definedName>
    <definedName name="SD_34x1_91x25_4_S_0" localSheetId="4" hidden="1">'ProLink Mapping'!$C$88</definedName>
    <definedName name="SD_34x1_91x25_6_S_0" localSheetId="4" hidden="1">'ProLink Mapping'!$E$88</definedName>
    <definedName name="SD_34x1_91x25_7_S_0" localSheetId="4" hidden="1">'ProLink Mapping'!$J$88</definedName>
    <definedName name="SD_34x1_91x25_8_S_0" localSheetId="4" hidden="1">'ProLink Mapping'!$N$88</definedName>
    <definedName name="SD_34x1_91x25_9_S_0" localSheetId="4" hidden="1">'ProLink Mapping'!$L$88</definedName>
    <definedName name="SD_34x1_91x26_36_S_1" localSheetId="4" hidden="1">'ProLink Mapping'!$H$89</definedName>
    <definedName name="SD_34x1_91x26_4_S_0" localSheetId="4" hidden="1">'ProLink Mapping'!$C$89</definedName>
    <definedName name="SD_34x1_91x26_6_S_0" localSheetId="4" hidden="1">'ProLink Mapping'!$E$89</definedName>
    <definedName name="SD_34x1_91x26_7_S_0" localSheetId="4" hidden="1">'ProLink Mapping'!$J$89</definedName>
    <definedName name="SD_34x1_91x26_8_S_0" localSheetId="4" hidden="1">'ProLink Mapping'!$N$89</definedName>
    <definedName name="SD_34x1_91x26_9_S_0" localSheetId="4" hidden="1">'ProLink Mapping'!$L$89</definedName>
    <definedName name="SD_34x1_91x27_36_S_1" localSheetId="4" hidden="1">'ProLink Mapping'!$H$90</definedName>
    <definedName name="SD_34x1_91x27_4_S_0" localSheetId="4" hidden="1">'ProLink Mapping'!$C$90</definedName>
    <definedName name="SD_34x1_91x27_6_S_0" localSheetId="4" hidden="1">'ProLink Mapping'!$E$90</definedName>
    <definedName name="SD_34x1_91x27_7_S_0" localSheetId="4" hidden="1">'ProLink Mapping'!$J$90</definedName>
    <definedName name="SD_34x1_91x27_8_S_0" localSheetId="4" hidden="1">'ProLink Mapping'!$N$90</definedName>
    <definedName name="SD_34x1_91x27_9_S_0" localSheetId="4" hidden="1">'ProLink Mapping'!$L$90</definedName>
    <definedName name="SD_34x1_91x28_36_S_1" localSheetId="4" hidden="1">'ProLink Mapping'!$H$91</definedName>
    <definedName name="SD_34x1_91x28_4_S_0" localSheetId="4" hidden="1">'ProLink Mapping'!$C$91</definedName>
    <definedName name="SD_34x1_91x28_6_S_0" localSheetId="4" hidden="1">'ProLink Mapping'!$E$91</definedName>
    <definedName name="SD_34x1_91x28_7_S_0" localSheetId="4" hidden="1">'ProLink Mapping'!$J$91</definedName>
    <definedName name="SD_34x1_91x28_8_S_0" localSheetId="4" hidden="1">'ProLink Mapping'!$N$91</definedName>
    <definedName name="SD_34x1_91x28_9_S_0" localSheetId="4" hidden="1">'ProLink Mapping'!$L$91</definedName>
    <definedName name="SD_34x1_91x29_36_S_1" localSheetId="4" hidden="1">'ProLink Mapping'!$H$92</definedName>
    <definedName name="SD_34x1_91x29_4_S_0" localSheetId="4" hidden="1">'ProLink Mapping'!$C$92</definedName>
    <definedName name="SD_34x1_91x29_6_S_0" localSheetId="4" hidden="1">'ProLink Mapping'!$E$92</definedName>
    <definedName name="SD_34x1_91x29_7_S_0" localSheetId="4" hidden="1">'ProLink Mapping'!$J$92</definedName>
    <definedName name="SD_34x1_91x29_8_S_0" localSheetId="4" hidden="1">'ProLink Mapping'!$N$92</definedName>
    <definedName name="SD_34x1_91x29_9_S_0" localSheetId="4" hidden="1">'ProLink Mapping'!$L$92</definedName>
    <definedName name="SD_34x1_91x3_36_S_1" localSheetId="4" hidden="1">'ProLink Mapping'!$H$66</definedName>
    <definedName name="SD_34x1_91x3_4_S_0" localSheetId="4" hidden="1">'ProLink Mapping'!$C$66</definedName>
    <definedName name="SD_34x1_91x3_6_S_0" localSheetId="4" hidden="1">'ProLink Mapping'!$E$66</definedName>
    <definedName name="SD_34x1_91x3_7_S_0" localSheetId="4" hidden="1">'ProLink Mapping'!$J$66</definedName>
    <definedName name="SD_34x1_91x3_8_S_0" localSheetId="4" hidden="1">'ProLink Mapping'!$N$66</definedName>
    <definedName name="SD_34x1_91x3_9_S_0" localSheetId="4" hidden="1">'ProLink Mapping'!$L$66</definedName>
    <definedName name="SD_34x1_91x30_36_S_1" localSheetId="4" hidden="1">'ProLink Mapping'!$H$93</definedName>
    <definedName name="SD_34x1_91x30_4_S_0" localSheetId="4" hidden="1">'ProLink Mapping'!$C$93</definedName>
    <definedName name="SD_34x1_91x30_6_S_0" localSheetId="4" hidden="1">'ProLink Mapping'!$E$93</definedName>
    <definedName name="SD_34x1_91x30_7_S_0" localSheetId="4" hidden="1">'ProLink Mapping'!$J$93</definedName>
    <definedName name="SD_34x1_91x30_8_S_0" localSheetId="4" hidden="1">'ProLink Mapping'!$N$93</definedName>
    <definedName name="SD_34x1_91x30_9_S_0" localSheetId="4" hidden="1">'ProLink Mapping'!$L$93</definedName>
    <definedName name="SD_34x1_91x31_36_S_1" localSheetId="4" hidden="1">'ProLink Mapping'!$H$94</definedName>
    <definedName name="SD_34x1_91x31_4_S_0" localSheetId="4" hidden="1">'ProLink Mapping'!$C$94</definedName>
    <definedName name="SD_34x1_91x31_6_S_0" localSheetId="4" hidden="1">'ProLink Mapping'!$E$94</definedName>
    <definedName name="SD_34x1_91x31_7_S_0" localSheetId="4" hidden="1">'ProLink Mapping'!$J$94</definedName>
    <definedName name="SD_34x1_91x31_8_S_0" localSheetId="4" hidden="1">'ProLink Mapping'!$N$94</definedName>
    <definedName name="SD_34x1_91x31_9_S_0" localSheetId="4" hidden="1">'ProLink Mapping'!$L$94</definedName>
    <definedName name="SD_34x1_91x32_36_S_1" localSheetId="4" hidden="1">'ProLink Mapping'!$H$95</definedName>
    <definedName name="SD_34x1_91x32_4_S_0" localSheetId="4" hidden="1">'ProLink Mapping'!$C$95</definedName>
    <definedName name="SD_34x1_91x32_6_S_0" localSheetId="4" hidden="1">'ProLink Mapping'!$E$95</definedName>
    <definedName name="SD_34x1_91x32_7_S_0" localSheetId="4" hidden="1">'ProLink Mapping'!$J$95</definedName>
    <definedName name="SD_34x1_91x32_8_S_0" localSheetId="4" hidden="1">'ProLink Mapping'!$N$95</definedName>
    <definedName name="SD_34x1_91x32_9_S_0" localSheetId="4" hidden="1">'ProLink Mapping'!$L$95</definedName>
    <definedName name="SD_34x1_91x33_36_S_1" localSheetId="4" hidden="1">'ProLink Mapping'!$H$96</definedName>
    <definedName name="SD_34x1_91x33_4_S_0" localSheetId="4" hidden="1">'ProLink Mapping'!$C$96</definedName>
    <definedName name="SD_34x1_91x33_6_S_0" localSheetId="4" hidden="1">'ProLink Mapping'!$E$96</definedName>
    <definedName name="SD_34x1_91x33_7_S_0" localSheetId="4" hidden="1">'ProLink Mapping'!$J$96</definedName>
    <definedName name="SD_34x1_91x33_8_S_0" localSheetId="4" hidden="1">'ProLink Mapping'!$N$96</definedName>
    <definedName name="SD_34x1_91x33_9_S_0" localSheetId="4" hidden="1">'ProLink Mapping'!$L$96</definedName>
    <definedName name="SD_34x1_91x34_36_S_1" localSheetId="4" hidden="1">'ProLink Mapping'!$H$97</definedName>
    <definedName name="SD_34x1_91x34_4_S_0" localSheetId="4" hidden="1">'ProLink Mapping'!$C$97</definedName>
    <definedName name="SD_34x1_91x34_6_S_0" localSheetId="4" hidden="1">'ProLink Mapping'!$E$97</definedName>
    <definedName name="SD_34x1_91x34_7_S_0" localSheetId="4" hidden="1">'ProLink Mapping'!$J$97</definedName>
    <definedName name="SD_34x1_91x34_8_S_0" localSheetId="4" hidden="1">'ProLink Mapping'!$N$97</definedName>
    <definedName name="SD_34x1_91x34_9_S_0" localSheetId="4" hidden="1">'ProLink Mapping'!$L$97</definedName>
    <definedName name="SD_34x1_91x4_36_S_1" localSheetId="4" hidden="1">'ProLink Mapping'!$H$67</definedName>
    <definedName name="SD_34x1_91x4_4_S_0" localSheetId="4" hidden="1">'ProLink Mapping'!$C$67</definedName>
    <definedName name="SD_34x1_91x4_6_S_0" localSheetId="4" hidden="1">'ProLink Mapping'!$E$67</definedName>
    <definedName name="SD_34x1_91x4_7_S_0" localSheetId="4" hidden="1">'ProLink Mapping'!$J$67</definedName>
    <definedName name="SD_34x1_91x4_8_S_0" localSheetId="4" hidden="1">'ProLink Mapping'!$N$67</definedName>
    <definedName name="SD_34x1_91x4_9_S_0" localSheetId="4" hidden="1">'ProLink Mapping'!$L$67</definedName>
    <definedName name="SD_34x1_91x5_36_S_1" localSheetId="4" hidden="1">'ProLink Mapping'!$H$68</definedName>
    <definedName name="SD_34x1_91x5_4_S_0" localSheetId="4" hidden="1">'ProLink Mapping'!$C$68</definedName>
    <definedName name="SD_34x1_91x5_6_S_0" localSheetId="4" hidden="1">'ProLink Mapping'!$E$68</definedName>
    <definedName name="SD_34x1_91x5_7_S_0" localSheetId="4" hidden="1">'ProLink Mapping'!$J$68</definedName>
    <definedName name="SD_34x1_91x5_8_S_0" localSheetId="4" hidden="1">'ProLink Mapping'!$N$68</definedName>
    <definedName name="SD_34x1_91x5_9_S_0" localSheetId="4" hidden="1">'ProLink Mapping'!$L$68</definedName>
    <definedName name="SD_34x1_91x6_36_S_1" localSheetId="4" hidden="1">'ProLink Mapping'!$H$69</definedName>
    <definedName name="SD_34x1_91x6_4_S_0" localSheetId="4" hidden="1">'ProLink Mapping'!$C$69</definedName>
    <definedName name="SD_34x1_91x6_6_S_0" localSheetId="4" hidden="1">'ProLink Mapping'!$E$69</definedName>
    <definedName name="SD_34x1_91x6_7_S_0" localSheetId="4" hidden="1">'ProLink Mapping'!$J$69</definedName>
    <definedName name="SD_34x1_91x6_8_S_0" localSheetId="4" hidden="1">'ProLink Mapping'!$N$69</definedName>
    <definedName name="SD_34x1_91x6_9_S_0" localSheetId="4" hidden="1">'ProLink Mapping'!$L$69</definedName>
    <definedName name="SD_34x1_91x7_36_S_1" localSheetId="4" hidden="1">'ProLink Mapping'!$H$70</definedName>
    <definedName name="SD_34x1_91x7_4_S_0" localSheetId="4" hidden="1">'ProLink Mapping'!$C$70</definedName>
    <definedName name="SD_34x1_91x7_6_S_0" localSheetId="4" hidden="1">'ProLink Mapping'!$E$70</definedName>
    <definedName name="SD_34x1_91x7_7_S_0" localSheetId="4" hidden="1">'ProLink Mapping'!$J$70</definedName>
    <definedName name="SD_34x1_91x7_8_S_0" localSheetId="4" hidden="1">'ProLink Mapping'!$N$70</definedName>
    <definedName name="SD_34x1_91x7_9_S_0" localSheetId="4" hidden="1">'ProLink Mapping'!$L$70</definedName>
    <definedName name="SD_34x1_91x8_36_S_1" localSheetId="4" hidden="1">'ProLink Mapping'!$H$71</definedName>
    <definedName name="SD_34x1_91x8_4_S_0" localSheetId="4" hidden="1">'ProLink Mapping'!$C$71</definedName>
    <definedName name="SD_34x1_91x8_6_S_0" localSheetId="4" hidden="1">'ProLink Mapping'!$E$71</definedName>
    <definedName name="SD_34x1_91x8_7_S_0" localSheetId="4" hidden="1">'ProLink Mapping'!$J$71</definedName>
    <definedName name="SD_34x1_91x8_8_S_0" localSheetId="4" hidden="1">'ProLink Mapping'!$N$71</definedName>
    <definedName name="SD_34x1_91x8_9_S_0" localSheetId="4" hidden="1">'ProLink Mapping'!$L$71</definedName>
    <definedName name="SD_34x1_91x9_36_S_1" localSheetId="4" hidden="1">'ProLink Mapping'!$H$72</definedName>
    <definedName name="SD_34x1_91x9_4_S_0" localSheetId="4" hidden="1">'ProLink Mapping'!$C$72</definedName>
    <definedName name="SD_34x1_91x9_6_S_0" localSheetId="4" hidden="1">'ProLink Mapping'!$E$72</definedName>
    <definedName name="SD_34x1_91x9_7_S_0" localSheetId="4" hidden="1">'ProLink Mapping'!$J$72</definedName>
    <definedName name="SD_34x1_91x9_8_S_0" localSheetId="4" hidden="1">'ProLink Mapping'!$N$72</definedName>
    <definedName name="SD_34x1_91x9_9_S_0" localSheetId="4" hidden="1">'ProLink Mapping'!$L$72</definedName>
    <definedName name="SD_34x1_93_S_0" localSheetId="4" hidden="1">ProLink!$F$47</definedName>
    <definedName name="SD_34x1_98_S_0" localSheetId="4" hidden="1">ProLink!$F$53</definedName>
    <definedName name="SD_5565x1_182_G_0" localSheetId="7" hidden="1">ProLink!$F$7</definedName>
    <definedName name="SD_5565x1_184_G_1" localSheetId="7" hidden="1">ProLink!$F$8</definedName>
    <definedName name="SD_5565x1_200_G_0" localSheetId="4" hidden="1">'ProLink Mapping'!$Z$2</definedName>
    <definedName name="SD_5565x1_200_S_0" localSheetId="4" hidden="1">'ProLink Mapping'!$AB$2</definedName>
    <definedName name="SD_5565x1_241_S_0" localSheetId="4" hidden="1">'ProLink Mapping'!$Z$39</definedName>
    <definedName name="SD_5565x1_5730x1_104_S_0" localSheetId="4" hidden="1">'ProLink Mapping'!$AC$328</definedName>
    <definedName name="SD_5565x1_5730x1_109_S_0" localSheetId="4" hidden="1">'ProLink Mapping'!$AC$325</definedName>
    <definedName name="SD_5565x1_5730x1_110_S_0" localSheetId="4" hidden="1">'ProLink Mapping'!$AC$392</definedName>
    <definedName name="SD_5565x1_5730x1_112_S_0" localSheetId="4" hidden="1">'ProLink Mapping'!$AC$375</definedName>
    <definedName name="SD_5565x1_5730x1_115_S_0" localSheetId="4" hidden="1">'ProLink Mapping'!$AC$401</definedName>
    <definedName name="SD_5565x1_5730x1_116_S_0" localSheetId="4" hidden="1">'ProLink Mapping'!$AC$356</definedName>
    <definedName name="SD_5565x1_5730x1_118_S_0" localSheetId="4" hidden="1">'ProLink Mapping'!$AC$409</definedName>
    <definedName name="SD_5565x1_5730x1_119_S_0" localSheetId="4" hidden="1">'ProLink Mapping'!$AC$348</definedName>
    <definedName name="SD_5565x1_5730x1_120_S_0" localSheetId="4" hidden="1">'ProLink Mapping'!$AC$374</definedName>
    <definedName name="SD_5565x1_5730x1_121_S_0" localSheetId="4" hidden="1">'ProLink Mapping'!$AC$376</definedName>
    <definedName name="SD_5565x1_5730x1_122_S_0" localSheetId="4" hidden="1">'ProLink Mapping'!$AC$406</definedName>
    <definedName name="SD_5565x1_5730x1_125_S_0" localSheetId="4" hidden="1">'ProLink Mapping'!$AC$395</definedName>
    <definedName name="SD_5565x1_5730x1_126_S_0" localSheetId="4" hidden="1">'ProLink Mapping'!$AC$381</definedName>
    <definedName name="SD_5565x1_5730x1_129_S_0" localSheetId="4" hidden="1">'ProLink Mapping'!$AC$339</definedName>
    <definedName name="SD_5565x1_5730x1_131_S_0" localSheetId="4" hidden="1">'ProLink Mapping'!$AC$363</definedName>
    <definedName name="SD_5565x1_5730x1_134_S_0" localSheetId="4" hidden="1">'ProLink Mapping'!$AC$324</definedName>
    <definedName name="SD_5565x1_5730x1_135_S_0" localSheetId="4" hidden="1">'ProLink Mapping'!$AC$371</definedName>
    <definedName name="SD_5565x1_5730x1_136_S_0" localSheetId="4" hidden="1">'ProLink Mapping'!$AC$360</definedName>
    <definedName name="SD_5565x1_5730x1_138_S_0" localSheetId="4" hidden="1">'ProLink Mapping'!$AC$393</definedName>
    <definedName name="SD_5565x1_5730x1_139_S_0" localSheetId="4" hidden="1">'ProLink Mapping'!$AC$402</definedName>
    <definedName name="SD_5565x1_5730x1_140_S_0" localSheetId="4" hidden="1">'ProLink Mapping'!$AC$404</definedName>
    <definedName name="SD_5565x1_5730x1_141_S_0" localSheetId="4" hidden="1">'ProLink Mapping'!$AC$386</definedName>
    <definedName name="SD_5565x1_5730x1_142_S_0" localSheetId="4" hidden="1">'ProLink Mapping'!$AC$370</definedName>
    <definedName name="SD_5565x1_5730x1_144_S_0" localSheetId="4" hidden="1">'ProLink Mapping'!$AC$380</definedName>
    <definedName name="SD_5565x1_5730x1_145_S_0" localSheetId="4" hidden="1">'ProLink Mapping'!$AC$351</definedName>
    <definedName name="SD_5565x1_5730x1_146_S_0" localSheetId="4" hidden="1">'ProLink Mapping'!$AE$351</definedName>
    <definedName name="SD_5565x1_5730x1_147_S_0" localSheetId="4" hidden="1">'ProLink Mapping'!$AC$355</definedName>
    <definedName name="SD_5565x1_5730x1_148_S_0" localSheetId="4" hidden="1">'ProLink Mapping'!$AE$355</definedName>
    <definedName name="SD_5565x1_5730x1_149_S_0" localSheetId="4" hidden="1">'ProLink Mapping'!$AC$358</definedName>
    <definedName name="SD_5565x1_5730x1_150_S_0" localSheetId="4" hidden="1">'ProLink Mapping'!$AE$358</definedName>
    <definedName name="SD_5565x1_5730x1_151_S_0" localSheetId="4" hidden="1">'ProLink Mapping'!$AC$366</definedName>
    <definedName name="SD_5565x1_5730x1_153_S_0" localSheetId="4" hidden="1">'ProLink Mapping'!$AC$368</definedName>
    <definedName name="SD_5565x1_5730x1_154_S_0" localSheetId="4" hidden="1">'ProLink Mapping'!$AE$368</definedName>
    <definedName name="SD_5565x1_5730x1_155_S_0" localSheetId="4" hidden="1">'ProLink Mapping'!$AC$372</definedName>
    <definedName name="SD_5565x1_5730x1_156_S_0" localSheetId="4" hidden="1">'ProLink Mapping'!$AE$372</definedName>
    <definedName name="SD_5565x1_5730x1_157_S_0" localSheetId="4" hidden="1">'ProLink Mapping'!$AC$378</definedName>
    <definedName name="SD_5565x1_5730x1_158_S_0" localSheetId="4" hidden="1">'ProLink Mapping'!$AE$378</definedName>
    <definedName name="SD_5565x1_5730x1_159_S_0" localSheetId="4" hidden="1">'ProLink Mapping'!$AC$403</definedName>
    <definedName name="SD_5565x1_5730x1_160_S_0" localSheetId="4" hidden="1">'ProLink Mapping'!$AE$403</definedName>
    <definedName name="SD_5565x1_5730x1_161_S_0" localSheetId="4" hidden="1">'ProLink Mapping'!$AC$407</definedName>
    <definedName name="SD_5565x1_5730x1_162_S_0" localSheetId="4" hidden="1">'ProLink Mapping'!$AE$407</definedName>
    <definedName name="SD_5565x1_5730x1_167_S_0" localSheetId="4" hidden="1">'ProLink Mapping'!$AC$394</definedName>
    <definedName name="SD_5565x1_5730x1_168_S_0" localSheetId="4" hidden="1">'ProLink Mapping'!$AC$384</definedName>
    <definedName name="SD_5565x1_5730x1_169_S_0" localSheetId="4" hidden="1">'ProLink Mapping'!$AC$385</definedName>
    <definedName name="SD_5565x1_5730x1_173_S_0" localSheetId="4" hidden="1">'ProLink Mapping'!$AC$377</definedName>
    <definedName name="SD_5565x1_5730x1_174_S_0" localSheetId="4" hidden="1">'ProLink Mapping'!$AC$400</definedName>
    <definedName name="SD_5565x1_5730x1_175_S_0" localSheetId="4" hidden="1">'ProLink Mapping'!$AC$397</definedName>
    <definedName name="SD_5565x1_5730x1_177_S_0" localSheetId="4" hidden="1">'ProLink Mapping'!$AC$361</definedName>
    <definedName name="SD_5565x1_5730x1_178_S_0" localSheetId="4" hidden="1">'ProLink Mapping'!$AC$364</definedName>
    <definedName name="SD_5565x1_5730x1_179_S_0" localSheetId="4" hidden="1">'ProLink Mapping'!$AC$362</definedName>
    <definedName name="SD_5565x1_5730x1_181_S_0" localSheetId="4" hidden="1">'ProLink Mapping'!$AC$350</definedName>
    <definedName name="SD_5565x1_5730x1_191_S_0" localSheetId="4" hidden="1">'ProLink Mapping'!$AC$347</definedName>
    <definedName name="SD_5565x1_5730x1_48_S_0" localSheetId="4" hidden="1">'ProLink Mapping'!$AC$330</definedName>
    <definedName name="SD_5565x1_5730x1_60_S_0" localSheetId="4" hidden="1">'ProLink Mapping'!$AC$336</definedName>
    <definedName name="SD_5565x1_5730x1_69_S_0" localSheetId="4" hidden="1">'ProLink Mapping'!$AC$342</definedName>
    <definedName name="SD_5565x1_5730x1_73_S_0" localSheetId="4" hidden="1">'ProLink Mapping'!$AC$338</definedName>
    <definedName name="SD_5565x1_5730x1_75_S_0" localSheetId="4" hidden="1">'ProLink Mapping'!$AC$334</definedName>
    <definedName name="SD_5565x1_5730x1_76_S_0" localSheetId="4" hidden="1">'ProLink Mapping'!$AC$340</definedName>
    <definedName name="SD_5565x1_5730x1_77_S_0" localSheetId="4" hidden="1">'ProLink Mapping'!$AC$331</definedName>
    <definedName name="SD_5565x1_5730x1_78_S_0" localSheetId="4" hidden="1">'ProLink Mapping'!$AE$331</definedName>
    <definedName name="SD_5565x1_5730x1_79_S_0" localSheetId="4" hidden="1">'ProLink Mapping'!$AC$332</definedName>
    <definedName name="SD_5565x1_5730x1_80_S_0" localSheetId="4" hidden="1">'ProLink Mapping'!$AE$332</definedName>
    <definedName name="SD_5565x1_5730x1_81_S_0" localSheetId="4" hidden="1">'ProLink Mapping'!$AC$345</definedName>
    <definedName name="SD_5565x1_5730x1_82_S_0" localSheetId="4" hidden="1">'ProLink Mapping'!$AE$345</definedName>
    <definedName name="SD_5565x1_5730x1_84_S_0" localSheetId="4" hidden="1">'ProLink Mapping'!$AE$366</definedName>
    <definedName name="SD_5565x1_5730x1_87_S_0" localSheetId="4" hidden="1">'ProLink Mapping'!$AC$343</definedName>
    <definedName name="SD_5565x1_5730x1_91_S_0" localSheetId="4" hidden="1">'ProLink Mapping'!$AC$344</definedName>
    <definedName name="SD_5565x1_5730x1_99_S_0" localSheetId="4" hidden="1">'ProLink Mapping'!$AC$337</definedName>
    <definedName name="SD_5565x1_5892x1_68_S_1" localSheetId="4" hidden="1">'ProLink Mapping'!$AF$280</definedName>
    <definedName name="SD_5565x1_5892x1_69_S_1" localSheetId="4" hidden="1">'ProLink Mapping'!$AH$280</definedName>
    <definedName name="SD_5565x1_5892x1_70_S_1" localSheetId="4" hidden="1">'ProLink Mapping'!$AJ$280</definedName>
    <definedName name="SD_5565x1_5892x1_71_S_0" localSheetId="4" hidden="1">'ProLink Mapping'!$AL$280</definedName>
    <definedName name="SD_5565x1_5892x1_72_S_0" localSheetId="4" hidden="1">'ProLink Mapping'!$AN$280</definedName>
    <definedName name="SD_5565x1_5892x1_73_S_0" localSheetId="4" hidden="1">'ProLink Mapping'!$AP$280</definedName>
    <definedName name="SD_5565x1_5892x1_86_S_0" localSheetId="4" hidden="1">'ProLink Mapping'!$AR$280</definedName>
    <definedName name="SD_5565x1_5892x10_68_S_1" localSheetId="4" hidden="1">'ProLink Mapping'!$AF$289</definedName>
    <definedName name="SD_5565x1_5892x10_69_S_1" localSheetId="4" hidden="1">'ProLink Mapping'!$AH$289</definedName>
    <definedName name="SD_5565x1_5892x10_70_S_1" localSheetId="4" hidden="1">'ProLink Mapping'!$AJ$289</definedName>
    <definedName name="SD_5565x1_5892x10_71_S_0" localSheetId="4" hidden="1">'ProLink Mapping'!$AL$289</definedName>
    <definedName name="SD_5565x1_5892x10_72_S_0" localSheetId="4" hidden="1">'ProLink Mapping'!$AN$289</definedName>
    <definedName name="SD_5565x1_5892x10_73_S_0" localSheetId="4" hidden="1">'ProLink Mapping'!$AP$289</definedName>
    <definedName name="SD_5565x1_5892x10_86_S_0" localSheetId="4" hidden="1">'ProLink Mapping'!$AR$289</definedName>
    <definedName name="SD_5565x1_5892x11_68_S_1" localSheetId="4" hidden="1">'ProLink Mapping'!$Z$295</definedName>
    <definedName name="SD_5565x1_5892x11_69_S_1" localSheetId="4" hidden="1">'ProLink Mapping'!$AB$295</definedName>
    <definedName name="SD_5565x1_5892x11_70_S_1" localSheetId="4" hidden="1">'ProLink Mapping'!$AD$295</definedName>
    <definedName name="SD_5565x1_5892x11_71_S_0" localSheetId="4" hidden="1">'ProLink Mapping'!$AF$295</definedName>
    <definedName name="SD_5565x1_5892x11_72_S_0" localSheetId="4" hidden="1">'ProLink Mapping'!$AH$295</definedName>
    <definedName name="SD_5565x1_5892x11_73_S_0" localSheetId="4" hidden="1">'ProLink Mapping'!$AJ$295</definedName>
    <definedName name="SD_5565x1_5892x11_86_S_0" localSheetId="4" hidden="1">'ProLink Mapping'!$AL$295</definedName>
    <definedName name="SD_5565x1_5892x12_68_S_1" localSheetId="4" hidden="1">'ProLink Mapping'!$Z$296</definedName>
    <definedName name="SD_5565x1_5892x12_69_S_1" localSheetId="4" hidden="1">'ProLink Mapping'!$AB$296</definedName>
    <definedName name="SD_5565x1_5892x12_70_S_1" localSheetId="4" hidden="1">'ProLink Mapping'!$AD$296</definedName>
    <definedName name="SD_5565x1_5892x12_71_S_0" localSheetId="4" hidden="1">'ProLink Mapping'!$AF$296</definedName>
    <definedName name="SD_5565x1_5892x12_72_S_0" localSheetId="4" hidden="1">'ProLink Mapping'!$AH$296</definedName>
    <definedName name="SD_5565x1_5892x12_73_S_0" localSheetId="4" hidden="1">'ProLink Mapping'!$AJ$296</definedName>
    <definedName name="SD_5565x1_5892x12_86_S_0" localSheetId="4" hidden="1">'ProLink Mapping'!$AL$296</definedName>
    <definedName name="SD_5565x1_5892x13_68_S_1" localSheetId="4" hidden="1">'ProLink Mapping'!$Z$297</definedName>
    <definedName name="SD_5565x1_5892x13_69_S_1" localSheetId="4" hidden="1">'ProLink Mapping'!$AB$297</definedName>
    <definedName name="SD_5565x1_5892x13_70_S_1" localSheetId="4" hidden="1">'ProLink Mapping'!$AD$297</definedName>
    <definedName name="SD_5565x1_5892x13_71_S_0" localSheetId="4" hidden="1">'ProLink Mapping'!$AF$297</definedName>
    <definedName name="SD_5565x1_5892x13_72_S_0" localSheetId="4" hidden="1">'ProLink Mapping'!$AH$297</definedName>
    <definedName name="SD_5565x1_5892x13_73_S_0" localSheetId="4" hidden="1">'ProLink Mapping'!$AJ$297</definedName>
    <definedName name="SD_5565x1_5892x13_86_S_0" localSheetId="4" hidden="1">'ProLink Mapping'!$AL$297</definedName>
    <definedName name="SD_5565x1_5892x14_68_S_1" localSheetId="4" hidden="1">'ProLink Mapping'!$Z$298</definedName>
    <definedName name="SD_5565x1_5892x14_69_S_1" localSheetId="4" hidden="1">'ProLink Mapping'!$AB$298</definedName>
    <definedName name="SD_5565x1_5892x14_70_S_1" localSheetId="4" hidden="1">'ProLink Mapping'!$AD$298</definedName>
    <definedName name="SD_5565x1_5892x14_71_S_0" localSheetId="4" hidden="1">'ProLink Mapping'!$AF$298</definedName>
    <definedName name="SD_5565x1_5892x14_72_S_0" localSheetId="4" hidden="1">'ProLink Mapping'!$AH$298</definedName>
    <definedName name="SD_5565x1_5892x14_73_S_0" localSheetId="4" hidden="1">'ProLink Mapping'!$AJ$298</definedName>
    <definedName name="SD_5565x1_5892x14_86_S_0" localSheetId="4" hidden="1">'ProLink Mapping'!$AL$298</definedName>
    <definedName name="SD_5565x1_5892x15_68_S_1" localSheetId="4" hidden="1">'ProLink Mapping'!$Z$299</definedName>
    <definedName name="SD_5565x1_5892x15_69_S_1" localSheetId="4" hidden="1">'ProLink Mapping'!$AB$299</definedName>
    <definedName name="SD_5565x1_5892x15_70_S_1" localSheetId="4" hidden="1">'ProLink Mapping'!$AD$299</definedName>
    <definedName name="SD_5565x1_5892x15_71_S_0" localSheetId="4" hidden="1">'ProLink Mapping'!$AF$299</definedName>
    <definedName name="SD_5565x1_5892x15_72_S_0" localSheetId="4" hidden="1">'ProLink Mapping'!$AH$299</definedName>
    <definedName name="SD_5565x1_5892x15_73_S_0" localSheetId="4" hidden="1">'ProLink Mapping'!$AJ$299</definedName>
    <definedName name="SD_5565x1_5892x15_86_S_0" localSheetId="4" hidden="1">'ProLink Mapping'!$AL$299</definedName>
    <definedName name="SD_5565x1_5892x2_68_S_1" localSheetId="4" hidden="1">'ProLink Mapping'!$AF$281</definedName>
    <definedName name="SD_5565x1_5892x2_69_S_1" localSheetId="4" hidden="1">'ProLink Mapping'!$AH$281</definedName>
    <definedName name="SD_5565x1_5892x2_70_S_1" localSheetId="4" hidden="1">'ProLink Mapping'!$AJ$281</definedName>
    <definedName name="SD_5565x1_5892x2_71_S_0" localSheetId="4" hidden="1">'ProLink Mapping'!$AL$281</definedName>
    <definedName name="SD_5565x1_5892x2_72_S_0" localSheetId="4" hidden="1">'ProLink Mapping'!$AN$281</definedName>
    <definedName name="SD_5565x1_5892x2_73_S_0" localSheetId="4" hidden="1">'ProLink Mapping'!$AP$281</definedName>
    <definedName name="SD_5565x1_5892x2_86_S_0" localSheetId="4" hidden="1">'ProLink Mapping'!$AR$281</definedName>
    <definedName name="SD_5565x1_5892x3_68_S_1" localSheetId="4" hidden="1">'ProLink Mapping'!$AF$282</definedName>
    <definedName name="SD_5565x1_5892x3_69_S_1" localSheetId="4" hidden="1">'ProLink Mapping'!$AH$282</definedName>
    <definedName name="SD_5565x1_5892x3_70_S_1" localSheetId="4" hidden="1">'ProLink Mapping'!$AJ$282</definedName>
    <definedName name="SD_5565x1_5892x3_71_S_0" localSheetId="4" hidden="1">'ProLink Mapping'!$AL$282</definedName>
    <definedName name="SD_5565x1_5892x3_72_S_0" localSheetId="4" hidden="1">'ProLink Mapping'!$AN$282</definedName>
    <definedName name="SD_5565x1_5892x3_73_S_0" localSheetId="4" hidden="1">'ProLink Mapping'!$AP$282</definedName>
    <definedName name="SD_5565x1_5892x3_86_S_0" localSheetId="4" hidden="1">'ProLink Mapping'!$AR$282</definedName>
    <definedName name="SD_5565x1_5892x4_68_S_1" localSheetId="4" hidden="1">'ProLink Mapping'!$AF$283</definedName>
    <definedName name="SD_5565x1_5892x4_69_S_1" localSheetId="4" hidden="1">'ProLink Mapping'!$AH$283</definedName>
    <definedName name="SD_5565x1_5892x4_70_S_1" localSheetId="4" hidden="1">'ProLink Mapping'!$AJ$283</definedName>
    <definedName name="SD_5565x1_5892x4_71_S_0" localSheetId="4" hidden="1">'ProLink Mapping'!$AL$283</definedName>
    <definedName name="SD_5565x1_5892x4_72_S_0" localSheetId="4" hidden="1">'ProLink Mapping'!$AN$283</definedName>
    <definedName name="SD_5565x1_5892x4_73_S_0" localSheetId="4" hidden="1">'ProLink Mapping'!$AP$283</definedName>
    <definedName name="SD_5565x1_5892x4_86_S_0" localSheetId="4" hidden="1">'ProLink Mapping'!$AR$283</definedName>
    <definedName name="SD_5565x1_5892x5_68_S_1" localSheetId="4" hidden="1">'ProLink Mapping'!$AF$284</definedName>
    <definedName name="SD_5565x1_5892x5_69_S_1" localSheetId="4" hidden="1">'ProLink Mapping'!$AH$284</definedName>
    <definedName name="SD_5565x1_5892x5_70_S_1" localSheetId="4" hidden="1">'ProLink Mapping'!$AJ$284</definedName>
    <definedName name="SD_5565x1_5892x5_71_S_0" localSheetId="4" hidden="1">'ProLink Mapping'!$AL$284</definedName>
    <definedName name="SD_5565x1_5892x5_72_S_0" localSheetId="4" hidden="1">'ProLink Mapping'!$AN$284</definedName>
    <definedName name="SD_5565x1_5892x5_73_S_0" localSheetId="4" hidden="1">'ProLink Mapping'!$AP$284</definedName>
    <definedName name="SD_5565x1_5892x5_86_S_0" localSheetId="4" hidden="1">'ProLink Mapping'!$AR$284</definedName>
    <definedName name="SD_5565x1_5892x6_68_S_1" localSheetId="4" hidden="1">'ProLink Mapping'!$AF$285</definedName>
    <definedName name="SD_5565x1_5892x6_69_S_1" localSheetId="4" hidden="1">'ProLink Mapping'!$AH$285</definedName>
    <definedName name="SD_5565x1_5892x6_70_S_1" localSheetId="4" hidden="1">'ProLink Mapping'!$AJ$285</definedName>
    <definedName name="SD_5565x1_5892x6_71_S_0" localSheetId="4" hidden="1">'ProLink Mapping'!$AL$285</definedName>
    <definedName name="SD_5565x1_5892x6_72_S_0" localSheetId="4" hidden="1">'ProLink Mapping'!$AN$285</definedName>
    <definedName name="SD_5565x1_5892x6_73_S_0" localSheetId="4" hidden="1">'ProLink Mapping'!$AP$285</definedName>
    <definedName name="SD_5565x1_5892x6_86_S_0" localSheetId="4" hidden="1">'ProLink Mapping'!$AR$285</definedName>
    <definedName name="SD_5565x1_5892x7_68_S_1" localSheetId="4" hidden="1">'ProLink Mapping'!$AF$286</definedName>
    <definedName name="SD_5565x1_5892x7_69_S_1" localSheetId="4" hidden="1">'ProLink Mapping'!$AH$286</definedName>
    <definedName name="SD_5565x1_5892x7_70_S_1" localSheetId="4" hidden="1">'ProLink Mapping'!$AJ$286</definedName>
    <definedName name="SD_5565x1_5892x7_71_S_0" localSheetId="4" hidden="1">'ProLink Mapping'!$AL$286</definedName>
    <definedName name="SD_5565x1_5892x7_72_S_0" localSheetId="4" hidden="1">'ProLink Mapping'!$AN$286</definedName>
    <definedName name="SD_5565x1_5892x7_73_S_0" localSheetId="4" hidden="1">'ProLink Mapping'!$AP$286</definedName>
    <definedName name="SD_5565x1_5892x7_86_S_0" localSheetId="4" hidden="1">'ProLink Mapping'!$AR$286</definedName>
    <definedName name="SD_5565x1_5892x8_68_S_1" localSheetId="4" hidden="1">'ProLink Mapping'!$AF$287</definedName>
    <definedName name="SD_5565x1_5892x8_69_S_1" localSheetId="4" hidden="1">'ProLink Mapping'!$AH$287</definedName>
    <definedName name="SD_5565x1_5892x8_70_S_1" localSheetId="4" hidden="1">'ProLink Mapping'!$AJ$287</definedName>
    <definedName name="SD_5565x1_5892x8_71_S_0" localSheetId="4" hidden="1">'ProLink Mapping'!$AL$287</definedName>
    <definedName name="SD_5565x1_5892x8_72_S_0" localSheetId="4" hidden="1">'ProLink Mapping'!$AN$287</definedName>
    <definedName name="SD_5565x1_5892x8_73_S_0" localSheetId="4" hidden="1">'ProLink Mapping'!$AP$287</definedName>
    <definedName name="SD_5565x1_5892x8_86_S_0" localSheetId="4" hidden="1">'ProLink Mapping'!$AR$287</definedName>
    <definedName name="SD_5565x1_5892x9_68_S_1" localSheetId="4" hidden="1">'ProLink Mapping'!$AF$288</definedName>
    <definedName name="SD_5565x1_5892x9_69_S_1" localSheetId="4" hidden="1">'ProLink Mapping'!$AH$288</definedName>
    <definedName name="SD_5565x1_5892x9_70_S_1" localSheetId="4" hidden="1">'ProLink Mapping'!$AJ$288</definedName>
    <definedName name="SD_5565x1_5892x9_71_S_0" localSheetId="4" hidden="1">'ProLink Mapping'!$AL$288</definedName>
    <definedName name="SD_5565x1_5892x9_72_S_0" localSheetId="4" hidden="1">'ProLink Mapping'!$AN$288</definedName>
    <definedName name="SD_5565x1_5892x9_73_S_0" localSheetId="4" hidden="1">'ProLink Mapping'!$AP$288</definedName>
    <definedName name="SD_5565x1_5892x9_86_S_0" localSheetId="4" hidden="1">'ProLink Mapping'!$AR$288</definedName>
    <definedName name="SD_5565x1_5943x1_100_S_0" localSheetId="4" hidden="1">'ProLink Mapping'!$Z$180</definedName>
    <definedName name="SD_5565x1_5943x1_102_S_0" localSheetId="4" hidden="1">'ProLink Mapping'!$Z$187</definedName>
    <definedName name="SD_5565x1_5943x1_103_S_0" localSheetId="4" hidden="1">'ProLink Mapping'!$Z$181</definedName>
    <definedName name="SD_5565x1_5943x1_104_S_0" localSheetId="4" hidden="1">'ProLink Mapping'!$AB$180</definedName>
    <definedName name="SD_5565x1_5943x1_105_S_0" localSheetId="4" hidden="1">'ProLink Mapping'!$Z$175</definedName>
    <definedName name="SD_5565x1_5943x1_106_S_0" localSheetId="4" hidden="1">'ProLink Mapping'!$AB$188</definedName>
    <definedName name="SD_5565x1_5943x1_107_S_0" localSheetId="4" hidden="1">'ProLink Mapping'!$Z$179</definedName>
    <definedName name="SD_5565x1_5943x1_109_S_0" localSheetId="4" hidden="1">'ProLink Mapping'!$AB$185</definedName>
    <definedName name="SD_5565x1_5943x1_111_S_0" localSheetId="4" hidden="1">'ProLink Mapping'!$AD$176</definedName>
    <definedName name="SD_5565x1_5943x1_113_S_0" localSheetId="4" hidden="1">'ProLink Mapping'!$Z$177</definedName>
    <definedName name="SD_5565x1_5943x1_114_S_0" localSheetId="4" hidden="1">'ProLink Mapping'!$AB$177</definedName>
    <definedName name="SD_5565x1_5943x1_118_S_0" localSheetId="4" hidden="1">'ProLink Mapping'!$Z$178</definedName>
    <definedName name="SD_5565x1_5943x1_119_S_0" localSheetId="4" hidden="1">'ProLink Mapping'!$Y$178</definedName>
    <definedName name="SD_5565x1_5943x1_13_S_1" localSheetId="4" hidden="1">'ProLink Mapping'!$Z$6</definedName>
    <definedName name="SD_5565x1_5943x1_18_S_1" localSheetId="4" hidden="1">'ProLink Mapping'!$Z$5</definedName>
    <definedName name="SD_5565x1_5943x1_28_S_0" localSheetId="4" hidden="1">'ProLink Mapping'!$Z$3</definedName>
    <definedName name="SD_5565x1_5943x1_30_S_0" localSheetId="4" hidden="1">'ProLink Mapping'!$Z$4</definedName>
    <definedName name="SD_5565x1_5943x1_31_S_0" localSheetId="4" hidden="1">'ProLink Mapping'!$Z$11</definedName>
    <definedName name="SD_5565x1_5943x1_35_S_0" localSheetId="4" hidden="1">'ProLink Mapping'!$Z$266</definedName>
    <definedName name="SD_5565x1_5943x1_41_S_0" localSheetId="4" hidden="1">'ProLink Mapping'!$Z$20</definedName>
    <definedName name="SD_5565x1_5943x1_42_S_0" localSheetId="4" hidden="1">'ProLink Mapping'!$Z$262</definedName>
    <definedName name="SD_5565x1_5943x1_43_S_0" localSheetId="4" hidden="1">'ProLink Mapping'!$Z$267</definedName>
    <definedName name="SD_5565x1_5943x1_45_S_0" localSheetId="4" hidden="1">'ProLink Mapping'!$Z$263</definedName>
    <definedName name="SD_5565x1_5943x1_46_S_0" localSheetId="4" hidden="1">'ProLink Mapping'!$Z$265</definedName>
    <definedName name="SD_5565x1_5943x1_48_S_0" localSheetId="4" hidden="1">'ProLink Mapping'!$Z$264</definedName>
    <definedName name="SD_5565x1_5943x1_50_S_0" localSheetId="4" hidden="1">'ProLink Mapping'!$Z$52</definedName>
    <definedName name="SD_5565x1_5943x1_57_S_0" localSheetId="4" hidden="1">'ProLink Mapping'!$Z$53</definedName>
    <definedName name="SD_5565x1_5943x1_5980x1_6014x1_150_S_1" localSheetId="4" hidden="1">'ProLink Mapping'!$Z$197</definedName>
    <definedName name="SD_5565x1_5943x1_5980x1_6014x1_151_S_1" localSheetId="4" hidden="1">'ProLink Mapping'!$AB$197</definedName>
    <definedName name="SD_5565x1_5943x1_5980x1_6014x1_154_S_0" localSheetId="4" hidden="1">'ProLink Mapping'!$AH$197</definedName>
    <definedName name="SD_5565x1_5943x1_5980x1_6014x1_155_S_0" localSheetId="4" hidden="1">'ProLink Mapping'!$AF$197</definedName>
    <definedName name="SD_5565x1_5943x1_5980x1_6014x1_156_S_0" localSheetId="4" hidden="1">'ProLink Mapping'!$AD$197</definedName>
    <definedName name="SD_5565x1_5943x1_5980x1_6014x1_197_S_1" localSheetId="4" hidden="1">'ProLink Mapping'!$AL$197</definedName>
    <definedName name="SD_5565x1_5943x1_5980x1_6014x10_150_S_1" localSheetId="4" hidden="1">'ProLink Mapping'!$Z$206</definedName>
    <definedName name="SD_5565x1_5943x1_5980x1_6014x10_151_S_1" localSheetId="4" hidden="1">'ProLink Mapping'!$AB$206</definedName>
    <definedName name="SD_5565x1_5943x1_5980x1_6014x10_154_S_0" localSheetId="4" hidden="1">'ProLink Mapping'!$AH$206</definedName>
    <definedName name="SD_5565x1_5943x1_5980x1_6014x10_155_S_0" localSheetId="4" hidden="1">'ProLink Mapping'!$AF$206</definedName>
    <definedName name="SD_5565x1_5943x1_5980x1_6014x10_156_S_0" localSheetId="4" hidden="1">'ProLink Mapping'!$AD$206</definedName>
    <definedName name="SD_5565x1_5943x1_5980x1_6014x10_197_S_1" localSheetId="4" hidden="1">'ProLink Mapping'!$AL$206</definedName>
    <definedName name="SD_5565x1_5943x1_5980x1_6014x11_150_S_1" localSheetId="4" hidden="1">'ProLink Mapping'!$Z$207</definedName>
    <definedName name="SD_5565x1_5943x1_5980x1_6014x11_151_S_1" localSheetId="4" hidden="1">'ProLink Mapping'!$AB$207</definedName>
    <definedName name="SD_5565x1_5943x1_5980x1_6014x11_154_S_0" localSheetId="4" hidden="1">'ProLink Mapping'!$AH$207</definedName>
    <definedName name="SD_5565x1_5943x1_5980x1_6014x11_155_S_0" localSheetId="4" hidden="1">'ProLink Mapping'!$AF$207</definedName>
    <definedName name="SD_5565x1_5943x1_5980x1_6014x11_156_S_0" localSheetId="4" hidden="1">'ProLink Mapping'!$AD$207</definedName>
    <definedName name="SD_5565x1_5943x1_5980x1_6014x11_197_S_1" localSheetId="4" hidden="1">'ProLink Mapping'!$AL$207</definedName>
    <definedName name="SD_5565x1_5943x1_5980x1_6014x12_150_S_1" localSheetId="4" hidden="1">'ProLink Mapping'!$Z$208</definedName>
    <definedName name="SD_5565x1_5943x1_5980x1_6014x12_151_S_1" localSheetId="4" hidden="1">'ProLink Mapping'!$AB$208</definedName>
    <definedName name="SD_5565x1_5943x1_5980x1_6014x12_154_S_0" localSheetId="4" hidden="1">'ProLink Mapping'!$AH$208</definedName>
    <definedName name="SD_5565x1_5943x1_5980x1_6014x12_155_S_0" localSheetId="4" hidden="1">'ProLink Mapping'!$AF$208</definedName>
    <definedName name="SD_5565x1_5943x1_5980x1_6014x12_156_S_0" localSheetId="4" hidden="1">'ProLink Mapping'!$AD$208</definedName>
    <definedName name="SD_5565x1_5943x1_5980x1_6014x12_197_S_1" localSheetId="4" hidden="1">'ProLink Mapping'!$AL$208</definedName>
    <definedName name="SD_5565x1_5943x1_5980x1_6014x13_150_S_1" localSheetId="4" hidden="1">'ProLink Mapping'!$Z$209</definedName>
    <definedName name="SD_5565x1_5943x1_5980x1_6014x13_151_S_1" localSheetId="4" hidden="1">'ProLink Mapping'!$AB$209</definedName>
    <definedName name="SD_5565x1_5943x1_5980x1_6014x13_154_S_0" localSheetId="4" hidden="1">'ProLink Mapping'!$AH$209</definedName>
    <definedName name="SD_5565x1_5943x1_5980x1_6014x13_155_S_0" localSheetId="4" hidden="1">'ProLink Mapping'!$AF$209</definedName>
    <definedName name="SD_5565x1_5943x1_5980x1_6014x13_156_S_0" localSheetId="4" hidden="1">'ProLink Mapping'!$AD$209</definedName>
    <definedName name="SD_5565x1_5943x1_5980x1_6014x13_197_S_1" localSheetId="4" hidden="1">'ProLink Mapping'!$AL$209</definedName>
    <definedName name="SD_5565x1_5943x1_5980x1_6014x14_150_S_1" localSheetId="4" hidden="1">'ProLink Mapping'!$Z$210</definedName>
    <definedName name="SD_5565x1_5943x1_5980x1_6014x14_151_S_1" localSheetId="4" hidden="1">'ProLink Mapping'!$AB$210</definedName>
    <definedName name="SD_5565x1_5943x1_5980x1_6014x14_154_S_0" localSheetId="4" hidden="1">'ProLink Mapping'!$AH$210</definedName>
    <definedName name="SD_5565x1_5943x1_5980x1_6014x14_155_S_0" localSheetId="4" hidden="1">'ProLink Mapping'!$AF$210</definedName>
    <definedName name="SD_5565x1_5943x1_5980x1_6014x14_156_S_0" localSheetId="4" hidden="1">'ProLink Mapping'!$AD$210</definedName>
    <definedName name="SD_5565x1_5943x1_5980x1_6014x14_197_S_1" localSheetId="4" hidden="1">'ProLink Mapping'!$AL$210</definedName>
    <definedName name="SD_5565x1_5943x1_5980x1_6014x15_150_S_1" localSheetId="4" hidden="1">'ProLink Mapping'!$Z$211</definedName>
    <definedName name="SD_5565x1_5943x1_5980x1_6014x15_151_S_1" localSheetId="4" hidden="1">'ProLink Mapping'!$AB$211</definedName>
    <definedName name="SD_5565x1_5943x1_5980x1_6014x15_154_S_0" localSheetId="4" hidden="1">'ProLink Mapping'!$AH$211</definedName>
    <definedName name="SD_5565x1_5943x1_5980x1_6014x15_155_S_0" localSheetId="4" hidden="1">'ProLink Mapping'!$AF$211</definedName>
    <definedName name="SD_5565x1_5943x1_5980x1_6014x15_156_S_0" localSheetId="4" hidden="1">'ProLink Mapping'!$AD$211</definedName>
    <definedName name="SD_5565x1_5943x1_5980x1_6014x15_197_S_1" localSheetId="4" hidden="1">'ProLink Mapping'!$AL$211</definedName>
    <definedName name="SD_5565x1_5943x1_5980x1_6014x16_150_S_1" localSheetId="4" hidden="1">'ProLink Mapping'!$Z$212</definedName>
    <definedName name="SD_5565x1_5943x1_5980x1_6014x16_151_S_1" localSheetId="4" hidden="1">'ProLink Mapping'!$AB$212</definedName>
    <definedName name="SD_5565x1_5943x1_5980x1_6014x16_154_S_0" localSheetId="4" hidden="1">'ProLink Mapping'!$AH$212</definedName>
    <definedName name="SD_5565x1_5943x1_5980x1_6014x16_155_S_0" localSheetId="4" hidden="1">'ProLink Mapping'!$AF$212</definedName>
    <definedName name="SD_5565x1_5943x1_5980x1_6014x16_156_S_0" localSheetId="4" hidden="1">'ProLink Mapping'!$AD$212</definedName>
    <definedName name="SD_5565x1_5943x1_5980x1_6014x16_197_S_1" localSheetId="4" hidden="1">'ProLink Mapping'!$AL$212</definedName>
    <definedName name="SD_5565x1_5943x1_5980x1_6014x17_150_S_1" localSheetId="4" hidden="1">'ProLink Mapping'!$Z$213</definedName>
    <definedName name="SD_5565x1_5943x1_5980x1_6014x17_151_S_1" localSheetId="4" hidden="1">'ProLink Mapping'!$AB$213</definedName>
    <definedName name="SD_5565x1_5943x1_5980x1_6014x17_154_S_0" localSheetId="4" hidden="1">'ProLink Mapping'!$AH$213</definedName>
    <definedName name="SD_5565x1_5943x1_5980x1_6014x17_155_S_0" localSheetId="4" hidden="1">'ProLink Mapping'!$AF$213</definedName>
    <definedName name="SD_5565x1_5943x1_5980x1_6014x17_156_S_0" localSheetId="4" hidden="1">'ProLink Mapping'!$AD$213</definedName>
    <definedName name="SD_5565x1_5943x1_5980x1_6014x17_197_S_1" localSheetId="4" hidden="1">'ProLink Mapping'!$AL$213</definedName>
    <definedName name="SD_5565x1_5943x1_5980x1_6014x18_150_S_1" localSheetId="4" hidden="1">'ProLink Mapping'!$Z$214</definedName>
    <definedName name="SD_5565x1_5943x1_5980x1_6014x18_151_S_1" localSheetId="4" hidden="1">'ProLink Mapping'!$AB$214</definedName>
    <definedName name="SD_5565x1_5943x1_5980x1_6014x18_154_S_0" localSheetId="4" hidden="1">'ProLink Mapping'!$AH$214</definedName>
    <definedName name="SD_5565x1_5943x1_5980x1_6014x18_155_S_0" localSheetId="4" hidden="1">'ProLink Mapping'!$AF$214</definedName>
    <definedName name="SD_5565x1_5943x1_5980x1_6014x18_156_S_0" localSheetId="4" hidden="1">'ProLink Mapping'!$AD$214</definedName>
    <definedName name="SD_5565x1_5943x1_5980x1_6014x18_197_S_1" localSheetId="4" hidden="1">'ProLink Mapping'!$AL$214</definedName>
    <definedName name="SD_5565x1_5943x1_5980x1_6014x19_150_S_1" localSheetId="4" hidden="1">'ProLink Mapping'!$Z$215</definedName>
    <definedName name="SD_5565x1_5943x1_5980x1_6014x19_151_S_1" localSheetId="4" hidden="1">'ProLink Mapping'!$AB$215</definedName>
    <definedName name="SD_5565x1_5943x1_5980x1_6014x19_154_S_0" localSheetId="4" hidden="1">'ProLink Mapping'!$AH$215</definedName>
    <definedName name="SD_5565x1_5943x1_5980x1_6014x19_155_S_0" localSheetId="4" hidden="1">'ProLink Mapping'!$AF$215</definedName>
    <definedName name="SD_5565x1_5943x1_5980x1_6014x19_156_S_0" localSheetId="4" hidden="1">'ProLink Mapping'!$AD$215</definedName>
    <definedName name="SD_5565x1_5943x1_5980x1_6014x19_197_S_1" localSheetId="4" hidden="1">'ProLink Mapping'!$AL$215</definedName>
    <definedName name="SD_5565x1_5943x1_5980x1_6014x2_150_S_1" localSheetId="4" hidden="1">'ProLink Mapping'!$Z$198</definedName>
    <definedName name="SD_5565x1_5943x1_5980x1_6014x2_151_S_1" localSheetId="4" hidden="1">'ProLink Mapping'!$AB$198</definedName>
    <definedName name="SD_5565x1_5943x1_5980x1_6014x2_154_S_0" localSheetId="4" hidden="1">'ProLink Mapping'!$AH$198</definedName>
    <definedName name="SD_5565x1_5943x1_5980x1_6014x2_155_S_0" localSheetId="4" hidden="1">'ProLink Mapping'!$AF$198</definedName>
    <definedName name="SD_5565x1_5943x1_5980x1_6014x2_156_S_0" localSheetId="4" hidden="1">'ProLink Mapping'!$AD$198</definedName>
    <definedName name="SD_5565x1_5943x1_5980x1_6014x2_197_S_1" localSheetId="4" hidden="1">'ProLink Mapping'!$AL$198</definedName>
    <definedName name="SD_5565x1_5943x1_5980x1_6014x20_150_S_1" localSheetId="4" hidden="1">'ProLink Mapping'!$Z$216</definedName>
    <definedName name="SD_5565x1_5943x1_5980x1_6014x20_151_S_1" localSheetId="4" hidden="1">'ProLink Mapping'!$AB$216</definedName>
    <definedName name="SD_5565x1_5943x1_5980x1_6014x20_154_S_0" localSheetId="4" hidden="1">'ProLink Mapping'!$AH$216</definedName>
    <definedName name="SD_5565x1_5943x1_5980x1_6014x20_155_S_0" localSheetId="4" hidden="1">'ProLink Mapping'!$AF$216</definedName>
    <definedName name="SD_5565x1_5943x1_5980x1_6014x20_156_S_0" localSheetId="4" hidden="1">'ProLink Mapping'!$AD$216</definedName>
    <definedName name="SD_5565x1_5943x1_5980x1_6014x20_197_S_1" localSheetId="4" hidden="1">'ProLink Mapping'!$AL$216</definedName>
    <definedName name="SD_5565x1_5943x1_5980x1_6014x21_150_S_1" localSheetId="4" hidden="1">'ProLink Mapping'!$Z$217</definedName>
    <definedName name="SD_5565x1_5943x1_5980x1_6014x21_151_S_1" localSheetId="4" hidden="1">'ProLink Mapping'!$AB$217</definedName>
    <definedName name="SD_5565x1_5943x1_5980x1_6014x21_154_S_0" localSheetId="4" hidden="1">'ProLink Mapping'!$AH$217</definedName>
    <definedName name="SD_5565x1_5943x1_5980x1_6014x21_155_S_0" localSheetId="4" hidden="1">'ProLink Mapping'!$AF$217</definedName>
    <definedName name="SD_5565x1_5943x1_5980x1_6014x21_156_S_0" localSheetId="4" hidden="1">'ProLink Mapping'!$AD$217</definedName>
    <definedName name="SD_5565x1_5943x1_5980x1_6014x21_197_S_1" localSheetId="4" hidden="1">'ProLink Mapping'!$AL$217</definedName>
    <definedName name="SD_5565x1_5943x1_5980x1_6014x22_150_S_1" localSheetId="4" hidden="1">'ProLink Mapping'!$Z$218</definedName>
    <definedName name="SD_5565x1_5943x1_5980x1_6014x22_151_S_1" localSheetId="4" hidden="1">'ProLink Mapping'!$AB$218</definedName>
    <definedName name="SD_5565x1_5943x1_5980x1_6014x22_154_S_0" localSheetId="4" hidden="1">'ProLink Mapping'!$AH$218</definedName>
    <definedName name="SD_5565x1_5943x1_5980x1_6014x22_155_S_0" localSheetId="4" hidden="1">'ProLink Mapping'!$AF$218</definedName>
    <definedName name="SD_5565x1_5943x1_5980x1_6014x22_156_S_0" localSheetId="4" hidden="1">'ProLink Mapping'!$AD$218</definedName>
    <definedName name="SD_5565x1_5943x1_5980x1_6014x22_197_S_1" localSheetId="4" hidden="1">'ProLink Mapping'!$AL$218</definedName>
    <definedName name="SD_5565x1_5943x1_5980x1_6014x23_150_S_1" localSheetId="4" hidden="1">'ProLink Mapping'!$Z$219</definedName>
    <definedName name="SD_5565x1_5943x1_5980x1_6014x23_151_S_1" localSheetId="4" hidden="1">'ProLink Mapping'!$AB$219</definedName>
    <definedName name="SD_5565x1_5943x1_5980x1_6014x23_154_S_0" localSheetId="4" hidden="1">'ProLink Mapping'!$AH$219</definedName>
    <definedName name="SD_5565x1_5943x1_5980x1_6014x23_155_S_0" localSheetId="4" hidden="1">'ProLink Mapping'!$AF$219</definedName>
    <definedName name="SD_5565x1_5943x1_5980x1_6014x23_156_S_0" localSheetId="4" hidden="1">'ProLink Mapping'!$AD$219</definedName>
    <definedName name="SD_5565x1_5943x1_5980x1_6014x23_197_S_1" localSheetId="4" hidden="1">'ProLink Mapping'!$AL$219</definedName>
    <definedName name="SD_5565x1_5943x1_5980x1_6014x24_150_S_1" localSheetId="4" hidden="1">'ProLink Mapping'!$Z$220</definedName>
    <definedName name="SD_5565x1_5943x1_5980x1_6014x24_151_S_1" localSheetId="4" hidden="1">'ProLink Mapping'!$AB$220</definedName>
    <definedName name="SD_5565x1_5943x1_5980x1_6014x24_154_S_0" localSheetId="4" hidden="1">'ProLink Mapping'!$AH$220</definedName>
    <definedName name="SD_5565x1_5943x1_5980x1_6014x24_155_S_0" localSheetId="4" hidden="1">'ProLink Mapping'!$AF$220</definedName>
    <definedName name="SD_5565x1_5943x1_5980x1_6014x24_156_S_0" localSheetId="4" hidden="1">'ProLink Mapping'!$AD$220</definedName>
    <definedName name="SD_5565x1_5943x1_5980x1_6014x24_197_S_1" localSheetId="4" hidden="1">'ProLink Mapping'!$AL$220</definedName>
    <definedName name="SD_5565x1_5943x1_5980x1_6014x25_150_S_1" localSheetId="4" hidden="1">'ProLink Mapping'!$Z$221</definedName>
    <definedName name="SD_5565x1_5943x1_5980x1_6014x25_151_S_1" localSheetId="4" hidden="1">'ProLink Mapping'!$AB$221</definedName>
    <definedName name="SD_5565x1_5943x1_5980x1_6014x25_154_S_0" localSheetId="4" hidden="1">'ProLink Mapping'!$AH$221</definedName>
    <definedName name="SD_5565x1_5943x1_5980x1_6014x25_155_S_0" localSheetId="4" hidden="1">'ProLink Mapping'!$AF$221</definedName>
    <definedName name="SD_5565x1_5943x1_5980x1_6014x25_156_S_0" localSheetId="4" hidden="1">'ProLink Mapping'!$AD$221</definedName>
    <definedName name="SD_5565x1_5943x1_5980x1_6014x25_197_S_1" localSheetId="4" hidden="1">'ProLink Mapping'!$AL$221</definedName>
    <definedName name="SD_5565x1_5943x1_5980x1_6014x26_150_S_1" localSheetId="4" hidden="1">'ProLink Mapping'!$Z$222</definedName>
    <definedName name="SD_5565x1_5943x1_5980x1_6014x26_151_S_1" localSheetId="4" hidden="1">'ProLink Mapping'!$AB$222</definedName>
    <definedName name="SD_5565x1_5943x1_5980x1_6014x26_154_S_0" localSheetId="4" hidden="1">'ProLink Mapping'!$AH$222</definedName>
    <definedName name="SD_5565x1_5943x1_5980x1_6014x26_155_S_0" localSheetId="4" hidden="1">'ProLink Mapping'!$AF$222</definedName>
    <definedName name="SD_5565x1_5943x1_5980x1_6014x26_156_S_0" localSheetId="4" hidden="1">'ProLink Mapping'!$AD$222</definedName>
    <definedName name="SD_5565x1_5943x1_5980x1_6014x26_197_S_1" localSheetId="4" hidden="1">'ProLink Mapping'!$AL$222</definedName>
    <definedName name="SD_5565x1_5943x1_5980x1_6014x27_150_S_1" localSheetId="4" hidden="1">'ProLink Mapping'!$Z$223</definedName>
    <definedName name="SD_5565x1_5943x1_5980x1_6014x27_151_S_1" localSheetId="4" hidden="1">'ProLink Mapping'!$AB$223</definedName>
    <definedName name="SD_5565x1_5943x1_5980x1_6014x27_154_S_0" localSheetId="4" hidden="1">'ProLink Mapping'!$AH$223</definedName>
    <definedName name="SD_5565x1_5943x1_5980x1_6014x27_155_S_0" localSheetId="4" hidden="1">'ProLink Mapping'!$AF$223</definedName>
    <definedName name="SD_5565x1_5943x1_5980x1_6014x27_156_S_0" localSheetId="4" hidden="1">'ProLink Mapping'!$AD$223</definedName>
    <definedName name="SD_5565x1_5943x1_5980x1_6014x27_197_S_1" localSheetId="4" hidden="1">'ProLink Mapping'!$AL$223</definedName>
    <definedName name="SD_5565x1_5943x1_5980x1_6014x28_150_S_1" localSheetId="4" hidden="1">'ProLink Mapping'!$Z$224</definedName>
    <definedName name="SD_5565x1_5943x1_5980x1_6014x28_151_S_1" localSheetId="4" hidden="1">'ProLink Mapping'!$AB$224</definedName>
    <definedName name="SD_5565x1_5943x1_5980x1_6014x28_154_S_0" localSheetId="4" hidden="1">'ProLink Mapping'!$AH$224</definedName>
    <definedName name="SD_5565x1_5943x1_5980x1_6014x28_155_S_0" localSheetId="4" hidden="1">'ProLink Mapping'!$AF$224</definedName>
    <definedName name="SD_5565x1_5943x1_5980x1_6014x28_156_S_0" localSheetId="4" hidden="1">'ProLink Mapping'!$AD$224</definedName>
    <definedName name="SD_5565x1_5943x1_5980x1_6014x28_197_S_1" localSheetId="4" hidden="1">'ProLink Mapping'!$AL$224</definedName>
    <definedName name="SD_5565x1_5943x1_5980x1_6014x29_150_S_1" localSheetId="4" hidden="1">'ProLink Mapping'!$Z$225</definedName>
    <definedName name="SD_5565x1_5943x1_5980x1_6014x29_151_S_1" localSheetId="4" hidden="1">'ProLink Mapping'!$AB$225</definedName>
    <definedName name="SD_5565x1_5943x1_5980x1_6014x29_154_S_0" localSheetId="4" hidden="1">'ProLink Mapping'!$AH$225</definedName>
    <definedName name="SD_5565x1_5943x1_5980x1_6014x29_155_S_0" localSheetId="4" hidden="1">'ProLink Mapping'!$AF$225</definedName>
    <definedName name="SD_5565x1_5943x1_5980x1_6014x29_156_S_0" localSheetId="4" hidden="1">'ProLink Mapping'!$AD$225</definedName>
    <definedName name="SD_5565x1_5943x1_5980x1_6014x29_197_S_1" localSheetId="4" hidden="1">'ProLink Mapping'!$AL$225</definedName>
    <definedName name="SD_5565x1_5943x1_5980x1_6014x3_150_S_1" localSheetId="4" hidden="1">'ProLink Mapping'!$Z$199</definedName>
    <definedName name="SD_5565x1_5943x1_5980x1_6014x3_151_S_1" localSheetId="4" hidden="1">'ProLink Mapping'!$AB$199</definedName>
    <definedName name="SD_5565x1_5943x1_5980x1_6014x3_154_S_0" localSheetId="4" hidden="1">'ProLink Mapping'!$AH$199</definedName>
    <definedName name="SD_5565x1_5943x1_5980x1_6014x3_155_S_0" localSheetId="4" hidden="1">'ProLink Mapping'!$AF$199</definedName>
    <definedName name="SD_5565x1_5943x1_5980x1_6014x3_156_S_0" localSheetId="4" hidden="1">'ProLink Mapping'!$AD$199</definedName>
    <definedName name="SD_5565x1_5943x1_5980x1_6014x3_197_S_1" localSheetId="4" hidden="1">'ProLink Mapping'!$AL$199</definedName>
    <definedName name="SD_5565x1_5943x1_5980x1_6014x30_150_S_1" localSheetId="4" hidden="1">'ProLink Mapping'!$Z$226</definedName>
    <definedName name="SD_5565x1_5943x1_5980x1_6014x30_151_S_1" localSheetId="4" hidden="1">'ProLink Mapping'!$AB$226</definedName>
    <definedName name="SD_5565x1_5943x1_5980x1_6014x30_154_S_0" localSheetId="4" hidden="1">'ProLink Mapping'!$AH$226</definedName>
    <definedName name="SD_5565x1_5943x1_5980x1_6014x30_155_S_0" localSheetId="4" hidden="1">'ProLink Mapping'!$AF$226</definedName>
    <definedName name="SD_5565x1_5943x1_5980x1_6014x30_156_S_0" localSheetId="4" hidden="1">'ProLink Mapping'!$AD$226</definedName>
    <definedName name="SD_5565x1_5943x1_5980x1_6014x30_197_S_1" localSheetId="4" hidden="1">'ProLink Mapping'!$AL$226</definedName>
    <definedName name="SD_5565x1_5943x1_5980x1_6014x31_150_S_1" localSheetId="4" hidden="1">'ProLink Mapping'!$Z$227</definedName>
    <definedName name="SD_5565x1_5943x1_5980x1_6014x31_151_S_1" localSheetId="4" hidden="1">'ProLink Mapping'!$AB$227</definedName>
    <definedName name="SD_5565x1_5943x1_5980x1_6014x31_154_S_0" localSheetId="4" hidden="1">'ProLink Mapping'!$AH$227</definedName>
    <definedName name="SD_5565x1_5943x1_5980x1_6014x31_155_S_0" localSheetId="4" hidden="1">'ProLink Mapping'!$AF$227</definedName>
    <definedName name="SD_5565x1_5943x1_5980x1_6014x31_156_S_0" localSheetId="4" hidden="1">'ProLink Mapping'!$AD$227</definedName>
    <definedName name="SD_5565x1_5943x1_5980x1_6014x31_197_S_1" localSheetId="4" hidden="1">'ProLink Mapping'!$AL$227</definedName>
    <definedName name="SD_5565x1_5943x1_5980x1_6014x32_150_S_1" localSheetId="4" hidden="1">'ProLink Mapping'!$Z$228</definedName>
    <definedName name="SD_5565x1_5943x1_5980x1_6014x32_151_S_1" localSheetId="4" hidden="1">'ProLink Mapping'!$AB$228</definedName>
    <definedName name="SD_5565x1_5943x1_5980x1_6014x32_154_S_0" localSheetId="4" hidden="1">'ProLink Mapping'!$AH$228</definedName>
    <definedName name="SD_5565x1_5943x1_5980x1_6014x32_155_S_0" localSheetId="4" hidden="1">'ProLink Mapping'!$AF$228</definedName>
    <definedName name="SD_5565x1_5943x1_5980x1_6014x32_156_S_0" localSheetId="4" hidden="1">'ProLink Mapping'!$AD$228</definedName>
    <definedName name="SD_5565x1_5943x1_5980x1_6014x32_197_S_1" localSheetId="4" hidden="1">'ProLink Mapping'!$AL$228</definedName>
    <definedName name="SD_5565x1_5943x1_5980x1_6014x33_150_S_1" localSheetId="4" hidden="1">'ProLink Mapping'!$Z$229</definedName>
    <definedName name="SD_5565x1_5943x1_5980x1_6014x33_151_S_1" localSheetId="4" hidden="1">'ProLink Mapping'!$AB$229</definedName>
    <definedName name="SD_5565x1_5943x1_5980x1_6014x33_154_S_0" localSheetId="4" hidden="1">'ProLink Mapping'!$AH$229</definedName>
    <definedName name="SD_5565x1_5943x1_5980x1_6014x33_155_S_0" localSheetId="4" hidden="1">'ProLink Mapping'!$AF$229</definedName>
    <definedName name="SD_5565x1_5943x1_5980x1_6014x33_156_S_0" localSheetId="4" hidden="1">'ProLink Mapping'!$AD$229</definedName>
    <definedName name="SD_5565x1_5943x1_5980x1_6014x33_197_S_1" localSheetId="4" hidden="1">'ProLink Mapping'!$AL$229</definedName>
    <definedName name="SD_5565x1_5943x1_5980x1_6014x34_150_S_1" localSheetId="4" hidden="1">'ProLink Mapping'!$Z$230</definedName>
    <definedName name="SD_5565x1_5943x1_5980x1_6014x34_151_S_1" localSheetId="4" hidden="1">'ProLink Mapping'!$AB$230</definedName>
    <definedName name="SD_5565x1_5943x1_5980x1_6014x34_154_S_0" localSheetId="4" hidden="1">'ProLink Mapping'!$AH$230</definedName>
    <definedName name="SD_5565x1_5943x1_5980x1_6014x34_155_S_0" localSheetId="4" hidden="1">'ProLink Mapping'!$AF$230</definedName>
    <definedName name="SD_5565x1_5943x1_5980x1_6014x34_156_S_0" localSheetId="4" hidden="1">'ProLink Mapping'!$AD$230</definedName>
    <definedName name="SD_5565x1_5943x1_5980x1_6014x34_197_S_1" localSheetId="4" hidden="1">'ProLink Mapping'!$AL$230</definedName>
    <definedName name="SD_5565x1_5943x1_5980x1_6014x35_150_S_1" localSheetId="4" hidden="1">'ProLink Mapping'!$Z$231</definedName>
    <definedName name="SD_5565x1_5943x1_5980x1_6014x35_151_S_1" localSheetId="4" hidden="1">'ProLink Mapping'!$AB$231</definedName>
    <definedName name="SD_5565x1_5943x1_5980x1_6014x35_154_S_0" localSheetId="4" hidden="1">'ProLink Mapping'!$AH$231</definedName>
    <definedName name="SD_5565x1_5943x1_5980x1_6014x35_155_S_0" localSheetId="4" hidden="1">'ProLink Mapping'!$AF$231</definedName>
    <definedName name="SD_5565x1_5943x1_5980x1_6014x35_156_S_0" localSheetId="4" hidden="1">'ProLink Mapping'!$AD$231</definedName>
    <definedName name="SD_5565x1_5943x1_5980x1_6014x35_197_S_1" localSheetId="4" hidden="1">'ProLink Mapping'!$AL$231</definedName>
    <definedName name="SD_5565x1_5943x1_5980x1_6014x36_150_S_1" localSheetId="4" hidden="1">'ProLink Mapping'!$Z$232</definedName>
    <definedName name="SD_5565x1_5943x1_5980x1_6014x36_151_S_1" localSheetId="4" hidden="1">'ProLink Mapping'!$AB$232</definedName>
    <definedName name="SD_5565x1_5943x1_5980x1_6014x36_154_S_0" localSheetId="4" hidden="1">'ProLink Mapping'!$AH$232</definedName>
    <definedName name="SD_5565x1_5943x1_5980x1_6014x36_155_S_0" localSheetId="4" hidden="1">'ProLink Mapping'!$AF$232</definedName>
    <definedName name="SD_5565x1_5943x1_5980x1_6014x36_156_S_0" localSheetId="4" hidden="1">'ProLink Mapping'!$AD$232</definedName>
    <definedName name="SD_5565x1_5943x1_5980x1_6014x36_197_S_1" localSheetId="4" hidden="1">'ProLink Mapping'!$AL$232</definedName>
    <definedName name="SD_5565x1_5943x1_5980x1_6014x37_150_S_1" localSheetId="4" hidden="1">'ProLink Mapping'!$Z$233</definedName>
    <definedName name="SD_5565x1_5943x1_5980x1_6014x37_151_S_1" localSheetId="4" hidden="1">'ProLink Mapping'!$AB$233</definedName>
    <definedName name="SD_5565x1_5943x1_5980x1_6014x37_154_S_0" localSheetId="4" hidden="1">'ProLink Mapping'!$AH$233</definedName>
    <definedName name="SD_5565x1_5943x1_5980x1_6014x37_155_S_0" localSheetId="4" hidden="1">'ProLink Mapping'!$AF$233</definedName>
    <definedName name="SD_5565x1_5943x1_5980x1_6014x37_156_S_0" localSheetId="4" hidden="1">'ProLink Mapping'!$AD$233</definedName>
    <definedName name="SD_5565x1_5943x1_5980x1_6014x37_197_S_1" localSheetId="4" hidden="1">'ProLink Mapping'!$AL$233</definedName>
    <definedName name="SD_5565x1_5943x1_5980x1_6014x38_150_S_1" localSheetId="4" hidden="1">'ProLink Mapping'!$Z$234</definedName>
    <definedName name="SD_5565x1_5943x1_5980x1_6014x38_151_S_1" localSheetId="4" hidden="1">'ProLink Mapping'!$AB$234</definedName>
    <definedName name="SD_5565x1_5943x1_5980x1_6014x38_154_S_0" localSheetId="4" hidden="1">'ProLink Mapping'!$AH$234</definedName>
    <definedName name="SD_5565x1_5943x1_5980x1_6014x38_155_S_0" localSheetId="4" hidden="1">'ProLink Mapping'!$AF$234</definedName>
    <definedName name="SD_5565x1_5943x1_5980x1_6014x38_156_S_0" localSheetId="4" hidden="1">'ProLink Mapping'!$AD$234</definedName>
    <definedName name="SD_5565x1_5943x1_5980x1_6014x38_197_S_1" localSheetId="4" hidden="1">'ProLink Mapping'!$AL$234</definedName>
    <definedName name="SD_5565x1_5943x1_5980x1_6014x39_150_S_1" localSheetId="4" hidden="1">'ProLink Mapping'!$Z$235</definedName>
    <definedName name="SD_5565x1_5943x1_5980x1_6014x39_151_S_1" localSheetId="4" hidden="1">'ProLink Mapping'!$AB$235</definedName>
    <definedName name="SD_5565x1_5943x1_5980x1_6014x39_154_S_0" localSheetId="4" hidden="1">'ProLink Mapping'!$AH$235</definedName>
    <definedName name="SD_5565x1_5943x1_5980x1_6014x39_155_S_0" localSheetId="4" hidden="1">'ProLink Mapping'!$AF$235</definedName>
    <definedName name="SD_5565x1_5943x1_5980x1_6014x39_156_S_0" localSheetId="4" hidden="1">'ProLink Mapping'!$AD$235</definedName>
    <definedName name="SD_5565x1_5943x1_5980x1_6014x39_197_S_1" localSheetId="4" hidden="1">'ProLink Mapping'!$AL$235</definedName>
    <definedName name="SD_5565x1_5943x1_5980x1_6014x4_150_S_1" localSheetId="4" hidden="1">'ProLink Mapping'!$Z$200</definedName>
    <definedName name="SD_5565x1_5943x1_5980x1_6014x4_151_S_1" localSheetId="4" hidden="1">'ProLink Mapping'!$AB$200</definedName>
    <definedName name="SD_5565x1_5943x1_5980x1_6014x4_154_S_0" localSheetId="4" hidden="1">'ProLink Mapping'!$AH$200</definedName>
    <definedName name="SD_5565x1_5943x1_5980x1_6014x4_155_S_0" localSheetId="4" hidden="1">'ProLink Mapping'!$AF$200</definedName>
    <definedName name="SD_5565x1_5943x1_5980x1_6014x4_156_S_0" localSheetId="4" hidden="1">'ProLink Mapping'!$AD$200</definedName>
    <definedName name="SD_5565x1_5943x1_5980x1_6014x4_197_S_1" localSheetId="4" hidden="1">'ProLink Mapping'!$AL$200</definedName>
    <definedName name="SD_5565x1_5943x1_5980x1_6014x40_150_S_1" localSheetId="4" hidden="1">'ProLink Mapping'!$Z$236</definedName>
    <definedName name="SD_5565x1_5943x1_5980x1_6014x40_151_S_1" localSheetId="4" hidden="1">'ProLink Mapping'!$AB$236</definedName>
    <definedName name="SD_5565x1_5943x1_5980x1_6014x40_154_S_0" localSheetId="4" hidden="1">'ProLink Mapping'!$AH$236</definedName>
    <definedName name="SD_5565x1_5943x1_5980x1_6014x40_155_S_0" localSheetId="4" hidden="1">'ProLink Mapping'!$AF$236</definedName>
    <definedName name="SD_5565x1_5943x1_5980x1_6014x40_156_S_0" localSheetId="4" hidden="1">'ProLink Mapping'!$AD$236</definedName>
    <definedName name="SD_5565x1_5943x1_5980x1_6014x40_197_S_1" localSheetId="4" hidden="1">'ProLink Mapping'!$AL$236</definedName>
    <definedName name="SD_5565x1_5943x1_5980x1_6014x41_150_S_1" localSheetId="4" hidden="1">'ProLink Mapping'!$Z$237</definedName>
    <definedName name="SD_5565x1_5943x1_5980x1_6014x41_151_S_1" localSheetId="4" hidden="1">'ProLink Mapping'!$AB$237</definedName>
    <definedName name="SD_5565x1_5943x1_5980x1_6014x41_154_S_0" localSheetId="4" hidden="1">'ProLink Mapping'!$AH$237</definedName>
    <definedName name="SD_5565x1_5943x1_5980x1_6014x41_155_S_0" localSheetId="4" hidden="1">'ProLink Mapping'!$AF$237</definedName>
    <definedName name="SD_5565x1_5943x1_5980x1_6014x41_156_S_0" localSheetId="4" hidden="1">'ProLink Mapping'!$AD$237</definedName>
    <definedName name="SD_5565x1_5943x1_5980x1_6014x41_197_S_1" localSheetId="4" hidden="1">'ProLink Mapping'!$AL$237</definedName>
    <definedName name="SD_5565x1_5943x1_5980x1_6014x42_150_S_1" localSheetId="4" hidden="1">'ProLink Mapping'!$Z$238</definedName>
    <definedName name="SD_5565x1_5943x1_5980x1_6014x42_151_S_1" localSheetId="4" hidden="1">'ProLink Mapping'!$AB$238</definedName>
    <definedName name="SD_5565x1_5943x1_5980x1_6014x42_154_S_0" localSheetId="4" hidden="1">'ProLink Mapping'!$AH$238</definedName>
    <definedName name="SD_5565x1_5943x1_5980x1_6014x42_155_S_0" localSheetId="4" hidden="1">'ProLink Mapping'!$AF$238</definedName>
    <definedName name="SD_5565x1_5943x1_5980x1_6014x42_156_S_0" localSheetId="4" hidden="1">'ProLink Mapping'!$AD$238</definedName>
    <definedName name="SD_5565x1_5943x1_5980x1_6014x42_197_S_1" localSheetId="4" hidden="1">'ProLink Mapping'!$AL$238</definedName>
    <definedName name="SD_5565x1_5943x1_5980x1_6014x43_150_S_1" localSheetId="4" hidden="1">'ProLink Mapping'!$Z$239</definedName>
    <definedName name="SD_5565x1_5943x1_5980x1_6014x43_151_S_1" localSheetId="4" hidden="1">'ProLink Mapping'!$AB$239</definedName>
    <definedName name="SD_5565x1_5943x1_5980x1_6014x43_154_S_0" localSheetId="4" hidden="1">'ProLink Mapping'!$AH$239</definedName>
    <definedName name="SD_5565x1_5943x1_5980x1_6014x43_155_S_0" localSheetId="4" hidden="1">'ProLink Mapping'!$AF$239</definedName>
    <definedName name="SD_5565x1_5943x1_5980x1_6014x43_156_S_0" localSheetId="4" hidden="1">'ProLink Mapping'!$AD$239</definedName>
    <definedName name="SD_5565x1_5943x1_5980x1_6014x43_197_S_1" localSheetId="4" hidden="1">'ProLink Mapping'!$AL$239</definedName>
    <definedName name="SD_5565x1_5943x1_5980x1_6014x44_150_S_1" localSheetId="4" hidden="1">'ProLink Mapping'!$Z$240</definedName>
    <definedName name="SD_5565x1_5943x1_5980x1_6014x44_151_S_1" localSheetId="4" hidden="1">'ProLink Mapping'!$AB$240</definedName>
    <definedName name="SD_5565x1_5943x1_5980x1_6014x44_154_S_0" localSheetId="4" hidden="1">'ProLink Mapping'!$AH$240</definedName>
    <definedName name="SD_5565x1_5943x1_5980x1_6014x44_155_S_0" localSheetId="4" hidden="1">'ProLink Mapping'!$AF$240</definedName>
    <definedName name="SD_5565x1_5943x1_5980x1_6014x44_156_S_0" localSheetId="4" hidden="1">'ProLink Mapping'!$AD$240</definedName>
    <definedName name="SD_5565x1_5943x1_5980x1_6014x44_197_S_1" localSheetId="4" hidden="1">'ProLink Mapping'!$AL$240</definedName>
    <definedName name="SD_5565x1_5943x1_5980x1_6014x45_150_S_1" localSheetId="4" hidden="1">'ProLink Mapping'!$Z$241</definedName>
    <definedName name="SD_5565x1_5943x1_5980x1_6014x45_151_S_1" localSheetId="4" hidden="1">'ProLink Mapping'!$AB$241</definedName>
    <definedName name="SD_5565x1_5943x1_5980x1_6014x45_154_S_0" localSheetId="4" hidden="1">'ProLink Mapping'!$AH$241</definedName>
    <definedName name="SD_5565x1_5943x1_5980x1_6014x45_155_S_0" localSheetId="4" hidden="1">'ProLink Mapping'!$AF$241</definedName>
    <definedName name="SD_5565x1_5943x1_5980x1_6014x45_156_S_0" localSheetId="4" hidden="1">'ProLink Mapping'!$AD$241</definedName>
    <definedName name="SD_5565x1_5943x1_5980x1_6014x45_197_S_1" localSheetId="4" hidden="1">'ProLink Mapping'!$AL$241</definedName>
    <definedName name="SD_5565x1_5943x1_5980x1_6014x46_150_S_1" localSheetId="4" hidden="1">'ProLink Mapping'!$Z$242</definedName>
    <definedName name="SD_5565x1_5943x1_5980x1_6014x46_151_S_1" localSheetId="4" hidden="1">'ProLink Mapping'!$AB$242</definedName>
    <definedName name="SD_5565x1_5943x1_5980x1_6014x46_154_S_0" localSheetId="4" hidden="1">'ProLink Mapping'!$AH$242</definedName>
    <definedName name="SD_5565x1_5943x1_5980x1_6014x46_155_S_0" localSheetId="4" hidden="1">'ProLink Mapping'!$AF$242</definedName>
    <definedName name="SD_5565x1_5943x1_5980x1_6014x46_156_S_0" localSheetId="4" hidden="1">'ProLink Mapping'!$AD$242</definedName>
    <definedName name="SD_5565x1_5943x1_5980x1_6014x46_197_S_1" localSheetId="4" hidden="1">'ProLink Mapping'!$AL$242</definedName>
    <definedName name="SD_5565x1_5943x1_5980x1_6014x47_150_S_1" localSheetId="4" hidden="1">'ProLink Mapping'!$Z$243</definedName>
    <definedName name="SD_5565x1_5943x1_5980x1_6014x47_151_S_1" localSheetId="4" hidden="1">'ProLink Mapping'!$AB$243</definedName>
    <definedName name="SD_5565x1_5943x1_5980x1_6014x47_154_S_0" localSheetId="4" hidden="1">'ProLink Mapping'!$AH$243</definedName>
    <definedName name="SD_5565x1_5943x1_5980x1_6014x47_155_S_0" localSheetId="4" hidden="1">'ProLink Mapping'!$AF$243</definedName>
    <definedName name="SD_5565x1_5943x1_5980x1_6014x47_156_S_0" localSheetId="4" hidden="1">'ProLink Mapping'!$AD$243</definedName>
    <definedName name="SD_5565x1_5943x1_5980x1_6014x47_197_S_1" localSheetId="4" hidden="1">'ProLink Mapping'!$AL$243</definedName>
    <definedName name="SD_5565x1_5943x1_5980x1_6014x48_150_S_1" localSheetId="4" hidden="1">'ProLink Mapping'!$Z$244</definedName>
    <definedName name="SD_5565x1_5943x1_5980x1_6014x48_151_S_1" localSheetId="4" hidden="1">'ProLink Mapping'!$AB$244</definedName>
    <definedName name="SD_5565x1_5943x1_5980x1_6014x48_154_S_0" localSheetId="4" hidden="1">'ProLink Mapping'!$AH$244</definedName>
    <definedName name="SD_5565x1_5943x1_5980x1_6014x48_155_S_0" localSheetId="4" hidden="1">'ProLink Mapping'!$AF$244</definedName>
    <definedName name="SD_5565x1_5943x1_5980x1_6014x48_156_S_0" localSheetId="4" hidden="1">'ProLink Mapping'!$AD$244</definedName>
    <definedName name="SD_5565x1_5943x1_5980x1_6014x48_197_S_1" localSheetId="4" hidden="1">'ProLink Mapping'!$AL$244</definedName>
    <definedName name="SD_5565x1_5943x1_5980x1_6014x49_150_S_1" localSheetId="4" hidden="1">'ProLink Mapping'!$Z$245</definedName>
    <definedName name="SD_5565x1_5943x1_5980x1_6014x49_151_S_1" localSheetId="4" hidden="1">'ProLink Mapping'!$AB$245</definedName>
    <definedName name="SD_5565x1_5943x1_5980x1_6014x49_154_S_0" localSheetId="4" hidden="1">'ProLink Mapping'!$AH$245</definedName>
    <definedName name="SD_5565x1_5943x1_5980x1_6014x49_155_S_0" localSheetId="4" hidden="1">'ProLink Mapping'!$AF$245</definedName>
    <definedName name="SD_5565x1_5943x1_5980x1_6014x49_156_S_0" localSheetId="4" hidden="1">'ProLink Mapping'!$AD$245</definedName>
    <definedName name="SD_5565x1_5943x1_5980x1_6014x49_197_S_1" localSheetId="4" hidden="1">'ProLink Mapping'!$AL$245</definedName>
    <definedName name="SD_5565x1_5943x1_5980x1_6014x5_150_S_1" localSheetId="4" hidden="1">'ProLink Mapping'!$Z$201</definedName>
    <definedName name="SD_5565x1_5943x1_5980x1_6014x5_151_S_1" localSheetId="4" hidden="1">'ProLink Mapping'!$AB$201</definedName>
    <definedName name="SD_5565x1_5943x1_5980x1_6014x5_154_S_0" localSheetId="4" hidden="1">'ProLink Mapping'!$AH$201</definedName>
    <definedName name="SD_5565x1_5943x1_5980x1_6014x5_155_S_0" localSheetId="4" hidden="1">'ProLink Mapping'!$AF$201</definedName>
    <definedName name="SD_5565x1_5943x1_5980x1_6014x5_156_S_0" localSheetId="4" hidden="1">'ProLink Mapping'!$AD$201</definedName>
    <definedName name="SD_5565x1_5943x1_5980x1_6014x5_197_S_1" localSheetId="4" hidden="1">'ProLink Mapping'!$AL$201</definedName>
    <definedName name="SD_5565x1_5943x1_5980x1_6014x50_150_S_1" localSheetId="4" hidden="1">'ProLink Mapping'!$Z$246</definedName>
    <definedName name="SD_5565x1_5943x1_5980x1_6014x50_151_S_1" localSheetId="4" hidden="1">'ProLink Mapping'!$AB$246</definedName>
    <definedName name="SD_5565x1_5943x1_5980x1_6014x50_154_S_0" localSheetId="4" hidden="1">'ProLink Mapping'!$AH$246</definedName>
    <definedName name="SD_5565x1_5943x1_5980x1_6014x50_155_S_0" localSheetId="4" hidden="1">'ProLink Mapping'!$AF$246</definedName>
    <definedName name="SD_5565x1_5943x1_5980x1_6014x50_156_S_0" localSheetId="4" hidden="1">'ProLink Mapping'!$AD$246</definedName>
    <definedName name="SD_5565x1_5943x1_5980x1_6014x50_197_S_1" localSheetId="4" hidden="1">'ProLink Mapping'!$AL$246</definedName>
    <definedName name="SD_5565x1_5943x1_5980x1_6014x6_150_S_1" localSheetId="4" hidden="1">'ProLink Mapping'!$Z$202</definedName>
    <definedName name="SD_5565x1_5943x1_5980x1_6014x6_151_S_1" localSheetId="4" hidden="1">'ProLink Mapping'!$AB$202</definedName>
    <definedName name="SD_5565x1_5943x1_5980x1_6014x6_154_S_0" localSheetId="4" hidden="1">'ProLink Mapping'!$AH$202</definedName>
    <definedName name="SD_5565x1_5943x1_5980x1_6014x6_155_S_0" localSheetId="4" hidden="1">'ProLink Mapping'!$AF$202</definedName>
    <definedName name="SD_5565x1_5943x1_5980x1_6014x6_156_S_0" localSheetId="4" hidden="1">'ProLink Mapping'!$AD$202</definedName>
    <definedName name="SD_5565x1_5943x1_5980x1_6014x6_197_S_1" localSheetId="4" hidden="1">'ProLink Mapping'!$AL$202</definedName>
    <definedName name="SD_5565x1_5943x1_5980x1_6014x7_150_S_1" localSheetId="4" hidden="1">'ProLink Mapping'!$Z$203</definedName>
    <definedName name="SD_5565x1_5943x1_5980x1_6014x7_151_S_1" localSheetId="4" hidden="1">'ProLink Mapping'!$AB$203</definedName>
    <definedName name="SD_5565x1_5943x1_5980x1_6014x7_154_S_0" localSheetId="4" hidden="1">'ProLink Mapping'!$AH$203</definedName>
    <definedName name="SD_5565x1_5943x1_5980x1_6014x7_155_S_0" localSheetId="4" hidden="1">'ProLink Mapping'!$AF$203</definedName>
    <definedName name="SD_5565x1_5943x1_5980x1_6014x7_156_S_0" localSheetId="4" hidden="1">'ProLink Mapping'!$AD$203</definedName>
    <definedName name="SD_5565x1_5943x1_5980x1_6014x7_197_S_1" localSheetId="4" hidden="1">'ProLink Mapping'!$AL$203</definedName>
    <definedName name="SD_5565x1_5943x1_5980x1_6014x8_150_S_1" localSheetId="4" hidden="1">'ProLink Mapping'!$Z$204</definedName>
    <definedName name="SD_5565x1_5943x1_5980x1_6014x8_151_S_1" localSheetId="4" hidden="1">'ProLink Mapping'!$AB$204</definedName>
    <definedName name="SD_5565x1_5943x1_5980x1_6014x8_154_S_0" localSheetId="4" hidden="1">'ProLink Mapping'!$AH$204</definedName>
    <definedName name="SD_5565x1_5943x1_5980x1_6014x8_155_S_0" localSheetId="4" hidden="1">'ProLink Mapping'!$AF$204</definedName>
    <definedName name="SD_5565x1_5943x1_5980x1_6014x8_156_S_0" localSheetId="4" hidden="1">'ProLink Mapping'!$AD$204</definedName>
    <definedName name="SD_5565x1_5943x1_5980x1_6014x8_197_S_1" localSheetId="4" hidden="1">'ProLink Mapping'!$AL$204</definedName>
    <definedName name="SD_5565x1_5943x1_5980x1_6014x9_150_S_1" localSheetId="4" hidden="1">'ProLink Mapping'!$Z$205</definedName>
    <definedName name="SD_5565x1_5943x1_5980x1_6014x9_151_S_1" localSheetId="4" hidden="1">'ProLink Mapping'!$AB$205</definedName>
    <definedName name="SD_5565x1_5943x1_5980x1_6014x9_154_S_0" localSheetId="4" hidden="1">'ProLink Mapping'!$AH$205</definedName>
    <definedName name="SD_5565x1_5943x1_5980x1_6014x9_155_S_0" localSheetId="4" hidden="1">'ProLink Mapping'!$AF$205</definedName>
    <definedName name="SD_5565x1_5943x1_5980x1_6014x9_156_S_0" localSheetId="4" hidden="1">'ProLink Mapping'!$AD$205</definedName>
    <definedName name="SD_5565x1_5943x1_5980x1_6014x9_197_S_1" localSheetId="4" hidden="1">'ProLink Mapping'!$AL$205</definedName>
    <definedName name="SD_5565x1_5943x1_65_S_0" localSheetId="4" hidden="1">'ProLink Mapping'!$Z$261</definedName>
    <definedName name="SD_5565x1_5943x1_83_S_0" localSheetId="4" hidden="1">'ProLink Mapping'!$Z$268</definedName>
    <definedName name="SD_5565x1_5943x1_97_S_0" localSheetId="4" hidden="1">'ProLink Mapping'!$AD$179</definedName>
    <definedName name="SD_5565x1_7645x1_10_S_0" localSheetId="4" hidden="1">'ProLink Mapping'!$AJ$133</definedName>
    <definedName name="SD_5565x1_7645x1_12_S_1" localSheetId="4" hidden="1">'ProLink Mapping'!$AI$133</definedName>
    <definedName name="SD_5565x1_7645x1_13_S_1" localSheetId="4" hidden="1">'ProLink Mapping'!$AB$133</definedName>
    <definedName name="SD_5565x1_7645x1_14_S_0" localSheetId="4" hidden="1">'ProLink Mapping'!$AK$133</definedName>
    <definedName name="SD_5565x1_7645x1_15_S_0" localSheetId="4" hidden="1">'ProLink Mapping'!$AA$133</definedName>
    <definedName name="SD_5565x1_7645x1_16_S_0" localSheetId="4" hidden="1">'ProLink Mapping'!$AE$133</definedName>
    <definedName name="SD_5565x1_7645x1_18_S_0" localSheetId="4" hidden="1">'ProLink Mapping'!$AD$133</definedName>
    <definedName name="SD_5565x1_7645x1_19_S_0" localSheetId="4" hidden="1">'ProLink Mapping'!$AF$133</definedName>
    <definedName name="SD_5565x1_7645x1_21_S_0" localSheetId="4" hidden="1">'ProLink Mapping'!$AH$133</definedName>
    <definedName name="SD_5565x1_7645x1_23_S_0" localSheetId="4" hidden="1">'ProLink Mapping'!$AG$133</definedName>
    <definedName name="SD_5565x1_7645x1_24_S_1" localSheetId="4" hidden="1">'ProLink Mapping'!$AC$133</definedName>
    <definedName name="SD_5565x1_7645x10_10_S_0" localSheetId="4" hidden="1">'ProLink Mapping'!$AJ$142</definedName>
    <definedName name="SD_5565x1_7645x10_12_S_1" localSheetId="4" hidden="1">'ProLink Mapping'!$AI$142</definedName>
    <definedName name="SD_5565x1_7645x10_13_S_1" localSheetId="4" hidden="1">'ProLink Mapping'!$AB$142</definedName>
    <definedName name="SD_5565x1_7645x10_14_S_0" localSheetId="4" hidden="1">'ProLink Mapping'!$AK$142</definedName>
    <definedName name="SD_5565x1_7645x10_15_S_0" localSheetId="4" hidden="1">'ProLink Mapping'!$AA$142</definedName>
    <definedName name="SD_5565x1_7645x10_16_S_0" localSheetId="4" hidden="1">'ProLink Mapping'!$AE$142</definedName>
    <definedName name="SD_5565x1_7645x10_18_S_0" localSheetId="4" hidden="1">'ProLink Mapping'!$AD$142</definedName>
    <definedName name="SD_5565x1_7645x10_19_S_0" localSheetId="4" hidden="1">'ProLink Mapping'!$AF$142</definedName>
    <definedName name="SD_5565x1_7645x10_21_S_0" localSheetId="4" hidden="1">'ProLink Mapping'!$AH$142</definedName>
    <definedName name="SD_5565x1_7645x10_23_S_0" localSheetId="4" hidden="1">'ProLink Mapping'!$AG$142</definedName>
    <definedName name="SD_5565x1_7645x10_24_S_1" localSheetId="4" hidden="1">'ProLink Mapping'!$AC$142</definedName>
    <definedName name="SD_5565x1_7645x11_10_S_0" localSheetId="4" hidden="1">'ProLink Mapping'!$AJ$143</definedName>
    <definedName name="SD_5565x1_7645x11_12_S_1" localSheetId="4" hidden="1">'ProLink Mapping'!$AI$143</definedName>
    <definedName name="SD_5565x1_7645x11_13_S_1" localSheetId="4" hidden="1">'ProLink Mapping'!$AB$143</definedName>
    <definedName name="SD_5565x1_7645x11_14_S_0" localSheetId="4" hidden="1">'ProLink Mapping'!$AK$143</definedName>
    <definedName name="SD_5565x1_7645x11_15_S_0" localSheetId="4" hidden="1">'ProLink Mapping'!$AA$143</definedName>
    <definedName name="SD_5565x1_7645x11_16_S_0" localSheetId="4" hidden="1">'ProLink Mapping'!$AE$143</definedName>
    <definedName name="SD_5565x1_7645x11_18_S_0" localSheetId="4" hidden="1">'ProLink Mapping'!$AD$143</definedName>
    <definedName name="SD_5565x1_7645x11_19_S_0" localSheetId="4" hidden="1">'ProLink Mapping'!$AF$143</definedName>
    <definedName name="SD_5565x1_7645x11_21_S_0" localSheetId="4" hidden="1">'ProLink Mapping'!$AH$143</definedName>
    <definedName name="SD_5565x1_7645x11_23_S_0" localSheetId="4" hidden="1">'ProLink Mapping'!$AG$143</definedName>
    <definedName name="SD_5565x1_7645x11_24_S_1" localSheetId="4" hidden="1">'ProLink Mapping'!$AC$143</definedName>
    <definedName name="SD_5565x1_7645x12_10_S_0" localSheetId="4" hidden="1">'ProLink Mapping'!$AJ$144</definedName>
    <definedName name="SD_5565x1_7645x12_12_S_1" localSheetId="4" hidden="1">'ProLink Mapping'!$AI$144</definedName>
    <definedName name="SD_5565x1_7645x12_13_S_1" localSheetId="4" hidden="1">'ProLink Mapping'!$AB$144</definedName>
    <definedName name="SD_5565x1_7645x12_14_S_0" localSheetId="4" hidden="1">'ProLink Mapping'!$AK$144</definedName>
    <definedName name="SD_5565x1_7645x12_15_S_0" localSheetId="4" hidden="1">'ProLink Mapping'!$AA$144</definedName>
    <definedName name="SD_5565x1_7645x12_16_S_0" localSheetId="4" hidden="1">'ProLink Mapping'!$AE$144</definedName>
    <definedName name="SD_5565x1_7645x12_18_S_0" localSheetId="4" hidden="1">'ProLink Mapping'!$AD$144</definedName>
    <definedName name="SD_5565x1_7645x12_19_S_0" localSheetId="4" hidden="1">'ProLink Mapping'!$AF$144</definedName>
    <definedName name="SD_5565x1_7645x12_21_S_0" localSheetId="4" hidden="1">'ProLink Mapping'!$AH$144</definedName>
    <definedName name="SD_5565x1_7645x12_23_S_0" localSheetId="4" hidden="1">'ProLink Mapping'!$AG$144</definedName>
    <definedName name="SD_5565x1_7645x12_24_S_1" localSheetId="4" hidden="1">'ProLink Mapping'!$AC$144</definedName>
    <definedName name="SD_5565x1_7645x13_10_S_0" localSheetId="4" hidden="1">'ProLink Mapping'!$AJ$145</definedName>
    <definedName name="SD_5565x1_7645x13_12_S_1" localSheetId="4" hidden="1">'ProLink Mapping'!$AI$145</definedName>
    <definedName name="SD_5565x1_7645x13_13_S_1" localSheetId="4" hidden="1">'ProLink Mapping'!$AB$145</definedName>
    <definedName name="SD_5565x1_7645x13_14_S_0" localSheetId="4" hidden="1">'ProLink Mapping'!$AK$145</definedName>
    <definedName name="SD_5565x1_7645x13_15_S_0" localSheetId="4" hidden="1">'ProLink Mapping'!$AA$145</definedName>
    <definedName name="SD_5565x1_7645x13_16_S_0" localSheetId="4" hidden="1">'ProLink Mapping'!$AE$145</definedName>
    <definedName name="SD_5565x1_7645x13_18_S_0" localSheetId="4" hidden="1">'ProLink Mapping'!$AD$145</definedName>
    <definedName name="SD_5565x1_7645x13_19_S_0" localSheetId="4" hidden="1">'ProLink Mapping'!$AF$145</definedName>
    <definedName name="SD_5565x1_7645x13_21_S_0" localSheetId="4" hidden="1">'ProLink Mapping'!$AH$145</definedName>
    <definedName name="SD_5565x1_7645x13_23_S_0" localSheetId="4" hidden="1">'ProLink Mapping'!$AG$145</definedName>
    <definedName name="SD_5565x1_7645x13_24_S_1" localSheetId="4" hidden="1">'ProLink Mapping'!$AC$145</definedName>
    <definedName name="SD_5565x1_7645x14_10_S_0" localSheetId="4" hidden="1">'ProLink Mapping'!$AJ$146</definedName>
    <definedName name="SD_5565x1_7645x14_12_S_1" localSheetId="4" hidden="1">'ProLink Mapping'!$AI$146</definedName>
    <definedName name="SD_5565x1_7645x14_13_S_1" localSheetId="4" hidden="1">'ProLink Mapping'!$AB$146</definedName>
    <definedName name="SD_5565x1_7645x14_14_S_0" localSheetId="4" hidden="1">'ProLink Mapping'!$AK$146</definedName>
    <definedName name="SD_5565x1_7645x14_15_S_0" localSheetId="4" hidden="1">'ProLink Mapping'!$AA$146</definedName>
    <definedName name="SD_5565x1_7645x14_16_S_0" localSheetId="4" hidden="1">'ProLink Mapping'!$AE$146</definedName>
    <definedName name="SD_5565x1_7645x14_18_S_0" localSheetId="4" hidden="1">'ProLink Mapping'!$AD$146</definedName>
    <definedName name="SD_5565x1_7645x14_19_S_0" localSheetId="4" hidden="1">'ProLink Mapping'!$AF$146</definedName>
    <definedName name="SD_5565x1_7645x14_21_S_0" localSheetId="4" hidden="1">'ProLink Mapping'!$AH$146</definedName>
    <definedName name="SD_5565x1_7645x14_23_S_0" localSheetId="4" hidden="1">'ProLink Mapping'!$AG$146</definedName>
    <definedName name="SD_5565x1_7645x14_24_S_1" localSheetId="4" hidden="1">'ProLink Mapping'!$AC$146</definedName>
    <definedName name="SD_5565x1_7645x15_10_S_0" localSheetId="4" hidden="1">'ProLink Mapping'!$AJ$147</definedName>
    <definedName name="SD_5565x1_7645x15_12_S_1" localSheetId="4" hidden="1">'ProLink Mapping'!$AI$147</definedName>
    <definedName name="SD_5565x1_7645x15_13_S_1" localSheetId="4" hidden="1">'ProLink Mapping'!$AB$147</definedName>
    <definedName name="SD_5565x1_7645x15_14_S_0" localSheetId="4" hidden="1">'ProLink Mapping'!$AK$147</definedName>
    <definedName name="SD_5565x1_7645x15_15_S_0" localSheetId="4" hidden="1">'ProLink Mapping'!$AA$147</definedName>
    <definedName name="SD_5565x1_7645x15_16_S_0" localSheetId="4" hidden="1">'ProLink Mapping'!$AE$147</definedName>
    <definedName name="SD_5565x1_7645x15_18_S_0" localSheetId="4" hidden="1">'ProLink Mapping'!$AD$147</definedName>
    <definedName name="SD_5565x1_7645x15_19_S_0" localSheetId="4" hidden="1">'ProLink Mapping'!$AF$147</definedName>
    <definedName name="SD_5565x1_7645x15_21_S_0" localSheetId="4" hidden="1">'ProLink Mapping'!$AH$147</definedName>
    <definedName name="SD_5565x1_7645x15_23_S_0" localSheetId="4" hidden="1">'ProLink Mapping'!$AG$147</definedName>
    <definedName name="SD_5565x1_7645x15_24_S_1" localSheetId="4" hidden="1">'ProLink Mapping'!$AC$147</definedName>
    <definedName name="SD_5565x1_7645x16_10_S_0" localSheetId="4" hidden="1">'ProLink Mapping'!$AJ$148</definedName>
    <definedName name="SD_5565x1_7645x16_12_S_1" localSheetId="4" hidden="1">'ProLink Mapping'!$AI$148</definedName>
    <definedName name="SD_5565x1_7645x16_13_S_1" localSheetId="4" hidden="1">'ProLink Mapping'!$AB$148</definedName>
    <definedName name="SD_5565x1_7645x16_14_S_0" localSheetId="4" hidden="1">'ProLink Mapping'!$AK$148</definedName>
    <definedName name="SD_5565x1_7645x16_15_S_0" localSheetId="4" hidden="1">'ProLink Mapping'!$AA$148</definedName>
    <definedName name="SD_5565x1_7645x16_16_S_0" localSheetId="4" hidden="1">'ProLink Mapping'!$AE$148</definedName>
    <definedName name="SD_5565x1_7645x16_18_S_0" localSheetId="4" hidden="1">'ProLink Mapping'!$AD$148</definedName>
    <definedName name="SD_5565x1_7645x16_19_S_0" localSheetId="4" hidden="1">'ProLink Mapping'!$AF$148</definedName>
    <definedName name="SD_5565x1_7645x16_21_S_0" localSheetId="4" hidden="1">'ProLink Mapping'!$AH$148</definedName>
    <definedName name="SD_5565x1_7645x16_23_S_0" localSheetId="4" hidden="1">'ProLink Mapping'!$AG$148</definedName>
    <definedName name="SD_5565x1_7645x16_24_S_1" localSheetId="4" hidden="1">'ProLink Mapping'!$AC$148</definedName>
    <definedName name="SD_5565x1_7645x17_10_S_0" localSheetId="4" hidden="1">'ProLink Mapping'!$AJ$149</definedName>
    <definedName name="SD_5565x1_7645x17_12_S_1" localSheetId="4" hidden="1">'ProLink Mapping'!$AI$149</definedName>
    <definedName name="SD_5565x1_7645x17_13_S_1" localSheetId="4" hidden="1">'ProLink Mapping'!$AB$149</definedName>
    <definedName name="SD_5565x1_7645x17_14_S_0" localSheetId="4" hidden="1">'ProLink Mapping'!$AK$149</definedName>
    <definedName name="SD_5565x1_7645x17_15_S_0" localSheetId="4" hidden="1">'ProLink Mapping'!$AA$149</definedName>
    <definedName name="SD_5565x1_7645x17_16_S_0" localSheetId="4" hidden="1">'ProLink Mapping'!$AE$149</definedName>
    <definedName name="SD_5565x1_7645x17_18_S_0" localSheetId="4" hidden="1">'ProLink Mapping'!$AD$149</definedName>
    <definedName name="SD_5565x1_7645x17_19_S_0" localSheetId="4" hidden="1">'ProLink Mapping'!$AF$149</definedName>
    <definedName name="SD_5565x1_7645x17_21_S_0" localSheetId="4" hidden="1">'ProLink Mapping'!$AH$149</definedName>
    <definedName name="SD_5565x1_7645x17_23_S_0" localSheetId="4" hidden="1">'ProLink Mapping'!$AG$149</definedName>
    <definedName name="SD_5565x1_7645x17_24_S_1" localSheetId="4" hidden="1">'ProLink Mapping'!$AC$149</definedName>
    <definedName name="SD_5565x1_7645x18_10_S_0" localSheetId="4" hidden="1">'ProLink Mapping'!$AJ$150</definedName>
    <definedName name="SD_5565x1_7645x18_12_S_1" localSheetId="4" hidden="1">'ProLink Mapping'!$AI$150</definedName>
    <definedName name="SD_5565x1_7645x18_13_S_1" localSheetId="4" hidden="1">'ProLink Mapping'!$AB$150</definedName>
    <definedName name="SD_5565x1_7645x18_14_S_0" localSheetId="4" hidden="1">'ProLink Mapping'!$AK$150</definedName>
    <definedName name="SD_5565x1_7645x18_15_S_0" localSheetId="4" hidden="1">'ProLink Mapping'!$AA$150</definedName>
    <definedName name="SD_5565x1_7645x18_16_S_0" localSheetId="4" hidden="1">'ProLink Mapping'!$AE$150</definedName>
    <definedName name="SD_5565x1_7645x18_18_S_0" localSheetId="4" hidden="1">'ProLink Mapping'!$AD$150</definedName>
    <definedName name="SD_5565x1_7645x18_19_S_0" localSheetId="4" hidden="1">'ProLink Mapping'!$AF$150</definedName>
    <definedName name="SD_5565x1_7645x18_21_S_0" localSheetId="4" hidden="1">'ProLink Mapping'!$AH$150</definedName>
    <definedName name="SD_5565x1_7645x18_23_S_0" localSheetId="4" hidden="1">'ProLink Mapping'!$AG$150</definedName>
    <definedName name="SD_5565x1_7645x18_24_S_1" localSheetId="4" hidden="1">'ProLink Mapping'!$AC$150</definedName>
    <definedName name="SD_5565x1_7645x19_10_S_0" localSheetId="4" hidden="1">'ProLink Mapping'!$AJ$151</definedName>
    <definedName name="SD_5565x1_7645x19_12_S_1" localSheetId="4" hidden="1">'ProLink Mapping'!$AI$151</definedName>
    <definedName name="SD_5565x1_7645x19_13_S_1" localSheetId="4" hidden="1">'ProLink Mapping'!$AB$151</definedName>
    <definedName name="SD_5565x1_7645x19_14_S_0" localSheetId="4" hidden="1">'ProLink Mapping'!$AK$151</definedName>
    <definedName name="SD_5565x1_7645x19_15_S_0" localSheetId="4" hidden="1">'ProLink Mapping'!$AA$151</definedName>
    <definedName name="SD_5565x1_7645x19_16_S_0" localSheetId="4" hidden="1">'ProLink Mapping'!$AE$151</definedName>
    <definedName name="SD_5565x1_7645x19_18_S_0" localSheetId="4" hidden="1">'ProLink Mapping'!$AD$151</definedName>
    <definedName name="SD_5565x1_7645x19_19_S_0" localSheetId="4" hidden="1">'ProLink Mapping'!$AF$151</definedName>
    <definedName name="SD_5565x1_7645x19_21_S_0" localSheetId="4" hidden="1">'ProLink Mapping'!$AH$151</definedName>
    <definedName name="SD_5565x1_7645x19_23_S_0" localSheetId="4" hidden="1">'ProLink Mapping'!$AG$151</definedName>
    <definedName name="SD_5565x1_7645x19_24_S_1" localSheetId="4" hidden="1">'ProLink Mapping'!$AC$151</definedName>
    <definedName name="SD_5565x1_7645x2_10_S_0" localSheetId="4" hidden="1">'ProLink Mapping'!$AJ$134</definedName>
    <definedName name="SD_5565x1_7645x2_12_S_1" localSheetId="4" hidden="1">'ProLink Mapping'!$AI$134</definedName>
    <definedName name="SD_5565x1_7645x2_13_S_1" localSheetId="4" hidden="1">'ProLink Mapping'!$AB$134</definedName>
    <definedName name="SD_5565x1_7645x2_14_S_0" localSheetId="4" hidden="1">'ProLink Mapping'!$AK$134</definedName>
    <definedName name="SD_5565x1_7645x2_15_S_0" localSheetId="4" hidden="1">'ProLink Mapping'!$AA$134</definedName>
    <definedName name="SD_5565x1_7645x2_16_S_0" localSheetId="4" hidden="1">'ProLink Mapping'!$AE$134</definedName>
    <definedName name="SD_5565x1_7645x2_18_S_0" localSheetId="4" hidden="1">'ProLink Mapping'!$AD$134</definedName>
    <definedName name="SD_5565x1_7645x2_19_S_0" localSheetId="4" hidden="1">'ProLink Mapping'!$AF$134</definedName>
    <definedName name="SD_5565x1_7645x2_21_S_0" localSheetId="4" hidden="1">'ProLink Mapping'!$AH$134</definedName>
    <definedName name="SD_5565x1_7645x2_23_S_0" localSheetId="4" hidden="1">'ProLink Mapping'!$AG$134</definedName>
    <definedName name="SD_5565x1_7645x2_24_S_1" localSheetId="4" hidden="1">'ProLink Mapping'!$AC$134</definedName>
    <definedName name="SD_5565x1_7645x20_10_S_0" localSheetId="4" hidden="1">'ProLink Mapping'!$AJ$152</definedName>
    <definedName name="SD_5565x1_7645x20_12_S_1" localSheetId="4" hidden="1">'ProLink Mapping'!$AI$152</definedName>
    <definedName name="SD_5565x1_7645x20_13_S_1" localSheetId="4" hidden="1">'ProLink Mapping'!$AB$152</definedName>
    <definedName name="SD_5565x1_7645x20_14_S_0" localSheetId="4" hidden="1">'ProLink Mapping'!$AK$152</definedName>
    <definedName name="SD_5565x1_7645x20_15_S_0" localSheetId="4" hidden="1">'ProLink Mapping'!$AA$152</definedName>
    <definedName name="SD_5565x1_7645x20_16_S_0" localSheetId="4" hidden="1">'ProLink Mapping'!$AE$152</definedName>
    <definedName name="SD_5565x1_7645x20_18_S_0" localSheetId="4" hidden="1">'ProLink Mapping'!$AD$152</definedName>
    <definedName name="SD_5565x1_7645x20_19_S_0" localSheetId="4" hidden="1">'ProLink Mapping'!$AF$152</definedName>
    <definedName name="SD_5565x1_7645x20_21_S_0" localSheetId="4" hidden="1">'ProLink Mapping'!$AH$152</definedName>
    <definedName name="SD_5565x1_7645x20_23_S_0" localSheetId="4" hidden="1">'ProLink Mapping'!$AG$152</definedName>
    <definedName name="SD_5565x1_7645x20_24_S_1" localSheetId="4" hidden="1">'ProLink Mapping'!$AC$152</definedName>
    <definedName name="SD_5565x1_7645x21_10_S_0" localSheetId="4" hidden="1">'ProLink Mapping'!$AJ$153</definedName>
    <definedName name="SD_5565x1_7645x21_12_S_1" localSheetId="4" hidden="1">'ProLink Mapping'!$AI$153</definedName>
    <definedName name="SD_5565x1_7645x21_13_S_1" localSheetId="4" hidden="1">'ProLink Mapping'!$AB$153</definedName>
    <definedName name="SD_5565x1_7645x21_14_S_0" localSheetId="4" hidden="1">'ProLink Mapping'!$AK$153</definedName>
    <definedName name="SD_5565x1_7645x21_15_S_0" localSheetId="4" hidden="1">'ProLink Mapping'!$AA$153</definedName>
    <definedName name="SD_5565x1_7645x21_16_S_0" localSheetId="4" hidden="1">'ProLink Mapping'!$AE$153</definedName>
    <definedName name="SD_5565x1_7645x21_18_S_0" localSheetId="4" hidden="1">'ProLink Mapping'!$AD$153</definedName>
    <definedName name="SD_5565x1_7645x21_19_S_0" localSheetId="4" hidden="1">'ProLink Mapping'!$AF$153</definedName>
    <definedName name="SD_5565x1_7645x21_21_S_0" localSheetId="4" hidden="1">'ProLink Mapping'!$AH$153</definedName>
    <definedName name="SD_5565x1_7645x21_23_S_0" localSheetId="4" hidden="1">'ProLink Mapping'!$AG$153</definedName>
    <definedName name="SD_5565x1_7645x21_24_S_1" localSheetId="4" hidden="1">'ProLink Mapping'!$AC$153</definedName>
    <definedName name="SD_5565x1_7645x22_10_S_0" localSheetId="4" hidden="1">'ProLink Mapping'!$AJ$154</definedName>
    <definedName name="SD_5565x1_7645x22_12_S_1" localSheetId="4" hidden="1">'ProLink Mapping'!$AI$154</definedName>
    <definedName name="SD_5565x1_7645x22_13_S_1" localSheetId="4" hidden="1">'ProLink Mapping'!$AB$154</definedName>
    <definedName name="SD_5565x1_7645x22_14_S_0" localSheetId="4" hidden="1">'ProLink Mapping'!$AK$154</definedName>
    <definedName name="SD_5565x1_7645x22_15_S_0" localSheetId="4" hidden="1">'ProLink Mapping'!$AA$154</definedName>
    <definedName name="SD_5565x1_7645x22_16_S_0" localSheetId="4" hidden="1">'ProLink Mapping'!$AE$154</definedName>
    <definedName name="SD_5565x1_7645x22_18_S_0" localSheetId="4" hidden="1">'ProLink Mapping'!$AD$154</definedName>
    <definedName name="SD_5565x1_7645x22_19_S_0" localSheetId="4" hidden="1">'ProLink Mapping'!$AF$154</definedName>
    <definedName name="SD_5565x1_7645x22_21_S_0" localSheetId="4" hidden="1">'ProLink Mapping'!$AH$154</definedName>
    <definedName name="SD_5565x1_7645x22_23_S_0" localSheetId="4" hidden="1">'ProLink Mapping'!$AG$154</definedName>
    <definedName name="SD_5565x1_7645x22_24_S_1" localSheetId="4" hidden="1">'ProLink Mapping'!$AC$154</definedName>
    <definedName name="SD_5565x1_7645x23_10_S_0" localSheetId="4" hidden="1">'ProLink Mapping'!$AJ$155</definedName>
    <definedName name="SD_5565x1_7645x23_12_S_1" localSheetId="4" hidden="1">'ProLink Mapping'!$AI$155</definedName>
    <definedName name="SD_5565x1_7645x23_13_S_1" localSheetId="4" hidden="1">'ProLink Mapping'!$AB$155</definedName>
    <definedName name="SD_5565x1_7645x23_14_S_0" localSheetId="4" hidden="1">'ProLink Mapping'!$AK$155</definedName>
    <definedName name="SD_5565x1_7645x23_15_S_0" localSheetId="4" hidden="1">'ProLink Mapping'!$AA$155</definedName>
    <definedName name="SD_5565x1_7645x23_16_S_0" localSheetId="4" hidden="1">'ProLink Mapping'!$AE$155</definedName>
    <definedName name="SD_5565x1_7645x23_18_S_0" localSheetId="4" hidden="1">'ProLink Mapping'!$AD$155</definedName>
    <definedName name="SD_5565x1_7645x23_19_S_0" localSheetId="4" hidden="1">'ProLink Mapping'!$AF$155</definedName>
    <definedName name="SD_5565x1_7645x23_21_S_0" localSheetId="4" hidden="1">'ProLink Mapping'!$AH$155</definedName>
    <definedName name="SD_5565x1_7645x23_23_S_0" localSheetId="4" hidden="1">'ProLink Mapping'!$AG$155</definedName>
    <definedName name="SD_5565x1_7645x23_24_S_1" localSheetId="4" hidden="1">'ProLink Mapping'!$AC$155</definedName>
    <definedName name="SD_5565x1_7645x24_10_S_0" localSheetId="4" hidden="1">'ProLink Mapping'!$AJ$156</definedName>
    <definedName name="SD_5565x1_7645x24_12_S_1" localSheetId="4" hidden="1">'ProLink Mapping'!$AI$156</definedName>
    <definedName name="SD_5565x1_7645x24_13_S_1" localSheetId="4" hidden="1">'ProLink Mapping'!$AB$156</definedName>
    <definedName name="SD_5565x1_7645x24_14_S_0" localSheetId="4" hidden="1">'ProLink Mapping'!$AK$156</definedName>
    <definedName name="SD_5565x1_7645x24_15_S_0" localSheetId="4" hidden="1">'ProLink Mapping'!$AA$156</definedName>
    <definedName name="SD_5565x1_7645x24_16_S_0" localSheetId="4" hidden="1">'ProLink Mapping'!$AE$156</definedName>
    <definedName name="SD_5565x1_7645x24_18_S_0" localSheetId="4" hidden="1">'ProLink Mapping'!$AD$156</definedName>
    <definedName name="SD_5565x1_7645x24_19_S_0" localSheetId="4" hidden="1">'ProLink Mapping'!$AF$156</definedName>
    <definedName name="SD_5565x1_7645x24_21_S_0" localSheetId="4" hidden="1">'ProLink Mapping'!$AH$156</definedName>
    <definedName name="SD_5565x1_7645x24_23_S_0" localSheetId="4" hidden="1">'ProLink Mapping'!$AG$156</definedName>
    <definedName name="SD_5565x1_7645x24_24_S_1" localSheetId="4" hidden="1">'ProLink Mapping'!$AC$156</definedName>
    <definedName name="SD_5565x1_7645x25_10_S_0" localSheetId="4" hidden="1">'ProLink Mapping'!$AJ$157</definedName>
    <definedName name="SD_5565x1_7645x25_12_S_1" localSheetId="4" hidden="1">'ProLink Mapping'!$AI$157</definedName>
    <definedName name="SD_5565x1_7645x25_13_S_1" localSheetId="4" hidden="1">'ProLink Mapping'!$AB$157</definedName>
    <definedName name="SD_5565x1_7645x25_14_S_0" localSheetId="4" hidden="1">'ProLink Mapping'!$AK$157</definedName>
    <definedName name="SD_5565x1_7645x25_15_S_0" localSheetId="4" hidden="1">'ProLink Mapping'!$AA$157</definedName>
    <definedName name="SD_5565x1_7645x25_16_S_0" localSheetId="4" hidden="1">'ProLink Mapping'!$AE$157</definedName>
    <definedName name="SD_5565x1_7645x25_18_S_0" localSheetId="4" hidden="1">'ProLink Mapping'!$AD$157</definedName>
    <definedName name="SD_5565x1_7645x25_19_S_0" localSheetId="4" hidden="1">'ProLink Mapping'!$AF$157</definedName>
    <definedName name="SD_5565x1_7645x25_21_S_0" localSheetId="4" hidden="1">'ProLink Mapping'!$AH$157</definedName>
    <definedName name="SD_5565x1_7645x25_23_S_0" localSheetId="4" hidden="1">'ProLink Mapping'!$AG$157</definedName>
    <definedName name="SD_5565x1_7645x25_24_S_1" localSheetId="4" hidden="1">'ProLink Mapping'!$AC$157</definedName>
    <definedName name="SD_5565x1_7645x26_10_S_0" localSheetId="4" hidden="1">'ProLink Mapping'!$AJ$158</definedName>
    <definedName name="SD_5565x1_7645x26_12_S_1" localSheetId="4" hidden="1">'ProLink Mapping'!$AI$158</definedName>
    <definedName name="SD_5565x1_7645x26_13_S_1" localSheetId="4" hidden="1">'ProLink Mapping'!$AB$158</definedName>
    <definedName name="SD_5565x1_7645x26_14_S_0" localSheetId="4" hidden="1">'ProLink Mapping'!$AK$158</definedName>
    <definedName name="SD_5565x1_7645x26_15_S_0" localSheetId="4" hidden="1">'ProLink Mapping'!$AA$158</definedName>
    <definedName name="SD_5565x1_7645x26_16_S_0" localSheetId="4" hidden="1">'ProLink Mapping'!$AE$158</definedName>
    <definedName name="SD_5565x1_7645x26_18_S_0" localSheetId="4" hidden="1">'ProLink Mapping'!$AD$158</definedName>
    <definedName name="SD_5565x1_7645x26_19_S_0" localSheetId="4" hidden="1">'ProLink Mapping'!$AF$158</definedName>
    <definedName name="SD_5565x1_7645x26_21_S_0" localSheetId="4" hidden="1">'ProLink Mapping'!$AH$158</definedName>
    <definedName name="SD_5565x1_7645x26_23_S_0" localSheetId="4" hidden="1">'ProLink Mapping'!$AG$158</definedName>
    <definedName name="SD_5565x1_7645x26_24_S_1" localSheetId="4" hidden="1">'ProLink Mapping'!$AC$158</definedName>
    <definedName name="SD_5565x1_7645x27_10_S_0" localSheetId="4" hidden="1">'ProLink Mapping'!$AJ$159</definedName>
    <definedName name="SD_5565x1_7645x27_12_S_1" localSheetId="4" hidden="1">'ProLink Mapping'!$AI$159</definedName>
    <definedName name="SD_5565x1_7645x27_13_S_1" localSheetId="4" hidden="1">'ProLink Mapping'!$AB$159</definedName>
    <definedName name="SD_5565x1_7645x27_14_S_0" localSheetId="4" hidden="1">'ProLink Mapping'!$AK$159</definedName>
    <definedName name="SD_5565x1_7645x27_15_S_0" localSheetId="4" hidden="1">'ProLink Mapping'!$AA$159</definedName>
    <definedName name="SD_5565x1_7645x27_16_S_0" localSheetId="4" hidden="1">'ProLink Mapping'!$AE$159</definedName>
    <definedName name="SD_5565x1_7645x27_18_S_0" localSheetId="4" hidden="1">'ProLink Mapping'!$AD$159</definedName>
    <definedName name="SD_5565x1_7645x27_19_S_0" localSheetId="4" hidden="1">'ProLink Mapping'!$AF$159</definedName>
    <definedName name="SD_5565x1_7645x27_21_S_0" localSheetId="4" hidden="1">'ProLink Mapping'!$AH$159</definedName>
    <definedName name="SD_5565x1_7645x27_23_S_0" localSheetId="4" hidden="1">'ProLink Mapping'!$AG$159</definedName>
    <definedName name="SD_5565x1_7645x27_24_S_1" localSheetId="4" hidden="1">'ProLink Mapping'!$AC$159</definedName>
    <definedName name="SD_5565x1_7645x28_10_S_0" localSheetId="4" hidden="1">'ProLink Mapping'!$AJ$160</definedName>
    <definedName name="SD_5565x1_7645x28_12_S_1" localSheetId="4" hidden="1">'ProLink Mapping'!$AI$160</definedName>
    <definedName name="SD_5565x1_7645x28_13_S_1" localSheetId="4" hidden="1">'ProLink Mapping'!$AB$160</definedName>
    <definedName name="SD_5565x1_7645x28_14_S_0" localSheetId="4" hidden="1">'ProLink Mapping'!$AK$160</definedName>
    <definedName name="SD_5565x1_7645x28_15_S_0" localSheetId="4" hidden="1">'ProLink Mapping'!$AA$160</definedName>
    <definedName name="SD_5565x1_7645x28_16_S_0" localSheetId="4" hidden="1">'ProLink Mapping'!$AE$160</definedName>
    <definedName name="SD_5565x1_7645x28_18_S_0" localSheetId="4" hidden="1">'ProLink Mapping'!$AD$160</definedName>
    <definedName name="SD_5565x1_7645x28_19_S_0" localSheetId="4" hidden="1">'ProLink Mapping'!$AF$160</definedName>
    <definedName name="SD_5565x1_7645x28_21_S_0" localSheetId="4" hidden="1">'ProLink Mapping'!$AH$160</definedName>
    <definedName name="SD_5565x1_7645x28_23_S_0" localSheetId="4" hidden="1">'ProLink Mapping'!$AG$160</definedName>
    <definedName name="SD_5565x1_7645x28_24_S_1" localSheetId="4" hidden="1">'ProLink Mapping'!$AC$160</definedName>
    <definedName name="SD_5565x1_7645x29_10_S_0" localSheetId="4" hidden="1">'ProLink Mapping'!$AJ$161</definedName>
    <definedName name="SD_5565x1_7645x29_12_S_1" localSheetId="4" hidden="1">'ProLink Mapping'!$AI$161</definedName>
    <definedName name="SD_5565x1_7645x29_13_S_1" localSheetId="4" hidden="1">'ProLink Mapping'!$AB$161</definedName>
    <definedName name="SD_5565x1_7645x29_14_S_0" localSheetId="4" hidden="1">'ProLink Mapping'!$AK$161</definedName>
    <definedName name="SD_5565x1_7645x29_15_S_0" localSheetId="4" hidden="1">'ProLink Mapping'!$AA$161</definedName>
    <definedName name="SD_5565x1_7645x29_16_S_0" localSheetId="4" hidden="1">'ProLink Mapping'!$AE$161</definedName>
    <definedName name="SD_5565x1_7645x29_18_S_0" localSheetId="4" hidden="1">'ProLink Mapping'!$AD$161</definedName>
    <definedName name="SD_5565x1_7645x29_19_S_0" localSheetId="4" hidden="1">'ProLink Mapping'!$AF$161</definedName>
    <definedName name="SD_5565x1_7645x29_21_S_0" localSheetId="4" hidden="1">'ProLink Mapping'!$AH$161</definedName>
    <definedName name="SD_5565x1_7645x29_23_S_0" localSheetId="4" hidden="1">'ProLink Mapping'!$AG$161</definedName>
    <definedName name="SD_5565x1_7645x29_24_S_1" localSheetId="4" hidden="1">'ProLink Mapping'!$AC$161</definedName>
    <definedName name="SD_5565x1_7645x3_10_S_0" localSheetId="4" hidden="1">'ProLink Mapping'!$AJ$135</definedName>
    <definedName name="SD_5565x1_7645x3_12_S_1" localSheetId="4" hidden="1">'ProLink Mapping'!$AI$135</definedName>
    <definedName name="SD_5565x1_7645x3_13_S_1" localSheetId="4" hidden="1">'ProLink Mapping'!$AB$135</definedName>
    <definedName name="SD_5565x1_7645x3_14_S_0" localSheetId="4" hidden="1">'ProLink Mapping'!$AK$135</definedName>
    <definedName name="SD_5565x1_7645x3_15_S_0" localSheetId="4" hidden="1">'ProLink Mapping'!$AA$135</definedName>
    <definedName name="SD_5565x1_7645x3_16_S_0" localSheetId="4" hidden="1">'ProLink Mapping'!$AE$135</definedName>
    <definedName name="SD_5565x1_7645x3_18_S_0" localSheetId="4" hidden="1">'ProLink Mapping'!$AD$135</definedName>
    <definedName name="SD_5565x1_7645x3_19_S_0" localSheetId="4" hidden="1">'ProLink Mapping'!$AF$135</definedName>
    <definedName name="SD_5565x1_7645x3_21_S_0" localSheetId="4" hidden="1">'ProLink Mapping'!$AH$135</definedName>
    <definedName name="SD_5565x1_7645x3_23_S_0" localSheetId="4" hidden="1">'ProLink Mapping'!$AG$135</definedName>
    <definedName name="SD_5565x1_7645x3_24_S_1" localSheetId="4" hidden="1">'ProLink Mapping'!$AC$135</definedName>
    <definedName name="SD_5565x1_7645x30_10_S_0" localSheetId="4" hidden="1">'ProLink Mapping'!$AJ$162</definedName>
    <definedName name="SD_5565x1_7645x30_12_S_1" localSheetId="4" hidden="1">'ProLink Mapping'!$AI$162</definedName>
    <definedName name="SD_5565x1_7645x30_13_S_1" localSheetId="4" hidden="1">'ProLink Mapping'!$AB$162</definedName>
    <definedName name="SD_5565x1_7645x30_14_S_0" localSheetId="4" hidden="1">'ProLink Mapping'!$AK$162</definedName>
    <definedName name="SD_5565x1_7645x30_15_S_0" localSheetId="4" hidden="1">'ProLink Mapping'!$AA$162</definedName>
    <definedName name="SD_5565x1_7645x30_16_S_0" localSheetId="4" hidden="1">'ProLink Mapping'!$AE$162</definedName>
    <definedName name="SD_5565x1_7645x30_18_S_0" localSheetId="4" hidden="1">'ProLink Mapping'!$AD$162</definedName>
    <definedName name="SD_5565x1_7645x30_19_S_0" localSheetId="4" hidden="1">'ProLink Mapping'!$AF$162</definedName>
    <definedName name="SD_5565x1_7645x30_21_S_0" localSheetId="4" hidden="1">'ProLink Mapping'!$AH$162</definedName>
    <definedName name="SD_5565x1_7645x30_23_S_0" localSheetId="4" hidden="1">'ProLink Mapping'!$AG$162</definedName>
    <definedName name="SD_5565x1_7645x30_24_S_1" localSheetId="4" hidden="1">'ProLink Mapping'!$AC$162</definedName>
    <definedName name="SD_5565x1_7645x4_10_S_0" localSheetId="4" hidden="1">'ProLink Mapping'!$AJ$136</definedName>
    <definedName name="SD_5565x1_7645x4_12_S_1" localSheetId="4" hidden="1">'ProLink Mapping'!$AI$136</definedName>
    <definedName name="SD_5565x1_7645x4_13_S_1" localSheetId="4" hidden="1">'ProLink Mapping'!$AB$136</definedName>
    <definedName name="SD_5565x1_7645x4_14_S_0" localSheetId="4" hidden="1">'ProLink Mapping'!$AK$136</definedName>
    <definedName name="SD_5565x1_7645x4_15_S_0" localSheetId="4" hidden="1">'ProLink Mapping'!$AA$136</definedName>
    <definedName name="SD_5565x1_7645x4_16_S_0" localSheetId="4" hidden="1">'ProLink Mapping'!$AE$136</definedName>
    <definedName name="SD_5565x1_7645x4_18_S_0" localSheetId="4" hidden="1">'ProLink Mapping'!$AD$136</definedName>
    <definedName name="SD_5565x1_7645x4_19_S_0" localSheetId="4" hidden="1">'ProLink Mapping'!$AF$136</definedName>
    <definedName name="SD_5565x1_7645x4_21_S_0" localSheetId="4" hidden="1">'ProLink Mapping'!$AH$136</definedName>
    <definedName name="SD_5565x1_7645x4_23_S_0" localSheetId="4" hidden="1">'ProLink Mapping'!$AG$136</definedName>
    <definedName name="SD_5565x1_7645x4_24_S_1" localSheetId="4" hidden="1">'ProLink Mapping'!$AC$136</definedName>
    <definedName name="SD_5565x1_7645x5_10_S_0" localSheetId="4" hidden="1">'ProLink Mapping'!$AJ$137</definedName>
    <definedName name="SD_5565x1_7645x5_12_S_1" localSheetId="4" hidden="1">'ProLink Mapping'!$AI$137</definedName>
    <definedName name="SD_5565x1_7645x5_13_S_1" localSheetId="4" hidden="1">'ProLink Mapping'!$AB$137</definedName>
    <definedName name="SD_5565x1_7645x5_14_S_0" localSheetId="4" hidden="1">'ProLink Mapping'!$AK$137</definedName>
    <definedName name="SD_5565x1_7645x5_15_S_0" localSheetId="4" hidden="1">'ProLink Mapping'!$AA$137</definedName>
    <definedName name="SD_5565x1_7645x5_16_S_0" localSheetId="4" hidden="1">'ProLink Mapping'!$AE$137</definedName>
    <definedName name="SD_5565x1_7645x5_18_S_0" localSheetId="4" hidden="1">'ProLink Mapping'!$AD$137</definedName>
    <definedName name="SD_5565x1_7645x5_19_S_0" localSheetId="4" hidden="1">'ProLink Mapping'!$AF$137</definedName>
    <definedName name="SD_5565x1_7645x5_21_S_0" localSheetId="4" hidden="1">'ProLink Mapping'!$AH$137</definedName>
    <definedName name="SD_5565x1_7645x5_23_S_0" localSheetId="4" hidden="1">'ProLink Mapping'!$AG$137</definedName>
    <definedName name="SD_5565x1_7645x5_24_S_1" localSheetId="4" hidden="1">'ProLink Mapping'!$AC$137</definedName>
    <definedName name="SD_5565x1_7645x6_10_S_0" localSheetId="4" hidden="1">'ProLink Mapping'!$AJ$138</definedName>
    <definedName name="SD_5565x1_7645x6_12_S_1" localSheetId="4" hidden="1">'ProLink Mapping'!$AI$138</definedName>
    <definedName name="SD_5565x1_7645x6_13_S_1" localSheetId="4" hidden="1">'ProLink Mapping'!$AB$138</definedName>
    <definedName name="SD_5565x1_7645x6_14_S_0" localSheetId="4" hidden="1">'ProLink Mapping'!$AK$138</definedName>
    <definedName name="SD_5565x1_7645x6_15_S_0" localSheetId="4" hidden="1">'ProLink Mapping'!$AA$138</definedName>
    <definedName name="SD_5565x1_7645x6_16_S_0" localSheetId="4" hidden="1">'ProLink Mapping'!$AE$138</definedName>
    <definedName name="SD_5565x1_7645x6_18_S_0" localSheetId="4" hidden="1">'ProLink Mapping'!$AD$138</definedName>
    <definedName name="SD_5565x1_7645x6_19_S_0" localSheetId="4" hidden="1">'ProLink Mapping'!$AF$138</definedName>
    <definedName name="SD_5565x1_7645x6_21_S_0" localSheetId="4" hidden="1">'ProLink Mapping'!$AH$138</definedName>
    <definedName name="SD_5565x1_7645x6_23_S_0" localSheetId="4" hidden="1">'ProLink Mapping'!$AG$138</definedName>
    <definedName name="SD_5565x1_7645x6_24_S_1" localSheetId="4" hidden="1">'ProLink Mapping'!$AC$138</definedName>
    <definedName name="SD_5565x1_7645x7_10_S_0" localSheetId="4" hidden="1">'ProLink Mapping'!$AJ$139</definedName>
    <definedName name="SD_5565x1_7645x7_12_S_1" localSheetId="4" hidden="1">'ProLink Mapping'!$AI$139</definedName>
    <definedName name="SD_5565x1_7645x7_13_S_1" localSheetId="4" hidden="1">'ProLink Mapping'!$AB$139</definedName>
    <definedName name="SD_5565x1_7645x7_14_S_0" localSheetId="4" hidden="1">'ProLink Mapping'!$AK$139</definedName>
    <definedName name="SD_5565x1_7645x7_15_S_0" localSheetId="4" hidden="1">'ProLink Mapping'!$AA$139</definedName>
    <definedName name="SD_5565x1_7645x7_16_S_0" localSheetId="4" hidden="1">'ProLink Mapping'!$AE$139</definedName>
    <definedName name="SD_5565x1_7645x7_18_S_0" localSheetId="4" hidden="1">'ProLink Mapping'!$AD$139</definedName>
    <definedName name="SD_5565x1_7645x7_19_S_0" localSheetId="4" hidden="1">'ProLink Mapping'!$AF$139</definedName>
    <definedName name="SD_5565x1_7645x7_21_S_0" localSheetId="4" hidden="1">'ProLink Mapping'!$AH$139</definedName>
    <definedName name="SD_5565x1_7645x7_23_S_0" localSheetId="4" hidden="1">'ProLink Mapping'!$AG$139</definedName>
    <definedName name="SD_5565x1_7645x7_24_S_1" localSheetId="4" hidden="1">'ProLink Mapping'!$AC$139</definedName>
    <definedName name="SD_5565x1_7645x8_10_S_0" localSheetId="4" hidden="1">'ProLink Mapping'!$AJ$140</definedName>
    <definedName name="SD_5565x1_7645x8_12_S_1" localSheetId="4" hidden="1">'ProLink Mapping'!$AI$140</definedName>
    <definedName name="SD_5565x1_7645x8_13_S_1" localSheetId="4" hidden="1">'ProLink Mapping'!$AB$140</definedName>
    <definedName name="SD_5565x1_7645x8_14_S_0" localSheetId="4" hidden="1">'ProLink Mapping'!$AK$140</definedName>
    <definedName name="SD_5565x1_7645x8_15_S_0" localSheetId="4" hidden="1">'ProLink Mapping'!$AA$140</definedName>
    <definedName name="SD_5565x1_7645x8_16_S_0" localSheetId="4" hidden="1">'ProLink Mapping'!$AE$140</definedName>
    <definedName name="SD_5565x1_7645x8_18_S_0" localSheetId="4" hidden="1">'ProLink Mapping'!$AD$140</definedName>
    <definedName name="SD_5565x1_7645x8_19_S_0" localSheetId="4" hidden="1">'ProLink Mapping'!$AF$140</definedName>
    <definedName name="SD_5565x1_7645x8_21_S_0" localSheetId="4" hidden="1">'ProLink Mapping'!$AH$140</definedName>
    <definedName name="SD_5565x1_7645x8_23_S_0" localSheetId="4" hidden="1">'ProLink Mapping'!$AG$140</definedName>
    <definedName name="SD_5565x1_7645x8_24_S_1" localSheetId="4" hidden="1">'ProLink Mapping'!$AC$140</definedName>
    <definedName name="SD_5565x1_7645x9_10_S_0" localSheetId="4" hidden="1">'ProLink Mapping'!$AJ$141</definedName>
    <definedName name="SD_5565x1_7645x9_12_S_1" localSheetId="4" hidden="1">'ProLink Mapping'!$AI$141</definedName>
    <definedName name="SD_5565x1_7645x9_13_S_1" localSheetId="4" hidden="1">'ProLink Mapping'!$AB$141</definedName>
    <definedName name="SD_5565x1_7645x9_14_S_0" localSheetId="4" hidden="1">'ProLink Mapping'!$AK$141</definedName>
    <definedName name="SD_5565x1_7645x9_15_S_0" localSheetId="4" hidden="1">'ProLink Mapping'!$AA$141</definedName>
    <definedName name="SD_5565x1_7645x9_16_S_0" localSheetId="4" hidden="1">'ProLink Mapping'!$AE$141</definedName>
    <definedName name="SD_5565x1_7645x9_18_S_0" localSheetId="4" hidden="1">'ProLink Mapping'!$AD$141</definedName>
    <definedName name="SD_5565x1_7645x9_19_S_0" localSheetId="4" hidden="1">'ProLink Mapping'!$AF$141</definedName>
    <definedName name="SD_5565x1_7645x9_21_S_0" localSheetId="4" hidden="1">'ProLink Mapping'!$AH$141</definedName>
    <definedName name="SD_5565x1_7645x9_23_S_0" localSheetId="4" hidden="1">'ProLink Mapping'!$AG$141</definedName>
    <definedName name="SD_5565x1_7645x9_24_S_1" localSheetId="4" hidden="1">'ProLink Mapping'!$AC$141</definedName>
    <definedName name="SD_6454x1_10_S_0" localSheetId="4" hidden="1">ProLink!$F$135</definedName>
    <definedName name="SD_6454x1_11_S_0" localSheetId="4" hidden="1">'ProLink Mapping'!$D$124</definedName>
    <definedName name="SD_6454x1_12_S_0" localSheetId="4" hidden="1">'ProLink Mapping'!$E$124</definedName>
    <definedName name="SD_6454x1_17_S_0" localSheetId="4" hidden="1">ProLink!$F$120</definedName>
    <definedName name="SD_6454x1_18_S_0" localSheetId="4" hidden="1">ProLink!$F$121</definedName>
    <definedName name="SD_6454x1_25_S_0" localSheetId="4" hidden="1">'ProLink Mapping'!$D$125</definedName>
    <definedName name="SD_6454x1_29_S_0" localSheetId="4" hidden="1">'ProLink Mapping'!$D$128</definedName>
    <definedName name="SD_6454x1_8_S_0" localSheetId="4" hidden="1">ProLink!$F$133</definedName>
    <definedName name="SD_6454x1_9_S_0" localSheetId="4" hidden="1">ProLink!$F$134</definedName>
    <definedName name="SD_7313x1_104_S_0" localSheetId="4" hidden="1">ProLink!$F$25</definedName>
    <definedName name="SD_7313x1_105_S_0" localSheetId="4" hidden="1">ProLink!$F$28</definedName>
    <definedName name="SD_7313x1_114_S_1" localSheetId="4" hidden="1">ProLink!$F$88</definedName>
    <definedName name="SD_7313x1_115_S_0" localSheetId="4" hidden="1">ProLink!$F$89</definedName>
    <definedName name="SD_7313x1_116_S_0" localSheetId="4" hidden="1">ProLink!$F$26</definedName>
    <definedName name="SD_7313x1_117_S_0" localSheetId="4" hidden="1">ProLink!$F$27</definedName>
    <definedName name="SD_7313x1_118_S_0" localSheetId="4" hidden="1">ProLink!$F$29</definedName>
    <definedName name="SD_7313x1_119_S_0" localSheetId="4" hidden="1">ProLink!$F$30</definedName>
    <definedName name="SD_7313x1_120_S_0" localSheetId="4" hidden="1">ProLink!$F$31</definedName>
    <definedName name="SD_7313x1_121_S_0" localSheetId="4" hidden="1">ProLink!$F$33</definedName>
    <definedName name="SD_7313x1_122_S_0" localSheetId="4" hidden="1">ProLink!$F$32</definedName>
    <definedName name="SD_7313x1_123_S_1" localSheetId="4" hidden="1">ProLink!$F$90</definedName>
    <definedName name="SD_7313x1_124_S_0" localSheetId="4" hidden="1">ProLink!$F$91</definedName>
    <definedName name="SD_7313x1_125_S_1" localSheetId="4" hidden="1">ProLink!$F$94</definedName>
    <definedName name="SD_7313x1_126_S_1" localSheetId="4" hidden="1">ProLink!$F$99</definedName>
    <definedName name="SD_7313x1_127_S_0" localSheetId="4" hidden="1">ProLink!$F$95</definedName>
    <definedName name="SD_7313x1_128_S_1" localSheetId="4" hidden="1">'ProLink Mapping'!$C$100</definedName>
    <definedName name="SD_7313x1_129_S_0" localSheetId="4" hidden="1">'ProLink Mapping'!$C$101</definedName>
    <definedName name="SD_7313x1_130_S_0" localSheetId="4" hidden="1">'ProLink Mapping'!$C$102</definedName>
    <definedName name="SD_7313x1_131_S_1" localSheetId="4" hidden="1">'ProLink Mapping'!$C$165</definedName>
    <definedName name="SD_7313x1_132_S_1" localSheetId="4" hidden="1">'ProLink Mapping'!$C$166</definedName>
    <definedName name="SD_7313x1_133_S_1" localSheetId="4" hidden="1">'ProLink Mapping'!$C$167</definedName>
    <definedName name="SD_7313x1_134_S_1" localSheetId="4" hidden="1">'ProLink Mapping'!$C$168</definedName>
    <definedName name="SD_7313x1_135_S_1" localSheetId="4" hidden="1">'ProLink Mapping'!$C$169</definedName>
    <definedName name="SD_7313x1_136_S_1" localSheetId="4" hidden="1">'ProLink Mapping'!$C$170</definedName>
    <definedName name="SD_7313x1_137_S_1" localSheetId="4" hidden="1">'ProLink Mapping'!$C$171</definedName>
    <definedName name="SD_7313x1_138_S_1" localSheetId="4" hidden="1">'ProLink Mapping'!$C$172</definedName>
    <definedName name="SD_7313x1_181_S_1" localSheetId="4" hidden="1">ProLink!$F$136</definedName>
    <definedName name="SD_7313x1_182_S_1" localSheetId="4" hidden="1">ProLink!$F$137</definedName>
    <definedName name="SD_7313x1_183_S_1" localSheetId="4" hidden="1">ProLink!$F$138</definedName>
    <definedName name="SD_7313x1_184_S_0" localSheetId="4" hidden="1">ProLink!$F$139</definedName>
    <definedName name="SD_7313x1_192_S_0" localSheetId="3" hidden="1">ProLink!$F$278</definedName>
    <definedName name="SD_7313x1_193_S_0" localSheetId="3" hidden="1">ProLink!$F$279</definedName>
    <definedName name="SD_7313x1_194_S_0" localSheetId="3" hidden="1">ProLink!$F$280</definedName>
    <definedName name="SD_7313x1_195_S_0" localSheetId="3" hidden="1">ProLink!$F$281</definedName>
    <definedName name="SD_7313x1_196_S_0" localSheetId="3" hidden="1">ProLink!$F$282</definedName>
    <definedName name="SD_7313x1_197_S_0" localSheetId="3" hidden="1">ProLink!$F$283</definedName>
    <definedName name="SD_7313x1_198_S_0" localSheetId="3" hidden="1">ProLink!$F$284</definedName>
    <definedName name="SD_7313x1_199_S_0" localSheetId="3" hidden="1">ProLink!$F$285</definedName>
    <definedName name="SD_7313x1_200_S_0" localSheetId="3" hidden="1">ProLink!$F$286</definedName>
    <definedName name="SD_7313x1_201_S_0" localSheetId="3" hidden="1">ProLink!$F$287</definedName>
    <definedName name="SD_7313x1_202_S_0" localSheetId="3" hidden="1">ProLink!$F$288</definedName>
    <definedName name="SD_7313x1_203_S_0" localSheetId="3" hidden="1">ProLink!$F$289</definedName>
    <definedName name="SD_7313x1_204_S_0" localSheetId="3" hidden="1">ProLink!$F$290</definedName>
    <definedName name="SD_7313x1_205_S_0" localSheetId="3" hidden="1">ProLink!$F$291</definedName>
    <definedName name="SD_7313x1_206_S_0" localSheetId="3" hidden="1">ProLink!$F$292</definedName>
    <definedName name="SD_7313x1_207_S_0" localSheetId="3" hidden="1">ProLink!$F$293</definedName>
    <definedName name="SD_7313x1_208_S_0" localSheetId="3" hidden="1">ProLink!$F$294</definedName>
    <definedName name="SD_7313x1_209_S_0" localSheetId="3" hidden="1">ProLink!$F$295</definedName>
    <definedName name="SD_7313x1_210_S_0" localSheetId="3" hidden="1">ProLink!$F$296</definedName>
    <definedName name="SD_7313x1_211_S_0" localSheetId="3" hidden="1">ProLink!$F$297</definedName>
    <definedName name="SD_7313x1_212_S_0" localSheetId="3" hidden="1">ProLink!$F$298</definedName>
    <definedName name="SD_7313x1_213_S_0" localSheetId="3" hidden="1">ProLink!$F$299</definedName>
    <definedName name="SD_7313x1_214_S_0" localSheetId="3" hidden="1">ProLink!$F$300</definedName>
    <definedName name="SD_7313x1_215_S_0" localSheetId="3" hidden="1">ProLink!$F$301</definedName>
    <definedName name="SD_7313x1_216_S_0" localSheetId="3" hidden="1">ProLink!$F$302</definedName>
    <definedName name="SD_7313x1_217_S_0" localSheetId="3" hidden="1">ProLink!$F$303</definedName>
    <definedName name="SD_7313x1_218_S_0" localSheetId="3" hidden="1">ProLink!$F$304</definedName>
    <definedName name="SD_7313x1_219_S_0" localSheetId="3" hidden="1">ProLink!$F$305</definedName>
    <definedName name="SD_7313x1_220_S_0" localSheetId="3" hidden="1">ProLink!$F$306</definedName>
    <definedName name="SD_7313x1_221_S_0" localSheetId="3" hidden="1">ProLink!$F$307</definedName>
    <definedName name="SD_7313x1_222_S_0" localSheetId="3" hidden="1">ProLink!$F$308</definedName>
    <definedName name="SD_7313x1_223_S_0" localSheetId="3" hidden="1">ProLink!$F$309</definedName>
    <definedName name="SD_7313x1_224_S_0" localSheetId="3" hidden="1">ProLink!$F$310</definedName>
    <definedName name="SD_7313x1_225_S_0" localSheetId="3" hidden="1">ProLink!$F$311</definedName>
    <definedName name="SD_7313x1_226_S_0" localSheetId="3" hidden="1">ProLink!$F$316</definedName>
    <definedName name="SD_7313x1_227_S_0" localSheetId="3" hidden="1">ProLink!$F$317</definedName>
    <definedName name="SD_7313x1_228_S_0" localSheetId="3" hidden="1">ProLink!$F$318</definedName>
    <definedName name="SD_7313x1_229_S_0" localSheetId="3" hidden="1">ProLink!$F$319</definedName>
    <definedName name="SD_7313x1_230_S_0" localSheetId="3" hidden="1">ProLink!$F$315</definedName>
    <definedName name="SD_7313x1_231_S_0" localSheetId="3" hidden="1">ProLink!$F$345</definedName>
    <definedName name="SD_7313x1_232_S_0" localSheetId="3" hidden="1">ProLink!$F$320</definedName>
    <definedName name="SD_7313x1_233_S_0" localSheetId="3" hidden="1">ProLink!$F$321</definedName>
    <definedName name="SD_7313x1_235_S_0" localSheetId="3" hidden="1">ProLink!$F$327</definedName>
    <definedName name="SD_7313x1_237_G_0" localSheetId="3" hidden="1">ProLink!$F$329</definedName>
    <definedName name="SD_7313x1_240_S_0" localSheetId="3" hidden="1">ProLink!$F$325</definedName>
    <definedName name="SD_7313x1_241_S_0" localSheetId="3" hidden="1">ProLink!$F$351</definedName>
    <definedName name="SD_7313x1_242_S_0" localSheetId="3" hidden="1">ProLink!$F$332</definedName>
    <definedName name="SD_7313x1_243_S_0" localSheetId="3" hidden="1">ProLink!$F$333</definedName>
    <definedName name="SD_7313x1_244_S_0" localSheetId="3" hidden="1">ProLink!$F$314</definedName>
    <definedName name="SD_7313x1_245_S_0" localSheetId="3" hidden="1">ProLink!$F$324</definedName>
    <definedName name="SD_7313x1_246_S_0" localSheetId="3" hidden="1">ProLink!$F$337</definedName>
    <definedName name="SD_7313x1_247_S_0" localSheetId="3" hidden="1">ProLink!$F$338</definedName>
    <definedName name="SD_7313x1_248_S_0" localSheetId="3" hidden="1">ProLink!$F$339</definedName>
    <definedName name="SD_7313x1_249_S_0" localSheetId="3" hidden="1">ProLink!$F$343</definedName>
    <definedName name="SD_7313x1_250_S_0" localSheetId="3" hidden="1">ProLink!$F$344</definedName>
    <definedName name="SD_7313x1_251_S_0" localSheetId="3" hidden="1">ProLink!$F$349</definedName>
    <definedName name="SD_7313x1_252_S_0" localSheetId="3" hidden="1">ProLink!$F$350</definedName>
    <definedName name="SD_7313x1_253_S_0" localSheetId="3" hidden="1">ProLink!$F$356</definedName>
    <definedName name="SD_7313x1_254_S_0" localSheetId="3" hidden="1">ProLink!$F$357</definedName>
    <definedName name="SD_7313x1_255_S_0" localSheetId="3" hidden="1">ProLink!$F$358</definedName>
    <definedName name="SD_7313x1_256_S_0" localSheetId="3" hidden="1">ProLink!$F$363</definedName>
    <definedName name="SD_7313x1_257_S_0" localSheetId="3" hidden="1">ProLink!$F$364</definedName>
    <definedName name="SD_7313x1_258_S_0" localSheetId="3" hidden="1">ProLink!$F$365</definedName>
    <definedName name="SD_7313x1_259_S_0" localSheetId="3" hidden="1">ProLink!$F$369</definedName>
    <definedName name="SD_7313x1_260_S_0" localSheetId="3" hidden="1">ProLink!$F$370</definedName>
    <definedName name="SD_7313x1_261_S_0" localSheetId="3" hidden="1">ProLink!$F$371</definedName>
    <definedName name="SD_7313x1_262_S_0" localSheetId="3" hidden="1">ProLink!$F$336</definedName>
    <definedName name="SD_7313x1_263_S_0" localSheetId="3" hidden="1">ProLink!$F$342</definedName>
    <definedName name="SD_7313x1_264_S_0" localSheetId="3" hidden="1">ProLink!$F$348</definedName>
    <definedName name="SD_7313x1_265_S_0" localSheetId="3" hidden="1">ProLink!$F$355</definedName>
    <definedName name="SD_7313x1_266_S_0" localSheetId="3" hidden="1">ProLink!$F$362</definedName>
    <definedName name="SD_7313x1_267_S_0" localSheetId="3" hidden="1">ProLink!$F$368</definedName>
    <definedName name="SD_7313x1_268_S_0" localSheetId="3" hidden="1">ProLink!$F$374</definedName>
    <definedName name="SD_7313x1_269_S_0" localSheetId="3" hidden="1">ProLink!$F$375</definedName>
    <definedName name="SD_7313x1_270_S_0" localSheetId="3" hidden="1">ProLink!$F$376</definedName>
    <definedName name="SD_7313x1_271_S_0" localSheetId="3" hidden="1">ProLink!$F$377</definedName>
    <definedName name="SD_7313x1_272_S_0" localSheetId="3" hidden="1">ProLink!$F$378</definedName>
    <definedName name="SD_7313x1_273_S_0" localSheetId="3" hidden="1">ProLink!$F$379</definedName>
    <definedName name="SD_7313x1_274_S_0" localSheetId="3" hidden="1">ProLink!$F$380</definedName>
    <definedName name="SD_7313x1_275_S_0" localSheetId="3" hidden="1">ProLink!$F$381</definedName>
    <definedName name="SD_7313x1_276_S_0" localSheetId="3" hidden="1">ProLink!$F$382</definedName>
    <definedName name="SD_7313x1_277_S_0" localSheetId="3" hidden="1">ProLink!$F$383</definedName>
    <definedName name="SD_7313x1_278_S_0" localSheetId="3" hidden="1">ProLink!$F$384</definedName>
    <definedName name="SD_7313x1_279_S_0" localSheetId="3" hidden="1">ProLink!$F$385</definedName>
    <definedName name="SD_7313x1_280_S_0" localSheetId="3" hidden="1">ProLink!$F$386</definedName>
    <definedName name="SD_7313x1_281_S_0" localSheetId="3" hidden="1">ProLink!$F$387</definedName>
    <definedName name="SD_7313x1_282_S_0" localSheetId="3" hidden="1">ProLink!$F$388</definedName>
    <definedName name="SD_7313x1_283_S_0" localSheetId="3" hidden="1">ProLink!$F$411</definedName>
    <definedName name="SD_7313x1_284_S_0" localSheetId="3" hidden="1">ProLink!$F$412</definedName>
    <definedName name="SD_7313x1_285_S_0" localSheetId="3" hidden="1">ProLink!$F$389</definedName>
    <definedName name="SD_7313x1_286_S_0" localSheetId="3" hidden="1">ProLink!$F$390</definedName>
    <definedName name="SD_7313x1_287_S_0" localSheetId="3" hidden="1">ProLink!$F$391</definedName>
    <definedName name="SD_7313x1_288_S_0" localSheetId="3" hidden="1">ProLink!$F$392</definedName>
    <definedName name="SD_7313x1_289_S_0" localSheetId="3" hidden="1">ProLink!$F$393</definedName>
    <definedName name="SD_7313x1_290_S_0" localSheetId="3" hidden="1">ProLink!$F$394</definedName>
    <definedName name="SD_7313x1_291_S_0" localSheetId="3" hidden="1">ProLink!$F$395</definedName>
    <definedName name="SD_7313x1_292_S_0" localSheetId="3" hidden="1">ProLink!$F$396</definedName>
    <definedName name="SD_7313x1_293_S_0" localSheetId="3" hidden="1">ProLink!$F$397</definedName>
    <definedName name="SD_7313x1_294_S_0" localSheetId="3" hidden="1">ProLink!$F$398</definedName>
    <definedName name="SD_7313x1_295_S_0" localSheetId="3" hidden="1">ProLink!$F$399</definedName>
    <definedName name="SD_7313x1_296_S_0" localSheetId="3" hidden="1">ProLink!$F$400</definedName>
    <definedName name="SD_7313x1_297_S_0" localSheetId="3" hidden="1">ProLink!$F$401</definedName>
    <definedName name="SD_7313x1_298_S_0" localSheetId="3" hidden="1">ProLink!$F$409</definedName>
    <definedName name="SD_7313x1_299_S_0" localSheetId="3" hidden="1">ProLink!$F$403</definedName>
    <definedName name="SD_7313x1_300_S_0" localSheetId="3" hidden="1">ProLink!$F$404</definedName>
    <definedName name="SD_7313x1_301_S_0" localSheetId="3" hidden="1">ProLink!$F$405</definedName>
    <definedName name="SD_7313x1_302_S_0" localSheetId="3" hidden="1">ProLink!$F$406</definedName>
    <definedName name="SD_7313x1_303_S_0" localSheetId="3" hidden="1">ProLink!$F$407</definedName>
    <definedName name="SD_7313x1_304_S_0" localSheetId="3" hidden="1">ProLink!$F$408</definedName>
    <definedName name="SD_7313x1_305_S_0" localSheetId="3" hidden="1">ProLink!$F$402</definedName>
    <definedName name="SD_7313x1_306_S_0" localSheetId="3" hidden="1">ProLink!$F$410</definedName>
    <definedName name="SD_7313x1_307_S_0" localSheetId="3" hidden="1">ProLink!$F$414</definedName>
    <definedName name="SD_7313x1_308_S_0" localSheetId="3" hidden="1">ProLink!$F$415</definedName>
    <definedName name="SD_7313x1_309_S_0" localSheetId="3" hidden="1">ProLink!$F$416</definedName>
    <definedName name="SD_7313x1_310_S_0" localSheetId="3" hidden="1">ProLink!$F$417</definedName>
    <definedName name="SD_7313x1_311_S_0" localSheetId="3" hidden="1">ProLink!$F$418</definedName>
    <definedName name="SD_7313x1_312_S_0" localSheetId="3" hidden="1">ProLink!$F$419</definedName>
    <definedName name="SD_7313x1_313_S_0" localSheetId="3" hidden="1">ProLink!$F$420</definedName>
    <definedName name="SD_7313x1_314_S_0" localSheetId="3" hidden="1">ProLink!$F$413</definedName>
    <definedName name="SD_7313x1_315_S_0" localSheetId="3" hidden="1">ProLink!$F$421</definedName>
    <definedName name="SD_7313x1_316_S_0" localSheetId="3" hidden="1">ProLink!$F$423</definedName>
    <definedName name="SD_7313x1_317_S_0" localSheetId="3" hidden="1">ProLink!$F$422</definedName>
    <definedName name="SD_7313x1_318_S_0" localSheetId="3" hidden="1">ProLink!$F$424</definedName>
    <definedName name="SD_7313x1_319_S_0" localSheetId="3" hidden="1">ProLink!$F$427</definedName>
    <definedName name="SD_7313x1_320_S_0" localSheetId="3" hidden="1">ProLink!$F$428</definedName>
    <definedName name="SD_7313x1_321_S_0" localSheetId="3" hidden="1">ProLink!$F$429</definedName>
    <definedName name="SD_7313x1_322_S_0" localSheetId="3" hidden="1">ProLink!$F$430</definedName>
    <definedName name="SD_7313x1_323_S_0" localSheetId="3" hidden="1">ProLink!$F$433</definedName>
    <definedName name="SD_7313x1_324_S_0" localSheetId="3" hidden="1">ProLink!$F$434</definedName>
    <definedName name="SD_7313x1_325_S_0" localSheetId="3" hidden="1">ProLink!$F$435</definedName>
    <definedName name="SD_7313x1_326_S_0" localSheetId="3" hidden="1">ProLink!$F$436</definedName>
    <definedName name="SD_7313x1_327_S_0" localSheetId="3" hidden="1">ProLink!$F$439</definedName>
    <definedName name="SD_7313x1_328_S_0" localSheetId="3" hidden="1">ProLink!$F$440</definedName>
    <definedName name="SD_7313x1_329_S_0" localSheetId="3" hidden="1">ProLink!$F$453</definedName>
    <definedName name="SD_7313x1_330_S_0" localSheetId="3" hidden="1">ProLink!$F$454</definedName>
    <definedName name="SD_7313x1_331_S_0" localSheetId="3" hidden="1">ProLink!$F$457</definedName>
    <definedName name="SD_7313x1_332_S_0" localSheetId="3" hidden="1">ProLink!$F$458</definedName>
    <definedName name="SD_7313x1_333_S_0" localSheetId="3" hidden="1">ProLink!$F$472</definedName>
    <definedName name="SD_7313x1_334_S_0" localSheetId="3" hidden="1">ProLink!$F$473</definedName>
    <definedName name="SD_7313x1_335_S_0" localSheetId="3" hidden="1">ProLink!$F$482</definedName>
    <definedName name="SD_7313x1_336_S_0" localSheetId="3" hidden="1">ProLink!$F$483</definedName>
    <definedName name="SD_7313x1_337_S_0" localSheetId="3" hidden="1">ProLink!$F$487</definedName>
    <definedName name="SD_7313x1_338_S_0" localSheetId="3" hidden="1">ProLink!$F$488</definedName>
    <definedName name="SD_7313x1_339_S_0" localSheetId="3" hidden="1">ProLink!$F$491</definedName>
    <definedName name="SD_7313x1_340_S_0" localSheetId="3" hidden="1">ProLink!$F$492</definedName>
    <definedName name="SD_7313x1_341_S_0" localSheetId="3" hidden="1">ProLink!$F$493</definedName>
    <definedName name="SD_7313x1_342_S_0" localSheetId="3" hidden="1">ProLink!$F$494</definedName>
    <definedName name="SD_7313x1_343_S_0" localSheetId="3" hidden="1">ProLink!$F$476</definedName>
    <definedName name="SD_7313x1_344_S_0" localSheetId="3" hidden="1">ProLink!$F$477</definedName>
    <definedName name="SD_7313x1_345_S_0" localSheetId="3" hidden="1">ProLink!$F$478</definedName>
    <definedName name="SD_7313x1_346_S_0" localSheetId="3" hidden="1">ProLink!$F$479</definedName>
    <definedName name="SD_7313x1_347_S_0" localSheetId="3" hidden="1">ProLink!$F$361</definedName>
    <definedName name="SD_7313x1_348_S_0" localSheetId="3" hidden="1">ProLink!$F$354</definedName>
    <definedName name="SD_7313x1_349_S_0" localSheetId="3" hidden="1">ProLink!$F$169</definedName>
    <definedName name="SD_7313x1_350_S_0" localSheetId="3" hidden="1">ProLink!$F$170</definedName>
    <definedName name="SD_7313x1_351_S_0" localSheetId="3" hidden="1">ProLink!$F$265</definedName>
    <definedName name="SD_7313x1_352_S_0" localSheetId="3" hidden="1">ProLink!$F$267</definedName>
    <definedName name="SD_7313x1_353_S_0" localSheetId="3" hidden="1">ProLink!$F$266</definedName>
    <definedName name="SD_7313x1_354_S_0" localSheetId="3" hidden="1">ProLink!$F$268</definedName>
    <definedName name="SD_7313x1_355_S_0" localSheetId="3" hidden="1">ProLink!$F$178</definedName>
    <definedName name="SD_7313x1_356_S_0" localSheetId="3" hidden="1">ProLink!$F$179</definedName>
    <definedName name="SD_7313x1_357_S_0" localSheetId="3" hidden="1">ProLink!$F$180</definedName>
    <definedName name="SD_7313x1_358_S_0" localSheetId="3" hidden="1">ProLink!$F$181</definedName>
    <definedName name="SD_7313x1_359_S_0" localSheetId="3" hidden="1">ProLink!$F$182</definedName>
    <definedName name="SD_7313x1_360_S_0" localSheetId="3" hidden="1">ProLink!$F$183</definedName>
    <definedName name="SD_7313x1_363_S_0" localSheetId="3" hidden="1">ProLink!$F$269</definedName>
    <definedName name="SD_7313x1_364_S_0" localSheetId="3" hidden="1">ProLink!$F$270</definedName>
    <definedName name="SD_7313x1_366_S_0" localSheetId="3" hidden="1">ProLink!$F$173</definedName>
    <definedName name="SD_7313x1_367_S_0" localSheetId="3" hidden="1">ProLink!$F$174</definedName>
    <definedName name="SD_7313x1_371_S_0" localSheetId="3" hidden="1">ProLink!$F$187</definedName>
    <definedName name="SD_7313x1_372_S_0" localSheetId="3" hidden="1">ProLink!$F$188</definedName>
    <definedName name="SD_7313x1_373_S_0" localSheetId="3" hidden="1">ProLink!$F$189</definedName>
    <definedName name="SD_7313x1_374_S_0" localSheetId="3" hidden="1">ProLink!$F$190</definedName>
    <definedName name="SD_7313x1_375_S_0" localSheetId="3" hidden="1">ProLink!$F$191</definedName>
    <definedName name="SD_7313x1_376_S_0" localSheetId="3" hidden="1">ProLink!$F$192</definedName>
    <definedName name="SD_7313x1_377_S_0" localSheetId="3" hidden="1">ProLink!$F$193</definedName>
    <definedName name="SD_7313x1_378_S_0" localSheetId="3" hidden="1">ProLink!$F$194</definedName>
    <definedName name="SD_7313x1_379_S_0" localSheetId="3" hidden="1">ProLink!$F$196</definedName>
    <definedName name="SD_7313x1_380_S_0" localSheetId="3" hidden="1">ProLink!$F$197</definedName>
    <definedName name="SD_7313x1_381_S_0" localSheetId="3" hidden="1">ProLink!$F$198</definedName>
    <definedName name="SD_7313x1_382_S_0" localSheetId="3" hidden="1">ProLink!$F$199</definedName>
    <definedName name="SD_7313x1_383_S_0" localSheetId="3" hidden="1">ProLink!$F$200</definedName>
    <definedName name="SD_7313x1_384_S_0" localSheetId="3" hidden="1">ProLink!$F$201</definedName>
    <definedName name="SD_7313x1_385_S_0" localSheetId="3" hidden="1">ProLink!$F$202</definedName>
    <definedName name="SD_7313x1_386_S_0" localSheetId="3" hidden="1">ProLink!$F$203</definedName>
    <definedName name="SD_7313x1_387_S_0" localSheetId="3" hidden="1">ProLink!$F$204</definedName>
    <definedName name="SD_7313x1_388_S_0" localSheetId="3" hidden="1">ProLink!$F$205</definedName>
    <definedName name="SD_7313x1_389_S_0" localSheetId="3" hidden="1">ProLink!$F$206</definedName>
    <definedName name="SD_7313x1_390_S_0" localSheetId="3" hidden="1">ProLink!$F$207</definedName>
    <definedName name="SD_7313x1_391_S_0" localSheetId="3" hidden="1">ProLink!$F$208</definedName>
    <definedName name="SD_7313x1_392_S_0" localSheetId="3" hidden="1">ProLink!$F$209</definedName>
    <definedName name="SD_7313x1_393_S_0" localSheetId="3" hidden="1">ProLink!$F$210</definedName>
    <definedName name="SD_7313x1_394_S_0" localSheetId="3" hidden="1">ProLink!$F$211</definedName>
    <definedName name="SD_7313x1_395_S_0" localSheetId="3" hidden="1">ProLink!$F$212</definedName>
    <definedName name="SD_7313x1_396_S_0" localSheetId="3" hidden="1">ProLink!$F$213</definedName>
    <definedName name="SD_7313x1_397_S_0" localSheetId="3" hidden="1">ProLink!$F$214</definedName>
    <definedName name="SD_7313x1_398_S_0" localSheetId="3" hidden="1">ProLink!$F$215</definedName>
    <definedName name="SD_7313x1_399_S_0" localSheetId="3" hidden="1">ProLink!$F$216</definedName>
    <definedName name="SD_7313x1_400_S_0" localSheetId="3" hidden="1">ProLink!$F$217</definedName>
    <definedName name="SD_7313x1_401_S_0" localSheetId="3" hidden="1">ProLink!$F$218</definedName>
    <definedName name="SD_7313x1_402_S_0" localSheetId="3" hidden="1">ProLink!$F$219</definedName>
    <definedName name="SD_7313x1_403_S_0" localSheetId="3" hidden="1">ProLink!$F$220</definedName>
    <definedName name="SD_7313x1_404_S_0" localSheetId="3" hidden="1">ProLink!$F$221</definedName>
    <definedName name="SD_7313x1_405_S_0" localSheetId="3" hidden="1">ProLink!$F$222</definedName>
    <definedName name="SD_7313x1_406_S_0" localSheetId="3" hidden="1">ProLink!$F$223</definedName>
    <definedName name="SD_7313x1_407_S_0" localSheetId="3" hidden="1">ProLink!$F$225</definedName>
    <definedName name="SD_7313x1_408_S_0" localSheetId="3" hidden="1">ProLink!$F$226</definedName>
    <definedName name="SD_7313x1_409_S_0" localSheetId="3" hidden="1">ProLink!$F$227</definedName>
    <definedName name="SD_7313x1_410_S_0" localSheetId="3" hidden="1">ProLink!$F$228</definedName>
    <definedName name="SD_7313x1_411_S_0" localSheetId="3" hidden="1">ProLink!$F$229</definedName>
    <definedName name="SD_7313x1_412_S_0" localSheetId="3" hidden="1">ProLink!$F$230</definedName>
    <definedName name="SD_7313x1_413_S_0" localSheetId="3" hidden="1">ProLink!$F$231</definedName>
    <definedName name="SD_7313x1_414_S_0" localSheetId="3" hidden="1">ProLink!$F$232</definedName>
    <definedName name="SD_7313x1_415_S_0" localSheetId="3" hidden="1">ProLink!$F$233</definedName>
    <definedName name="SD_7313x1_416_S_0" localSheetId="3" hidden="1">ProLink!$F$234</definedName>
    <definedName name="SD_7313x1_417_B_0" localSheetId="3" hidden="1">ProLink!$F$235</definedName>
    <definedName name="SD_7313x1_418_S_0" localSheetId="3" hidden="1">ProLink!$F$236</definedName>
    <definedName name="SD_7313x1_419_S_0" localSheetId="3" hidden="1">ProLink!$F$237</definedName>
    <definedName name="SD_7313x1_420_S_0" localSheetId="3" hidden="1">ProLink!$F$238</definedName>
    <definedName name="SD_7313x1_421_S_0" localSheetId="3" hidden="1">ProLink!$F$239</definedName>
    <definedName name="SD_7313x1_422_S_0" localSheetId="3" hidden="1">ProLink!$F$240</definedName>
    <definedName name="SD_7313x1_423_S_0" localSheetId="3" hidden="1">ProLink!$F$241</definedName>
    <definedName name="SD_7313x1_424_S_0" localSheetId="3" hidden="1">ProLink!$F$242</definedName>
    <definedName name="SD_7313x1_425_S_0" localSheetId="3" hidden="1">ProLink!$F$243</definedName>
    <definedName name="SD_7313x1_426_S_0" localSheetId="3" hidden="1">ProLink!$F$244</definedName>
    <definedName name="SD_7313x1_427_S_0" localSheetId="3" hidden="1">ProLink!$F$245</definedName>
    <definedName name="SD_7313x1_428_S_0" localSheetId="3" hidden="1">ProLink!$F$246</definedName>
    <definedName name="SD_7313x1_429_S_0" localSheetId="3" hidden="1">ProLink!$F$247</definedName>
    <definedName name="SD_7313x1_430_S_0" localSheetId="3" hidden="1">ProLink!$F$248</definedName>
    <definedName name="SD_7313x1_431_S_0" localSheetId="3" hidden="1">ProLink!$F$249</definedName>
    <definedName name="SD_7313x1_432_S_0" localSheetId="3" hidden="1">ProLink!$F$250</definedName>
    <definedName name="SD_7313x1_433_S_0" localSheetId="3" hidden="1">ProLink!$F$252</definedName>
    <definedName name="SD_7313x1_434_S_0" localSheetId="3" hidden="1">ProLink!$F$253</definedName>
    <definedName name="SD_7313x1_435_S_0" localSheetId="3" hidden="1">ProLink!$F$254</definedName>
    <definedName name="SD_7313x1_436_S_0" localSheetId="3" hidden="1">ProLink!$F$255</definedName>
    <definedName name="SD_7313x1_439_S_0" localSheetId="3" hidden="1">ProLink!$F$258</definedName>
    <definedName name="SD_7313x1_440_S_0" localSheetId="3" hidden="1">ProLink!$F$259</definedName>
    <definedName name="SD_7313x1_443_S_0" localSheetId="3" hidden="1">ProLink!$F$262</definedName>
    <definedName name="SD_7313x1_444_S_0" localSheetId="3" hidden="1">ProLink!$F$263</definedName>
    <definedName name="SD_7313x1_445_S_0" localSheetId="3" hidden="1">ProLink!$F$441</definedName>
    <definedName name="SD_7313x1_446_S_0" localSheetId="3" hidden="1">ProLink!$F$442</definedName>
    <definedName name="SD_7313x1_447_S_0" localSheetId="3" hidden="1">ProLink!$F$443</definedName>
    <definedName name="SD_7313x1_448_S_0" localSheetId="3" hidden="1">ProLink!$F$444</definedName>
    <definedName name="SD_7313x1_449_S_0" localSheetId="3" hidden="1">ProLink!$F$445</definedName>
    <definedName name="SD_7313x1_450_S_0" localSheetId="3" hidden="1">ProLink!$F$446</definedName>
    <definedName name="SD_7313x1_451_S_0" localSheetId="3" hidden="1">ProLink!$F$447</definedName>
    <definedName name="SD_7313x1_452_S_0" localSheetId="3" hidden="1">ProLink!$F$448</definedName>
    <definedName name="SD_7313x1_453_S_0" localSheetId="3" hidden="1">ProLink!$F$449</definedName>
    <definedName name="SD_7313x1_454_S_0" localSheetId="3" hidden="1">ProLink!$F$450</definedName>
    <definedName name="SD_7313x1_455_S_0" localSheetId="3" hidden="1">ProLink!$F$451</definedName>
    <definedName name="SD_7313x1_456_S_0" localSheetId="3" hidden="1">ProLink!$F$452</definedName>
    <definedName name="SD_7313x1_457_S_0" localSheetId="3" hidden="1">ProLink!$F$459</definedName>
    <definedName name="SD_7313x1_458_S_0" localSheetId="3" hidden="1">ProLink!$F$460</definedName>
    <definedName name="SD_7313x1_459_S_0" localSheetId="3" hidden="1">ProLink!$F$461</definedName>
    <definedName name="SD_7313x1_460_S_0" localSheetId="3" hidden="1">ProLink!$F$462</definedName>
    <definedName name="SD_7313x1_461_S_0" localSheetId="3" hidden="1">ProLink!$F$463</definedName>
    <definedName name="SD_7313x1_462_S_0" localSheetId="3" hidden="1">ProLink!$F$464</definedName>
    <definedName name="SD_7313x1_463_S_0" localSheetId="3" hidden="1">ProLink!$F$465</definedName>
    <definedName name="SD_7313x1_464_S_0" localSheetId="3" hidden="1">ProLink!$F$466</definedName>
    <definedName name="SD_7313x1_465_S_0" localSheetId="3" hidden="1">ProLink!$F$467</definedName>
    <definedName name="SD_7313x1_466_S_0" localSheetId="3" hidden="1">ProLink!$F$468</definedName>
    <definedName name="SD_7313x1_467_S_0" localSheetId="3" hidden="1">ProLink!$F$469</definedName>
    <definedName name="SD_7313x1_468_S_0" localSheetId="3" hidden="1">ProLink!$F$470</definedName>
    <definedName name="SD_7313x1_469_S_0" localSheetId="3" hidden="1">ProLink!$F$471</definedName>
    <definedName name="SD_7313x1_470_S_0" localSheetId="3" hidden="1">ProLink!$F$484</definedName>
    <definedName name="SD_7313x1_471_S_0" localSheetId="3" hidden="1">ProLink!$F$485</definedName>
    <definedName name="SD_7313x1_472_S_0" localSheetId="3" hidden="1">ProLink!$F$486</definedName>
    <definedName name="SD_74_G_0" localSheetId="7" hidden="1">ProLink!$F$5</definedName>
    <definedName name="SD_7634x1_11_S_0" localSheetId="4" hidden="1">'ProLink Mapping'!$V$133</definedName>
    <definedName name="SD_7634x1_13_S_1" localSheetId="4" hidden="1">'ProLink Mapping'!$U$133</definedName>
    <definedName name="SD_7634x1_14_S_1" localSheetId="4" hidden="1">'ProLink Mapping'!$M$133</definedName>
    <definedName name="SD_7634x1_15_S_0" localSheetId="4" hidden="1">'ProLink Mapping'!$W$133</definedName>
    <definedName name="SD_7634x1_16_S_0" localSheetId="4" hidden="1">'ProLink Mapping'!$O$133</definedName>
    <definedName name="SD_7634x1_17_S_0" localSheetId="4" hidden="1">'ProLink Mapping'!$Q$133</definedName>
    <definedName name="SD_7634x1_20_S_0" localSheetId="4" hidden="1">'ProLink Mapping'!$P$133</definedName>
    <definedName name="SD_7634x1_21_S_0" localSheetId="4" hidden="1">'ProLink Mapping'!$R$133</definedName>
    <definedName name="SD_7634x1_23_S_0" localSheetId="4" hidden="1">'ProLink Mapping'!$T$133</definedName>
    <definedName name="SD_7634x1_25_S_0" localSheetId="4" hidden="1">'ProLink Mapping'!$S$133</definedName>
    <definedName name="SD_7634x1_27_S_1" localSheetId="4" hidden="1">'ProLink Mapping'!$N$133</definedName>
    <definedName name="SD_7634x10_11_S_0" localSheetId="4" hidden="1">'ProLink Mapping'!$V$142</definedName>
    <definedName name="SD_7634x10_13_S_1" localSheetId="4" hidden="1">'ProLink Mapping'!$U$142</definedName>
    <definedName name="SD_7634x10_14_S_1" localSheetId="4" hidden="1">'ProLink Mapping'!$M$142</definedName>
    <definedName name="SD_7634x10_15_S_0" localSheetId="4" hidden="1">'ProLink Mapping'!$W$142</definedName>
    <definedName name="SD_7634x10_16_S_0" localSheetId="4" hidden="1">'ProLink Mapping'!$O$142</definedName>
    <definedName name="SD_7634x10_17_S_0" localSheetId="4" hidden="1">'ProLink Mapping'!$Q$142</definedName>
    <definedName name="SD_7634x10_20_S_0" localSheetId="4" hidden="1">'ProLink Mapping'!$P$142</definedName>
    <definedName name="SD_7634x10_21_S_0" localSheetId="4" hidden="1">'ProLink Mapping'!$R$142</definedName>
    <definedName name="SD_7634x10_23_S_0" localSheetId="4" hidden="1">'ProLink Mapping'!$T$142</definedName>
    <definedName name="SD_7634x10_25_S_0" localSheetId="4" hidden="1">'ProLink Mapping'!$S$142</definedName>
    <definedName name="SD_7634x10_27_S_1" localSheetId="4" hidden="1">'ProLink Mapping'!$N$142</definedName>
    <definedName name="SD_7634x11_11_S_0" localSheetId="4" hidden="1">'ProLink Mapping'!$V$143</definedName>
    <definedName name="SD_7634x11_13_S_1" localSheetId="4" hidden="1">'ProLink Mapping'!$U$143</definedName>
    <definedName name="SD_7634x11_14_S_1" localSheetId="4" hidden="1">'ProLink Mapping'!$M$143</definedName>
    <definedName name="SD_7634x11_15_S_0" localSheetId="4" hidden="1">'ProLink Mapping'!$W$143</definedName>
    <definedName name="SD_7634x11_16_S_0" localSheetId="4" hidden="1">'ProLink Mapping'!$O$143</definedName>
    <definedName name="SD_7634x11_17_S_0" localSheetId="4" hidden="1">'ProLink Mapping'!$Q$143</definedName>
    <definedName name="SD_7634x11_20_S_0" localSheetId="4" hidden="1">'ProLink Mapping'!$P$143</definedName>
    <definedName name="SD_7634x11_21_S_0" localSheetId="4" hidden="1">'ProLink Mapping'!$R$143</definedName>
    <definedName name="SD_7634x11_23_S_0" localSheetId="4" hidden="1">'ProLink Mapping'!$T$143</definedName>
    <definedName name="SD_7634x11_25_S_0" localSheetId="4" hidden="1">'ProLink Mapping'!$S$143</definedName>
    <definedName name="SD_7634x11_27_S_1" localSheetId="4" hidden="1">'ProLink Mapping'!$N$143</definedName>
    <definedName name="SD_7634x12_11_S_0" localSheetId="4" hidden="1">'ProLink Mapping'!$V$144</definedName>
    <definedName name="SD_7634x12_13_S_1" localSheetId="4" hidden="1">'ProLink Mapping'!$U$144</definedName>
    <definedName name="SD_7634x12_14_S_1" localSheetId="4" hidden="1">'ProLink Mapping'!$M$144</definedName>
    <definedName name="SD_7634x12_15_S_0" localSheetId="4" hidden="1">'ProLink Mapping'!$W$144</definedName>
    <definedName name="SD_7634x12_16_S_0" localSheetId="4" hidden="1">'ProLink Mapping'!$O$144</definedName>
    <definedName name="SD_7634x12_17_S_0" localSheetId="4" hidden="1">'ProLink Mapping'!$Q$144</definedName>
    <definedName name="SD_7634x12_20_S_0" localSheetId="4" hidden="1">'ProLink Mapping'!$P$144</definedName>
    <definedName name="SD_7634x12_21_S_0" localSheetId="4" hidden="1">'ProLink Mapping'!$R$144</definedName>
    <definedName name="SD_7634x12_23_S_0" localSheetId="4" hidden="1">'ProLink Mapping'!$T$144</definedName>
    <definedName name="SD_7634x12_25_S_0" localSheetId="4" hidden="1">'ProLink Mapping'!$S$144</definedName>
    <definedName name="SD_7634x12_27_S_1" localSheetId="4" hidden="1">'ProLink Mapping'!$N$144</definedName>
    <definedName name="SD_7634x13_11_S_0" localSheetId="4" hidden="1">'ProLink Mapping'!$V$145</definedName>
    <definedName name="SD_7634x13_13_S_1" localSheetId="4" hidden="1">'ProLink Mapping'!$U$145</definedName>
    <definedName name="SD_7634x13_14_S_1" localSheetId="4" hidden="1">'ProLink Mapping'!$M$145</definedName>
    <definedName name="SD_7634x13_15_S_0" localSheetId="4" hidden="1">'ProLink Mapping'!$W$145</definedName>
    <definedName name="SD_7634x13_16_S_0" localSheetId="4" hidden="1">'ProLink Mapping'!$O$145</definedName>
    <definedName name="SD_7634x13_17_S_0" localSheetId="4" hidden="1">'ProLink Mapping'!$Q$145</definedName>
    <definedName name="SD_7634x13_20_S_0" localSheetId="4" hidden="1">'ProLink Mapping'!$P$145</definedName>
    <definedName name="SD_7634x13_21_S_0" localSheetId="4" hidden="1">'ProLink Mapping'!$R$145</definedName>
    <definedName name="SD_7634x13_23_S_0" localSheetId="4" hidden="1">'ProLink Mapping'!$T$145</definedName>
    <definedName name="SD_7634x13_25_S_0" localSheetId="4" hidden="1">'ProLink Mapping'!$S$145</definedName>
    <definedName name="SD_7634x13_27_S_1" localSheetId="4" hidden="1">'ProLink Mapping'!$N$145</definedName>
    <definedName name="SD_7634x14_11_S_0" localSheetId="4" hidden="1">'ProLink Mapping'!$V$146</definedName>
    <definedName name="SD_7634x14_13_S_1" localSheetId="4" hidden="1">'ProLink Mapping'!$U$146</definedName>
    <definedName name="SD_7634x14_14_S_1" localSheetId="4" hidden="1">'ProLink Mapping'!$M$146</definedName>
    <definedName name="SD_7634x14_15_S_0" localSheetId="4" hidden="1">'ProLink Mapping'!$W$146</definedName>
    <definedName name="SD_7634x14_16_S_0" localSheetId="4" hidden="1">'ProLink Mapping'!$O$146</definedName>
    <definedName name="SD_7634x14_17_S_0" localSheetId="4" hidden="1">'ProLink Mapping'!$Q$146</definedName>
    <definedName name="SD_7634x14_20_S_0" localSheetId="4" hidden="1">'ProLink Mapping'!$P$146</definedName>
    <definedName name="SD_7634x14_21_S_0" localSheetId="4" hidden="1">'ProLink Mapping'!$R$146</definedName>
    <definedName name="SD_7634x14_23_S_0" localSheetId="4" hidden="1">'ProLink Mapping'!$T$146</definedName>
    <definedName name="SD_7634x14_25_S_0" localSheetId="4" hidden="1">'ProLink Mapping'!$S$146</definedName>
    <definedName name="SD_7634x14_27_S_1" localSheetId="4" hidden="1">'ProLink Mapping'!$N$146</definedName>
    <definedName name="SD_7634x15_11_S_0" localSheetId="4" hidden="1">'ProLink Mapping'!$V$147</definedName>
    <definedName name="SD_7634x15_13_S_1" localSheetId="4" hidden="1">'ProLink Mapping'!$U$147</definedName>
    <definedName name="SD_7634x15_14_S_1" localSheetId="4" hidden="1">'ProLink Mapping'!$M$147</definedName>
    <definedName name="SD_7634x15_15_S_0" localSheetId="4" hidden="1">'ProLink Mapping'!$W$147</definedName>
    <definedName name="SD_7634x15_16_S_0" localSheetId="4" hidden="1">'ProLink Mapping'!$O$147</definedName>
    <definedName name="SD_7634x15_17_S_0" localSheetId="4" hidden="1">'ProLink Mapping'!$Q$147</definedName>
    <definedName name="SD_7634x15_20_S_0" localSheetId="4" hidden="1">'ProLink Mapping'!$P$147</definedName>
    <definedName name="SD_7634x15_21_S_0" localSheetId="4" hidden="1">'ProLink Mapping'!$R$147</definedName>
    <definedName name="SD_7634x15_23_S_0" localSheetId="4" hidden="1">'ProLink Mapping'!$T$147</definedName>
    <definedName name="SD_7634x15_25_S_0" localSheetId="4" hidden="1">'ProLink Mapping'!$S$147</definedName>
    <definedName name="SD_7634x15_27_S_1" localSheetId="4" hidden="1">'ProLink Mapping'!$N$147</definedName>
    <definedName name="SD_7634x16_11_S_0" localSheetId="4" hidden="1">'ProLink Mapping'!$V$148</definedName>
    <definedName name="SD_7634x16_13_S_1" localSheetId="4" hidden="1">'ProLink Mapping'!$U$148</definedName>
    <definedName name="SD_7634x16_14_S_1" localSheetId="4" hidden="1">'ProLink Mapping'!$M$148</definedName>
    <definedName name="SD_7634x16_15_S_0" localSheetId="4" hidden="1">'ProLink Mapping'!$W$148</definedName>
    <definedName name="SD_7634x16_16_S_0" localSheetId="4" hidden="1">'ProLink Mapping'!$O$148</definedName>
    <definedName name="SD_7634x16_17_S_0" localSheetId="4" hidden="1">'ProLink Mapping'!$Q$148</definedName>
    <definedName name="SD_7634x16_20_S_0" localSheetId="4" hidden="1">'ProLink Mapping'!$P$148</definedName>
    <definedName name="SD_7634x16_21_S_0" localSheetId="4" hidden="1">'ProLink Mapping'!$R$148</definedName>
    <definedName name="SD_7634x16_23_S_0" localSheetId="4" hidden="1">'ProLink Mapping'!$T$148</definedName>
    <definedName name="SD_7634x16_25_S_0" localSheetId="4" hidden="1">'ProLink Mapping'!$S$148</definedName>
    <definedName name="SD_7634x16_27_S_1" localSheetId="4" hidden="1">'ProLink Mapping'!$N$148</definedName>
    <definedName name="SD_7634x17_11_S_0" localSheetId="4" hidden="1">'ProLink Mapping'!$V$149</definedName>
    <definedName name="SD_7634x17_13_S_1" localSheetId="4" hidden="1">'ProLink Mapping'!$U$149</definedName>
    <definedName name="SD_7634x17_14_S_1" localSheetId="4" hidden="1">'ProLink Mapping'!$M$149</definedName>
    <definedName name="SD_7634x17_15_S_0" localSheetId="4" hidden="1">'ProLink Mapping'!$W$149</definedName>
    <definedName name="SD_7634x17_16_S_0" localSheetId="4" hidden="1">'ProLink Mapping'!$O$149</definedName>
    <definedName name="SD_7634x17_17_S_0" localSheetId="4" hidden="1">'ProLink Mapping'!$Q$149</definedName>
    <definedName name="SD_7634x17_20_S_0" localSheetId="4" hidden="1">'ProLink Mapping'!$P$149</definedName>
    <definedName name="SD_7634x17_21_S_0" localSheetId="4" hidden="1">'ProLink Mapping'!$R$149</definedName>
    <definedName name="SD_7634x17_23_S_0" localSheetId="4" hidden="1">'ProLink Mapping'!$T$149</definedName>
    <definedName name="SD_7634x17_25_S_0" localSheetId="4" hidden="1">'ProLink Mapping'!$S$149</definedName>
    <definedName name="SD_7634x17_27_S_1" localSheetId="4" hidden="1">'ProLink Mapping'!$N$149</definedName>
    <definedName name="SD_7634x18_11_S_0" localSheetId="4" hidden="1">'ProLink Mapping'!$V$150</definedName>
    <definedName name="SD_7634x18_13_S_1" localSheetId="4" hidden="1">'ProLink Mapping'!$U$150</definedName>
    <definedName name="SD_7634x18_14_S_1" localSheetId="4" hidden="1">'ProLink Mapping'!$M$150</definedName>
    <definedName name="SD_7634x18_15_S_0" localSheetId="4" hidden="1">'ProLink Mapping'!$W$150</definedName>
    <definedName name="SD_7634x18_16_S_0" localSheetId="4" hidden="1">'ProLink Mapping'!$O$150</definedName>
    <definedName name="SD_7634x18_17_S_0" localSheetId="4" hidden="1">'ProLink Mapping'!$Q$150</definedName>
    <definedName name="SD_7634x18_20_S_0" localSheetId="4" hidden="1">'ProLink Mapping'!$P$150</definedName>
    <definedName name="SD_7634x18_21_S_0" localSheetId="4" hidden="1">'ProLink Mapping'!$R$150</definedName>
    <definedName name="SD_7634x18_23_S_0" localSheetId="4" hidden="1">'ProLink Mapping'!$T$150</definedName>
    <definedName name="SD_7634x18_25_S_0" localSheetId="4" hidden="1">'ProLink Mapping'!$S$150</definedName>
    <definedName name="SD_7634x18_27_S_1" localSheetId="4" hidden="1">'ProLink Mapping'!$N$150</definedName>
    <definedName name="SD_7634x19_11_S_0" localSheetId="4" hidden="1">'ProLink Mapping'!$V$151</definedName>
    <definedName name="SD_7634x19_13_S_1" localSheetId="4" hidden="1">'ProLink Mapping'!$U$151</definedName>
    <definedName name="SD_7634x19_14_S_1" localSheetId="4" hidden="1">'ProLink Mapping'!$M$151</definedName>
    <definedName name="SD_7634x19_15_S_0" localSheetId="4" hidden="1">'ProLink Mapping'!$W$151</definedName>
    <definedName name="SD_7634x19_16_S_0" localSheetId="4" hidden="1">'ProLink Mapping'!$O$151</definedName>
    <definedName name="SD_7634x19_17_S_0" localSheetId="4" hidden="1">'ProLink Mapping'!$Q$151</definedName>
    <definedName name="SD_7634x19_20_S_0" localSheetId="4" hidden="1">'ProLink Mapping'!$P$151</definedName>
    <definedName name="SD_7634x19_21_S_0" localSheetId="4" hidden="1">'ProLink Mapping'!$R$151</definedName>
    <definedName name="SD_7634x19_23_S_0" localSheetId="4" hidden="1">'ProLink Mapping'!$T$151</definedName>
    <definedName name="SD_7634x19_25_S_0" localSheetId="4" hidden="1">'ProLink Mapping'!$S$151</definedName>
    <definedName name="SD_7634x19_27_S_1" localSheetId="4" hidden="1">'ProLink Mapping'!$N$151</definedName>
    <definedName name="SD_7634x2_11_S_0" localSheetId="4" hidden="1">'ProLink Mapping'!$V$134</definedName>
    <definedName name="SD_7634x2_13_S_1" localSheetId="4" hidden="1">'ProLink Mapping'!$U$134</definedName>
    <definedName name="SD_7634x2_14_S_1" localSheetId="4" hidden="1">'ProLink Mapping'!$M$134</definedName>
    <definedName name="SD_7634x2_15_S_0" localSheetId="4" hidden="1">'ProLink Mapping'!$W$134</definedName>
    <definedName name="SD_7634x2_16_S_0" localSheetId="4" hidden="1">'ProLink Mapping'!$O$134</definedName>
    <definedName name="SD_7634x2_17_S_0" localSheetId="4" hidden="1">'ProLink Mapping'!$Q$134</definedName>
    <definedName name="SD_7634x2_20_S_0" localSheetId="4" hidden="1">'ProLink Mapping'!$P$134</definedName>
    <definedName name="SD_7634x2_21_S_0" localSheetId="4" hidden="1">'ProLink Mapping'!$R$134</definedName>
    <definedName name="SD_7634x2_23_S_0" localSheetId="4" hidden="1">'ProLink Mapping'!$T$134</definedName>
    <definedName name="SD_7634x2_25_S_0" localSheetId="4" hidden="1">'ProLink Mapping'!$S$134</definedName>
    <definedName name="SD_7634x2_27_S_1" localSheetId="4" hidden="1">'ProLink Mapping'!$N$134</definedName>
    <definedName name="SD_7634x20_11_S_0" localSheetId="4" hidden="1">'ProLink Mapping'!$V$152</definedName>
    <definedName name="SD_7634x20_13_S_1" localSheetId="4" hidden="1">'ProLink Mapping'!$U$152</definedName>
    <definedName name="SD_7634x20_14_S_1" localSheetId="4" hidden="1">'ProLink Mapping'!$M$152</definedName>
    <definedName name="SD_7634x20_15_S_0" localSheetId="4" hidden="1">'ProLink Mapping'!$W$152</definedName>
    <definedName name="SD_7634x20_16_S_0" localSheetId="4" hidden="1">'ProLink Mapping'!$O$152</definedName>
    <definedName name="SD_7634x20_17_S_0" localSheetId="4" hidden="1">'ProLink Mapping'!$Q$152</definedName>
    <definedName name="SD_7634x20_20_S_0" localSheetId="4" hidden="1">'ProLink Mapping'!$P$152</definedName>
    <definedName name="SD_7634x20_21_S_0" localSheetId="4" hidden="1">'ProLink Mapping'!$R$152</definedName>
    <definedName name="SD_7634x20_23_S_0" localSheetId="4" hidden="1">'ProLink Mapping'!$T$152</definedName>
    <definedName name="SD_7634x20_25_S_0" localSheetId="4" hidden="1">'ProLink Mapping'!$S$152</definedName>
    <definedName name="SD_7634x20_27_S_1" localSheetId="4" hidden="1">'ProLink Mapping'!$N$152</definedName>
    <definedName name="SD_7634x21_11_S_0" localSheetId="4" hidden="1">'ProLink Mapping'!$V$153</definedName>
    <definedName name="SD_7634x21_13_S_1" localSheetId="4" hidden="1">'ProLink Mapping'!$U$153</definedName>
    <definedName name="SD_7634x21_14_S_1" localSheetId="4" hidden="1">'ProLink Mapping'!$M$153</definedName>
    <definedName name="SD_7634x21_15_S_0" localSheetId="4" hidden="1">'ProLink Mapping'!$W$153</definedName>
    <definedName name="SD_7634x21_16_S_0" localSheetId="4" hidden="1">'ProLink Mapping'!$O$153</definedName>
    <definedName name="SD_7634x21_17_S_0" localSheetId="4" hidden="1">'ProLink Mapping'!$Q$153</definedName>
    <definedName name="SD_7634x21_20_S_0" localSheetId="4" hidden="1">'ProLink Mapping'!$P$153</definedName>
    <definedName name="SD_7634x21_21_S_0" localSheetId="4" hidden="1">'ProLink Mapping'!$R$153</definedName>
    <definedName name="SD_7634x21_23_S_0" localSheetId="4" hidden="1">'ProLink Mapping'!$T$153</definedName>
    <definedName name="SD_7634x21_25_S_0" localSheetId="4" hidden="1">'ProLink Mapping'!$S$153</definedName>
    <definedName name="SD_7634x21_27_S_1" localSheetId="4" hidden="1">'ProLink Mapping'!$N$153</definedName>
    <definedName name="SD_7634x22_11_S_0" localSheetId="4" hidden="1">'ProLink Mapping'!$V$154</definedName>
    <definedName name="SD_7634x22_13_S_1" localSheetId="4" hidden="1">'ProLink Mapping'!$U$154</definedName>
    <definedName name="SD_7634x22_14_S_1" localSheetId="4" hidden="1">'ProLink Mapping'!$M$154</definedName>
    <definedName name="SD_7634x22_15_S_0" localSheetId="4" hidden="1">'ProLink Mapping'!$W$154</definedName>
    <definedName name="SD_7634x22_16_S_0" localSheetId="4" hidden="1">'ProLink Mapping'!$O$154</definedName>
    <definedName name="SD_7634x22_17_S_0" localSheetId="4" hidden="1">'ProLink Mapping'!$Q$154</definedName>
    <definedName name="SD_7634x22_20_S_0" localSheetId="4" hidden="1">'ProLink Mapping'!$P$154</definedName>
    <definedName name="SD_7634x22_21_S_0" localSheetId="4" hidden="1">'ProLink Mapping'!$R$154</definedName>
    <definedName name="SD_7634x22_23_S_0" localSheetId="4" hidden="1">'ProLink Mapping'!$T$154</definedName>
    <definedName name="SD_7634x22_25_S_0" localSheetId="4" hidden="1">'ProLink Mapping'!$S$154</definedName>
    <definedName name="SD_7634x22_27_S_1" localSheetId="4" hidden="1">'ProLink Mapping'!$N$154</definedName>
    <definedName name="SD_7634x23_11_S_0" localSheetId="4" hidden="1">'ProLink Mapping'!$V$155</definedName>
    <definedName name="SD_7634x23_13_S_1" localSheetId="4" hidden="1">'ProLink Mapping'!$U$155</definedName>
    <definedName name="SD_7634x23_14_S_1" localSheetId="4" hidden="1">'ProLink Mapping'!$M$155</definedName>
    <definedName name="SD_7634x23_15_S_0" localSheetId="4" hidden="1">'ProLink Mapping'!$W$155</definedName>
    <definedName name="SD_7634x23_16_S_0" localSheetId="4" hidden="1">'ProLink Mapping'!$O$155</definedName>
    <definedName name="SD_7634x23_17_S_0" localSheetId="4" hidden="1">'ProLink Mapping'!$Q$155</definedName>
    <definedName name="SD_7634x23_20_S_0" localSheetId="4" hidden="1">'ProLink Mapping'!$P$155</definedName>
    <definedName name="SD_7634x23_21_S_0" localSheetId="4" hidden="1">'ProLink Mapping'!$R$155</definedName>
    <definedName name="SD_7634x23_23_S_0" localSheetId="4" hidden="1">'ProLink Mapping'!$T$155</definedName>
    <definedName name="SD_7634x23_25_S_0" localSheetId="4" hidden="1">'ProLink Mapping'!$S$155</definedName>
    <definedName name="SD_7634x23_27_S_1" localSheetId="4" hidden="1">'ProLink Mapping'!$N$155</definedName>
    <definedName name="SD_7634x24_11_S_0" localSheetId="4" hidden="1">'ProLink Mapping'!$V$156</definedName>
    <definedName name="SD_7634x24_13_S_1" localSheetId="4" hidden="1">'ProLink Mapping'!$U$156</definedName>
    <definedName name="SD_7634x24_14_S_1" localSheetId="4" hidden="1">'ProLink Mapping'!$M$156</definedName>
    <definedName name="SD_7634x24_15_S_0" localSheetId="4" hidden="1">'ProLink Mapping'!$W$156</definedName>
    <definedName name="SD_7634x24_16_S_0" localSheetId="4" hidden="1">'ProLink Mapping'!$O$156</definedName>
    <definedName name="SD_7634x24_17_S_0" localSheetId="4" hidden="1">'ProLink Mapping'!$Q$156</definedName>
    <definedName name="SD_7634x24_20_S_0" localSheetId="4" hidden="1">'ProLink Mapping'!$P$156</definedName>
    <definedName name="SD_7634x24_21_S_0" localSheetId="4" hidden="1">'ProLink Mapping'!$R$156</definedName>
    <definedName name="SD_7634x24_23_S_0" localSheetId="4" hidden="1">'ProLink Mapping'!$T$156</definedName>
    <definedName name="SD_7634x24_25_S_0" localSheetId="4" hidden="1">'ProLink Mapping'!$S$156</definedName>
    <definedName name="SD_7634x24_27_S_1" localSheetId="4" hidden="1">'ProLink Mapping'!$N$156</definedName>
    <definedName name="SD_7634x25_11_S_0" localSheetId="4" hidden="1">'ProLink Mapping'!$V$157</definedName>
    <definedName name="SD_7634x25_13_S_1" localSheetId="4" hidden="1">'ProLink Mapping'!$U$157</definedName>
    <definedName name="SD_7634x25_14_S_1" localSheetId="4" hidden="1">'ProLink Mapping'!$M$157</definedName>
    <definedName name="SD_7634x25_15_S_0" localSheetId="4" hidden="1">'ProLink Mapping'!$W$157</definedName>
    <definedName name="SD_7634x25_16_S_0" localSheetId="4" hidden="1">'ProLink Mapping'!$O$157</definedName>
    <definedName name="SD_7634x25_17_S_0" localSheetId="4" hidden="1">'ProLink Mapping'!$Q$157</definedName>
    <definedName name="SD_7634x25_20_S_0" localSheetId="4" hidden="1">'ProLink Mapping'!$P$157</definedName>
    <definedName name="SD_7634x25_21_S_0" localSheetId="4" hidden="1">'ProLink Mapping'!$R$157</definedName>
    <definedName name="SD_7634x25_23_S_0" localSheetId="4" hidden="1">'ProLink Mapping'!$T$157</definedName>
    <definedName name="SD_7634x25_25_S_0" localSheetId="4" hidden="1">'ProLink Mapping'!$S$157</definedName>
    <definedName name="SD_7634x25_27_S_1" localSheetId="4" hidden="1">'ProLink Mapping'!$N$157</definedName>
    <definedName name="SD_7634x26_11_S_0" localSheetId="4" hidden="1">'ProLink Mapping'!$V$158</definedName>
    <definedName name="SD_7634x26_13_S_1" localSheetId="4" hidden="1">'ProLink Mapping'!$U$158</definedName>
    <definedName name="SD_7634x26_14_S_1" localSheetId="4" hidden="1">'ProLink Mapping'!$M$158</definedName>
    <definedName name="SD_7634x26_15_S_0" localSheetId="4" hidden="1">'ProLink Mapping'!$W$158</definedName>
    <definedName name="SD_7634x26_16_S_0" localSheetId="4" hidden="1">'ProLink Mapping'!$O$158</definedName>
    <definedName name="SD_7634x26_17_S_0" localSheetId="4" hidden="1">'ProLink Mapping'!$Q$158</definedName>
    <definedName name="SD_7634x26_20_S_0" localSheetId="4" hidden="1">'ProLink Mapping'!$P$158</definedName>
    <definedName name="SD_7634x26_21_S_0" localSheetId="4" hidden="1">'ProLink Mapping'!$R$158</definedName>
    <definedName name="SD_7634x26_23_S_0" localSheetId="4" hidden="1">'ProLink Mapping'!$T$158</definedName>
    <definedName name="SD_7634x26_25_S_0" localSheetId="4" hidden="1">'ProLink Mapping'!$S$158</definedName>
    <definedName name="SD_7634x26_27_S_1" localSheetId="4" hidden="1">'ProLink Mapping'!$N$158</definedName>
    <definedName name="SD_7634x27_11_S_0" localSheetId="4" hidden="1">'ProLink Mapping'!$V$159</definedName>
    <definedName name="SD_7634x27_13_S_1" localSheetId="4" hidden="1">'ProLink Mapping'!$U$159</definedName>
    <definedName name="SD_7634x27_14_S_1" localSheetId="4" hidden="1">'ProLink Mapping'!$M$159</definedName>
    <definedName name="SD_7634x27_15_S_0" localSheetId="4" hidden="1">'ProLink Mapping'!$W$159</definedName>
    <definedName name="SD_7634x27_16_S_0" localSheetId="4" hidden="1">'ProLink Mapping'!$O$159</definedName>
    <definedName name="SD_7634x27_17_S_0" localSheetId="4" hidden="1">'ProLink Mapping'!$Q$159</definedName>
    <definedName name="SD_7634x27_20_S_0" localSheetId="4" hidden="1">'ProLink Mapping'!$P$159</definedName>
    <definedName name="SD_7634x27_21_S_0" localSheetId="4" hidden="1">'ProLink Mapping'!$R$159</definedName>
    <definedName name="SD_7634x27_23_S_0" localSheetId="4" hidden="1">'ProLink Mapping'!$T$159</definedName>
    <definedName name="SD_7634x27_25_S_0" localSheetId="4" hidden="1">'ProLink Mapping'!$S$159</definedName>
    <definedName name="SD_7634x27_27_S_1" localSheetId="4" hidden="1">'ProLink Mapping'!$N$159</definedName>
    <definedName name="SD_7634x28_11_S_0" localSheetId="4" hidden="1">'ProLink Mapping'!$V$160</definedName>
    <definedName name="SD_7634x28_13_S_1" localSheetId="4" hidden="1">'ProLink Mapping'!$U$160</definedName>
    <definedName name="SD_7634x28_14_S_1" localSheetId="4" hidden="1">'ProLink Mapping'!$M$160</definedName>
    <definedName name="SD_7634x28_15_S_0" localSheetId="4" hidden="1">'ProLink Mapping'!$W$160</definedName>
    <definedName name="SD_7634x28_16_S_0" localSheetId="4" hidden="1">'ProLink Mapping'!$O$160</definedName>
    <definedName name="SD_7634x28_17_S_0" localSheetId="4" hidden="1">'ProLink Mapping'!$Q$160</definedName>
    <definedName name="SD_7634x28_20_S_0" localSheetId="4" hidden="1">'ProLink Mapping'!$P$160</definedName>
    <definedName name="SD_7634x28_21_S_0" localSheetId="4" hidden="1">'ProLink Mapping'!$R$160</definedName>
    <definedName name="SD_7634x28_23_S_0" localSheetId="4" hidden="1">'ProLink Mapping'!$T$160</definedName>
    <definedName name="SD_7634x28_25_S_0" localSheetId="4" hidden="1">'ProLink Mapping'!$S$160</definedName>
    <definedName name="SD_7634x28_27_S_1" localSheetId="4" hidden="1">'ProLink Mapping'!$N$160</definedName>
    <definedName name="SD_7634x29_11_S_0" localSheetId="4" hidden="1">'ProLink Mapping'!$V$161</definedName>
    <definedName name="SD_7634x29_13_S_1" localSheetId="4" hidden="1">'ProLink Mapping'!$U$161</definedName>
    <definedName name="SD_7634x29_14_S_1" localSheetId="4" hidden="1">'ProLink Mapping'!$M$161</definedName>
    <definedName name="SD_7634x29_15_S_0" localSheetId="4" hidden="1">'ProLink Mapping'!$W$161</definedName>
    <definedName name="SD_7634x29_16_S_0" localSheetId="4" hidden="1">'ProLink Mapping'!$O$161</definedName>
    <definedName name="SD_7634x29_17_S_0" localSheetId="4" hidden="1">'ProLink Mapping'!$Q$161</definedName>
    <definedName name="SD_7634x29_20_S_0" localSheetId="4" hidden="1">'ProLink Mapping'!$P$161</definedName>
    <definedName name="SD_7634x29_21_S_0" localSheetId="4" hidden="1">'ProLink Mapping'!$R$161</definedName>
    <definedName name="SD_7634x29_23_S_0" localSheetId="4" hidden="1">'ProLink Mapping'!$T$161</definedName>
    <definedName name="SD_7634x29_25_S_0" localSheetId="4" hidden="1">'ProLink Mapping'!$S$161</definedName>
    <definedName name="SD_7634x29_27_S_1" localSheetId="4" hidden="1">'ProLink Mapping'!$N$161</definedName>
    <definedName name="SD_7634x3_11_S_0" localSheetId="4" hidden="1">'ProLink Mapping'!$V$135</definedName>
    <definedName name="SD_7634x3_13_S_1" localSheetId="4" hidden="1">'ProLink Mapping'!$U$135</definedName>
    <definedName name="SD_7634x3_14_S_1" localSheetId="4" hidden="1">'ProLink Mapping'!$M$135</definedName>
    <definedName name="SD_7634x3_15_S_0" localSheetId="4" hidden="1">'ProLink Mapping'!$W$135</definedName>
    <definedName name="SD_7634x3_16_S_0" localSheetId="4" hidden="1">'ProLink Mapping'!$O$135</definedName>
    <definedName name="SD_7634x3_17_S_0" localSheetId="4" hidden="1">'ProLink Mapping'!$Q$135</definedName>
    <definedName name="SD_7634x3_20_S_0" localSheetId="4" hidden="1">'ProLink Mapping'!$P$135</definedName>
    <definedName name="SD_7634x3_21_S_0" localSheetId="4" hidden="1">'ProLink Mapping'!$R$135</definedName>
    <definedName name="SD_7634x3_23_S_0" localSheetId="4" hidden="1">'ProLink Mapping'!$T$135</definedName>
    <definedName name="SD_7634x3_25_S_0" localSheetId="4" hidden="1">'ProLink Mapping'!$S$135</definedName>
    <definedName name="SD_7634x3_27_S_1" localSheetId="4" hidden="1">'ProLink Mapping'!$N$135</definedName>
    <definedName name="SD_7634x30_11_S_0" localSheetId="4" hidden="1">'ProLink Mapping'!$V$162</definedName>
    <definedName name="SD_7634x30_13_S_1" localSheetId="4" hidden="1">'ProLink Mapping'!$U$162</definedName>
    <definedName name="SD_7634x30_14_S_1" localSheetId="4" hidden="1">'ProLink Mapping'!$M$162</definedName>
    <definedName name="SD_7634x30_15_S_0" localSheetId="4" hidden="1">'ProLink Mapping'!$W$162</definedName>
    <definedName name="SD_7634x30_16_S_0" localSheetId="4" hidden="1">'ProLink Mapping'!$O$162</definedName>
    <definedName name="SD_7634x30_17_S_0" localSheetId="4" hidden="1">'ProLink Mapping'!$Q$162</definedName>
    <definedName name="SD_7634x30_20_S_0" localSheetId="4" hidden="1">'ProLink Mapping'!$P$162</definedName>
    <definedName name="SD_7634x30_21_S_0" localSheetId="4" hidden="1">'ProLink Mapping'!$R$162</definedName>
    <definedName name="SD_7634x30_23_S_0" localSheetId="4" hidden="1">'ProLink Mapping'!$T$162</definedName>
    <definedName name="SD_7634x30_25_S_0" localSheetId="4" hidden="1">'ProLink Mapping'!$S$162</definedName>
    <definedName name="SD_7634x30_27_S_1" localSheetId="4" hidden="1">'ProLink Mapping'!$N$162</definedName>
    <definedName name="SD_7634x4_11_S_0" localSheetId="4" hidden="1">'ProLink Mapping'!$V$136</definedName>
    <definedName name="SD_7634x4_13_S_1" localSheetId="4" hidden="1">'ProLink Mapping'!$U$136</definedName>
    <definedName name="SD_7634x4_14_S_1" localSheetId="4" hidden="1">'ProLink Mapping'!$M$136</definedName>
    <definedName name="SD_7634x4_15_S_0" localSheetId="4" hidden="1">'ProLink Mapping'!$W$136</definedName>
    <definedName name="SD_7634x4_16_S_0" localSheetId="4" hidden="1">'ProLink Mapping'!$O$136</definedName>
    <definedName name="SD_7634x4_17_S_0" localSheetId="4" hidden="1">'ProLink Mapping'!$Q$136</definedName>
    <definedName name="SD_7634x4_20_S_0" localSheetId="4" hidden="1">'ProLink Mapping'!$P$136</definedName>
    <definedName name="SD_7634x4_21_S_0" localSheetId="4" hidden="1">'ProLink Mapping'!$R$136</definedName>
    <definedName name="SD_7634x4_23_S_0" localSheetId="4" hidden="1">'ProLink Mapping'!$T$136</definedName>
    <definedName name="SD_7634x4_25_S_0" localSheetId="4" hidden="1">'ProLink Mapping'!$S$136</definedName>
    <definedName name="SD_7634x4_27_S_1" localSheetId="4" hidden="1">'ProLink Mapping'!$N$136</definedName>
    <definedName name="SD_7634x5_11_S_0" localSheetId="4" hidden="1">'ProLink Mapping'!$V$137</definedName>
    <definedName name="SD_7634x5_13_S_1" localSheetId="4" hidden="1">'ProLink Mapping'!$U$137</definedName>
    <definedName name="SD_7634x5_14_S_1" localSheetId="4" hidden="1">'ProLink Mapping'!$M$137</definedName>
    <definedName name="SD_7634x5_15_S_0" localSheetId="4" hidden="1">'ProLink Mapping'!$W$137</definedName>
    <definedName name="SD_7634x5_16_S_0" localSheetId="4" hidden="1">'ProLink Mapping'!$O$137</definedName>
    <definedName name="SD_7634x5_17_S_0" localSheetId="4" hidden="1">'ProLink Mapping'!$Q$137</definedName>
    <definedName name="SD_7634x5_20_S_0" localSheetId="4" hidden="1">'ProLink Mapping'!$P$137</definedName>
    <definedName name="SD_7634x5_21_S_0" localSheetId="4" hidden="1">'ProLink Mapping'!$R$137</definedName>
    <definedName name="SD_7634x5_23_S_0" localSheetId="4" hidden="1">'ProLink Mapping'!$T$137</definedName>
    <definedName name="SD_7634x5_25_S_0" localSheetId="4" hidden="1">'ProLink Mapping'!$S$137</definedName>
    <definedName name="SD_7634x5_27_S_1" localSheetId="4" hidden="1">'ProLink Mapping'!$N$137</definedName>
    <definedName name="SD_7634x6_11_S_0" localSheetId="4" hidden="1">'ProLink Mapping'!$V$138</definedName>
    <definedName name="SD_7634x6_13_S_1" localSheetId="4" hidden="1">'ProLink Mapping'!$U$138</definedName>
    <definedName name="SD_7634x6_14_S_1" localSheetId="4" hidden="1">'ProLink Mapping'!$M$138</definedName>
    <definedName name="SD_7634x6_15_S_0" localSheetId="4" hidden="1">'ProLink Mapping'!$W$138</definedName>
    <definedName name="SD_7634x6_16_S_0" localSheetId="4" hidden="1">'ProLink Mapping'!$O$138</definedName>
    <definedName name="SD_7634x6_17_S_0" localSheetId="4" hidden="1">'ProLink Mapping'!$Q$138</definedName>
    <definedName name="SD_7634x6_20_S_0" localSheetId="4" hidden="1">'ProLink Mapping'!$P$138</definedName>
    <definedName name="SD_7634x6_21_S_0" localSheetId="4" hidden="1">'ProLink Mapping'!$R$138</definedName>
    <definedName name="SD_7634x6_23_S_0" localSheetId="4" hidden="1">'ProLink Mapping'!$T$138</definedName>
    <definedName name="SD_7634x6_25_S_0" localSheetId="4" hidden="1">'ProLink Mapping'!$S$138</definedName>
    <definedName name="SD_7634x6_27_S_1" localSheetId="4" hidden="1">'ProLink Mapping'!$N$138</definedName>
    <definedName name="SD_7634x7_11_S_0" localSheetId="4" hidden="1">'ProLink Mapping'!$V$139</definedName>
    <definedName name="SD_7634x7_13_S_1" localSheetId="4" hidden="1">'ProLink Mapping'!$U$139</definedName>
    <definedName name="SD_7634x7_14_S_1" localSheetId="4" hidden="1">'ProLink Mapping'!$M$139</definedName>
    <definedName name="SD_7634x7_15_S_0" localSheetId="4" hidden="1">'ProLink Mapping'!$W$139</definedName>
    <definedName name="SD_7634x7_16_S_0" localSheetId="4" hidden="1">'ProLink Mapping'!$O$139</definedName>
    <definedName name="SD_7634x7_17_S_0" localSheetId="4" hidden="1">'ProLink Mapping'!$Q$139</definedName>
    <definedName name="SD_7634x7_20_S_0" localSheetId="4" hidden="1">'ProLink Mapping'!$P$139</definedName>
    <definedName name="SD_7634x7_21_S_0" localSheetId="4" hidden="1">'ProLink Mapping'!$R$139</definedName>
    <definedName name="SD_7634x7_23_S_0" localSheetId="4" hidden="1">'ProLink Mapping'!$T$139</definedName>
    <definedName name="SD_7634x7_25_S_0" localSheetId="4" hidden="1">'ProLink Mapping'!$S$139</definedName>
    <definedName name="SD_7634x7_27_S_1" localSheetId="4" hidden="1">'ProLink Mapping'!$N$139</definedName>
    <definedName name="SD_7634x8_11_S_0" localSheetId="4" hidden="1">'ProLink Mapping'!$V$140</definedName>
    <definedName name="SD_7634x8_13_S_1" localSheetId="4" hidden="1">'ProLink Mapping'!$U$140</definedName>
    <definedName name="SD_7634x8_14_S_1" localSheetId="4" hidden="1">'ProLink Mapping'!$M$140</definedName>
    <definedName name="SD_7634x8_15_S_0" localSheetId="4" hidden="1">'ProLink Mapping'!$W$140</definedName>
    <definedName name="SD_7634x8_16_S_0" localSheetId="4" hidden="1">'ProLink Mapping'!$O$140</definedName>
    <definedName name="SD_7634x8_17_S_0" localSheetId="4" hidden="1">'ProLink Mapping'!$Q$140</definedName>
    <definedName name="SD_7634x8_20_S_0" localSheetId="4" hidden="1">'ProLink Mapping'!$P$140</definedName>
    <definedName name="SD_7634x8_21_S_0" localSheetId="4" hidden="1">'ProLink Mapping'!$R$140</definedName>
    <definedName name="SD_7634x8_23_S_0" localSheetId="4" hidden="1">'ProLink Mapping'!$T$140</definedName>
    <definedName name="SD_7634x8_25_S_0" localSheetId="4" hidden="1">'ProLink Mapping'!$S$140</definedName>
    <definedName name="SD_7634x8_27_S_1" localSheetId="4" hidden="1">'ProLink Mapping'!$N$140</definedName>
    <definedName name="SD_7634x9_11_S_0" localSheetId="4" hidden="1">'ProLink Mapping'!$V$141</definedName>
    <definedName name="SD_7634x9_13_S_1" localSheetId="4" hidden="1">'ProLink Mapping'!$U$141</definedName>
    <definedName name="SD_7634x9_14_S_1" localSheetId="4" hidden="1">'ProLink Mapping'!$M$141</definedName>
    <definedName name="SD_7634x9_15_S_0" localSheetId="4" hidden="1">'ProLink Mapping'!$W$141</definedName>
    <definedName name="SD_7634x9_16_S_0" localSheetId="4" hidden="1">'ProLink Mapping'!$O$141</definedName>
    <definedName name="SD_7634x9_17_S_0" localSheetId="4" hidden="1">'ProLink Mapping'!$Q$141</definedName>
    <definedName name="SD_7634x9_20_S_0" localSheetId="4" hidden="1">'ProLink Mapping'!$P$141</definedName>
    <definedName name="SD_7634x9_21_S_0" localSheetId="4" hidden="1">'ProLink Mapping'!$R$141</definedName>
    <definedName name="SD_7634x9_23_S_0" localSheetId="4" hidden="1">'ProLink Mapping'!$T$141</definedName>
    <definedName name="SD_7634x9_25_S_0" localSheetId="4" hidden="1">'ProLink Mapping'!$S$141</definedName>
    <definedName name="SD_7634x9_27_S_1" localSheetId="4" hidden="1">'ProLink Mapping'!$N$141</definedName>
    <definedName name="SD_97_G_0" localSheetId="7" hidden="1">ProLink!$F$6</definedName>
    <definedName name="SD_D_Blank" hidden="1">SD_Dropdowns!$A$1</definedName>
    <definedName name="SD_D_PL_ActivityStatus" hidden="1">SD_Dropdowns!$CS$2:$CT$12</definedName>
    <definedName name="SD_D_PL_ActivityStatus_Name" hidden="1">SD_Dropdowns!$CS$2:$CS$12</definedName>
    <definedName name="SD_D_PL_ActivityStatus_Value" hidden="1">SD_Dropdowns!$CT$2:$CT$12</definedName>
    <definedName name="SD_D_PL_AirConditioningType" hidden="1">SD_Dropdowns!$AU$2:$AV$7</definedName>
    <definedName name="SD_D_PL_AirConditioningType_Name" hidden="1">SD_Dropdowns!$AU$2:$AU$7</definedName>
    <definedName name="SD_D_PL_AirConditioningType_Value" hidden="1">SD_Dropdowns!$AV$2:$AV$7</definedName>
    <definedName name="SD_D_PL_AssetClass" hidden="1">SD_Dropdowns!$CQ$2:$CR$14</definedName>
    <definedName name="SD_D_PL_AssetClass_Name" hidden="1">SD_Dropdowns!$CQ$2:$CQ$14</definedName>
    <definedName name="SD_D_PL_AssetClass_Value" hidden="1">SD_Dropdowns!$CR$2:$CR$14</definedName>
    <definedName name="SD_D_PL_BldgAllocType" hidden="1">SD_Dropdowns!$K$2:$L$9</definedName>
    <definedName name="SD_D_PL_BldgAllocType_Name" hidden="1">SD_Dropdowns!$K$2:$K$9</definedName>
    <definedName name="SD_D_PL_BldgAllocType_Value" hidden="1">SD_Dropdowns!$L$2:$L$9</definedName>
    <definedName name="SD_D_PL_BuildingType" hidden="1">SD_Dropdowns!$BA$2:$BB$8</definedName>
    <definedName name="SD_D_PL_BuildingType_Name" hidden="1">SD_Dropdowns!$BA$2:$BA$8</definedName>
    <definedName name="SD_D_PL_BuildingType_Value" hidden="1">SD_Dropdowns!$BB$2:$BB$8</definedName>
    <definedName name="SD_D_PL_CarryOverAllocationIs" hidden="1">SD_Dropdowns!$AQ$2:$AR$4</definedName>
    <definedName name="SD_D_PL_CarryOverAllocationIs_Name" hidden="1">SD_Dropdowns!$AQ$2:$AQ$4</definedName>
    <definedName name="SD_D_PL_CarryOverAllocationIs_Value" hidden="1">SD_Dropdowns!$AR$2:$AR$4</definedName>
    <definedName name="SD_D_PL_CookingType" hidden="1">SD_Dropdowns!$AY$2:$AZ$6</definedName>
    <definedName name="SD_D_PL_CookingType_Name" hidden="1">SD_Dropdowns!$AY$2:$AY$6</definedName>
    <definedName name="SD_D_PL_CookingType_Value" hidden="1">SD_Dropdowns!$AZ$2:$AZ$6</definedName>
    <definedName name="SD_D_PL_DealEntityRole" hidden="1">SD_Dropdowns!$BS$2:$BT$22</definedName>
    <definedName name="SD_D_PL_DealEntityRole_Name" hidden="1">SD_Dropdowns!$BS$2:$BS$22</definedName>
    <definedName name="SD_D_PL_DealEntityRole_Value" hidden="1">SD_Dropdowns!$BT$2:$BT$22</definedName>
    <definedName name="SD_D_PL_EntityCompanyOrIndividual" hidden="1">SD_Dropdowns!$BQ$2:$BR$4</definedName>
    <definedName name="SD_D_PL_EntityCompanyOrIndividual_Name" hidden="1">SD_Dropdowns!$BQ$2:$BQ$4</definedName>
    <definedName name="SD_D_PL_EntityCompanyOrIndividual_Value" hidden="1">SD_Dropdowns!$BR$2:$BR$4</definedName>
    <definedName name="SD_D_PL_ExtendedUseAgreement" hidden="1">SD_Dropdowns!$I$2:$J$16</definedName>
    <definedName name="SD_D_PL_ExtendedUseAgreement_Name" hidden="1">SD_Dropdowns!$I$2:$I$16</definedName>
    <definedName name="SD_D_PL_ExtendedUseAgreement_Value" hidden="1">SD_Dropdowns!$J$2:$J$16</definedName>
    <definedName name="SD_D_PL_FinancingType" hidden="1">SD_Dropdowns!$AO$2:$AP$5</definedName>
    <definedName name="SD_D_PL_FinancingType_Name" hidden="1">SD_Dropdowns!$AO$2:$AO$5</definedName>
    <definedName name="SD_D_PL_FinancingType_Value" hidden="1">SD_Dropdowns!$AP$2:$AP$5</definedName>
    <definedName name="SD_D_PL_HeatingType" hidden="1">SD_Dropdowns!$AS$2:$AT$10</definedName>
    <definedName name="SD_D_PL_HeatingType_Name" hidden="1">SD_Dropdowns!$AS$2:$AS$10</definedName>
    <definedName name="SD_D_PL_HeatingType_Value" hidden="1">SD_Dropdowns!$AT$2:$AT$10</definedName>
    <definedName name="SD_D_PL_HotWaterType" hidden="1">SD_Dropdowns!$AW$2:$AX$6</definedName>
    <definedName name="SD_D_PL_HotWaterType_Name" hidden="1">SD_Dropdowns!$AW$2:$AW$6</definedName>
    <definedName name="SD_D_PL_HotWaterType_Value" hidden="1">SD_Dropdowns!$AX$2:$AX$6</definedName>
    <definedName name="SD_D_PL_IncomeTarget" hidden="1">SD_Dropdowns!$BC$2:$BD$9</definedName>
    <definedName name="SD_D_PL_IncomeTarget_Name" hidden="1">SD_Dropdowns!$BC$2:$BC$9</definedName>
    <definedName name="SD_D_PL_IncomeTarget_Value" hidden="1">SD_Dropdowns!$BD$2:$BD$9</definedName>
    <definedName name="SD_D_PL_Jurisdiction" hidden="1">SD_Dropdowns!$E$2:$F$74</definedName>
    <definedName name="SD_D_PL_Jurisdiction_Name" hidden="1">SD_Dropdowns!$E$2:$E$74</definedName>
    <definedName name="SD_D_PL_Jurisdiction_Value" hidden="1">SD_Dropdowns!$F$2:$F$74</definedName>
    <definedName name="SD_D_PL_LoanProductType" hidden="1">SD_Dropdowns!$BI$2:$BJ$14</definedName>
    <definedName name="SD_D_PL_LoanProductType_Name" hidden="1">SD_Dropdowns!$BI$2:$BI$14</definedName>
    <definedName name="SD_D_PL_LoanProductType_Value" hidden="1">SD_Dropdowns!$BJ$2:$BJ$14</definedName>
    <definedName name="SD_D_PL_PopulationSubType" hidden="1">SD_Dropdowns!$BE$2:$BF$22</definedName>
    <definedName name="SD_D_PL_PopulationSubType_Name" hidden="1">SD_Dropdowns!$BE$2:$BE$22</definedName>
    <definedName name="SD_D_PL_PopulationSubType_Value" hidden="1">SD_Dropdowns!$BF$2:$BF$22</definedName>
    <definedName name="SD_D_PL_PopulationType" hidden="1">SD_Dropdowns!$BC$2:$BD$6</definedName>
    <definedName name="SD_D_PL_PopulationType_Name" hidden="1">SD_Dropdowns!$BC$2:$BC$6</definedName>
    <definedName name="SD_D_PL_PopulationType_Value" hidden="1">SD_Dropdowns!$BD$2:$BD$6</definedName>
    <definedName name="SD_D_PL_ProgramType" hidden="1">SD_Dropdowns!$BG$2:$BH$10</definedName>
    <definedName name="SD_D_PL_ProgramType_Name" hidden="1">SD_Dropdowns!$BG$2:$BG$10</definedName>
    <definedName name="SD_D_PL_ProgramType_Value" hidden="1">SD_Dropdowns!$BH$2:$BH$10</definedName>
    <definedName name="SD_D_PL_Purpose" hidden="1">SD_Dropdowns!$CY$2:$CZ$15</definedName>
    <definedName name="SD_D_PL_Purpose_Name" hidden="1">SD_Dropdowns!$CY$2:$CY$15</definedName>
    <definedName name="SD_D_PL_Purpose_Value" hidden="1">SD_Dropdowns!$CZ$2:$CZ$15</definedName>
    <definedName name="SD_D_PL_ResidentialApartmentType" hidden="1">SD_Dropdowns!$BM$2:$BN$9</definedName>
    <definedName name="SD_D_PL_ResidentialApartmentType_Name" hidden="1">SD_Dropdowns!$BM$2:$BM$9</definedName>
    <definedName name="SD_D_PL_ResidentialApartmentType_Value" hidden="1">SD_Dropdowns!$BN$2:$BN$9</definedName>
    <definedName name="SD_D_PL_SourceType" hidden="1">SD_Dropdowns!$DA$2:$DB$5</definedName>
    <definedName name="SD_D_PL_SourceType_Name" hidden="1">SD_Dropdowns!$DA$2:$DA$5</definedName>
    <definedName name="SD_D_PL_SourceType_Value" hidden="1">SD_Dropdowns!$DB$2:$DB$5</definedName>
    <definedName name="SD_D_PL_State" hidden="1">SD_Dropdowns!$C$2:$D$53</definedName>
    <definedName name="SD_D_PL_State_Name" hidden="1">SD_Dropdowns!$C$2:$C$53</definedName>
    <definedName name="SD_D_PL_State_Value" hidden="1">SD_Dropdowns!$D$2:$D$53</definedName>
    <definedName name="SD_D_PL_TargetType" hidden="1">SD_Dropdowns!$G$2:$H$9</definedName>
    <definedName name="SD_D_PL_TargetType_Name" hidden="1">SD_Dropdowns!$G$2:$G$9</definedName>
    <definedName name="SD_D_PL_TargetType_Value" hidden="1">SD_Dropdowns!$H$2:$H$9</definedName>
    <definedName name="SD_D_PL_TCUnitMixType" hidden="1">SD_Dropdowns!$BE$2:$BF$8</definedName>
    <definedName name="SD_D_PL_TCUnitMixType_Name" hidden="1">SD_Dropdowns!$BE$2:$BE$8</definedName>
    <definedName name="SD_D_PL_TCUnitMixType_Value" hidden="1">SD_Dropdowns!$BF$2:$BF$8</definedName>
    <definedName name="SD_D_PL_TCUnitType" hidden="1">SD_Dropdowns!$M$2:$N$8</definedName>
    <definedName name="SD_D_PL_TCUnitType_Name" hidden="1">SD_Dropdowns!$M$2:$M$8</definedName>
    <definedName name="SD_D_PL_TCUnitType_Value" hidden="1">SD_Dropdowns!$N$2:$N$8</definedName>
    <definedName name="SD_D_PL_TypeofAllocationRequested" hidden="1">SD_Dropdowns!$CW$2:$CX$4</definedName>
    <definedName name="SD_D_PL_TypeofAllocationRequested_Name" hidden="1">SD_Dropdowns!$CW$2:$CW$4</definedName>
    <definedName name="SD_D_PL_TypeofAllocationRequested_Value" hidden="1">SD_Dropdowns!$CX$2:$CX$4</definedName>
    <definedName name="SD_D_PL_UDF_112" hidden="1">SD_Dropdowns!$O$2:$P$4</definedName>
    <definedName name="SD_D_PL_UDF_112_Name" hidden="1">SD_Dropdowns!$O$2:$O$4</definedName>
    <definedName name="SD_D_PL_UDF_112_Value" hidden="1">SD_Dropdowns!$P$2:$P$4</definedName>
    <definedName name="SD_D_PL_UDF_113" hidden="1">SD_Dropdowns!$Q$2:$R$4</definedName>
    <definedName name="SD_D_PL_UDF_113_Name" hidden="1">SD_Dropdowns!$Q$2:$Q$4</definedName>
    <definedName name="SD_D_PL_UDF_113_Value" hidden="1">SD_Dropdowns!$R$2:$R$4</definedName>
    <definedName name="SD_D_PL_UDF_114" hidden="1">SD_Dropdowns!$BU$2:$BV$4</definedName>
    <definedName name="SD_D_PL_UDF_114_Name" hidden="1">SD_Dropdowns!$BU$2:$BU$4</definedName>
    <definedName name="SD_D_PL_UDF_114_Value" hidden="1">SD_Dropdowns!$BV$2:$BV$4</definedName>
    <definedName name="SD_D_PL_UDF_123" hidden="1">SD_Dropdowns!$BW$2:$BX$4</definedName>
    <definedName name="SD_D_PL_UDF_123_Name" hidden="1">SD_Dropdowns!$BW$2:$BW$4</definedName>
    <definedName name="SD_D_PL_UDF_123_Value" hidden="1">SD_Dropdowns!$BX$2:$BX$4</definedName>
    <definedName name="SD_D_PL_UDF_125" hidden="1">SD_Dropdowns!$BY$2:$BZ$10</definedName>
    <definedName name="SD_D_PL_UDF_125_Name" hidden="1">SD_Dropdowns!$BY$2:$BY$10</definedName>
    <definedName name="SD_D_PL_UDF_125_Value" hidden="1">SD_Dropdowns!$BZ$2:$BZ$10</definedName>
    <definedName name="SD_D_PL_UDF_126" hidden="1">SD_Dropdowns!$CA$2:$CB$5</definedName>
    <definedName name="SD_D_PL_UDF_126_Name" hidden="1">SD_Dropdowns!$CA$2:$CA$5</definedName>
    <definedName name="SD_D_PL_UDF_126_Value" hidden="1">SD_Dropdowns!$CB$2:$CB$5</definedName>
    <definedName name="SD_D_PL_UDF_128" hidden="1">SD_Dropdowns!$CC$2:$CD$4</definedName>
    <definedName name="SD_D_PL_UDF_128_Name" hidden="1">SD_Dropdowns!$CC$2:$CC$4</definedName>
    <definedName name="SD_D_PL_UDF_128_Value" hidden="1">SD_Dropdowns!$CD$2:$CD$4</definedName>
    <definedName name="SD_D_PL_UDF_131" hidden="1">SD_Dropdowns!$CE$2:$CF$4</definedName>
    <definedName name="SD_D_PL_UDF_131_Name" hidden="1">SD_Dropdowns!$CE$2:$CE$4</definedName>
    <definedName name="SD_D_PL_UDF_131_Value" hidden="1">SD_Dropdowns!$CF$2:$CF$4</definedName>
    <definedName name="SD_D_PL_UDF_132" hidden="1">SD_Dropdowns!$CG$2:$CH$4</definedName>
    <definedName name="SD_D_PL_UDF_132_Name" hidden="1">SD_Dropdowns!$CG$2:$CG$4</definedName>
    <definedName name="SD_D_PL_UDF_132_Value" hidden="1">SD_Dropdowns!$CH$2:$CH$4</definedName>
    <definedName name="SD_D_PL_UDF_133" hidden="1">SD_Dropdowns!$CI$2:$CJ$4</definedName>
    <definedName name="SD_D_PL_UDF_133_Name" hidden="1">SD_Dropdowns!$CI$2:$CI$4</definedName>
    <definedName name="SD_D_PL_UDF_133_Value" hidden="1">SD_Dropdowns!$CJ$2:$CJ$4</definedName>
    <definedName name="SD_D_PL_UDF_134" hidden="1">SD_Dropdowns!$CK$2:$CL$4</definedName>
    <definedName name="SD_D_PL_UDF_134_Name" hidden="1">SD_Dropdowns!$CK$2:$CK$4</definedName>
    <definedName name="SD_D_PL_UDF_134_Value" hidden="1">SD_Dropdowns!$CL$2:$CL$4</definedName>
    <definedName name="SD_D_PL_UDF_135" hidden="1">SD_Dropdowns!$CM$2:$CN$4</definedName>
    <definedName name="SD_D_PL_UDF_135_Name" hidden="1">SD_Dropdowns!$CM$2:$CM$4</definedName>
    <definedName name="SD_D_PL_UDF_135_Value" hidden="1">SD_Dropdowns!$CN$2:$CN$4</definedName>
    <definedName name="SD_D_PL_UDF_136" hidden="1">SD_Dropdowns!$CO$2:$CP$4</definedName>
    <definedName name="SD_D_PL_UDF_136_Name" hidden="1">SD_Dropdowns!$CO$2:$CO$4</definedName>
    <definedName name="SD_D_PL_UDF_136_Value" hidden="1">SD_Dropdowns!$CP$2:$CP$4</definedName>
    <definedName name="SD_D_PL_UDF_137" hidden="1">SD_Dropdowns!$CQ$2:$CR$4</definedName>
    <definedName name="SD_D_PL_UDF_137_Name" hidden="1">SD_Dropdowns!$CQ$2:$CQ$4</definedName>
    <definedName name="SD_D_PL_UDF_137_Value" hidden="1">SD_Dropdowns!$CR$2:$CR$4</definedName>
    <definedName name="SD_D_PL_UDF_138" hidden="1">SD_Dropdowns!$CS$2:$CT$4</definedName>
    <definedName name="SD_D_PL_UDF_138_Name" hidden="1">SD_Dropdowns!$CS$2:$CS$4</definedName>
    <definedName name="SD_D_PL_UDF_138_Value" hidden="1">SD_Dropdowns!$CT$2:$CT$4</definedName>
    <definedName name="SD_D_PL_UDF_140" hidden="1">SD_Dropdowns!$S$2:$T$4</definedName>
    <definedName name="SD_D_PL_UDF_140_Name" hidden="1">SD_Dropdowns!$S$2:$S$4</definedName>
    <definedName name="SD_D_PL_UDF_140_Value" hidden="1">SD_Dropdowns!$T$2:$T$4</definedName>
    <definedName name="SD_D_PL_UDF_141" hidden="1">SD_Dropdowns!$U$2:$V$4</definedName>
    <definedName name="SD_D_PL_UDF_141_Name" hidden="1">SD_Dropdowns!$U$2:$U$4</definedName>
    <definedName name="SD_D_PL_UDF_141_Value" hidden="1">SD_Dropdowns!$V$2:$V$4</definedName>
    <definedName name="SD_D_PL_UDF_142" hidden="1">SD_Dropdowns!$W$2:$X$4</definedName>
    <definedName name="SD_D_PL_UDF_142_Name" hidden="1">SD_Dropdowns!$W$2:$W$4</definedName>
    <definedName name="SD_D_PL_UDF_142_Value" hidden="1">SD_Dropdowns!$X$2:$X$4</definedName>
    <definedName name="SD_D_PL_UDF_143" hidden="1">SD_Dropdowns!$Y$2:$Z$4</definedName>
    <definedName name="SD_D_PL_UDF_143_Name" hidden="1">SD_Dropdowns!$Y$2:$Y$4</definedName>
    <definedName name="SD_D_PL_UDF_143_Value" hidden="1">SD_Dropdowns!$Z$2:$Z$4</definedName>
    <definedName name="SD_D_PL_UDF_144" hidden="1">SD_Dropdowns!$AA$2:$AB$4</definedName>
    <definedName name="SD_D_PL_UDF_144_Name" hidden="1">SD_Dropdowns!$AA$2:$AA$4</definedName>
    <definedName name="SD_D_PL_UDF_144_Value" hidden="1">SD_Dropdowns!$AB$2:$AB$4</definedName>
    <definedName name="SD_D_PL_UDF_168" hidden="1">SD_Dropdowns!$AC$2:$AD$4</definedName>
    <definedName name="SD_D_PL_UDF_168_Name" hidden="1">SD_Dropdowns!$AC$2:$AC$4</definedName>
    <definedName name="SD_D_PL_UDF_168_Value" hidden="1">SD_Dropdowns!$AD$2:$AD$4</definedName>
    <definedName name="SD_D_PL_UDF_169" hidden="1">SD_Dropdowns!$AE$2:$AF$4</definedName>
    <definedName name="SD_D_PL_UDF_169_Name" hidden="1">SD_Dropdowns!$AE$2:$AE$4</definedName>
    <definedName name="SD_D_PL_UDF_169_Value" hidden="1">SD_Dropdowns!$AF$2:$AF$4</definedName>
    <definedName name="SD_D_PL_UDF_170" hidden="1">SD_Dropdowns!$AG$2:$AH$4</definedName>
    <definedName name="SD_D_PL_UDF_170_Name" hidden="1">SD_Dropdowns!$AG$2:$AG$4</definedName>
    <definedName name="SD_D_PL_UDF_170_Value" hidden="1">SD_Dropdowns!$AH$2:$AH$4</definedName>
    <definedName name="SD_D_PL_UDF_171" hidden="1">SD_Dropdowns!$AI$2:$AJ$4</definedName>
    <definedName name="SD_D_PL_UDF_171_Name" hidden="1">SD_Dropdowns!$AI$2:$AI$4</definedName>
    <definedName name="SD_D_PL_UDF_171_Value" hidden="1">SD_Dropdowns!$AJ$2:$AJ$4</definedName>
    <definedName name="SD_D_PL_UDF_172" hidden="1">SD_Dropdowns!$AK$2:$AL$4</definedName>
    <definedName name="SD_D_PL_UDF_172_Name" hidden="1">SD_Dropdowns!$AK$2:$AK$4</definedName>
    <definedName name="SD_D_PL_UDF_172_Value" hidden="1">SD_Dropdowns!$AL$2:$AL$4</definedName>
    <definedName name="SD_D_PL_UDF_173" hidden="1">SD_Dropdowns!$AM$2:$AN$4</definedName>
    <definedName name="SD_D_PL_UDF_173_Name" hidden="1">SD_Dropdowns!$AM$2:$AM$4</definedName>
    <definedName name="SD_D_PL_UDF_173_Value" hidden="1">SD_Dropdowns!$AN$2:$AN$4</definedName>
    <definedName name="SD_D_PL_UDF_181" hidden="1">SD_Dropdowns!$CU$2:$CV$4</definedName>
    <definedName name="SD_D_PL_UDF_181_Name" hidden="1">SD_Dropdowns!$CU$2:$CU$4</definedName>
    <definedName name="SD_D_PL_UDF_181_Value" hidden="1">SD_Dropdowns!$CV$2:$CV$4</definedName>
    <definedName name="SD_D_PL_UDF_182" hidden="1">SD_Dropdowns!$CW$2:$CX$4</definedName>
    <definedName name="SD_D_PL_UDF_182_Name" hidden="1">SD_Dropdowns!$CW$2:$CW$4</definedName>
    <definedName name="SD_D_PL_UDF_182_Value" hidden="1">SD_Dropdowns!$CX$2:$CX$4</definedName>
    <definedName name="SD_D_PL_UDF_183" hidden="1">SD_Dropdowns!$CY$2:$CZ$4</definedName>
    <definedName name="SD_D_PL_UDF_183_Name" hidden="1">SD_Dropdowns!$CY$2:$CY$4</definedName>
    <definedName name="SD_D_PL_UDF_183_Value" hidden="1">SD_Dropdowns!$CZ$2:$CZ$4</definedName>
    <definedName name="SD_D_PL_UnitMixAmiPercent" hidden="1">SD_Dropdowns!$BO$2:$BP$11</definedName>
    <definedName name="SD_D_PL_UnitMixAmiPercent_Name" hidden="1">SD_Dropdowns!$BO$2:$BO$11</definedName>
    <definedName name="SD_D_PL_UnitMixAmiPercent_Value" hidden="1">SD_Dropdowns!$BP$2:$BP$11</definedName>
    <definedName name="SD_D_PL_UnitType" hidden="1">SD_Dropdowns!$BK$2:$BL$8</definedName>
    <definedName name="SD_D_PL_UnitType_Name" hidden="1">SD_Dropdowns!$BK$2:$BK$8</definedName>
    <definedName name="SD_D_PL_UnitType_Value" hidden="1">SD_Dropdowns!$BL$2:$BL$8</definedName>
    <definedName name="Section_221_d__3__BMIR">'4. Project Description'!$D$19</definedName>
    <definedName name="Section_221_d__3__BMIR_Number_of_Units">'4. Project Description'!$F$19</definedName>
    <definedName name="Section_236">'4. Project Description'!$D$20</definedName>
    <definedName name="Section_236_Number_of_Units">'4. Project Description'!$F$20</definedName>
    <definedName name="Section_8_Housing_Assistance_Payment_Contract">'4. Project Description'!$D$22</definedName>
    <definedName name="Section_8_Housing_Assistance_Payment_Contract_Number_of_Units">'4. Project Description'!$F$22</definedName>
    <definedName name="Section_8_Rent_Supplemental_or_Rental_Assistance_Payment">'4. Project Description'!$D$21</definedName>
    <definedName name="Section_8_Rent_Supplemental_or_Rental_Assistance_Payment_Number_of_Units">'4. Project Description'!$F$21</definedName>
    <definedName name="Section_811_Vouchers_Number_of_Units">'4. Project Description'!$F$24</definedName>
    <definedName name="Security_Locked_Building">'10. Project and Unit Amenities'!$D$36</definedName>
    <definedName name="Security_Payroll___Contract__incl_taxes_and_benefits">'16. Projected Operating Costs'!$D$43</definedName>
    <definedName name="Security_Rent_Free_Unit">'16. Projected Operating Costs'!$D$44</definedName>
    <definedName name="Self_Scoring">'Self Scoring Checklist'!$B$4</definedName>
    <definedName name="Serve_Low_Income_Ponts">'20. Instructions Scoring Sum'!$G$30</definedName>
    <definedName name="Serves_Large_Families">'22. Tenants Served Score'!$B$11</definedName>
    <definedName name="Serves_Large_Family_Points">'20. Instructions Scoring Sum'!$G$29</definedName>
    <definedName name="Serves_Lowest_Income_Residents">'22. Tenants Served Score'!$B$44</definedName>
    <definedName name="Set_Aside">'4. Project Description'!$D$53</definedName>
    <definedName name="SetAside" localSheetId="27">'Dropdown Lists'!$F$2:$F$5</definedName>
    <definedName name="SetAside" localSheetId="28">'Dropdown Lists'!$F$2:$F$5</definedName>
    <definedName name="SetAside" localSheetId="29">'Dropdown Lists'!$F$2:$F$5</definedName>
    <definedName name="SetAside" localSheetId="30">'Dropdown Lists'!$F$2:$F$5</definedName>
    <definedName name="SetAside">'Dropdown Lists'!$F$2:$F$5</definedName>
    <definedName name="Sewer">'16. Projected Operating Costs'!$D$34</definedName>
    <definedName name="Single_Room_Occupancy">'4. Project Description'!$D$40</definedName>
    <definedName name="Single_Room_Occupancy_Number_of_Units">'4. Project Description'!$F$40</definedName>
    <definedName name="Site_Contol">'7. Site Control'!$B$4</definedName>
    <definedName name="Site_Description">'6. Site Description'!$B$4</definedName>
    <definedName name="Snow_Removal">'16. Projected Operating Costs'!$D$46</definedName>
    <definedName name="Source_1">'12. Funding Sources'!$C$11</definedName>
    <definedName name="Source_10">'12. Funding Sources'!$C$20</definedName>
    <definedName name="Source_11">'12. Funding Sources'!$C$21</definedName>
    <definedName name="Source_12">'12. Funding Sources'!$C$22</definedName>
    <definedName name="Source_13">'12. Funding Sources'!$C$23</definedName>
    <definedName name="Source_2">'12. Funding Sources'!$C$12</definedName>
    <definedName name="Source_3">'12. Funding Sources'!$C$13</definedName>
    <definedName name="Source_4">'12. Funding Sources'!$C$14</definedName>
    <definedName name="Source_5">'12. Funding Sources'!$C$15</definedName>
    <definedName name="Source_6">'12. Funding Sources'!$C$16</definedName>
    <definedName name="Source_7">'12. Funding Sources'!$C$17</definedName>
    <definedName name="Source_8">'12. Funding Sources'!$C$18</definedName>
    <definedName name="Source_9">'12. Funding Sources'!$C$19</definedName>
    <definedName name="SourceOfUtilityAllowanceAssumptions" localSheetId="27">'Dropdown Lists'!$S$2:$S$7</definedName>
    <definedName name="SourceOfUtilityAllowanceAssumptions" localSheetId="28">'Dropdown Lists'!$S$2:$S$7</definedName>
    <definedName name="SourceOfUtilityAllowanceAssumptions" localSheetId="29">'Dropdown Lists'!$S$2:$S$7</definedName>
    <definedName name="SourceOfUtilityAllowanceAssumptions" localSheetId="30">'Dropdown Lists'!$S$2:$S$7</definedName>
    <definedName name="SourceOfUtilityAllowanceAssumptions">'Dropdown Lists'!$S$2:$S$7</definedName>
    <definedName name="SourceUtlityAllowanceAssumptions">'Dropdown Lists'!$V$2:$V$7</definedName>
    <definedName name="State_Credits">'15. Credit Calculation'!$P$50</definedName>
    <definedName name="State_HTC_Equity">'12. Funding Sources'!$E$46</definedName>
    <definedName name="Storage_Units">'10. Project and Unit Amenities'!$D$35</definedName>
    <definedName name="SubsidySource" localSheetId="27">'Dropdown Lists'!$K$2:$K$3</definedName>
    <definedName name="SubsidySource" localSheetId="28">'Dropdown Lists'!$K$2:$K$3</definedName>
    <definedName name="SubsidySource" localSheetId="29">'Dropdown Lists'!$K$2:$K$3</definedName>
    <definedName name="SubsidySource" localSheetId="30">'Dropdown Lists'!$K$2:$K$3</definedName>
    <definedName name="SubsidySource">'Dropdown Lists'!$K$2:$K$3</definedName>
    <definedName name="Subtotal__Administrative_Expenses">'16. Projected Operating Costs'!$D$28</definedName>
    <definedName name="Subtotal__Operating___Maintenance_Expenses">'16. Projected Operating Costs'!$D$49</definedName>
    <definedName name="Subtotal__Rent_Expense">'16. Projected Operating Costs'!$D$12</definedName>
    <definedName name="Subtotal__Service_Expense">'16. Projected Operating Costs'!$D$85</definedName>
    <definedName name="Subtotal__Taxes_and_Insurance">'16. Projected Operating Costs'!$D$59</definedName>
    <definedName name="Subtotal__Utilities_Expenses">'16. Projected Operating Costs'!$D$36</definedName>
    <definedName name="Sunrooms">'10. Project and Unit Amenities'!$D$64</definedName>
    <definedName name="Supplies">'16. Projected Operating Costs'!$D$39</definedName>
    <definedName name="Supportive_Housing">'4. Project Description'!$D$39</definedName>
    <definedName name="Supportive_Housing_Header">'22. Tenants Served Score'!$B$75</definedName>
    <definedName name="Supportive_Housing_Number_of_Units">'4. Project Description'!$F$39</definedName>
    <definedName name="Supportive_Housing_Points">'20. Instructions Scoring Sum'!$G$31</definedName>
    <definedName name="Surface_Parking">'10. Project and Unit Amenities'!$D$23</definedName>
    <definedName name="Surface_Rent_Per_Year">'10. Project and Unit Amenities'!$L$21</definedName>
    <definedName name="Syndicator">'9. Ownership and Project Team'!$D$100</definedName>
    <definedName name="Syndicator_City">'9. Ownership and Project Team'!$D$104</definedName>
    <definedName name="Syndicator_Email_Address">'9. Ownership and Project Team'!$G$106</definedName>
    <definedName name="Syndicator_First_Name">'9. Ownership and Project Team'!$D$108</definedName>
    <definedName name="Syndicator_Identity_of_Interest?">'9. Ownership and Project Team'!$D$98</definedName>
    <definedName name="Syndicator_Last_Name">'9. Ownership and Project Team'!$F$108</definedName>
    <definedName name="Syndicator_State">'9. Ownership and Project Team'!$F$104</definedName>
    <definedName name="Syndicator_Street_Address">'9. Ownership and Project Team'!$D$102</definedName>
    <definedName name="Syndicator_Telephone_Number">'9. Ownership and Project Team'!$D$106</definedName>
    <definedName name="Syndicator_Zipcode">'9. Ownership and Project Team'!$H$104</definedName>
    <definedName name="Table_of_Contents">'1. TOC'!$B$4</definedName>
    <definedName name="Tax_Credit_Monitoring_Fees">'16. Projected Operating Costs'!$D$25</definedName>
    <definedName name="Tax_Credit_Signature_Page">'Tax Credit Signatures'!$B$4</definedName>
    <definedName name="Tax_Credit_Year">'QAP Constants'!$B$2</definedName>
    <definedName name="TC_Percent">'4. Project Description'!$D$54</definedName>
    <definedName name="TC_Units_1">'7. Site Control'!$G$47</definedName>
    <definedName name="TC_Units_10">'7. Site Control'!$G$56</definedName>
    <definedName name="TC_Units_11">'7. Site Control'!$G$57</definedName>
    <definedName name="TC_Units_12">'7. Site Control'!$G$58</definedName>
    <definedName name="TC_Units_13">'7. Site Control'!$G$59</definedName>
    <definedName name="TC_Units_14">'7. Site Control'!$G$60</definedName>
    <definedName name="TC_Units_15">'7. Site Control'!$G$61</definedName>
    <definedName name="TC_Units_16">'7. Site Control'!$G$62</definedName>
    <definedName name="TC_Units_17">'7. Site Control'!$G$63</definedName>
    <definedName name="TC_Units_18">'7. Site Control'!$G$64</definedName>
    <definedName name="TC_Units_19">'7. Site Control'!$G$65</definedName>
    <definedName name="TC_Units_2">'7. Site Control'!$G$48</definedName>
    <definedName name="TC_Units_20">'7. Site Control'!$G$66</definedName>
    <definedName name="TC_Units_21">'7. Site Control'!$G$67</definedName>
    <definedName name="TC_Units_22">'7. Site Control'!$G$68</definedName>
    <definedName name="TC_Units_23">'7. Site Control'!$G$69</definedName>
    <definedName name="TC_Units_24">'7. Site Control'!$G$70</definedName>
    <definedName name="TC_Units_25">'7. Site Control'!$G$71</definedName>
    <definedName name="TC_Units_26">'7. Site Control'!$G$72</definedName>
    <definedName name="TC_Units_27">'7. Site Control'!$G$73</definedName>
    <definedName name="TC_Units_28">'7. Site Control'!$G$74</definedName>
    <definedName name="TC_Units_29">'7. Site Control'!$G$75</definedName>
    <definedName name="TC_Units_3">'7. Site Control'!$G$49</definedName>
    <definedName name="TC_Units_30">'7. Site Control'!$G$76</definedName>
    <definedName name="TC_Units_31">'7. Site Control'!$G$77</definedName>
    <definedName name="TC_Units_32">'7. Site Control'!$G$78</definedName>
    <definedName name="TC_Units_33">'7. Site Control'!$G$79</definedName>
    <definedName name="TC_Units_34">'7. Site Control'!$G$80</definedName>
    <definedName name="TC_Units_4">'7. Site Control'!$G$50</definedName>
    <definedName name="TC_Units_5">'7. Site Control'!$G$51</definedName>
    <definedName name="TC_Units_6">'7. Site Control'!$G$52</definedName>
    <definedName name="TC_Units_7">'7. Site Control'!$G$53</definedName>
    <definedName name="TC_Units_8">'7. Site Control'!$G$54</definedName>
    <definedName name="TC_Units_9">'7. Site Control'!$G$55</definedName>
    <definedName name="Temporary_Displaced">'6. Site Description'!$E$29</definedName>
    <definedName name="Term_1">'12. Funding Sources'!$L$11</definedName>
    <definedName name="Term_10">'12. Funding Sources'!$L$20</definedName>
    <definedName name="Term_11">'12. Funding Sources'!$L$21</definedName>
    <definedName name="Term_12">'12. Funding Sources'!$L$22</definedName>
    <definedName name="Term_13">'12. Funding Sources'!$L$23</definedName>
    <definedName name="Term_2">'12. Funding Sources'!$L$12</definedName>
    <definedName name="Term_3">'12. Funding Sources'!$L$13</definedName>
    <definedName name="Term_4">'12. Funding Sources'!$L$14</definedName>
    <definedName name="Term_5">'12. Funding Sources'!$L$15</definedName>
    <definedName name="Term_6">'12. Funding Sources'!$L$16</definedName>
    <definedName name="Term_7">'12. Funding Sources'!$L$17</definedName>
    <definedName name="Term_8">'12. Funding Sources'!$L$18</definedName>
    <definedName name="Term_9">'12. Funding Sources'!$L$19</definedName>
    <definedName name="Test">'14. Project Costs'!$D$113:$E$113</definedName>
    <definedName name="tetertertert" localSheetId="6">MATCH(0.01,End_Bal,-1)+1</definedName>
    <definedName name="tetertertert" localSheetId="39">MATCH(0.01,End_Bal,-1)+1</definedName>
    <definedName name="tetertertert">MATCH(0.01,End_Bal,-1)+1</definedName>
    <definedName name="Therapeutic_Whirlpool_Tub">'10. Project and Unit Amenities'!$J$36</definedName>
    <definedName name="Total____of__Units_1">'11. Unit Mix'!$H$16</definedName>
    <definedName name="Total____of__Units_10">'11. Unit Mix'!$H$25</definedName>
    <definedName name="Total____of__Units_11">'11. Unit Mix'!$H$26</definedName>
    <definedName name="Total____of__Units_12">'11. Unit Mix'!$H$27</definedName>
    <definedName name="Total____of__Units_13">'11. Unit Mix'!$H$28</definedName>
    <definedName name="Total____of__Units_14">'11. Unit Mix'!$H$29</definedName>
    <definedName name="Total____of__Units_15">'11. Unit Mix'!$H$30</definedName>
    <definedName name="Total____of__Units_16">'11. Unit Mix'!$H$31</definedName>
    <definedName name="Total____of__Units_17">'11. Unit Mix'!$H$32</definedName>
    <definedName name="Total____of__Units_18">'11. Unit Mix'!$H$33</definedName>
    <definedName name="Total____of__Units_19">'11. Unit Mix'!$H$34</definedName>
    <definedName name="Total____of__Units_2">'11. Unit Mix'!$H$17</definedName>
    <definedName name="Total____of__Units_20">'11. Unit Mix'!$H$35</definedName>
    <definedName name="Total____of__Units_21">'11. Unit Mix'!$H$36</definedName>
    <definedName name="Total____of__Units_22">'11. Unit Mix'!$H$37</definedName>
    <definedName name="Total____of__Units_23">'11. Unit Mix'!$H$38</definedName>
    <definedName name="Total____of__Units_24">'11. Unit Mix'!$H$39</definedName>
    <definedName name="Total____of__Units_25">'11. Unit Mix'!$H$40</definedName>
    <definedName name="Total____of__Units_26">'11. Unit Mix'!$H$41</definedName>
    <definedName name="Total____of__Units_27">'11. Unit Mix'!$H$42</definedName>
    <definedName name="Total____of__Units_28">'11. Unit Mix'!$H$43</definedName>
    <definedName name="Total____of__Units_29">'11. Unit Mix'!$H$44</definedName>
    <definedName name="Total____of__Units_3">'11. Unit Mix'!$H$18</definedName>
    <definedName name="Total____of__Units_30">'11. Unit Mix'!$H$45</definedName>
    <definedName name="Total____of__Units_31">'11. Unit Mix'!$H$46</definedName>
    <definedName name="Total____of__Units_32">'11. Unit Mix'!$H$47</definedName>
    <definedName name="Total____of__Units_33">'11. Unit Mix'!$H$48</definedName>
    <definedName name="Total____of__Units_34">'11. Unit Mix'!$H$49</definedName>
    <definedName name="Total____of__Units_35">'11. Unit Mix'!$H$50</definedName>
    <definedName name="Total____of__Units_36">'11. Unit Mix'!$H$51</definedName>
    <definedName name="Total____of__Units_37">'11. Unit Mix'!$H$52</definedName>
    <definedName name="Total____of__Units_38">'11. Unit Mix'!$H$53</definedName>
    <definedName name="Total____of__Units_39">'11. Unit Mix'!$H$54</definedName>
    <definedName name="Total____of__Units_4">'11. Unit Mix'!$H$19</definedName>
    <definedName name="Total____of__Units_40">'11. Unit Mix'!$H$55</definedName>
    <definedName name="Total____of__Units_41">'11. Unit Mix'!$H$56</definedName>
    <definedName name="Total____of__Units_42">'11. Unit Mix'!$H$57</definedName>
    <definedName name="Total____of__Units_43">'11. Unit Mix'!$H$58</definedName>
    <definedName name="Total____of__Units_44">'11. Unit Mix'!$H$59</definedName>
    <definedName name="Total____of__Units_45">'11. Unit Mix'!$H$60</definedName>
    <definedName name="Total____of__Units_46">'11. Unit Mix'!$H$61</definedName>
    <definedName name="Total____of__Units_47">'11. Unit Mix'!$H$62</definedName>
    <definedName name="Total____of__Units_48">'11. Unit Mix'!$H$63</definedName>
    <definedName name="Total____of__Units_49">'11. Unit Mix'!$H$64</definedName>
    <definedName name="Total____of__Units_5">'11. Unit Mix'!$H$20</definedName>
    <definedName name="Total____of__Units_50">'11. Unit Mix'!$H$65</definedName>
    <definedName name="Total____of__Units_51">'11. Unit Mix'!$G$96</definedName>
    <definedName name="Total____of__Units_52">'11. Unit Mix'!$G$97</definedName>
    <definedName name="Total____of__Units_53">'11. Unit Mix'!$G$98</definedName>
    <definedName name="Total____of__Units_54">'11. Unit Mix'!$H$104</definedName>
    <definedName name="Total____of__Units_55">'11. Unit Mix'!$H$105</definedName>
    <definedName name="Total____of__Units_56">'11. Unit Mix'!$H$106</definedName>
    <definedName name="Total____of__Units_57">'11. Unit Mix'!$H$107</definedName>
    <definedName name="Total____of__Units_58">'11. Unit Mix'!$H$108</definedName>
    <definedName name="Total____of__Units_59">'11. Unit Mix'!$H$109</definedName>
    <definedName name="Total____of__Units_6">'11. Unit Mix'!$H$21</definedName>
    <definedName name="Total____of__Units_60">'11. Unit Mix'!$H$110</definedName>
    <definedName name="Total____of__Units_61">'11. Unit Mix'!$H$111</definedName>
    <definedName name="Total____of__Units_62">'11. Unit Mix'!$H$112</definedName>
    <definedName name="Total____of__Units_63">'11. Unit Mix'!$H$113</definedName>
    <definedName name="Total____of__Units_7">'11. Unit Mix'!$H$22</definedName>
    <definedName name="Total____of__Units_8">'11. Unit Mix'!$H$23</definedName>
    <definedName name="Total____of__Units_9">'11. Unit Mix'!$H$24</definedName>
    <definedName name="Total_Buildable_Acreage">'6. Site Description'!$E$7</definedName>
    <definedName name="Total_Operating_Expenses">'16. Projected Operating Costs'!$D$88</definedName>
    <definedName name="Total_Points">'20. Instructions Scoring Sum'!$G$43</definedName>
    <definedName name="Total_Site_Acreage">'6. Site Description'!$E$6</definedName>
    <definedName name="Total_Units">'11. Unit Mix'!$F$130</definedName>
    <definedName name="Total60Voucher">'11. Unit Mix'!$BG$66</definedName>
    <definedName name="TotalFundingSources">'12. Funding Sources'!$P$50</definedName>
    <definedName name="Trash_Disposal_Chutes">'10. Project and Unit Amenities'!$G$37</definedName>
    <definedName name="Tribal_Name">'3. Project Location'!$F$16</definedName>
    <definedName name="TypeOfControl" localSheetId="27">'Dropdown Lists'!$M$2:$M$4</definedName>
    <definedName name="TypeOfControl" localSheetId="28">'Dropdown Lists'!$M$2:$M$4</definedName>
    <definedName name="TypeOfControl" localSheetId="29">'Dropdown Lists'!$M$2:$M$4</definedName>
    <definedName name="TypeOfControl" localSheetId="30">'Dropdown Lists'!$M$2:$M$4</definedName>
    <definedName name="TypeOfControl">'Dropdown Lists'!$M$2:$M$4</definedName>
    <definedName name="udrextdshnftjmfr6" localSheetId="6">MATCH(0.01,End_Bal,-1)+1</definedName>
    <definedName name="udrextdshnftjmfr6" localSheetId="39">MATCH(0.01,End_Bal,-1)+1</definedName>
    <definedName name="udrextdshnftjmfr6">MATCH(0.01,End_Bal,-1)+1</definedName>
    <definedName name="UM_Bathrooms_1">'11. Unit Mix'!$F$16</definedName>
    <definedName name="UM_Bathrooms_10">'11. Unit Mix'!$F$25</definedName>
    <definedName name="UM_Bathrooms_11">'11. Unit Mix'!$F$26</definedName>
    <definedName name="UM_Bathrooms_12">'11. Unit Mix'!$F$27</definedName>
    <definedName name="UM_Bathrooms_13">'11. Unit Mix'!$F$28</definedName>
    <definedName name="UM_Bathrooms_14">'11. Unit Mix'!$F$29</definedName>
    <definedName name="UM_Bathrooms_15">'11. Unit Mix'!$F$30</definedName>
    <definedName name="UM_Bathrooms_16">'11. Unit Mix'!$F$31</definedName>
    <definedName name="UM_Bathrooms_17">'11. Unit Mix'!$F$32</definedName>
    <definedName name="UM_Bathrooms_18">'11. Unit Mix'!$F$33</definedName>
    <definedName name="UM_Bathrooms_19">'11. Unit Mix'!$F$34</definedName>
    <definedName name="UM_Bathrooms_2">'11. Unit Mix'!$F$17</definedName>
    <definedName name="UM_Bathrooms_20">'11. Unit Mix'!$F$35</definedName>
    <definedName name="UM_Bathrooms_21">'11. Unit Mix'!$F$36</definedName>
    <definedName name="UM_Bathrooms_22">'11. Unit Mix'!$F$37</definedName>
    <definedName name="UM_Bathrooms_23">'11. Unit Mix'!$F$38</definedName>
    <definedName name="UM_Bathrooms_24">'11. Unit Mix'!$F$39</definedName>
    <definedName name="UM_Bathrooms_25">'11. Unit Mix'!$F$40</definedName>
    <definedName name="UM_Bathrooms_26">'11. Unit Mix'!$F$41</definedName>
    <definedName name="UM_Bathrooms_27">'11. Unit Mix'!$F$42</definedName>
    <definedName name="UM_Bathrooms_28">'11. Unit Mix'!$F$43</definedName>
    <definedName name="UM_Bathrooms_29">'11. Unit Mix'!$F$44</definedName>
    <definedName name="UM_Bathrooms_3">'11. Unit Mix'!$F$18</definedName>
    <definedName name="UM_Bathrooms_30">'11. Unit Mix'!$F$45</definedName>
    <definedName name="UM_Bathrooms_31">'11. Unit Mix'!$F$46</definedName>
    <definedName name="UM_Bathrooms_32">'11. Unit Mix'!$F$47</definedName>
    <definedName name="UM_Bathrooms_33">'11. Unit Mix'!$F$48</definedName>
    <definedName name="UM_Bathrooms_34">'11. Unit Mix'!$F$49</definedName>
    <definedName name="UM_Bathrooms_35">'11. Unit Mix'!$F$50</definedName>
    <definedName name="UM_Bathrooms_36">'11. Unit Mix'!$F$51</definedName>
    <definedName name="UM_Bathrooms_37">'11. Unit Mix'!$F$52</definedName>
    <definedName name="UM_Bathrooms_38">'11. Unit Mix'!$F$53</definedName>
    <definedName name="UM_Bathrooms_39">'11. Unit Mix'!$F$54</definedName>
    <definedName name="UM_Bathrooms_4">'11. Unit Mix'!$F$19</definedName>
    <definedName name="UM_Bathrooms_40">'11. Unit Mix'!$F$55</definedName>
    <definedName name="UM_Bathrooms_41">'11. Unit Mix'!$F$56</definedName>
    <definedName name="UM_Bathrooms_42">'11. Unit Mix'!$F$57</definedName>
    <definedName name="UM_Bathrooms_43">'11. Unit Mix'!$F$58</definedName>
    <definedName name="UM_Bathrooms_44">'11. Unit Mix'!$F$59</definedName>
    <definedName name="UM_Bathrooms_45">'11. Unit Mix'!$F$60</definedName>
    <definedName name="UM_Bathrooms_46">'11. Unit Mix'!$F$61</definedName>
    <definedName name="UM_Bathrooms_47">'11. Unit Mix'!$F$62</definedName>
    <definedName name="UM_Bathrooms_48">'11. Unit Mix'!$F$63</definedName>
    <definedName name="UM_Bathrooms_49">'11. Unit Mix'!$F$64</definedName>
    <definedName name="UM_Bathrooms_5">'11. Unit Mix'!$F$20</definedName>
    <definedName name="UM_Bathrooms_50">'11. Unit Mix'!$F$65</definedName>
    <definedName name="UM_Bathrooms_51">'11. Unit Mix'!$E$96</definedName>
    <definedName name="UM_Bathrooms_52">'11. Unit Mix'!$E$97</definedName>
    <definedName name="UM_Bathrooms_53">'11. Unit Mix'!$E$98</definedName>
    <definedName name="UM_Bathrooms_54">'11. Unit Mix'!$F$104</definedName>
    <definedName name="UM_Bathrooms_55">'11. Unit Mix'!$F$105</definedName>
    <definedName name="UM_Bathrooms_56">'11. Unit Mix'!$F$106</definedName>
    <definedName name="UM_Bathrooms_57">'11. Unit Mix'!$F$107</definedName>
    <definedName name="UM_Bathrooms_58">'11. Unit Mix'!$F$108</definedName>
    <definedName name="UM_Bathrooms_59">'11. Unit Mix'!$F$109</definedName>
    <definedName name="UM_Bathrooms_6">'11. Unit Mix'!$F$21</definedName>
    <definedName name="UM_Bathrooms_60">'11. Unit Mix'!$F$110</definedName>
    <definedName name="UM_Bathrooms_61">'11. Unit Mix'!$F$111</definedName>
    <definedName name="UM_Bathrooms_62">'11. Unit Mix'!$F$112</definedName>
    <definedName name="UM_Bathrooms_63">'11. Unit Mix'!$F$113</definedName>
    <definedName name="UM_Bathrooms_7">'11. Unit Mix'!$F$22</definedName>
    <definedName name="UM_Bathrooms_8">'11. Unit Mix'!$F$23</definedName>
    <definedName name="UM_Bathrooms_9">'11. Unit Mix'!$F$24</definedName>
    <definedName name="UM_Bedroom_1">'11. Unit Mix'!$E$16</definedName>
    <definedName name="UM_Bedroom_10">'11. Unit Mix'!$E$25</definedName>
    <definedName name="UM_Bedroom_11">'11. Unit Mix'!$E$26</definedName>
    <definedName name="UM_Bedroom_12">'11. Unit Mix'!$E$27</definedName>
    <definedName name="UM_Bedroom_13">'11. Unit Mix'!$E$28</definedName>
    <definedName name="UM_Bedroom_14">'11. Unit Mix'!$E$29</definedName>
    <definedName name="UM_Bedroom_15">'11. Unit Mix'!$E$30</definedName>
    <definedName name="UM_Bedroom_16">'11. Unit Mix'!$E$31</definedName>
    <definedName name="UM_Bedroom_17">'11. Unit Mix'!$E$32</definedName>
    <definedName name="UM_Bedroom_18">'11. Unit Mix'!$E$33</definedName>
    <definedName name="UM_Bedroom_19">'11. Unit Mix'!$E$34</definedName>
    <definedName name="UM_Bedroom_2">'11. Unit Mix'!$E$17</definedName>
    <definedName name="UM_Bedroom_20">'11. Unit Mix'!$E$35</definedName>
    <definedName name="UM_Bedroom_21">'11. Unit Mix'!$E$36</definedName>
    <definedName name="UM_Bedroom_22">'11. Unit Mix'!$E$37</definedName>
    <definedName name="UM_Bedroom_23">'11. Unit Mix'!$E$38</definedName>
    <definedName name="UM_Bedroom_24">'11. Unit Mix'!$E$39</definedName>
    <definedName name="UM_Bedroom_25">'11. Unit Mix'!$E$40</definedName>
    <definedName name="UM_Bedroom_26">'11. Unit Mix'!$E$41</definedName>
    <definedName name="UM_Bedroom_27">'11. Unit Mix'!$E$42</definedName>
    <definedName name="UM_Bedroom_28">'11. Unit Mix'!$E$43</definedName>
    <definedName name="UM_Bedroom_29">'11. Unit Mix'!$E$44</definedName>
    <definedName name="UM_Bedroom_3">'11. Unit Mix'!$E$18</definedName>
    <definedName name="UM_Bedroom_30">'11. Unit Mix'!$E$45</definedName>
    <definedName name="UM_Bedroom_31">'11. Unit Mix'!$E$46</definedName>
    <definedName name="UM_Bedroom_32">'11. Unit Mix'!$E$47</definedName>
    <definedName name="UM_Bedroom_33">'11. Unit Mix'!$E$48</definedName>
    <definedName name="UM_Bedroom_34">'11. Unit Mix'!$E$49</definedName>
    <definedName name="UM_Bedroom_35">'11. Unit Mix'!$E$50</definedName>
    <definedName name="UM_Bedroom_36">'11. Unit Mix'!$E$51</definedName>
    <definedName name="UM_Bedroom_37">'11. Unit Mix'!$E$52</definedName>
    <definedName name="UM_Bedroom_38">'11. Unit Mix'!$E$53</definedName>
    <definedName name="UM_Bedroom_39">'11. Unit Mix'!$E$54</definedName>
    <definedName name="UM_Bedroom_4">'11. Unit Mix'!$E$19</definedName>
    <definedName name="UM_Bedroom_40">'11. Unit Mix'!$E$55</definedName>
    <definedName name="UM_Bedroom_41">'11. Unit Mix'!$E$56</definedName>
    <definedName name="UM_Bedroom_42">'11. Unit Mix'!$E$57</definedName>
    <definedName name="UM_Bedroom_43">'11. Unit Mix'!$E$58</definedName>
    <definedName name="UM_Bedroom_44">'11. Unit Mix'!$E$59</definedName>
    <definedName name="UM_Bedroom_45">'11. Unit Mix'!$E$60</definedName>
    <definedName name="UM_Bedroom_46">'11. Unit Mix'!$E$61</definedName>
    <definedName name="UM_Bedroom_47">'11. Unit Mix'!$E$62</definedName>
    <definedName name="UM_Bedroom_48">'11. Unit Mix'!$E$63</definedName>
    <definedName name="UM_Bedroom_49">'11. Unit Mix'!$E$64</definedName>
    <definedName name="UM_Bedroom_5">'11. Unit Mix'!$E$20</definedName>
    <definedName name="UM_Bedroom_50">'11. Unit Mix'!$E$65</definedName>
    <definedName name="UM_Bedroom_51">'11. Unit Mix'!$D$96</definedName>
    <definedName name="UM_Bedroom_52">'11. Unit Mix'!$D$97</definedName>
    <definedName name="UM_Bedroom_53">'11. Unit Mix'!$D$98</definedName>
    <definedName name="UM_Bedroom_54">'11. Unit Mix'!$E$104</definedName>
    <definedName name="UM_Bedroom_55">'11. Unit Mix'!$E$105</definedName>
    <definedName name="UM_Bedroom_56">'11. Unit Mix'!$E$106</definedName>
    <definedName name="UM_Bedroom_57">'11. Unit Mix'!$E$107</definedName>
    <definedName name="UM_Bedroom_58">'11. Unit Mix'!$E$108</definedName>
    <definedName name="UM_Bedroom_59">'11. Unit Mix'!$E$109</definedName>
    <definedName name="UM_Bedroom_6">'11. Unit Mix'!$E$21</definedName>
    <definedName name="UM_Bedroom_60">'11. Unit Mix'!$E$110</definedName>
    <definedName name="UM_Bedroom_61">'11. Unit Mix'!$E$111</definedName>
    <definedName name="UM_Bedroom_62">'11. Unit Mix'!$E$112</definedName>
    <definedName name="UM_Bedroom_63">'11. Unit Mix'!$E$113</definedName>
    <definedName name="UM_Bedroom_7">'11. Unit Mix'!$E$22</definedName>
    <definedName name="UM_Bedroom_8">'11. Unit Mix'!$E$23</definedName>
    <definedName name="UM_Bedroom_9">'11. Unit Mix'!$E$24</definedName>
    <definedName name="UM_Net_SF_1">'11. Unit Mix'!$G$16</definedName>
    <definedName name="UM_Net_SF_10">'11. Unit Mix'!$G$25</definedName>
    <definedName name="UM_Net_SF_11">'11. Unit Mix'!$G$26</definedName>
    <definedName name="UM_Net_SF_12">'11. Unit Mix'!$G$27</definedName>
    <definedName name="UM_Net_SF_13">'11. Unit Mix'!$G$28</definedName>
    <definedName name="UM_Net_SF_14">'11. Unit Mix'!$G$29</definedName>
    <definedName name="UM_Net_SF_15">'11. Unit Mix'!$G$30</definedName>
    <definedName name="UM_Net_SF_16">'11. Unit Mix'!$G$31</definedName>
    <definedName name="UM_Net_SF_17">'11. Unit Mix'!$G$32</definedName>
    <definedName name="UM_Net_SF_18">'11. Unit Mix'!$G$33</definedName>
    <definedName name="UM_Net_SF_19">'11. Unit Mix'!$G$34</definedName>
    <definedName name="UM_Net_SF_2">'11. Unit Mix'!$G$17</definedName>
    <definedName name="UM_Net_SF_20">'11. Unit Mix'!$G$35</definedName>
    <definedName name="UM_Net_SF_21">'11. Unit Mix'!$G$36</definedName>
    <definedName name="UM_Net_SF_22">'11. Unit Mix'!$G$37</definedName>
    <definedName name="UM_Net_SF_23">'11. Unit Mix'!$G$38</definedName>
    <definedName name="UM_Net_SF_24">'11. Unit Mix'!$G$39</definedName>
    <definedName name="UM_Net_SF_25">'11. Unit Mix'!$G$40</definedName>
    <definedName name="UM_Net_SF_26">'11. Unit Mix'!$G$41</definedName>
    <definedName name="UM_Net_SF_27">'11. Unit Mix'!$G$42</definedName>
    <definedName name="UM_Net_SF_28">'11. Unit Mix'!$G$43</definedName>
    <definedName name="UM_Net_SF_29">'11. Unit Mix'!$G$44</definedName>
    <definedName name="UM_Net_SF_3">'11. Unit Mix'!$G$18</definedName>
    <definedName name="UM_Net_SF_30">'11. Unit Mix'!$G$45</definedName>
    <definedName name="UM_Net_SF_31">'11. Unit Mix'!$G$46</definedName>
    <definedName name="UM_Net_SF_32">'11. Unit Mix'!$G$47</definedName>
    <definedName name="UM_Net_SF_33">'11. Unit Mix'!$G$48</definedName>
    <definedName name="UM_Net_SF_34">'11. Unit Mix'!$G$49</definedName>
    <definedName name="UM_Net_SF_35">'11. Unit Mix'!$G$50</definedName>
    <definedName name="UM_Net_SF_36">'11. Unit Mix'!$G$51</definedName>
    <definedName name="UM_Net_SF_37">'11. Unit Mix'!$G$52</definedName>
    <definedName name="UM_Net_SF_38">'11. Unit Mix'!$G$53</definedName>
    <definedName name="UM_Net_SF_39">'11. Unit Mix'!$G$54</definedName>
    <definedName name="UM_Net_SF_4">'11. Unit Mix'!$G$19</definedName>
    <definedName name="UM_Net_SF_40">'11. Unit Mix'!$G$55</definedName>
    <definedName name="UM_Net_SF_41">'11. Unit Mix'!$G$56</definedName>
    <definedName name="UM_Net_SF_42">'11. Unit Mix'!$G$57</definedName>
    <definedName name="UM_Net_SF_43">'11. Unit Mix'!$G$58</definedName>
    <definedName name="UM_Net_SF_44">'11. Unit Mix'!$G$59</definedName>
    <definedName name="UM_Net_SF_45">'11. Unit Mix'!$G$60</definedName>
    <definedName name="UM_Net_SF_46">'11. Unit Mix'!$G$61</definedName>
    <definedName name="UM_Net_SF_47">'11. Unit Mix'!$G$62</definedName>
    <definedName name="UM_Net_SF_48">'11. Unit Mix'!$G$63</definedName>
    <definedName name="UM_Net_SF_49">'11. Unit Mix'!$G$64</definedName>
    <definedName name="UM_Net_SF_5">'11. Unit Mix'!$G$20</definedName>
    <definedName name="UM_Net_SF_50">'11. Unit Mix'!$G$65</definedName>
    <definedName name="UM_Net_SF_51">'11. Unit Mix'!$F$96</definedName>
    <definedName name="UM_Net_SF_52">'11. Unit Mix'!$F$97</definedName>
    <definedName name="UM_Net_SF_53">'11. Unit Mix'!$F$98</definedName>
    <definedName name="UM_Net_SF_54">'11. Unit Mix'!$G$104</definedName>
    <definedName name="UM_Net_SF_55">'11. Unit Mix'!$G$105</definedName>
    <definedName name="UM_Net_SF_56">'11. Unit Mix'!$G$106</definedName>
    <definedName name="UM_Net_SF_57">'11. Unit Mix'!$G$107</definedName>
    <definedName name="UM_Net_SF_58">'11. Unit Mix'!$G$108</definedName>
    <definedName name="UM_Net_SF_59">'11. Unit Mix'!$G$109</definedName>
    <definedName name="UM_Net_SF_6">'11. Unit Mix'!$G$21</definedName>
    <definedName name="UM_Net_SF_60">'11. Unit Mix'!$G$110</definedName>
    <definedName name="UM_Net_SF_61">'11. Unit Mix'!$G$111</definedName>
    <definedName name="UM_Net_SF_62">'11. Unit Mix'!$G$112</definedName>
    <definedName name="UM_Net_SF_63">'11. Unit Mix'!$G$113</definedName>
    <definedName name="UM_Net_SF_7">'11. Unit Mix'!$G$22</definedName>
    <definedName name="UM_Net_SF_8">'11. Unit Mix'!$G$23</definedName>
    <definedName name="UM_Net_SF_9">'11. Unit Mix'!$G$24</definedName>
    <definedName name="UM_Rent_1">'11. Unit Mix'!$N$16</definedName>
    <definedName name="UM_Rent_10">'11. Unit Mix'!$N$25</definedName>
    <definedName name="UM_Rent_11">'11. Unit Mix'!$N$26</definedName>
    <definedName name="UM_Rent_12">'11. Unit Mix'!$N$27</definedName>
    <definedName name="UM_Rent_13">'11. Unit Mix'!$N$28</definedName>
    <definedName name="UM_Rent_14">'11. Unit Mix'!$N$29</definedName>
    <definedName name="UM_Rent_15">'11. Unit Mix'!$N$30</definedName>
    <definedName name="UM_Rent_16">'11. Unit Mix'!$N$31</definedName>
    <definedName name="UM_Rent_17">'11. Unit Mix'!$N$32</definedName>
    <definedName name="UM_Rent_18">'11. Unit Mix'!$N$33</definedName>
    <definedName name="UM_Rent_19">'11. Unit Mix'!$N$34</definedName>
    <definedName name="UM_Rent_2">'11. Unit Mix'!$N$17</definedName>
    <definedName name="UM_Rent_20">'11. Unit Mix'!$N$35</definedName>
    <definedName name="UM_Rent_21">'11. Unit Mix'!$N$36</definedName>
    <definedName name="UM_Rent_22">'11. Unit Mix'!$N$37</definedName>
    <definedName name="UM_Rent_23">'11. Unit Mix'!$N$38</definedName>
    <definedName name="UM_Rent_24">'11. Unit Mix'!$N$39</definedName>
    <definedName name="UM_Rent_25">'11. Unit Mix'!$N$40</definedName>
    <definedName name="UM_Rent_26">'11. Unit Mix'!$N$41</definedName>
    <definedName name="UM_Rent_27">'11. Unit Mix'!$N$42</definedName>
    <definedName name="UM_Rent_28">'11. Unit Mix'!$N$43</definedName>
    <definedName name="UM_Rent_29">'11. Unit Mix'!$N$44</definedName>
    <definedName name="UM_Rent_3">'11. Unit Mix'!$N$18</definedName>
    <definedName name="UM_Rent_30">'11. Unit Mix'!$N$45</definedName>
    <definedName name="UM_Rent_31">'11. Unit Mix'!$N$46</definedName>
    <definedName name="UM_Rent_32">'11. Unit Mix'!$N$47</definedName>
    <definedName name="UM_Rent_33">'11. Unit Mix'!$N$48</definedName>
    <definedName name="UM_Rent_34">'11. Unit Mix'!$N$49</definedName>
    <definedName name="UM_Rent_35">'11. Unit Mix'!$N$50</definedName>
    <definedName name="UM_Rent_36">'11. Unit Mix'!$N$51</definedName>
    <definedName name="UM_Rent_37">'11. Unit Mix'!$N$52</definedName>
    <definedName name="UM_Rent_38">'11. Unit Mix'!$N$53</definedName>
    <definedName name="UM_Rent_39">'11. Unit Mix'!$N$54</definedName>
    <definedName name="UM_Rent_4">'11. Unit Mix'!$N$19</definedName>
    <definedName name="UM_Rent_40">'11. Unit Mix'!$N$55</definedName>
    <definedName name="UM_Rent_41">'11. Unit Mix'!$N$56</definedName>
    <definedName name="UM_Rent_42">'11. Unit Mix'!$N$57</definedName>
    <definedName name="UM_Rent_43">'11. Unit Mix'!$N$58</definedName>
    <definedName name="UM_Rent_44">'11. Unit Mix'!$N$59</definedName>
    <definedName name="UM_Rent_45">'11. Unit Mix'!$N$60</definedName>
    <definedName name="UM_Rent_46">'11. Unit Mix'!$N$61</definedName>
    <definedName name="UM_Rent_47">'11. Unit Mix'!$N$62</definedName>
    <definedName name="UM_Rent_48">'11. Unit Mix'!$N$63</definedName>
    <definedName name="UM_Rent_49">'11. Unit Mix'!$N$64</definedName>
    <definedName name="UM_Rent_5">'11. Unit Mix'!$N$20</definedName>
    <definedName name="UM_Rent_50">'11. Unit Mix'!$N$65</definedName>
    <definedName name="UM_Rent_51">'11. Unit Mix'!$H$96</definedName>
    <definedName name="UM_Rent_52">'11. Unit Mix'!$H$97</definedName>
    <definedName name="UM_Rent_53">'11. Unit Mix'!$H$98</definedName>
    <definedName name="UM_Rent_54">'11. Unit Mix'!$I$104</definedName>
    <definedName name="UM_Rent_55">'11. Unit Mix'!$I$105</definedName>
    <definedName name="UM_Rent_56">'11. Unit Mix'!$I$106</definedName>
    <definedName name="UM_Rent_57">'11. Unit Mix'!$I$107</definedName>
    <definedName name="UM_Rent_58">'11. Unit Mix'!$I$108</definedName>
    <definedName name="UM_Rent_59">'11. Unit Mix'!$I$109</definedName>
    <definedName name="UM_Rent_6">'11. Unit Mix'!$N$21</definedName>
    <definedName name="UM_Rent_60">'11. Unit Mix'!$I$110</definedName>
    <definedName name="UM_Rent_61">'11. Unit Mix'!$I$111</definedName>
    <definedName name="UM_Rent_62">'11. Unit Mix'!$I$112</definedName>
    <definedName name="UM_Rent_63">'11. Unit Mix'!$I$113</definedName>
    <definedName name="UM_Rent_7">'11. Unit Mix'!$N$22</definedName>
    <definedName name="UM_Rent_8">'11. Unit Mix'!$N$23</definedName>
    <definedName name="UM_Rent_9">'11. Unit Mix'!$N$24</definedName>
    <definedName name="Underground_Parking">'10. Project and Unit Amenities'!$D$24</definedName>
    <definedName name="Underground_Rent_Per_Year">'10. Project and Unit Amenities'!$L$22</definedName>
    <definedName name="Unit_Mix">'11. Unit Mix'!$B$4</definedName>
    <definedName name="Unit_Mix_Analysis">'2. Project Summary'!$B$41</definedName>
    <definedName name="UnitTypes" localSheetId="27">'Dropdown Lists'!$T$2:$T$5</definedName>
    <definedName name="UnitTypes" localSheetId="28">'Dropdown Lists'!$T$2:$T$5</definedName>
    <definedName name="UnitTypes" localSheetId="29">'Dropdown Lists'!$T$2:$T$5</definedName>
    <definedName name="UnitTypes" localSheetId="30">'Dropdown Lists'!$T$2:$T$5</definedName>
    <definedName name="UnitTypes">'Dropdown Lists'!$T$2:$T$5</definedName>
    <definedName name="Universal_Design">'23. Building Design Score'!$B$82</definedName>
    <definedName name="Universal_Design_Points">'20. Instructions Scoring Sum'!$G$35</definedName>
    <definedName name="US_Congress_District">'Dropdown Lists'!$AF$2:$AF$9</definedName>
    <definedName name="UtilityApplianceType" localSheetId="27">'Dropdown Lists'!$R$2:$R$12</definedName>
    <definedName name="UtilityApplianceType" localSheetId="28">'Dropdown Lists'!$R$2:$R$12</definedName>
    <definedName name="UtilityApplianceType" localSheetId="29">'Dropdown Lists'!$R$2:$R$12</definedName>
    <definedName name="UtilityApplianceType" localSheetId="30">'Dropdown Lists'!$R$2:$R$12</definedName>
    <definedName name="UtilityApplianceType">'Dropdown Lists'!$R$2:$R$12</definedName>
    <definedName name="UtilityApplicanceType">'Dropdown Lists'!$R$2:$R$12</definedName>
    <definedName name="UtilityTypes" localSheetId="27">'Dropdown Lists'!$Q$2:$Q$5</definedName>
    <definedName name="UtilityTypes" localSheetId="28">'Dropdown Lists'!$Q$2:$Q$5</definedName>
    <definedName name="UtilityTypes" localSheetId="29">'Dropdown Lists'!$Q$2:$Q$5</definedName>
    <definedName name="UtilityTypes" localSheetId="30">'Dropdown Lists'!$Q$2:$Q$5</definedName>
    <definedName name="UtilityTypes">'Dropdown Lists'!$Q$2:$Q$5</definedName>
    <definedName name="Values_Entered" localSheetId="6">IF(Loan_Amount*Interest_Rate*Loan_Years*Loan_Start&gt;0,1,0)</definedName>
    <definedName name="Values_Entered" localSheetId="39">IF(Loan_Amount*Interest_Rate*Loan_Years*Loan_Start&gt;0,1,0)</definedName>
    <definedName name="Values_Entered">IF(Loan_Amount*Interest_Rate*Loan_Years*Loan_Start&gt;0,1,0)</definedName>
    <definedName name="VASH_Vouchers_Number_of_Units">'4. Project Description'!$F$23</definedName>
    <definedName name="Vehicle___Maintenace_Equipment_Operation___Repairs">'16. Projected Operating Costs'!$D$47</definedName>
    <definedName name="Veterans_Housing">'22. Tenants Served Score'!$B$113</definedName>
    <definedName name="Veterans_Housing_Points">'20. Instructions Scoring Sum'!$G$32</definedName>
    <definedName name="Vetersn_Housing_Points">'20. Instructions Scoring Sum'!$G$32</definedName>
    <definedName name="Vinyl">'10. Project and Unit Amenities'!$G$67</definedName>
    <definedName name="Voucher_CMI">'Dropdown Lists'!$J$2:$J$3</definedName>
    <definedName name="W_D_Hookups">'10. Project and Unit Amenities'!$G$61</definedName>
    <definedName name="Walk_in_Closets">'10. Project and Unit Amenities'!$G$62</definedName>
    <definedName name="Walking_Trails">'10. Project and Unit Amenities'!$J$35</definedName>
    <definedName name="Washer_Dryer">'10. Project and Unit Amenities'!$D$61</definedName>
    <definedName name="Water">'16. Projected Operating Costs'!$D$32</definedName>
    <definedName name="What_Score">'23. Building Design Score'!$A$5</definedName>
    <definedName name="WHEDA_Loan_Signature_Page">'WHEDA Loan Signatures'!$B$4</definedName>
    <definedName name="WHEDA_Project_Number" localSheetId="27">ProLink!$F$4</definedName>
    <definedName name="WHEDA_Project_Number" localSheetId="28">ProLink!$F$4</definedName>
    <definedName name="WHEDA_Project_Number" localSheetId="29">ProLink!$F$4</definedName>
    <definedName name="WHEDA_Project_Number" localSheetId="30">ProLink!$F$4</definedName>
    <definedName name="WHEDA_Project_Number">ProLink!$F$4</definedName>
    <definedName name="WHEDATermSheet1">'12. Funding Sources'!$H$11</definedName>
    <definedName name="WHEDATermSheet2">'12. Funding Sources'!$H$12</definedName>
    <definedName name="WHEDATermSheet3">'12. Funding Sources'!$H$13</definedName>
    <definedName name="WHEDATermSheet4">'12. Funding Sources'!$H$14</definedName>
    <definedName name="WHEDATermSheet5">'12. Funding Sources'!$H$15</definedName>
    <definedName name="Where_Score">'21. Location Score'!$B$3</definedName>
    <definedName name="Who_Score">'22. Tenants Served Score'!$A$3</definedName>
    <definedName name="Will_this_project_be_receiving_project_based_federal_rental_assistance?">'4. Project Description'!$D$13</definedName>
    <definedName name="Will_this_project_be_utilizing_federal_assistance?">'4. Project Description'!$D$12</definedName>
    <definedName name="Window_A_C">'10. Project and Unit Amenities'!$J$72</definedName>
    <definedName name="Wisconsin_Assembly_District">'Dropdown Lists'!$AD$2:$AD$100</definedName>
    <definedName name="Wood">'10. Project and Unit Amenities'!$J$67</definedName>
    <definedName name="Workforce_Housing_Communities">'21. Location Score'!$B$123</definedName>
    <definedName name="Workforce_Housing_Points">'20. Instructions Scoring Sum'!$G$26</definedName>
    <definedName name="Workmen_s_Compensation">'16. Projected Operating Costs'!$D$56</definedName>
    <definedName name="wrwerwerewrwer" localSheetId="6">IF('2. Project Summary'!jojoishkjngfsfd,Header_Row+'2. Project Summary'!tetertertert,Header_Row)</definedName>
    <definedName name="wrwerwerewrwer" localSheetId="39">IF('ACR Form'!jojoishkjngfsfd,Header_Row+'ACR Form'!tetertertert,Header_Row)</definedName>
    <definedName name="wrwerwerewrwer">IF(jojoishkjngfsfd,Header_Row+tetertertert,Header_Row)</definedName>
    <definedName name="Year_Built">'6. Site Description'!$E$37</definedName>
    <definedName name="YesNo" localSheetId="27">'Dropdown Lists'!$A$2:$A$3</definedName>
    <definedName name="YesNo" localSheetId="28">'Dropdown Lists'!$A$2:$A$3</definedName>
    <definedName name="YesNo" localSheetId="29">'Dropdown Lists'!$A$2:$A$3</definedName>
    <definedName name="YesNo" localSheetId="30">'Dropdown Lists'!$A$2:$A$3</definedName>
    <definedName name="YesNo">'Dropdown Lists'!$A$2:$A$3</definedName>
    <definedName name="ymymymymyu" localSheetId="6">DATE(YEAR(Loan_Start),MONTH(Loan_Start)+Payment_Number,DAY(Loan_Start))</definedName>
    <definedName name="ymymymymyu" localSheetId="39">DATE(YEAR(Loan_Start),MONTH(Loan_Start)+Payment_Number,DAY(Loan_Start))</definedName>
    <definedName name="ymymymymyu">DATE(YEAR(Loan_Start),MONTH(Loan_Start)+Payment_Number,DAY(Loan_Start))</definedName>
    <definedName name="yui7yuasewrsarf" localSheetId="6">IF(Loan_Amount*Interest_Rate*Loan_Years*Loan_Start&gt;0,1,0)</definedName>
    <definedName name="yui7yuasewrsarf" localSheetId="39">IF(Loan_Amount*Interest_Rate*Loan_Years*Loan_Start&gt;0,1,0)</definedName>
    <definedName name="yui7yuasewrsarf">IF(Loan_Amount*Interest_Rate*Loan_Years*Loan_Start&gt;0,1,0)</definedName>
    <definedName name="yyuyugyuygugyygu" localSheetId="6">IF('2. Project Summary'!yui7yuasewrsarf,Header_Row+'2. Project Summary'!udrextdshnftjmfr6,Header_Row)</definedName>
    <definedName name="yyuyugyuygugyygu" localSheetId="39">IF('ACR Form'!yui7yuasewrsarf,Header_Row+'ACR Form'!udrextdshnftjmfr6,Header_Row)</definedName>
    <definedName name="yyuyugyuygugyygu">IF(yui7yuasewrsarf,Header_Row+udrextdshnftjmfr6,Header_Row)</definedName>
    <definedName name="ZeroOneTwo">'Dropdown Lists'!$B$2:$B$4</definedName>
    <definedName name="Zoning">'8. Zoning'!$B$4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3" i="46" l="1"/>
  <c r="E54" i="46"/>
  <c r="E24" i="46"/>
  <c r="E40" i="46"/>
  <c r="H38" i="103"/>
  <c r="P36" i="103"/>
  <c r="P34" i="103"/>
  <c r="H34" i="103"/>
  <c r="P33" i="103"/>
  <c r="H33" i="103"/>
  <c r="E43" i="20"/>
  <c r="E45" i="108" l="1"/>
  <c r="B2" i="57" l="1"/>
  <c r="R132" i="57"/>
  <c r="F494" i="102" l="1"/>
  <c r="F488" i="102"/>
  <c r="F406" i="102"/>
  <c r="F400" i="102"/>
  <c r="F398" i="102"/>
  <c r="F396" i="102"/>
  <c r="F394" i="102"/>
  <c r="F392" i="102"/>
  <c r="F371" i="102"/>
  <c r="F433" i="102"/>
  <c r="G22" i="65" l="1"/>
  <c r="E194" i="52"/>
  <c r="G15" i="65"/>
  <c r="T45" i="109" l="1"/>
  <c r="C40" i="88"/>
  <c r="C32" i="88"/>
  <c r="C29" i="88"/>
  <c r="C30" i="88" s="1"/>
  <c r="J50" i="68" l="1"/>
  <c r="O15" i="45"/>
  <c r="G31" i="105"/>
  <c r="W12" i="46" a="1"/>
  <c r="W12" i="46" s="1"/>
  <c r="V12" i="46"/>
  <c r="V25" i="46"/>
  <c r="S28" i="45"/>
  <c r="S27" i="45"/>
  <c r="S29" i="45"/>
  <c r="Q95" i="108"/>
  <c r="F95" i="108"/>
  <c r="M60" i="109"/>
  <c r="U61" i="109"/>
  <c r="U60" i="109"/>
  <c r="S64" i="109"/>
  <c r="T61" i="109"/>
  <c r="T60" i="109"/>
  <c r="S61" i="109"/>
  <c r="S60" i="109"/>
  <c r="S57" i="109"/>
  <c r="S55" i="109"/>
  <c r="S53" i="109"/>
  <c r="S51" i="109"/>
  <c r="S50" i="109"/>
  <c r="S49" i="109"/>
  <c r="S48" i="109"/>
  <c r="S47" i="109"/>
  <c r="S46" i="109"/>
  <c r="S45" i="109"/>
  <c r="N17" i="46" l="1"/>
  <c r="N16" i="46"/>
  <c r="K49" i="47"/>
  <c r="V60" i="109" l="1"/>
  <c r="AN122" i="49" l="1"/>
  <c r="AN127" i="49"/>
  <c r="AN132" i="49"/>
  <c r="AP132" i="49"/>
  <c r="BF133" i="49"/>
  <c r="BF132" i="49"/>
  <c r="BF131" i="49"/>
  <c r="BF130" i="49"/>
  <c r="BF129" i="49"/>
  <c r="AQ132" i="49"/>
  <c r="AO131" i="49"/>
  <c r="BB123" i="49"/>
  <c r="BB122" i="49"/>
  <c r="BB121" i="49"/>
  <c r="AX130" i="49"/>
  <c r="AX131" i="49"/>
  <c r="AX132" i="49"/>
  <c r="AT133" i="49"/>
  <c r="AT132" i="49"/>
  <c r="AT131" i="49"/>
  <c r="AT130" i="49"/>
  <c r="AT129" i="49"/>
  <c r="AT128" i="49"/>
  <c r="AT127" i="49"/>
  <c r="AT126" i="49"/>
  <c r="AT125" i="49"/>
  <c r="AS133" i="49"/>
  <c r="AS132" i="49"/>
  <c r="AS131" i="49"/>
  <c r="AO121" i="49"/>
  <c r="F138" i="105" l="1"/>
  <c r="G46" i="108" l="1"/>
  <c r="T27" i="108"/>
  <c r="T26" i="108"/>
  <c r="T25" i="108"/>
  <c r="L88" i="108"/>
  <c r="L87" i="108"/>
  <c r="L86" i="108"/>
  <c r="L85" i="108"/>
  <c r="P43" i="103" l="1"/>
  <c r="P37" i="103"/>
  <c r="P38" i="103" s="1"/>
  <c r="P26" i="103"/>
  <c r="D135" i="49" l="1"/>
  <c r="AT124" i="49"/>
  <c r="AQ127" i="49" l="1"/>
  <c r="BX120" i="49"/>
  <c r="AO126" i="49"/>
  <c r="BY121" i="49" l="1"/>
  <c r="BY120" i="49"/>
  <c r="D125" i="49"/>
  <c r="F125" i="49"/>
  <c r="G125" i="49"/>
  <c r="H125" i="49"/>
  <c r="I125" i="49"/>
  <c r="J125" i="49"/>
  <c r="K125" i="49"/>
  <c r="L125" i="49"/>
  <c r="M125" i="49"/>
  <c r="N125" i="49"/>
  <c r="O125" i="49"/>
  <c r="P125" i="49"/>
  <c r="Q125" i="49"/>
  <c r="R125" i="49"/>
  <c r="S125" i="49"/>
  <c r="T125" i="49"/>
  <c r="U125" i="49"/>
  <c r="V125" i="49"/>
  <c r="W125" i="49"/>
  <c r="X125" i="49"/>
  <c r="Y125" i="49"/>
  <c r="Z125" i="49"/>
  <c r="AA125" i="49"/>
  <c r="AB125" i="49"/>
  <c r="AC125" i="49"/>
  <c r="AD125" i="49"/>
  <c r="AE125" i="49"/>
  <c r="AF125" i="49"/>
  <c r="AG125" i="49"/>
  <c r="AH125" i="49"/>
  <c r="AI125" i="49"/>
  <c r="AJ125" i="49"/>
  <c r="AK125" i="49"/>
  <c r="AL125" i="49"/>
  <c r="E125" i="49"/>
  <c r="AI126" i="49"/>
  <c r="D130" i="49" l="1"/>
  <c r="E130" i="49"/>
  <c r="F130" i="49"/>
  <c r="G130" i="49"/>
  <c r="H130" i="49"/>
  <c r="I130" i="49"/>
  <c r="J130" i="49"/>
  <c r="K130" i="49"/>
  <c r="L130" i="49"/>
  <c r="M130" i="49"/>
  <c r="N130" i="49"/>
  <c r="O130" i="49"/>
  <c r="P130" i="49"/>
  <c r="Q130" i="49"/>
  <c r="R130" i="49"/>
  <c r="S130" i="49"/>
  <c r="T130" i="49"/>
  <c r="U130" i="49"/>
  <c r="V130" i="49"/>
  <c r="W130" i="49"/>
  <c r="X130" i="49"/>
  <c r="Y130" i="49"/>
  <c r="Z130" i="49"/>
  <c r="AA130" i="49"/>
  <c r="AB130" i="49"/>
  <c r="AC130" i="49"/>
  <c r="AD130" i="49"/>
  <c r="AE130" i="49"/>
  <c r="AF130" i="49"/>
  <c r="AG130" i="49"/>
  <c r="AH130" i="49"/>
  <c r="AI130" i="49"/>
  <c r="AJ130" i="49"/>
  <c r="AK130" i="49"/>
  <c r="AL130" i="49"/>
  <c r="AS130" i="49"/>
  <c r="E135" i="49"/>
  <c r="F135" i="49"/>
  <c r="G135" i="49"/>
  <c r="H135" i="49"/>
  <c r="I135" i="49"/>
  <c r="J135" i="49"/>
  <c r="K135" i="49"/>
  <c r="L135" i="49"/>
  <c r="M135" i="49"/>
  <c r="N135" i="49"/>
  <c r="O135" i="49"/>
  <c r="P135" i="49"/>
  <c r="Q135" i="49"/>
  <c r="R135" i="49"/>
  <c r="S135" i="49"/>
  <c r="T135" i="49"/>
  <c r="U135" i="49"/>
  <c r="V135" i="49"/>
  <c r="W135" i="49"/>
  <c r="X135" i="49"/>
  <c r="Y135" i="49"/>
  <c r="Z135" i="49"/>
  <c r="AA135" i="49"/>
  <c r="AB135" i="49"/>
  <c r="AC135" i="49"/>
  <c r="AD135" i="49"/>
  <c r="AE135" i="49"/>
  <c r="AF135" i="49"/>
  <c r="AG135" i="49"/>
  <c r="AH135" i="49"/>
  <c r="AI135" i="49"/>
  <c r="AJ135" i="49"/>
  <c r="AK135" i="49"/>
  <c r="AL135" i="49"/>
  <c r="D137" i="49"/>
  <c r="AN137" i="49"/>
  <c r="AO137" i="49" s="1"/>
  <c r="E138" i="49"/>
  <c r="F138" i="49"/>
  <c r="G138" i="49"/>
  <c r="H138" i="49"/>
  <c r="I138" i="49"/>
  <c r="J138" i="49"/>
  <c r="K138" i="49"/>
  <c r="L138" i="49"/>
  <c r="M138" i="49"/>
  <c r="N138" i="49"/>
  <c r="O138" i="49"/>
  <c r="P138" i="49"/>
  <c r="Q138" i="49"/>
  <c r="R138" i="49"/>
  <c r="S138" i="49"/>
  <c r="T138" i="49"/>
  <c r="U138" i="49"/>
  <c r="V138" i="49"/>
  <c r="W138" i="49"/>
  <c r="X138" i="49"/>
  <c r="Y138" i="49"/>
  <c r="Z138" i="49"/>
  <c r="AA138" i="49"/>
  <c r="AB138" i="49"/>
  <c r="AC138" i="49"/>
  <c r="AD138" i="49"/>
  <c r="AE138" i="49"/>
  <c r="AF138" i="49"/>
  <c r="AG138" i="49"/>
  <c r="AH138" i="49"/>
  <c r="AI138" i="49"/>
  <c r="AJ138" i="49"/>
  <c r="AK138" i="49"/>
  <c r="AL138" i="49"/>
  <c r="D140" i="49"/>
  <c r="E140" i="49"/>
  <c r="F140" i="49"/>
  <c r="G140" i="49"/>
  <c r="H140" i="49"/>
  <c r="I140" i="49"/>
  <c r="J140" i="49"/>
  <c r="K140" i="49"/>
  <c r="L140" i="49"/>
  <c r="M140" i="49"/>
  <c r="N140" i="49"/>
  <c r="O140" i="49"/>
  <c r="P140" i="49"/>
  <c r="Q140" i="49"/>
  <c r="R140" i="49"/>
  <c r="S140" i="49"/>
  <c r="T140" i="49"/>
  <c r="U140" i="49"/>
  <c r="V140" i="49"/>
  <c r="W140" i="49"/>
  <c r="X140" i="49"/>
  <c r="Y140" i="49"/>
  <c r="Z140" i="49"/>
  <c r="AA140" i="49"/>
  <c r="AB140" i="49"/>
  <c r="AC140" i="49"/>
  <c r="AD140" i="49"/>
  <c r="AE140" i="49"/>
  <c r="AF140" i="49"/>
  <c r="AG140" i="49"/>
  <c r="AH140" i="49"/>
  <c r="AI140" i="49"/>
  <c r="AJ140" i="49"/>
  <c r="AK140" i="49"/>
  <c r="AL140" i="49"/>
  <c r="D142" i="49"/>
  <c r="AN142" i="49"/>
  <c r="AO142" i="49" s="1"/>
  <c r="E143" i="49"/>
  <c r="F143" i="49"/>
  <c r="G143" i="49"/>
  <c r="H143" i="49"/>
  <c r="I143" i="49"/>
  <c r="J143" i="49"/>
  <c r="K143" i="49"/>
  <c r="L143" i="49"/>
  <c r="M143" i="49"/>
  <c r="N143" i="49"/>
  <c r="O143" i="49"/>
  <c r="P143" i="49"/>
  <c r="Q143" i="49"/>
  <c r="R143" i="49"/>
  <c r="S143" i="49"/>
  <c r="T143" i="49"/>
  <c r="U143" i="49"/>
  <c r="V143" i="49"/>
  <c r="W143" i="49"/>
  <c r="X143" i="49"/>
  <c r="Y143" i="49"/>
  <c r="Z143" i="49"/>
  <c r="AA143" i="49"/>
  <c r="AB143" i="49"/>
  <c r="AC143" i="49"/>
  <c r="AD143" i="49"/>
  <c r="AE143" i="49"/>
  <c r="AF143" i="49"/>
  <c r="AG143" i="49"/>
  <c r="AH143" i="49"/>
  <c r="AI143" i="49"/>
  <c r="AJ143" i="49"/>
  <c r="AK143" i="49"/>
  <c r="AL143" i="49"/>
  <c r="AN151" i="49"/>
  <c r="AO151" i="49" s="1"/>
  <c r="E154" i="49"/>
  <c r="F154" i="49" s="1"/>
  <c r="G154" i="49" s="1"/>
  <c r="H154" i="49" s="1"/>
  <c r="I154" i="49" s="1"/>
  <c r="J154" i="49" s="1"/>
  <c r="K154" i="49" s="1"/>
  <c r="L154" i="49" s="1"/>
  <c r="M154" i="49" s="1"/>
  <c r="N154" i="49" s="1"/>
  <c r="O154" i="49" s="1"/>
  <c r="P154" i="49" s="1"/>
  <c r="Q154" i="49" s="1"/>
  <c r="R154" i="49" s="1"/>
  <c r="S154" i="49" s="1"/>
  <c r="T154" i="49" s="1"/>
  <c r="U154" i="49" s="1"/>
  <c r="V154" i="49" s="1"/>
  <c r="W154" i="49" s="1"/>
  <c r="X154" i="49" s="1"/>
  <c r="Y154" i="49" s="1"/>
  <c r="Z154" i="49" s="1"/>
  <c r="AA154" i="49" s="1"/>
  <c r="AB154" i="49" s="1"/>
  <c r="AC154" i="49" s="1"/>
  <c r="AD154" i="49" s="1"/>
  <c r="AE154" i="49" s="1"/>
  <c r="AF154" i="49" s="1"/>
  <c r="AG154" i="49" s="1"/>
  <c r="AH154" i="49" s="1"/>
  <c r="AI154" i="49" s="1"/>
  <c r="AJ154" i="49" s="1"/>
  <c r="AK154" i="49" s="1"/>
  <c r="AL154" i="49" s="1"/>
  <c r="E161" i="49"/>
  <c r="F161" i="49" s="1"/>
  <c r="G161" i="49" s="1"/>
  <c r="H161" i="49" s="1"/>
  <c r="I161" i="49" s="1"/>
  <c r="J161" i="49" s="1"/>
  <c r="K161" i="49" s="1"/>
  <c r="L161" i="49" s="1"/>
  <c r="M161" i="49" s="1"/>
  <c r="N161" i="49" s="1"/>
  <c r="O161" i="49" s="1"/>
  <c r="P161" i="49" s="1"/>
  <c r="Q161" i="49" s="1"/>
  <c r="R161" i="49" s="1"/>
  <c r="S161" i="49" s="1"/>
  <c r="T161" i="49" s="1"/>
  <c r="U161" i="49" s="1"/>
  <c r="V161" i="49" s="1"/>
  <c r="W161" i="49" s="1"/>
  <c r="X161" i="49" s="1"/>
  <c r="Y161" i="49" s="1"/>
  <c r="Z161" i="49" s="1"/>
  <c r="AA161" i="49" s="1"/>
  <c r="AB161" i="49" s="1"/>
  <c r="AC161" i="49" s="1"/>
  <c r="AD161" i="49" s="1"/>
  <c r="AE161" i="49" s="1"/>
  <c r="AF161" i="49" s="1"/>
  <c r="AG161" i="49" s="1"/>
  <c r="AH161" i="49" s="1"/>
  <c r="AI161" i="49" s="1"/>
  <c r="AJ161" i="49" s="1"/>
  <c r="AK161" i="49" s="1"/>
  <c r="AL161" i="49" s="1"/>
  <c r="AS129" i="49"/>
  <c r="AX129" i="49"/>
  <c r="AQ122" i="49"/>
  <c r="BR120" i="49"/>
  <c r="BL120" i="49"/>
  <c r="BS120" i="49" l="1"/>
  <c r="BS121" i="49"/>
  <c r="C49" i="68" l="1"/>
  <c r="S14" i="68"/>
  <c r="G16" i="47" l="1"/>
  <c r="W13" i="46" a="1"/>
  <c r="W13" i="46" s="1"/>
  <c r="W14" i="46" a="1"/>
  <c r="W14" i="46" s="1"/>
  <c r="W15" i="46" a="1"/>
  <c r="W15" i="46" s="1"/>
  <c r="W16" i="46" a="1"/>
  <c r="W16" i="46" s="1"/>
  <c r="W17" i="46" a="1"/>
  <c r="W17" i="46" s="1"/>
  <c r="W18" i="46" a="1"/>
  <c r="W18" i="46" s="1"/>
  <c r="W19" i="46" a="1"/>
  <c r="W19" i="46" s="1"/>
  <c r="W20" i="46" a="1"/>
  <c r="W20" i="46" s="1"/>
  <c r="W21" i="46" a="1"/>
  <c r="W21" i="46" s="1"/>
  <c r="W22" i="46" a="1"/>
  <c r="W22" i="46" s="1"/>
  <c r="W23" i="46" a="1"/>
  <c r="W23" i="46" s="1"/>
  <c r="V13" i="46"/>
  <c r="V14" i="46"/>
  <c r="V15" i="46"/>
  <c r="V16" i="46"/>
  <c r="V17" i="46"/>
  <c r="V18" i="46"/>
  <c r="V19" i="46"/>
  <c r="V20" i="46"/>
  <c r="V21" i="46"/>
  <c r="V22" i="46"/>
  <c r="V23" i="46"/>
  <c r="AT123" i="49"/>
  <c r="D120" i="49"/>
  <c r="AH120" i="49"/>
  <c r="AT121" i="49"/>
  <c r="AT122" i="49"/>
  <c r="BM120" i="49"/>
  <c r="BB126" i="49"/>
  <c r="BF128" i="49"/>
  <c r="BF127" i="49"/>
  <c r="BF126" i="49"/>
  <c r="BF125" i="49"/>
  <c r="BF124" i="49"/>
  <c r="BF123" i="49"/>
  <c r="AP127" i="49" s="1"/>
  <c r="BF122" i="49"/>
  <c r="AP122" i="49" s="1"/>
  <c r="BF121" i="49"/>
  <c r="C42" i="90"/>
  <c r="M19" i="45"/>
  <c r="P48" i="103"/>
  <c r="S12" i="68"/>
  <c r="S13" i="68" s="1"/>
  <c r="B12" i="68" s="1"/>
  <c r="C17" i="68" s="1"/>
  <c r="BM121" i="49" l="1"/>
  <c r="C129" i="68"/>
  <c r="C52" i="68" l="1"/>
  <c r="F170" i="102"/>
  <c r="I179" i="42"/>
  <c r="L22" i="13"/>
  <c r="L21" i="13"/>
  <c r="L20" i="13"/>
  <c r="I178" i="42" l="1"/>
  <c r="E89" i="49" l="1"/>
  <c r="F89" i="49" s="1"/>
  <c r="G89" i="49" s="1"/>
  <c r="H89" i="49" s="1"/>
  <c r="I89" i="49" s="1"/>
  <c r="J89" i="49" s="1"/>
  <c r="K89" i="49" s="1"/>
  <c r="L89" i="49" s="1"/>
  <c r="M89" i="49" s="1"/>
  <c r="N89" i="49" s="1"/>
  <c r="O89" i="49" s="1"/>
  <c r="P89" i="49" s="1"/>
  <c r="Q89" i="49" s="1"/>
  <c r="R89" i="49" s="1"/>
  <c r="S89" i="49" s="1"/>
  <c r="T89" i="49" s="1"/>
  <c r="U89" i="49" s="1"/>
  <c r="V89" i="49" s="1"/>
  <c r="W89" i="49" s="1"/>
  <c r="X89" i="49" s="1"/>
  <c r="Y89" i="49" s="1"/>
  <c r="Z89" i="49" s="1"/>
  <c r="AA89" i="49" s="1"/>
  <c r="AB89" i="49" s="1"/>
  <c r="AC89" i="49" s="1"/>
  <c r="AD89" i="49" s="1"/>
  <c r="AE89" i="49" s="1"/>
  <c r="AF89" i="49" s="1"/>
  <c r="AG89" i="49" s="1"/>
  <c r="AH89" i="49" s="1"/>
  <c r="AI89" i="49" s="1"/>
  <c r="AJ89" i="49" s="1"/>
  <c r="AK89" i="49" s="1"/>
  <c r="AL89" i="49" s="1"/>
  <c r="S54" i="57" l="1" a="1"/>
  <c r="S54" i="57" s="1"/>
  <c r="S30" i="57" a="1"/>
  <c r="S30" i="57" s="1"/>
  <c r="E9" i="59"/>
  <c r="E9" i="57"/>
  <c r="G14" i="65" l="1"/>
  <c r="Z46" i="65" l="1"/>
  <c r="W46" i="65"/>
  <c r="S196" i="68"/>
  <c r="G6" i="1"/>
  <c r="F13" i="47" l="1"/>
  <c r="F12" i="47"/>
  <c r="E234" i="105" l="1"/>
  <c r="E235" i="105"/>
  <c r="E236" i="105"/>
  <c r="E237" i="105"/>
  <c r="E238" i="105"/>
  <c r="F45" i="47"/>
  <c r="C319" i="42"/>
  <c r="C318" i="42"/>
  <c r="C317" i="42"/>
  <c r="C316" i="42"/>
  <c r="C314" i="42"/>
  <c r="C313" i="42"/>
  <c r="C312" i="42"/>
  <c r="C311" i="42"/>
  <c r="C310" i="42"/>
  <c r="C309" i="42"/>
  <c r="C308" i="42"/>
  <c r="C289" i="42"/>
  <c r="C288" i="42"/>
  <c r="C287" i="42"/>
  <c r="C286" i="42"/>
  <c r="C285" i="42"/>
  <c r="C280" i="42"/>
  <c r="C315" i="42"/>
  <c r="C295" i="42"/>
  <c r="C296" i="42"/>
  <c r="C297" i="42"/>
  <c r="C298" i="42"/>
  <c r="C299" i="42"/>
  <c r="C300" i="42"/>
  <c r="C301" i="42"/>
  <c r="C302" i="42"/>
  <c r="C303" i="42"/>
  <c r="C304" i="42"/>
  <c r="C305" i="42"/>
  <c r="C281" i="42"/>
  <c r="C282" i="42"/>
  <c r="C283" i="42"/>
  <c r="C284" i="42"/>
  <c r="C290" i="42"/>
  <c r="C291" i="42"/>
  <c r="C292" i="42"/>
  <c r="F37" i="3" l="1"/>
  <c r="F36" i="3"/>
  <c r="D36" i="3" s="1"/>
  <c r="R16" i="45"/>
  <c r="L16" i="45"/>
  <c r="D37" i="3" l="1"/>
  <c r="T11" i="108"/>
  <c r="T10" i="108"/>
  <c r="T7" i="108"/>
  <c r="T8" i="108"/>
  <c r="T9" i="108"/>
  <c r="C47" i="7"/>
  <c r="C15" i="3"/>
  <c r="C14" i="3"/>
  <c r="C44" i="9"/>
  <c r="D10" i="1"/>
  <c r="L150" i="108"/>
  <c r="J32" i="106" l="1"/>
  <c r="J33" i="106"/>
  <c r="J28" i="106" l="1"/>
  <c r="N11" i="46" l="1"/>
  <c r="AJ120" i="49" l="1"/>
  <c r="Z5" i="42"/>
  <c r="Z4" i="42"/>
  <c r="Z3" i="42"/>
  <c r="T16" i="108" l="1"/>
  <c r="B2" i="111" l="1"/>
  <c r="F404" i="102" l="1"/>
  <c r="F368" i="102"/>
  <c r="F377" i="102"/>
  <c r="F332" i="102" l="1"/>
  <c r="F16" i="65"/>
  <c r="F321" i="102"/>
  <c r="F320" i="102"/>
  <c r="G40" i="20"/>
  <c r="G35" i="20"/>
  <c r="C612" i="42" s="1"/>
  <c r="F370" i="102"/>
  <c r="F364" i="102"/>
  <c r="F357" i="102"/>
  <c r="F350" i="102"/>
  <c r="F344" i="102"/>
  <c r="F487" i="102"/>
  <c r="F473" i="102" l="1"/>
  <c r="F472" i="102"/>
  <c r="B5" i="93" l="1"/>
  <c r="D5" i="93" s="1"/>
  <c r="I5" i="93" s="1" a="1"/>
  <c r="F454" i="102"/>
  <c r="I5" i="93" l="1"/>
  <c r="F436" i="102"/>
  <c r="F435" i="102"/>
  <c r="F493" i="102" l="1"/>
  <c r="F430" i="102"/>
  <c r="F429" i="102"/>
  <c r="P179" i="42"/>
  <c r="P178" i="42"/>
  <c r="S158" i="68"/>
  <c r="P177" i="42"/>
  <c r="P176" i="42"/>
  <c r="W112" i="65" l="1"/>
  <c r="G97" i="47"/>
  <c r="M57" i="47"/>
  <c r="K57" i="47"/>
  <c r="H57" i="47"/>
  <c r="G57" i="47"/>
  <c r="J51" i="68"/>
  <c r="T23" i="108"/>
  <c r="J34" i="106"/>
  <c r="J31" i="106"/>
  <c r="I1" i="90"/>
  <c r="B2" i="90"/>
  <c r="J1" i="90"/>
  <c r="L1" i="91"/>
  <c r="B2" i="91"/>
  <c r="P1" i="91"/>
  <c r="B2" i="89"/>
  <c r="K1" i="89"/>
  <c r="G1" i="89"/>
  <c r="B2" i="88"/>
  <c r="J1" i="88"/>
  <c r="G1" i="88"/>
  <c r="B2" i="65"/>
  <c r="R207" i="57" l="1"/>
  <c r="H249" i="57"/>
  <c r="H250" i="57"/>
  <c r="H248" i="57"/>
  <c r="S34" i="57"/>
  <c r="S40" i="57"/>
  <c r="S36" i="57"/>
  <c r="S35" i="57"/>
  <c r="S62" i="57"/>
  <c r="S37" i="57" l="1"/>
  <c r="O16" i="65" l="1"/>
  <c r="AC90" i="65"/>
  <c r="AD90" i="65" s="1"/>
  <c r="AC87" i="65"/>
  <c r="AC88" i="65"/>
  <c r="AC80" i="65"/>
  <c r="AC79" i="65"/>
  <c r="AB86" i="65"/>
  <c r="Z90" i="65"/>
  <c r="AA90" i="65" s="1"/>
  <c r="Z88" i="65"/>
  <c r="Z87" i="65"/>
  <c r="Z80" i="65"/>
  <c r="Z79" i="65"/>
  <c r="Z93" i="65"/>
  <c r="Y93" i="65"/>
  <c r="Y86" i="65"/>
  <c r="X90" i="65"/>
  <c r="Y90" i="65" s="1"/>
  <c r="X80" i="65"/>
  <c r="X79" i="65"/>
  <c r="W86" i="65"/>
  <c r="X88" i="65"/>
  <c r="X87" i="65"/>
  <c r="AC14" i="65" l="1"/>
  <c r="AD19" i="65"/>
  <c r="AD20" i="65"/>
  <c r="AC20" i="65"/>
  <c r="E32" i="65" s="1"/>
  <c r="AC19" i="65"/>
  <c r="E31" i="65" s="1"/>
  <c r="AD14" i="65"/>
  <c r="AD17" i="65"/>
  <c r="AD18" i="65"/>
  <c r="AC15" i="65"/>
  <c r="AD16" i="65"/>
  <c r="AD15" i="65"/>
  <c r="AC16" i="65"/>
  <c r="E28" i="65" s="1"/>
  <c r="AC17" i="65"/>
  <c r="E29" i="65" s="1"/>
  <c r="AC18" i="65"/>
  <c r="X86" i="65"/>
  <c r="W78" i="65"/>
  <c r="X78" i="65" s="1"/>
  <c r="AB78" i="65"/>
  <c r="AC78" i="65" s="1"/>
  <c r="Y78" i="65"/>
  <c r="Z78" i="65" s="1"/>
  <c r="O90" i="65" s="1"/>
  <c r="AC86" i="65"/>
  <c r="Z86" i="65"/>
  <c r="B2" i="59"/>
  <c r="B2" i="68"/>
  <c r="E30" i="65" l="1"/>
  <c r="E27" i="65"/>
  <c r="E26" i="65"/>
  <c r="J55" i="68"/>
  <c r="J54" i="68"/>
  <c r="J53" i="68"/>
  <c r="J52" i="68"/>
  <c r="J49" i="68"/>
  <c r="F53" i="47"/>
  <c r="F52" i="47"/>
  <c r="L28" i="68"/>
  <c r="L29" i="68"/>
  <c r="L20" i="68"/>
  <c r="L18" i="68"/>
  <c r="F51" i="47"/>
  <c r="E49" i="52" s="1"/>
  <c r="L17" i="68"/>
  <c r="B2" i="20"/>
  <c r="B2" i="52"/>
  <c r="W64" i="109"/>
  <c r="B2" i="109"/>
  <c r="B2" i="49"/>
  <c r="B2" i="48"/>
  <c r="B2" i="103"/>
  <c r="B2" i="47"/>
  <c r="B2" i="105"/>
  <c r="B2" i="46"/>
  <c r="B2" i="45"/>
  <c r="B2" i="13"/>
  <c r="S92" i="68"/>
  <c r="S90" i="68" a="1"/>
  <c r="S90" i="68" s="1"/>
  <c r="E39" i="20"/>
  <c r="E33" i="20"/>
  <c r="E28" i="20"/>
  <c r="B2" i="11"/>
  <c r="B2" i="10"/>
  <c r="B2" i="9"/>
  <c r="B2" i="7"/>
  <c r="B2" i="6"/>
  <c r="B2" i="3"/>
  <c r="B2" i="108"/>
  <c r="B2" i="1"/>
  <c r="J13" i="106"/>
  <c r="B2" i="106"/>
  <c r="C55" i="68"/>
  <c r="F469" i="102" s="1"/>
  <c r="C54" i="68"/>
  <c r="C53" i="68"/>
  <c r="F467" i="102" s="1"/>
  <c r="F466" i="102"/>
  <c r="T15" i="108"/>
  <c r="T17" i="108"/>
  <c r="T18" i="108"/>
  <c r="T19" i="108"/>
  <c r="T20" i="108"/>
  <c r="T24" i="108"/>
  <c r="T28" i="108"/>
  <c r="T29" i="108"/>
  <c r="T30" i="108"/>
  <c r="T31" i="108"/>
  <c r="F468" i="102" l="1"/>
  <c r="K3" i="55" l="1"/>
  <c r="I5" i="54"/>
  <c r="O21" i="65" l="1"/>
  <c r="O20" i="65"/>
  <c r="O19" i="65"/>
  <c r="O18" i="65"/>
  <c r="O17" i="65"/>
  <c r="O15" i="65"/>
  <c r="Q15" i="65" s="1"/>
  <c r="B147" i="49"/>
  <c r="B151" i="49"/>
  <c r="R160" i="57"/>
  <c r="R188" i="57" s="1"/>
  <c r="D151" i="49" l="1"/>
  <c r="D152" i="49" s="1"/>
  <c r="D147" i="49"/>
  <c r="D148" i="49" s="1"/>
  <c r="G42" i="20"/>
  <c r="G38" i="20"/>
  <c r="AX122" i="49"/>
  <c r="N12" i="46"/>
  <c r="N13" i="46"/>
  <c r="N14" i="46"/>
  <c r="N15" i="46"/>
  <c r="N18" i="46"/>
  <c r="N19" i="46"/>
  <c r="AU129" i="49" s="1"/>
  <c r="N20" i="46"/>
  <c r="AU130" i="49" s="1"/>
  <c r="N21" i="46"/>
  <c r="AU131" i="49" s="1"/>
  <c r="N22" i="46"/>
  <c r="AU132" i="49" s="1"/>
  <c r="N23" i="46"/>
  <c r="AU133" i="49" s="1"/>
  <c r="I25" i="49" l="1"/>
  <c r="BB125" i="49"/>
  <c r="BB124" i="49"/>
  <c r="AX121" i="49"/>
  <c r="AU128" i="49"/>
  <c r="AU126" i="49"/>
  <c r="AU125" i="49"/>
  <c r="AS128" i="49"/>
  <c r="AS127" i="49"/>
  <c r="AS126" i="49"/>
  <c r="AS125" i="49"/>
  <c r="AS124" i="49"/>
  <c r="AS123" i="49"/>
  <c r="AS122" i="49"/>
  <c r="AS121" i="49"/>
  <c r="X112" i="65"/>
  <c r="E122" i="65" s="1"/>
  <c r="F42" i="20" s="1"/>
  <c r="AL120" i="49"/>
  <c r="AK120" i="49"/>
  <c r="AI120" i="49"/>
  <c r="AG120" i="49"/>
  <c r="AF120" i="49"/>
  <c r="AE120" i="49"/>
  <c r="AD120" i="49"/>
  <c r="AC120" i="49"/>
  <c r="AB120" i="49"/>
  <c r="AA120" i="49"/>
  <c r="Z120" i="49"/>
  <c r="Y120" i="49"/>
  <c r="X120" i="49"/>
  <c r="W120" i="49"/>
  <c r="V120" i="49"/>
  <c r="U120" i="49"/>
  <c r="T120" i="49"/>
  <c r="S120" i="49"/>
  <c r="R120" i="49"/>
  <c r="Q120" i="49"/>
  <c r="P120" i="49"/>
  <c r="O120" i="49"/>
  <c r="N120" i="49"/>
  <c r="M120" i="49"/>
  <c r="L120" i="49"/>
  <c r="K120" i="49"/>
  <c r="J120" i="49"/>
  <c r="I120" i="49"/>
  <c r="H120" i="49"/>
  <c r="G120" i="49"/>
  <c r="F120" i="49"/>
  <c r="E120" i="49"/>
  <c r="D65" i="49"/>
  <c r="F39" i="65"/>
  <c r="F46" i="65" s="1"/>
  <c r="Q21" i="65"/>
  <c r="Q20" i="65"/>
  <c r="Q19" i="65"/>
  <c r="Q18" i="65"/>
  <c r="Q17" i="65"/>
  <c r="Q16" i="65"/>
  <c r="Q22" i="65" s="1"/>
  <c r="G18" i="65" s="1"/>
  <c r="R205" i="57"/>
  <c r="R97" i="57"/>
  <c r="S97" i="57" s="1"/>
  <c r="R101" i="57"/>
  <c r="S101" i="57" s="1"/>
  <c r="R102" i="57"/>
  <c r="S102" i="57" s="1"/>
  <c r="R103" i="57"/>
  <c r="S103" i="57" s="1"/>
  <c r="R109" i="57"/>
  <c r="S109" i="57" s="1"/>
  <c r="R110" i="57"/>
  <c r="S110" i="57" s="1"/>
  <c r="R111" i="57"/>
  <c r="S111" i="57" s="1"/>
  <c r="R112" i="57"/>
  <c r="S112" i="57" s="1"/>
  <c r="R113" i="57"/>
  <c r="S113" i="57" s="1"/>
  <c r="R114" i="57"/>
  <c r="S114" i="57" s="1"/>
  <c r="R115" i="57"/>
  <c r="S115" i="57" s="1"/>
  <c r="R116" i="57"/>
  <c r="S116" i="57" s="1"/>
  <c r="R117" i="57"/>
  <c r="S117" i="57" s="1"/>
  <c r="R118" i="57"/>
  <c r="S118" i="57" s="1"/>
  <c r="R119" i="57"/>
  <c r="S119" i="57" s="1"/>
  <c r="R125" i="57"/>
  <c r="S125" i="57" s="1"/>
  <c r="R126" i="57"/>
  <c r="S126" i="57" s="1"/>
  <c r="R127" i="57"/>
  <c r="S127" i="57" s="1"/>
  <c r="R128" i="57"/>
  <c r="S128" i="57" s="1"/>
  <c r="R129" i="57"/>
  <c r="S129" i="57" s="1"/>
  <c r="R130" i="57"/>
  <c r="S130" i="57" s="1"/>
  <c r="R131" i="57"/>
  <c r="S131" i="57" s="1"/>
  <c r="S132" i="57"/>
  <c r="S12" i="57"/>
  <c r="S64" i="57" s="1"/>
  <c r="D66" i="57" s="1"/>
  <c r="M115" i="111"/>
  <c r="M114" i="111"/>
  <c r="M113" i="111"/>
  <c r="M112" i="111"/>
  <c r="M111" i="111"/>
  <c r="M110" i="111"/>
  <c r="M109" i="111"/>
  <c r="M108" i="111"/>
  <c r="M107" i="111"/>
  <c r="M106" i="111"/>
  <c r="M105" i="111"/>
  <c r="M104" i="111"/>
  <c r="M103" i="111"/>
  <c r="M102" i="111"/>
  <c r="M101" i="111"/>
  <c r="M100" i="111"/>
  <c r="M99" i="111"/>
  <c r="M98" i="111"/>
  <c r="M97" i="111"/>
  <c r="M96" i="111"/>
  <c r="M95" i="111"/>
  <c r="M94" i="111"/>
  <c r="M93" i="111"/>
  <c r="M92" i="111"/>
  <c r="M91" i="111"/>
  <c r="M90" i="111"/>
  <c r="M89" i="111"/>
  <c r="M88" i="111"/>
  <c r="M87" i="111"/>
  <c r="M86" i="111"/>
  <c r="M85" i="111"/>
  <c r="M84" i="111"/>
  <c r="M83" i="111"/>
  <c r="M82" i="111"/>
  <c r="M81" i="111"/>
  <c r="M80" i="111"/>
  <c r="M79" i="111"/>
  <c r="M78" i="111"/>
  <c r="M77" i="111"/>
  <c r="M76" i="111"/>
  <c r="M75" i="111"/>
  <c r="M74" i="111"/>
  <c r="M73" i="111"/>
  <c r="M72" i="111"/>
  <c r="M71" i="111"/>
  <c r="M70" i="111"/>
  <c r="M69" i="111"/>
  <c r="M68" i="111"/>
  <c r="M67" i="111"/>
  <c r="M66" i="111"/>
  <c r="M65" i="111"/>
  <c r="M64" i="111"/>
  <c r="M63" i="111"/>
  <c r="M62" i="111"/>
  <c r="M61" i="111"/>
  <c r="M60" i="111"/>
  <c r="M59" i="111"/>
  <c r="M58" i="111"/>
  <c r="M57" i="111"/>
  <c r="M56" i="111"/>
  <c r="M55" i="111"/>
  <c r="M54" i="111"/>
  <c r="M53" i="111"/>
  <c r="M52" i="111"/>
  <c r="M51" i="111"/>
  <c r="M50" i="111"/>
  <c r="M49" i="111"/>
  <c r="M48" i="111"/>
  <c r="M47" i="111"/>
  <c r="M46" i="111"/>
  <c r="M45" i="111"/>
  <c r="M44" i="111"/>
  <c r="M43" i="111"/>
  <c r="M42" i="111"/>
  <c r="M41" i="111"/>
  <c r="M40" i="111"/>
  <c r="M39" i="111"/>
  <c r="M38" i="111"/>
  <c r="M37" i="111"/>
  <c r="M36" i="111"/>
  <c r="M35" i="111"/>
  <c r="M34" i="111"/>
  <c r="M33" i="111"/>
  <c r="M32" i="111"/>
  <c r="M31" i="111"/>
  <c r="M30" i="111"/>
  <c r="M29" i="111"/>
  <c r="M28" i="111"/>
  <c r="M27" i="111"/>
  <c r="M26" i="111"/>
  <c r="M25" i="111"/>
  <c r="M24" i="111"/>
  <c r="M23" i="111"/>
  <c r="M22" i="111"/>
  <c r="M21" i="111"/>
  <c r="M20" i="111"/>
  <c r="M18" i="111"/>
  <c r="M16" i="111"/>
  <c r="R135" i="57" l="1"/>
  <c r="S133" i="57"/>
  <c r="R225" i="57"/>
  <c r="D227" i="57" s="1"/>
  <c r="F492" i="102" s="1"/>
  <c r="AY122" i="49"/>
  <c r="E24" i="65"/>
  <c r="D188" i="57"/>
  <c r="F434" i="102" s="1"/>
  <c r="R142" i="57" l="1"/>
  <c r="S142" i="57" s="1"/>
  <c r="R140" i="57"/>
  <c r="S140" i="57" s="1"/>
  <c r="R139" i="57"/>
  <c r="S139" i="57" s="1"/>
  <c r="R138" i="57"/>
  <c r="S138" i="57" s="1"/>
  <c r="R136" i="57"/>
  <c r="S136" i="57" s="1"/>
  <c r="R137" i="57"/>
  <c r="S137" i="57" s="1"/>
  <c r="S90" i="65"/>
  <c r="Q90" i="65"/>
  <c r="O91" i="65" s="1"/>
  <c r="AX123" i="49"/>
  <c r="D133" i="57"/>
  <c r="F453" i="102" l="1"/>
  <c r="G9" i="65"/>
  <c r="G41" i="20"/>
  <c r="G39" i="20" s="1"/>
  <c r="AY123" i="49"/>
  <c r="AX124" i="49" s="1"/>
  <c r="S143" i="57"/>
  <c r="R143" i="57" l="1"/>
  <c r="R144" i="57" s="1"/>
  <c r="D143" i="57" s="1"/>
  <c r="AY124" i="49"/>
  <c r="AS7" i="111"/>
  <c r="AS6" i="111"/>
  <c r="K15" i="111" a="1"/>
  <c r="K15" i="111" s="1"/>
  <c r="J15" i="111" a="1"/>
  <c r="J15" i="111" s="1"/>
  <c r="F1" i="111"/>
  <c r="C93" i="59"/>
  <c r="F459" i="102" l="1"/>
  <c r="C133" i="68"/>
  <c r="D141" i="68" s="1"/>
  <c r="AX125" i="49"/>
  <c r="C28" i="68"/>
  <c r="M17" i="111"/>
  <c r="M19" i="111"/>
  <c r="AY125" i="49" l="1"/>
  <c r="AX126" i="49" s="1"/>
  <c r="AY126" i="49" s="1"/>
  <c r="AC39" i="111"/>
  <c r="E1" i="111"/>
  <c r="D6" i="111"/>
  <c r="C7" i="111" s="1"/>
  <c r="G6" i="111"/>
  <c r="AF6" i="111"/>
  <c r="AH6" i="111" s="1"/>
  <c r="AF7" i="111"/>
  <c r="AH7" i="111" s="1"/>
  <c r="D8" i="111"/>
  <c r="AJ9" i="111" s="1"/>
  <c r="AK9" i="111" s="1"/>
  <c r="G8" i="111"/>
  <c r="AF8" i="111"/>
  <c r="AH8" i="111" s="1"/>
  <c r="AF9" i="111"/>
  <c r="AH9" i="111" s="1"/>
  <c r="AF10" i="111"/>
  <c r="AH10" i="111" s="1"/>
  <c r="AF11" i="111"/>
  <c r="AH11" i="111" s="1"/>
  <c r="AF12" i="111"/>
  <c r="AH12" i="111" s="1"/>
  <c r="AF13" i="111"/>
  <c r="AH13" i="111" s="1"/>
  <c r="L14" i="111"/>
  <c r="AF14" i="111"/>
  <c r="AH14" i="111"/>
  <c r="AF15" i="111"/>
  <c r="AH15" i="111" s="1"/>
  <c r="O16" i="111"/>
  <c r="AF16" i="111"/>
  <c r="AH16" i="111" s="1"/>
  <c r="Q17" i="111"/>
  <c r="AF17" i="111"/>
  <c r="AH17" i="111" s="1"/>
  <c r="O18" i="111"/>
  <c r="Q18" i="111" s="1"/>
  <c r="AF18" i="111"/>
  <c r="AH18" i="111" s="1"/>
  <c r="O19" i="111"/>
  <c r="Q19" i="111" s="1"/>
  <c r="AF19" i="111"/>
  <c r="AH19" i="111" s="1"/>
  <c r="O20" i="111"/>
  <c r="Q20" i="111" s="1"/>
  <c r="AF20" i="111"/>
  <c r="AH20" i="111" s="1"/>
  <c r="O21" i="111"/>
  <c r="Q21" i="111" s="1"/>
  <c r="AF21" i="111"/>
  <c r="AH21" i="111" s="1"/>
  <c r="O22" i="111"/>
  <c r="Q22" i="111" s="1"/>
  <c r="AF22" i="111"/>
  <c r="AH22" i="111" s="1"/>
  <c r="O23" i="111"/>
  <c r="Q23" i="111" s="1"/>
  <c r="AF23" i="111"/>
  <c r="AH23" i="111" s="1"/>
  <c r="O24" i="111"/>
  <c r="Q24" i="111" s="1"/>
  <c r="AF24" i="111"/>
  <c r="AH24" i="111" s="1"/>
  <c r="O25" i="111"/>
  <c r="Q25" i="111" s="1"/>
  <c r="AF25" i="111"/>
  <c r="AH25" i="111" s="1"/>
  <c r="O26" i="111"/>
  <c r="Q26" i="111" s="1"/>
  <c r="AF26" i="111"/>
  <c r="AH26" i="111" s="1"/>
  <c r="O27" i="111"/>
  <c r="Q27" i="111" s="1"/>
  <c r="AF27" i="111"/>
  <c r="AH27" i="111"/>
  <c r="O28" i="111"/>
  <c r="Q28" i="111" s="1"/>
  <c r="AF28" i="111"/>
  <c r="AH28" i="111" s="1"/>
  <c r="O29" i="111"/>
  <c r="Q29" i="111" s="1"/>
  <c r="AF29" i="111"/>
  <c r="AH29" i="111"/>
  <c r="O30" i="111"/>
  <c r="Q30" i="111" s="1"/>
  <c r="AF30" i="111"/>
  <c r="AH30" i="111" s="1"/>
  <c r="O31" i="111"/>
  <c r="Q31" i="111" s="1"/>
  <c r="AF31" i="111"/>
  <c r="AH31" i="111" s="1"/>
  <c r="O32" i="111"/>
  <c r="Q32" i="111" s="1"/>
  <c r="AF32" i="111"/>
  <c r="AH32" i="111"/>
  <c r="O33" i="111"/>
  <c r="Q33" i="111" s="1"/>
  <c r="AF33" i="111"/>
  <c r="AH33" i="111" s="1"/>
  <c r="O34" i="111"/>
  <c r="Q34" i="111" s="1"/>
  <c r="AF34" i="111"/>
  <c r="AH34" i="111" s="1"/>
  <c r="O35" i="111"/>
  <c r="Q35" i="111" s="1"/>
  <c r="AF35" i="111"/>
  <c r="AH35" i="111" s="1"/>
  <c r="O36" i="111"/>
  <c r="Q36" i="111" s="1"/>
  <c r="AF36" i="111"/>
  <c r="AH36" i="111" s="1"/>
  <c r="O37" i="111"/>
  <c r="Q37" i="111" s="1"/>
  <c r="AF37" i="111"/>
  <c r="AH37" i="111" s="1"/>
  <c r="O38" i="111"/>
  <c r="Q38" i="111" s="1"/>
  <c r="AF38" i="111"/>
  <c r="AH38" i="111" s="1"/>
  <c r="O39" i="111"/>
  <c r="Q39" i="111" s="1"/>
  <c r="AF39" i="111"/>
  <c r="AH39" i="111" s="1"/>
  <c r="O40" i="111"/>
  <c r="Q40" i="111" s="1"/>
  <c r="AF40" i="111"/>
  <c r="AH40" i="111" s="1"/>
  <c r="O41" i="111"/>
  <c r="Q41" i="111" s="1"/>
  <c r="AF41" i="111"/>
  <c r="AH41" i="111" s="1"/>
  <c r="O42" i="111"/>
  <c r="Q42" i="111" s="1"/>
  <c r="AF42" i="111"/>
  <c r="AH42" i="111" s="1"/>
  <c r="O43" i="111"/>
  <c r="Q43" i="111" s="1"/>
  <c r="AF43" i="111"/>
  <c r="AH43" i="111" s="1"/>
  <c r="O44" i="111"/>
  <c r="Q44" i="111" s="1"/>
  <c r="AF44" i="111"/>
  <c r="AH44" i="111"/>
  <c r="O45" i="111"/>
  <c r="Q45" i="111" s="1"/>
  <c r="AF45" i="111"/>
  <c r="AH45" i="111"/>
  <c r="O46" i="111"/>
  <c r="Q46" i="111" s="1"/>
  <c r="AF46" i="111"/>
  <c r="AH46" i="111" s="1"/>
  <c r="O47" i="111"/>
  <c r="Q47" i="111" s="1"/>
  <c r="AF47" i="111"/>
  <c r="AH47" i="111" s="1"/>
  <c r="O48" i="111"/>
  <c r="Q48" i="111" s="1"/>
  <c r="AF48" i="111"/>
  <c r="AH48" i="111"/>
  <c r="O49" i="111"/>
  <c r="Q49" i="111" s="1"/>
  <c r="AF49" i="111"/>
  <c r="AH49" i="111" s="1"/>
  <c r="O50" i="111"/>
  <c r="Q50" i="111" s="1"/>
  <c r="AF50" i="111"/>
  <c r="AH50" i="111" s="1"/>
  <c r="O51" i="111"/>
  <c r="Q51" i="111" s="1"/>
  <c r="AF51" i="111"/>
  <c r="AH51" i="111" s="1"/>
  <c r="O52" i="111"/>
  <c r="Q52" i="111" s="1"/>
  <c r="AF52" i="111"/>
  <c r="AH52" i="111"/>
  <c r="O53" i="111"/>
  <c r="Q53" i="111" s="1"/>
  <c r="AF53" i="111"/>
  <c r="AH53" i="111" s="1"/>
  <c r="O54" i="111"/>
  <c r="Q54" i="111" s="1"/>
  <c r="AF54" i="111"/>
  <c r="AH54" i="111" s="1"/>
  <c r="O55" i="111"/>
  <c r="Q55" i="111" s="1"/>
  <c r="AF55" i="111"/>
  <c r="AH55" i="111" s="1"/>
  <c r="O56" i="111"/>
  <c r="Q56" i="111" s="1"/>
  <c r="AF56" i="111"/>
  <c r="AH56" i="111" s="1"/>
  <c r="O57" i="111"/>
  <c r="Q57" i="111" s="1"/>
  <c r="AF57" i="111"/>
  <c r="AH57" i="111" s="1"/>
  <c r="O58" i="111"/>
  <c r="Q58" i="111" s="1"/>
  <c r="AF58" i="111"/>
  <c r="AH58" i="111" s="1"/>
  <c r="O59" i="111"/>
  <c r="Q59" i="111" s="1"/>
  <c r="AF59" i="111"/>
  <c r="AH59" i="111" s="1"/>
  <c r="O60" i="111"/>
  <c r="Q60" i="111" s="1"/>
  <c r="AF60" i="111"/>
  <c r="AH60" i="111" s="1"/>
  <c r="O61" i="111"/>
  <c r="Q61" i="111" s="1"/>
  <c r="AF61" i="111"/>
  <c r="AH61" i="111" s="1"/>
  <c r="O62" i="111"/>
  <c r="Q62" i="111" s="1"/>
  <c r="AF62" i="111"/>
  <c r="AH62" i="111" s="1"/>
  <c r="O63" i="111"/>
  <c r="Q63" i="111" s="1"/>
  <c r="AF63" i="111"/>
  <c r="AH63" i="111" s="1"/>
  <c r="O64" i="111"/>
  <c r="Q64" i="111" s="1"/>
  <c r="AF64" i="111"/>
  <c r="AH64" i="111"/>
  <c r="O65" i="111"/>
  <c r="Q65" i="111" s="1"/>
  <c r="AF65" i="111"/>
  <c r="AH65" i="111" s="1"/>
  <c r="O66" i="111"/>
  <c r="Q66" i="111" s="1"/>
  <c r="AF66" i="111"/>
  <c r="AH66" i="111" s="1"/>
  <c r="O67" i="111"/>
  <c r="Q67" i="111" s="1"/>
  <c r="AF67" i="111"/>
  <c r="AH67" i="111" s="1"/>
  <c r="O68" i="111"/>
  <c r="Q68" i="111" s="1"/>
  <c r="AF68" i="111"/>
  <c r="AH68" i="111"/>
  <c r="O69" i="111"/>
  <c r="Q69" i="111" s="1"/>
  <c r="AF69" i="111"/>
  <c r="AH69" i="111" s="1"/>
  <c r="O70" i="111"/>
  <c r="Q70" i="111" s="1"/>
  <c r="AF70" i="111"/>
  <c r="AH70" i="111" s="1"/>
  <c r="O71" i="111"/>
  <c r="Q71" i="111" s="1"/>
  <c r="AF71" i="111"/>
  <c r="AH71" i="111" s="1"/>
  <c r="O72" i="111"/>
  <c r="Q72" i="111" s="1"/>
  <c r="AF72" i="111"/>
  <c r="AH72" i="111" s="1"/>
  <c r="O73" i="111"/>
  <c r="Q73" i="111" s="1"/>
  <c r="AF73" i="111"/>
  <c r="AH73" i="111" s="1"/>
  <c r="O74" i="111"/>
  <c r="Q74" i="111" s="1"/>
  <c r="AF74" i="111"/>
  <c r="AH74" i="111" s="1"/>
  <c r="O75" i="111"/>
  <c r="Q75" i="111" s="1"/>
  <c r="AF75" i="111"/>
  <c r="AH75" i="111" s="1"/>
  <c r="O76" i="111"/>
  <c r="Q76" i="111" s="1"/>
  <c r="AF76" i="111"/>
  <c r="AH76" i="111" s="1"/>
  <c r="O77" i="111"/>
  <c r="Q77" i="111" s="1"/>
  <c r="AF77" i="111"/>
  <c r="AH77" i="111" s="1"/>
  <c r="O78" i="111"/>
  <c r="Q78" i="111" s="1"/>
  <c r="AF78" i="111"/>
  <c r="AH78" i="111" s="1"/>
  <c r="O79" i="111"/>
  <c r="Q79" i="111" s="1"/>
  <c r="AF79" i="111"/>
  <c r="AH79" i="111" s="1"/>
  <c r="O80" i="111"/>
  <c r="Q80" i="111" s="1"/>
  <c r="AF80" i="111"/>
  <c r="AH80" i="111" s="1"/>
  <c r="O81" i="111"/>
  <c r="Q81" i="111" s="1"/>
  <c r="AF81" i="111"/>
  <c r="AH81" i="111"/>
  <c r="O82" i="111"/>
  <c r="Q82" i="111" s="1"/>
  <c r="AF82" i="111"/>
  <c r="AH82" i="111" s="1"/>
  <c r="O83" i="111"/>
  <c r="Q83" i="111" s="1"/>
  <c r="AF83" i="111"/>
  <c r="AH83" i="111" s="1"/>
  <c r="O84" i="111"/>
  <c r="Q84" i="111" s="1"/>
  <c r="AF84" i="111"/>
  <c r="AH84" i="111" s="1"/>
  <c r="O85" i="111"/>
  <c r="Q85" i="111" s="1"/>
  <c r="AF85" i="111"/>
  <c r="AH85" i="111" s="1"/>
  <c r="O86" i="111"/>
  <c r="Q86" i="111" s="1"/>
  <c r="AF86" i="111"/>
  <c r="AH86" i="111" s="1"/>
  <c r="O87" i="111"/>
  <c r="Q87" i="111" s="1"/>
  <c r="AF87" i="111"/>
  <c r="AH87" i="111" s="1"/>
  <c r="O88" i="111"/>
  <c r="Q88" i="111" s="1"/>
  <c r="AF88" i="111"/>
  <c r="AH88" i="111"/>
  <c r="O89" i="111"/>
  <c r="Q89" i="111" s="1"/>
  <c r="AF89" i="111"/>
  <c r="AH89" i="111" s="1"/>
  <c r="O90" i="111"/>
  <c r="Q90" i="111" s="1"/>
  <c r="AF90" i="111"/>
  <c r="AH90" i="111" s="1"/>
  <c r="O91" i="111"/>
  <c r="Q91" i="111" s="1"/>
  <c r="AF91" i="111"/>
  <c r="AH91" i="111" s="1"/>
  <c r="O92" i="111"/>
  <c r="Q92" i="111" s="1"/>
  <c r="AF92" i="111"/>
  <c r="AH92" i="111" s="1"/>
  <c r="O93" i="111"/>
  <c r="Q93" i="111" s="1"/>
  <c r="AF93" i="111"/>
  <c r="AH93" i="111" s="1"/>
  <c r="O94" i="111"/>
  <c r="Q94" i="111" s="1"/>
  <c r="AF94" i="111"/>
  <c r="AH94" i="111" s="1"/>
  <c r="O95" i="111"/>
  <c r="Q95" i="111" s="1"/>
  <c r="AF95" i="111"/>
  <c r="AH95" i="111"/>
  <c r="O96" i="111"/>
  <c r="Q96" i="111" s="1"/>
  <c r="AF96" i="111"/>
  <c r="AH96" i="111" s="1"/>
  <c r="O97" i="111"/>
  <c r="Q97" i="111" s="1"/>
  <c r="AF97" i="111"/>
  <c r="AH97" i="111" s="1"/>
  <c r="O98" i="111"/>
  <c r="Q98" i="111" s="1"/>
  <c r="AF98" i="111"/>
  <c r="AH98" i="111"/>
  <c r="O99" i="111"/>
  <c r="Q99" i="111" s="1"/>
  <c r="AF99" i="111"/>
  <c r="AH99" i="111" s="1"/>
  <c r="O100" i="111"/>
  <c r="Q100" i="111" s="1"/>
  <c r="AF100" i="111"/>
  <c r="AH100" i="111" s="1"/>
  <c r="O101" i="111"/>
  <c r="Q101" i="111" s="1"/>
  <c r="AF101" i="111"/>
  <c r="AH101" i="111" s="1"/>
  <c r="O102" i="111"/>
  <c r="Q102" i="111" s="1"/>
  <c r="AF102" i="111"/>
  <c r="AH102" i="111" s="1"/>
  <c r="O103" i="111"/>
  <c r="Q103" i="111" s="1"/>
  <c r="AF103" i="111"/>
  <c r="AH103" i="111" s="1"/>
  <c r="O104" i="111"/>
  <c r="Q104" i="111" s="1"/>
  <c r="AF104" i="111"/>
  <c r="AH104" i="111" s="1"/>
  <c r="O105" i="111"/>
  <c r="Q105" i="111" s="1"/>
  <c r="AF105" i="111"/>
  <c r="AH105" i="111"/>
  <c r="O106" i="111"/>
  <c r="Q106" i="111" s="1"/>
  <c r="O107" i="111"/>
  <c r="Q107" i="111" s="1"/>
  <c r="O108" i="111"/>
  <c r="Q108" i="111" s="1"/>
  <c r="O109" i="111"/>
  <c r="Q109" i="111" s="1"/>
  <c r="O110" i="111"/>
  <c r="Q110" i="111" s="1"/>
  <c r="O111" i="111"/>
  <c r="Q111" i="111" s="1"/>
  <c r="O112" i="111"/>
  <c r="Q112" i="111" s="1"/>
  <c r="O113" i="111"/>
  <c r="Q113" i="111" s="1"/>
  <c r="O114" i="111"/>
  <c r="Q114" i="111" s="1"/>
  <c r="O115" i="111"/>
  <c r="Q115" i="111" s="1"/>
  <c r="AX127" i="49" l="1"/>
  <c r="AJ92" i="111"/>
  <c r="AK92" i="111" s="1"/>
  <c r="AJ85" i="111"/>
  <c r="AK85" i="111" s="1"/>
  <c r="AJ72" i="111"/>
  <c r="AK72" i="111" s="1"/>
  <c r="AJ96" i="111"/>
  <c r="AK96" i="111" s="1"/>
  <c r="AJ60" i="111"/>
  <c r="AK60" i="111" s="1"/>
  <c r="AJ69" i="111"/>
  <c r="AK69" i="111" s="1"/>
  <c r="AJ51" i="111"/>
  <c r="AK51" i="111" s="1"/>
  <c r="AJ101" i="111"/>
  <c r="AK101" i="111" s="1"/>
  <c r="AJ49" i="111"/>
  <c r="AK49" i="111" s="1"/>
  <c r="AJ105" i="111"/>
  <c r="AK105" i="111" s="1"/>
  <c r="AJ97" i="111"/>
  <c r="AK97" i="111" s="1"/>
  <c r="AJ80" i="111"/>
  <c r="AK80" i="111" s="1"/>
  <c r="AJ12" i="111"/>
  <c r="AK12" i="111" s="1"/>
  <c r="AJ84" i="111"/>
  <c r="AK84" i="111" s="1"/>
  <c r="AJ75" i="111"/>
  <c r="AK75" i="111" s="1"/>
  <c r="AJ57" i="111"/>
  <c r="AK57" i="111" s="1"/>
  <c r="AJ99" i="111"/>
  <c r="AK99" i="111" s="1"/>
  <c r="AJ104" i="111"/>
  <c r="AK104" i="111" s="1"/>
  <c r="AJ70" i="111"/>
  <c r="AK70" i="111" s="1"/>
  <c r="AJ61" i="111"/>
  <c r="AK61" i="111" s="1"/>
  <c r="AJ95" i="111"/>
  <c r="AK95" i="111" s="1"/>
  <c r="AJ15" i="111"/>
  <c r="AK15" i="111" s="1"/>
  <c r="AJ25" i="111"/>
  <c r="AK25" i="111" s="1"/>
  <c r="AC91" i="111"/>
  <c r="AJ58" i="111"/>
  <c r="AK58" i="111" s="1"/>
  <c r="AJ94" i="111"/>
  <c r="AK94" i="111" s="1"/>
  <c r="AJ82" i="111"/>
  <c r="AK82" i="111" s="1"/>
  <c r="AJ48" i="111"/>
  <c r="AK48" i="111" s="1"/>
  <c r="AJ93" i="111"/>
  <c r="AK93" i="111" s="1"/>
  <c r="AJ89" i="111"/>
  <c r="AK89" i="111" s="1"/>
  <c r="AJ81" i="111"/>
  <c r="AK81" i="111" s="1"/>
  <c r="AJ77" i="111"/>
  <c r="AK77" i="111" s="1"/>
  <c r="AJ73" i="111"/>
  <c r="AK73" i="111" s="1"/>
  <c r="AJ26" i="111"/>
  <c r="AK26" i="111" s="1"/>
  <c r="AJ68" i="111"/>
  <c r="AK68" i="111" s="1"/>
  <c r="AJ87" i="111"/>
  <c r="AK87" i="111" s="1"/>
  <c r="AJ63" i="111"/>
  <c r="AK63" i="111" s="1"/>
  <c r="AJ45" i="111"/>
  <c r="AK45" i="111" s="1"/>
  <c r="AC98" i="111"/>
  <c r="AC40" i="111"/>
  <c r="AC14" i="111"/>
  <c r="AC30" i="111"/>
  <c r="AC33" i="111"/>
  <c r="AC86" i="111"/>
  <c r="AC63" i="111"/>
  <c r="AO63" i="111" s="1"/>
  <c r="C73" i="111" s="1"/>
  <c r="AC42" i="111"/>
  <c r="AC53" i="111"/>
  <c r="AC7" i="111"/>
  <c r="AC56" i="111"/>
  <c r="AC11" i="111"/>
  <c r="AC96" i="111"/>
  <c r="AO96" i="111" s="1"/>
  <c r="C106" i="111" s="1"/>
  <c r="AC34" i="111"/>
  <c r="AC28" i="111"/>
  <c r="AC15" i="111"/>
  <c r="AC37" i="111"/>
  <c r="AC31" i="111"/>
  <c r="AC101" i="111"/>
  <c r="AO101" i="111" s="1"/>
  <c r="C111" i="111" s="1"/>
  <c r="AC43" i="111"/>
  <c r="AP80" i="111" s="1"/>
  <c r="AC55" i="111"/>
  <c r="AC17" i="111"/>
  <c r="AC10" i="111"/>
  <c r="AC84" i="111"/>
  <c r="AO84" i="111" s="1"/>
  <c r="C94" i="111" s="1"/>
  <c r="AC36" i="111"/>
  <c r="AC23" i="111"/>
  <c r="AC20" i="111"/>
  <c r="AC103" i="111"/>
  <c r="AC60" i="111"/>
  <c r="AO60" i="111" s="1"/>
  <c r="C70" i="111" s="1"/>
  <c r="AC48" i="111"/>
  <c r="AP90" i="111" s="1"/>
  <c r="AC45" i="111"/>
  <c r="AP85" i="111" s="1"/>
  <c r="AC89" i="111"/>
  <c r="AO89" i="111" s="1"/>
  <c r="C99" i="111" s="1"/>
  <c r="AC66" i="111"/>
  <c r="AC51" i="111"/>
  <c r="AP97" i="111" s="1"/>
  <c r="AC105" i="111"/>
  <c r="AC94" i="111"/>
  <c r="AO94" i="111" s="1"/>
  <c r="C104" i="111" s="1"/>
  <c r="AC69" i="111"/>
  <c r="AC71" i="111"/>
  <c r="AC65" i="111"/>
  <c r="AC76" i="111"/>
  <c r="AC73" i="111"/>
  <c r="AC75" i="111"/>
  <c r="AC61" i="111"/>
  <c r="AO61" i="111" s="1"/>
  <c r="C71" i="111" s="1"/>
  <c r="AC50" i="111"/>
  <c r="AC87" i="111"/>
  <c r="AC82" i="111"/>
  <c r="AO82" i="111" s="1"/>
  <c r="C92" i="111" s="1"/>
  <c r="AC77" i="111"/>
  <c r="AO77" i="111" s="1"/>
  <c r="C87" i="111" s="1"/>
  <c r="AC47" i="111"/>
  <c r="AC102" i="111"/>
  <c r="AC100" i="111"/>
  <c r="AC58" i="111"/>
  <c r="AC25" i="111"/>
  <c r="AC22" i="111"/>
  <c r="AC19" i="111"/>
  <c r="AC80" i="111"/>
  <c r="AC13" i="111"/>
  <c r="AC70" i="111"/>
  <c r="AO70" i="111" s="1"/>
  <c r="C80" i="111" s="1"/>
  <c r="AC81" i="111"/>
  <c r="AO81" i="111" s="1"/>
  <c r="C91" i="111" s="1"/>
  <c r="AC74" i="111"/>
  <c r="AC104" i="111"/>
  <c r="AO104" i="111" s="1"/>
  <c r="C114" i="111" s="1"/>
  <c r="AC99" i="111"/>
  <c r="AO99" i="111" s="1"/>
  <c r="C109" i="111" s="1"/>
  <c r="AC83" i="111"/>
  <c r="AC59" i="111"/>
  <c r="AC54" i="111"/>
  <c r="AC38" i="111"/>
  <c r="AC35" i="111"/>
  <c r="AC12" i="111"/>
  <c r="AC92" i="111"/>
  <c r="AO92" i="111" s="1"/>
  <c r="C102" i="111" s="1"/>
  <c r="AC78" i="111"/>
  <c r="AC67" i="111"/>
  <c r="AC64" i="111"/>
  <c r="AC32" i="111"/>
  <c r="AC29" i="111"/>
  <c r="AC26" i="111"/>
  <c r="AC93" i="111"/>
  <c r="AO93" i="111" s="1"/>
  <c r="C103" i="111" s="1"/>
  <c r="AC68" i="111"/>
  <c r="AC52" i="111"/>
  <c r="AC27" i="111"/>
  <c r="AC95" i="111"/>
  <c r="AO95" i="111" s="1"/>
  <c r="C105" i="111" s="1"/>
  <c r="AC90" i="111"/>
  <c r="AC88" i="111"/>
  <c r="AC62" i="111"/>
  <c r="AC49" i="111"/>
  <c r="AO49" i="111" s="1"/>
  <c r="C59" i="111" s="1"/>
  <c r="AC44" i="111"/>
  <c r="AC41" i="111"/>
  <c r="AC16" i="111"/>
  <c r="AC97" i="111"/>
  <c r="AC79" i="111"/>
  <c r="AC85" i="111"/>
  <c r="AC72" i="111"/>
  <c r="AO72" i="111" s="1"/>
  <c r="C82" i="111" s="1"/>
  <c r="AC57" i="111"/>
  <c r="AO57" i="111" s="1"/>
  <c r="C67" i="111" s="1"/>
  <c r="AC46" i="111"/>
  <c r="AP86" i="111" s="1"/>
  <c r="AC24" i="111"/>
  <c r="AC21" i="111"/>
  <c r="AC18" i="111"/>
  <c r="AC8" i="111"/>
  <c r="AJ36" i="111"/>
  <c r="AK36" i="111" s="1"/>
  <c r="F10" i="111"/>
  <c r="AJ37" i="111"/>
  <c r="AK37" i="111" s="1"/>
  <c r="Q16" i="111"/>
  <c r="Q14" i="111" s="1"/>
  <c r="O14" i="111"/>
  <c r="AJ6" i="111"/>
  <c r="AK6" i="111" s="1"/>
  <c r="AJ98" i="111"/>
  <c r="AK98" i="111" s="1"/>
  <c r="AJ86" i="111"/>
  <c r="AK86" i="111" s="1"/>
  <c r="AJ74" i="111"/>
  <c r="AK74" i="111" s="1"/>
  <c r="AJ62" i="111"/>
  <c r="AK62" i="111" s="1"/>
  <c r="AJ50" i="111"/>
  <c r="AK50" i="111" s="1"/>
  <c r="AJ38" i="111"/>
  <c r="AK38" i="111" s="1"/>
  <c r="AJ27" i="111"/>
  <c r="AK27" i="111" s="1"/>
  <c r="AJ16" i="111"/>
  <c r="AK16" i="111" s="1"/>
  <c r="AC9" i="111"/>
  <c r="AJ39" i="111"/>
  <c r="AK39" i="111" s="1"/>
  <c r="AJ28" i="111"/>
  <c r="AK28" i="111" s="1"/>
  <c r="AJ10" i="111"/>
  <c r="AK10" i="111" s="1"/>
  <c r="AJ100" i="111"/>
  <c r="AK100" i="111" s="1"/>
  <c r="AJ88" i="111"/>
  <c r="AK88" i="111" s="1"/>
  <c r="AJ76" i="111"/>
  <c r="AK76" i="111" s="1"/>
  <c r="AJ64" i="111"/>
  <c r="AK64" i="111" s="1"/>
  <c r="AJ52" i="111"/>
  <c r="AK52" i="111" s="1"/>
  <c r="AJ40" i="111"/>
  <c r="AK40" i="111" s="1"/>
  <c r="AJ29" i="111"/>
  <c r="AK29" i="111" s="1"/>
  <c r="AJ17" i="111"/>
  <c r="AK17" i="111" s="1"/>
  <c r="AC6" i="111"/>
  <c r="AJ65" i="111"/>
  <c r="AK65" i="111" s="1"/>
  <c r="AJ53" i="111"/>
  <c r="AK53" i="111" s="1"/>
  <c r="AJ41" i="111"/>
  <c r="AK41" i="111" s="1"/>
  <c r="AJ18" i="111"/>
  <c r="AK18" i="111" s="1"/>
  <c r="AJ7" i="111"/>
  <c r="AK7" i="111" s="1"/>
  <c r="AJ78" i="111"/>
  <c r="AK78" i="111" s="1"/>
  <c r="AJ66" i="111"/>
  <c r="AK66" i="111" s="1"/>
  <c r="AJ54" i="111"/>
  <c r="AK54" i="111" s="1"/>
  <c r="AJ42" i="111"/>
  <c r="AK42" i="111" s="1"/>
  <c r="AJ30" i="111"/>
  <c r="AK30" i="111" s="1"/>
  <c r="AJ19" i="111"/>
  <c r="AK19" i="111" s="1"/>
  <c r="AJ13" i="111"/>
  <c r="AK13" i="111" s="1"/>
  <c r="AJ102" i="111"/>
  <c r="AK102" i="111" s="1"/>
  <c r="AJ90" i="111"/>
  <c r="AK90" i="111" s="1"/>
  <c r="AJ103" i="111"/>
  <c r="AK103" i="111" s="1"/>
  <c r="AJ91" i="111"/>
  <c r="AK91" i="111" s="1"/>
  <c r="AJ79" i="111"/>
  <c r="AK79" i="111" s="1"/>
  <c r="AJ67" i="111"/>
  <c r="AK67" i="111" s="1"/>
  <c r="AJ55" i="111"/>
  <c r="AK55" i="111" s="1"/>
  <c r="AJ43" i="111"/>
  <c r="AK43" i="111" s="1"/>
  <c r="AJ31" i="111"/>
  <c r="AK31" i="111" s="1"/>
  <c r="AJ20" i="111"/>
  <c r="AK20" i="111" s="1"/>
  <c r="AJ56" i="111"/>
  <c r="AK56" i="111" s="1"/>
  <c r="AJ44" i="111"/>
  <c r="AK44" i="111" s="1"/>
  <c r="AJ32" i="111"/>
  <c r="AK32" i="111" s="1"/>
  <c r="AJ21" i="111"/>
  <c r="AK21" i="111" s="1"/>
  <c r="AJ14" i="111"/>
  <c r="AK14" i="111" s="1"/>
  <c r="AJ11" i="111"/>
  <c r="AK11" i="111" s="1"/>
  <c r="AJ8" i="111"/>
  <c r="AK8" i="111" s="1"/>
  <c r="AJ33" i="111"/>
  <c r="AK33" i="111" s="1"/>
  <c r="AJ22" i="111"/>
  <c r="AK22" i="111" s="1"/>
  <c r="AJ46" i="111"/>
  <c r="AK46" i="111" s="1"/>
  <c r="AJ34" i="111"/>
  <c r="AK34" i="111" s="1"/>
  <c r="AJ23" i="111"/>
  <c r="AK23" i="111" s="1"/>
  <c r="AJ83" i="111"/>
  <c r="AK83" i="111" s="1"/>
  <c r="AJ71" i="111"/>
  <c r="AK71" i="111" s="1"/>
  <c r="AJ59" i="111"/>
  <c r="AK59" i="111" s="1"/>
  <c r="AJ47" i="111"/>
  <c r="AK47" i="111" s="1"/>
  <c r="AJ35" i="111"/>
  <c r="AK35" i="111" s="1"/>
  <c r="AJ24" i="111"/>
  <c r="AK24" i="111" s="1"/>
  <c r="AY127" i="49" l="1"/>
  <c r="AX128" i="49" s="1"/>
  <c r="AY128" i="49" s="1"/>
  <c r="AY129" i="49" s="1"/>
  <c r="AP19" i="111"/>
  <c r="AO105" i="111"/>
  <c r="C115" i="111" s="1"/>
  <c r="AO87" i="111"/>
  <c r="C97" i="111" s="1"/>
  <c r="AO75" i="111"/>
  <c r="C85" i="111" s="1"/>
  <c r="AO85" i="111"/>
  <c r="C95" i="111" s="1"/>
  <c r="AO73" i="111"/>
  <c r="C83" i="111" s="1"/>
  <c r="AO68" i="111"/>
  <c r="C78" i="111" s="1"/>
  <c r="AO54" i="111"/>
  <c r="C64" i="111" s="1"/>
  <c r="AP45" i="111"/>
  <c r="AP25" i="111"/>
  <c r="AO80" i="111"/>
  <c r="C90" i="111" s="1"/>
  <c r="AO97" i="111"/>
  <c r="C107" i="111" s="1"/>
  <c r="AO59" i="111"/>
  <c r="C69" i="111" s="1"/>
  <c r="AO58" i="111"/>
  <c r="C68" i="111" s="1"/>
  <c r="AO26" i="111"/>
  <c r="C36" i="111" s="1"/>
  <c r="AO69" i="111"/>
  <c r="C79" i="111" s="1"/>
  <c r="AO36" i="111"/>
  <c r="C46" i="111" s="1"/>
  <c r="AP41" i="111"/>
  <c r="AO71" i="111"/>
  <c r="C81" i="111" s="1"/>
  <c r="AO91" i="111"/>
  <c r="C101" i="111" s="1"/>
  <c r="AP17" i="111"/>
  <c r="AP83" i="111"/>
  <c r="AO37" i="111"/>
  <c r="C47" i="111" s="1"/>
  <c r="AP66" i="111"/>
  <c r="AP67" i="111"/>
  <c r="AO32" i="111"/>
  <c r="C42" i="111" s="1"/>
  <c r="AP33" i="111"/>
  <c r="AO22" i="111"/>
  <c r="C32" i="111" s="1"/>
  <c r="AP88" i="111"/>
  <c r="AP23" i="111"/>
  <c r="AO103" i="111"/>
  <c r="C113" i="111" s="1"/>
  <c r="AO100" i="111"/>
  <c r="C110" i="111" s="1"/>
  <c r="AO55" i="111"/>
  <c r="C65" i="111" s="1"/>
  <c r="AO98" i="111"/>
  <c r="C108" i="111" s="1"/>
  <c r="AP60" i="111"/>
  <c r="AP68" i="111"/>
  <c r="AP94" i="111"/>
  <c r="AO66" i="111"/>
  <c r="C76" i="111" s="1"/>
  <c r="AP91" i="111"/>
  <c r="AO90" i="111"/>
  <c r="C100" i="111" s="1"/>
  <c r="AO48" i="111"/>
  <c r="C58" i="111" s="1"/>
  <c r="AP69" i="111"/>
  <c r="AP40" i="111"/>
  <c r="AP8" i="111"/>
  <c r="AO86" i="111"/>
  <c r="C96" i="111" s="1"/>
  <c r="AP46" i="111"/>
  <c r="AO56" i="111"/>
  <c r="C66" i="111" s="1"/>
  <c r="AP35" i="111"/>
  <c r="AO30" i="111"/>
  <c r="C40" i="111" s="1"/>
  <c r="AP24" i="111"/>
  <c r="AO45" i="111"/>
  <c r="C55" i="111" s="1"/>
  <c r="AP81" i="111"/>
  <c r="AO15" i="111"/>
  <c r="C25" i="111" s="1"/>
  <c r="AP96" i="111"/>
  <c r="AP47" i="111"/>
  <c r="AP100" i="111"/>
  <c r="AO51" i="111"/>
  <c r="C61" i="111" s="1"/>
  <c r="AP84" i="111"/>
  <c r="AP15" i="111"/>
  <c r="AP63" i="111"/>
  <c r="AO31" i="111"/>
  <c r="C41" i="111" s="1"/>
  <c r="AP78" i="111"/>
  <c r="AO40" i="111"/>
  <c r="C50" i="111" s="1"/>
  <c r="AP59" i="111"/>
  <c r="AO102" i="111"/>
  <c r="C112" i="111" s="1"/>
  <c r="AP44" i="111"/>
  <c r="AO18" i="111"/>
  <c r="C28" i="111" s="1"/>
  <c r="AP32" i="111"/>
  <c r="AO76" i="111"/>
  <c r="C86" i="111" s="1"/>
  <c r="AP39" i="111"/>
  <c r="AO25" i="111"/>
  <c r="C35" i="111" s="1"/>
  <c r="AO12" i="111"/>
  <c r="C22" i="111" s="1"/>
  <c r="AO65" i="111"/>
  <c r="C75" i="111" s="1"/>
  <c r="AP87" i="111"/>
  <c r="AP18" i="111"/>
  <c r="AP64" i="111"/>
  <c r="AP70" i="111"/>
  <c r="AO21" i="111"/>
  <c r="C31" i="111" s="1"/>
  <c r="AP20" i="111"/>
  <c r="AP76" i="111"/>
  <c r="AO62" i="111"/>
  <c r="C72" i="111" s="1"/>
  <c r="AO83" i="111"/>
  <c r="C93" i="111" s="1"/>
  <c r="AO19" i="111"/>
  <c r="C29" i="111" s="1"/>
  <c r="AO74" i="111"/>
  <c r="C84" i="111" s="1"/>
  <c r="AO24" i="111"/>
  <c r="C34" i="111" s="1"/>
  <c r="AO78" i="111"/>
  <c r="C88" i="111" s="1"/>
  <c r="AO64" i="111"/>
  <c r="C74" i="111" s="1"/>
  <c r="AO67" i="111"/>
  <c r="C77" i="111" s="1"/>
  <c r="AP102" i="111"/>
  <c r="AP52" i="111"/>
  <c r="AP10" i="111"/>
  <c r="AO79" i="111"/>
  <c r="C89" i="111" s="1"/>
  <c r="AO88" i="111"/>
  <c r="C98" i="111" s="1"/>
  <c r="AP92" i="111"/>
  <c r="AP93" i="111"/>
  <c r="AP14" i="111"/>
  <c r="AP77" i="111"/>
  <c r="AO23" i="111"/>
  <c r="C33" i="111" s="1"/>
  <c r="AO14" i="111"/>
  <c r="C24" i="111" s="1"/>
  <c r="AP22" i="111"/>
  <c r="AO8" i="111"/>
  <c r="C18" i="111" s="1"/>
  <c r="AP105" i="111"/>
  <c r="AP103" i="111"/>
  <c r="AP11" i="111"/>
  <c r="AP34" i="111"/>
  <c r="AP65" i="111"/>
  <c r="AP57" i="111"/>
  <c r="AP29" i="111"/>
  <c r="AP28" i="111"/>
  <c r="AP9" i="111"/>
  <c r="AO20" i="111"/>
  <c r="C30" i="111" s="1"/>
  <c r="AP31" i="111"/>
  <c r="AO46" i="111"/>
  <c r="C56" i="111" s="1"/>
  <c r="AP21" i="111"/>
  <c r="AO50" i="111"/>
  <c r="C60" i="111" s="1"/>
  <c r="AP95" i="111"/>
  <c r="AO17" i="111"/>
  <c r="C27" i="111" s="1"/>
  <c r="AO7" i="111"/>
  <c r="C17" i="111" s="1"/>
  <c r="AP53" i="111"/>
  <c r="AP104" i="111"/>
  <c r="AO33" i="111"/>
  <c r="C43" i="111" s="1"/>
  <c r="AO29" i="111"/>
  <c r="C39" i="111" s="1"/>
  <c r="AO34" i="111"/>
  <c r="C44" i="111" s="1"/>
  <c r="AO41" i="111"/>
  <c r="C51" i="111" s="1"/>
  <c r="AP61" i="111"/>
  <c r="AP56" i="111"/>
  <c r="AP74" i="111"/>
  <c r="AP75" i="111"/>
  <c r="AO43" i="111"/>
  <c r="C53" i="111" s="1"/>
  <c r="AP98" i="111"/>
  <c r="AP99" i="111"/>
  <c r="AO28" i="111"/>
  <c r="C38" i="111" s="1"/>
  <c r="AP51" i="111"/>
  <c r="AP62" i="111"/>
  <c r="AP82" i="111"/>
  <c r="AP50" i="111"/>
  <c r="AP54" i="111"/>
  <c r="AP89" i="111"/>
  <c r="AO13" i="111"/>
  <c r="C23" i="111" s="1"/>
  <c r="AO44" i="111"/>
  <c r="C54" i="111" s="1"/>
  <c r="AP55" i="111"/>
  <c r="AO39" i="111"/>
  <c r="C49" i="111" s="1"/>
  <c r="AP73" i="111"/>
  <c r="AP72" i="111"/>
  <c r="AO11" i="111"/>
  <c r="C21" i="111" s="1"/>
  <c r="AO10" i="111"/>
  <c r="C20" i="111" s="1"/>
  <c r="AO47" i="111"/>
  <c r="C57" i="111" s="1"/>
  <c r="AP12" i="111"/>
  <c r="AO9" i="111"/>
  <c r="C19" i="111" s="1"/>
  <c r="AP13" i="111"/>
  <c r="AP26" i="111"/>
  <c r="AO16" i="111"/>
  <c r="C26" i="111" s="1"/>
  <c r="AP38" i="111"/>
  <c r="AP58" i="111"/>
  <c r="AO35" i="111"/>
  <c r="C45" i="111" s="1"/>
  <c r="AO42" i="111"/>
  <c r="C52" i="111" s="1"/>
  <c r="AP27" i="111"/>
  <c r="AP42" i="111"/>
  <c r="AP37" i="111"/>
  <c r="AP36" i="111"/>
  <c r="AP49" i="111"/>
  <c r="AP48" i="111"/>
  <c r="AO27" i="111"/>
  <c r="C37" i="111" s="1"/>
  <c r="AP101" i="111"/>
  <c r="AO53" i="111"/>
  <c r="C63" i="111" s="1"/>
  <c r="AP30" i="111"/>
  <c r="AP43" i="111"/>
  <c r="AO6" i="111"/>
  <c r="C16" i="111" s="1"/>
  <c r="AP6" i="111"/>
  <c r="AP7" i="111"/>
  <c r="AP79" i="111"/>
  <c r="AP71" i="111"/>
  <c r="AO38" i="111"/>
  <c r="C48" i="111" s="1"/>
  <c r="AP16" i="111"/>
  <c r="AO52" i="111"/>
  <c r="C62" i="111" s="1"/>
  <c r="AY130" i="49" l="1"/>
  <c r="AY131" i="49" s="1"/>
  <c r="AY132" i="49" s="1"/>
  <c r="AX133" i="49" s="1"/>
  <c r="E9" i="68"/>
  <c r="G25" i="20"/>
  <c r="R90" i="68"/>
  <c r="R97" i="68"/>
  <c r="C248" i="57"/>
  <c r="C250" i="57"/>
  <c r="R248" i="57" s="1"/>
  <c r="S248" i="57" s="1"/>
  <c r="BA133" i="49" l="1"/>
  <c r="BA121" i="49"/>
  <c r="BA122" i="49"/>
  <c r="BA128" i="49"/>
  <c r="BA129" i="49"/>
  <c r="BA130" i="49"/>
  <c r="BA124" i="49"/>
  <c r="AY133" i="49"/>
  <c r="BA126" i="49"/>
  <c r="BA125" i="49"/>
  <c r="BA132" i="49"/>
  <c r="BA123" i="49"/>
  <c r="BA127" i="49"/>
  <c r="BA131" i="49"/>
  <c r="R247" i="57"/>
  <c r="S247" i="57" s="1"/>
  <c r="S252" i="57" s="1"/>
  <c r="D253" i="57" s="1"/>
  <c r="D9" i="57" s="1"/>
  <c r="F470" i="102"/>
  <c r="R109" i="68"/>
  <c r="D109" i="68" s="1"/>
  <c r="F25" i="20" s="1"/>
  <c r="F483" i="102"/>
  <c r="BC121" i="49" l="1" a="1"/>
  <c r="BC121" i="49" s="1"/>
  <c r="F38" i="20"/>
  <c r="F39" i="47"/>
  <c r="H19" i="103" l="1"/>
  <c r="K31" i="47" l="1"/>
  <c r="D112" i="47" s="1"/>
  <c r="K39" i="47"/>
  <c r="B319" i="42" l="1"/>
  <c r="B318" i="42"/>
  <c r="B317" i="42"/>
  <c r="B316" i="42"/>
  <c r="B315" i="42"/>
  <c r="B314" i="42"/>
  <c r="B313" i="42"/>
  <c r="B312" i="42"/>
  <c r="B311" i="42"/>
  <c r="B308" i="42"/>
  <c r="B309" i="42"/>
  <c r="B310" i="42"/>
  <c r="B305" i="42"/>
  <c r="B304" i="42"/>
  <c r="B303" i="42"/>
  <c r="B302" i="42"/>
  <c r="B301" i="42"/>
  <c r="B300" i="42"/>
  <c r="B299" i="42"/>
  <c r="B298" i="42"/>
  <c r="B297" i="42"/>
  <c r="B296" i="42"/>
  <c r="B295" i="42"/>
  <c r="B292" i="42"/>
  <c r="B291" i="42"/>
  <c r="B290" i="42"/>
  <c r="B289" i="42"/>
  <c r="B288" i="42"/>
  <c r="B287" i="42"/>
  <c r="B286" i="42"/>
  <c r="B285" i="42"/>
  <c r="B284" i="42"/>
  <c r="B283" i="42"/>
  <c r="B282" i="42"/>
  <c r="B281" i="42"/>
  <c r="B280" i="42"/>
  <c r="G305" i="42" l="1"/>
  <c r="G304" i="42"/>
  <c r="G303" i="42"/>
  <c r="G302" i="42"/>
  <c r="G301" i="42"/>
  <c r="M292" i="42" a="1"/>
  <c r="M292" i="42" s="1"/>
  <c r="M291" i="42" a="1"/>
  <c r="M291" i="42" s="1"/>
  <c r="M290" i="42" a="1"/>
  <c r="M290" i="42" s="1"/>
  <c r="M289" i="42"/>
  <c r="K292" i="42"/>
  <c r="K291" i="42"/>
  <c r="K290" i="42"/>
  <c r="K289" i="42"/>
  <c r="I292" i="42"/>
  <c r="I291" i="42"/>
  <c r="I290" i="42"/>
  <c r="G292" i="42"/>
  <c r="G291" i="42"/>
  <c r="G290" i="42"/>
  <c r="G289" i="42"/>
  <c r="W25" i="46" l="1" a="1"/>
  <c r="W25" i="46" s="1"/>
  <c r="X12" i="46" s="1"/>
  <c r="E77" i="46" s="1"/>
  <c r="I15" i="46"/>
  <c r="F61" i="46" l="1"/>
  <c r="F71" i="46"/>
  <c r="F72" i="46"/>
  <c r="J27" i="106"/>
  <c r="F173" i="49"/>
  <c r="D180" i="49" s="1"/>
  <c r="E180" i="49" s="1"/>
  <c r="F180" i="49" s="1"/>
  <c r="G180" i="49" s="1"/>
  <c r="H180" i="49" s="1"/>
  <c r="I180" i="49" s="1"/>
  <c r="J180" i="49" s="1"/>
  <c r="K180" i="49" s="1"/>
  <c r="L180" i="49" s="1"/>
  <c r="M180" i="49" s="1"/>
  <c r="N180" i="49" s="1"/>
  <c r="O180" i="49" s="1"/>
  <c r="P180" i="49" s="1"/>
  <c r="Q180" i="49" s="1"/>
  <c r="R180" i="49" s="1"/>
  <c r="S180" i="49" s="1"/>
  <c r="E85" i="49"/>
  <c r="E73" i="49"/>
  <c r="F73" i="49" s="1"/>
  <c r="G73" i="49" s="1"/>
  <c r="H73" i="49" s="1"/>
  <c r="I73" i="49" s="1"/>
  <c r="J73" i="49" s="1"/>
  <c r="K73" i="49" s="1"/>
  <c r="L73" i="49" s="1"/>
  <c r="M73" i="49" s="1"/>
  <c r="N73" i="49" s="1"/>
  <c r="O73" i="49" s="1"/>
  <c r="P73" i="49" s="1"/>
  <c r="Q73" i="49" s="1"/>
  <c r="R73" i="49" s="1"/>
  <c r="S73" i="49" s="1"/>
  <c r="T73" i="49" s="1"/>
  <c r="U73" i="49" s="1"/>
  <c r="V73" i="49" s="1"/>
  <c r="W73" i="49" s="1"/>
  <c r="X73" i="49" s="1"/>
  <c r="Y73" i="49" s="1"/>
  <c r="Z73" i="49" s="1"/>
  <c r="AA73" i="49" s="1"/>
  <c r="AB73" i="49" s="1"/>
  <c r="AC73" i="49" s="1"/>
  <c r="AD73" i="49" s="1"/>
  <c r="AE73" i="49" s="1"/>
  <c r="AF73" i="49" s="1"/>
  <c r="AG73" i="49" s="1"/>
  <c r="AH73" i="49" s="1"/>
  <c r="AI73" i="49" s="1"/>
  <c r="AJ73" i="49" s="1"/>
  <c r="AK73" i="49" s="1"/>
  <c r="AL73" i="49" s="1"/>
  <c r="E147" i="49" l="1"/>
  <c r="E148" i="49" s="1"/>
  <c r="E151" i="49"/>
  <c r="E152" i="49" s="1"/>
  <c r="F85" i="49"/>
  <c r="G85" i="49"/>
  <c r="C20" i="68"/>
  <c r="D397" i="42"/>
  <c r="E397" i="42"/>
  <c r="E336" i="42"/>
  <c r="D336" i="42"/>
  <c r="C527" i="42"/>
  <c r="E402" i="42"/>
  <c r="D402" i="42"/>
  <c r="F339" i="42"/>
  <c r="C339" i="42"/>
  <c r="J19" i="106"/>
  <c r="J12" i="106"/>
  <c r="D326" i="42"/>
  <c r="N86" i="45"/>
  <c r="M16" i="45" s="1"/>
  <c r="N16" i="45" s="1"/>
  <c r="O86" i="45"/>
  <c r="P86" i="45"/>
  <c r="Q86" i="45"/>
  <c r="R86" i="45"/>
  <c r="M86" i="45"/>
  <c r="M22" i="45"/>
  <c r="N22" i="45" s="1"/>
  <c r="M23" i="45"/>
  <c r="N23" i="45" s="1"/>
  <c r="M24" i="45"/>
  <c r="N24" i="45" s="1"/>
  <c r="M25" i="45"/>
  <c r="N25" i="45" s="1"/>
  <c r="M26" i="45"/>
  <c r="N26" i="45" s="1"/>
  <c r="M27" i="45"/>
  <c r="N27" i="45" s="1"/>
  <c r="M28" i="45"/>
  <c r="N28" i="45" s="1"/>
  <c r="M29" i="45"/>
  <c r="N29" i="45" s="1"/>
  <c r="M30" i="45"/>
  <c r="N30" i="45" s="1"/>
  <c r="M31" i="45"/>
  <c r="N31" i="45" s="1"/>
  <c r="M32" i="45"/>
  <c r="N32" i="45" s="1"/>
  <c r="M33" i="45"/>
  <c r="N33" i="45" s="1"/>
  <c r="M34" i="45"/>
  <c r="N34" i="45" s="1"/>
  <c r="M35" i="45"/>
  <c r="N35" i="45" s="1"/>
  <c r="M36" i="45"/>
  <c r="N36" i="45" s="1"/>
  <c r="M37" i="45"/>
  <c r="N37" i="45" s="1"/>
  <c r="M38" i="45"/>
  <c r="N38" i="45" s="1"/>
  <c r="M39" i="45"/>
  <c r="N39" i="45" s="1"/>
  <c r="M40" i="45"/>
  <c r="N40" i="45" s="1"/>
  <c r="M41" i="45"/>
  <c r="N41" i="45" s="1"/>
  <c r="M42" i="45"/>
  <c r="N42" i="45" s="1"/>
  <c r="M43" i="45"/>
  <c r="N43" i="45" s="1"/>
  <c r="M44" i="45"/>
  <c r="N44" i="45" s="1"/>
  <c r="M45" i="45"/>
  <c r="N45" i="45" s="1"/>
  <c r="M46" i="45"/>
  <c r="N46" i="45" s="1"/>
  <c r="M47" i="45"/>
  <c r="N47" i="45" s="1"/>
  <c r="M48" i="45"/>
  <c r="N48" i="45" s="1"/>
  <c r="M49" i="45"/>
  <c r="N49" i="45" s="1"/>
  <c r="M50" i="45"/>
  <c r="N50" i="45" s="1"/>
  <c r="M51" i="45"/>
  <c r="N51" i="45" s="1"/>
  <c r="M52" i="45"/>
  <c r="N52" i="45" s="1"/>
  <c r="M53" i="45"/>
  <c r="N53" i="45" s="1"/>
  <c r="M54" i="45"/>
  <c r="N54" i="45" s="1"/>
  <c r="M55" i="45"/>
  <c r="N55" i="45" s="1"/>
  <c r="M56" i="45"/>
  <c r="N56" i="45" s="1"/>
  <c r="M57" i="45"/>
  <c r="N57" i="45" s="1"/>
  <c r="M58" i="45"/>
  <c r="N58" i="45" s="1"/>
  <c r="M59" i="45"/>
  <c r="N59" i="45" s="1"/>
  <c r="M60" i="45"/>
  <c r="N60" i="45" s="1"/>
  <c r="M61" i="45"/>
  <c r="N61" i="45" s="1"/>
  <c r="M62" i="45"/>
  <c r="N62" i="45" s="1"/>
  <c r="M63" i="45"/>
  <c r="N63" i="45" s="1"/>
  <c r="N64" i="45"/>
  <c r="M65" i="45"/>
  <c r="N65" i="45" s="1"/>
  <c r="AA13" i="45"/>
  <c r="G147" i="49" l="1"/>
  <c r="G148" i="49" s="1"/>
  <c r="G151" i="49"/>
  <c r="G152" i="49" s="1"/>
  <c r="F147" i="49"/>
  <c r="F148" i="49" s="1"/>
  <c r="F151" i="49"/>
  <c r="F152" i="49" s="1"/>
  <c r="M18" i="45"/>
  <c r="M17" i="45"/>
  <c r="H85" i="49"/>
  <c r="E327" i="42"/>
  <c r="E478" i="42"/>
  <c r="E476" i="42"/>
  <c r="E475" i="42"/>
  <c r="E474" i="42"/>
  <c r="E469" i="42"/>
  <c r="E465" i="42"/>
  <c r="E462" i="42"/>
  <c r="D478" i="42"/>
  <c r="D476" i="42"/>
  <c r="D475" i="42"/>
  <c r="D474" i="42"/>
  <c r="D469" i="42"/>
  <c r="D465" i="42"/>
  <c r="D462" i="42"/>
  <c r="E445" i="42"/>
  <c r="E444" i="42"/>
  <c r="E443" i="42"/>
  <c r="E442" i="42"/>
  <c r="D445" i="42"/>
  <c r="D444" i="42"/>
  <c r="D443" i="42"/>
  <c r="D442" i="42"/>
  <c r="E422" i="42"/>
  <c r="E421" i="42"/>
  <c r="E420" i="42"/>
  <c r="E419" i="42"/>
  <c r="E418" i="42"/>
  <c r="E415" i="42"/>
  <c r="D422" i="42"/>
  <c r="D421" i="42"/>
  <c r="D420" i="42"/>
  <c r="D419" i="42"/>
  <c r="D418" i="42"/>
  <c r="D415" i="42"/>
  <c r="D414" i="42"/>
  <c r="E414" i="42"/>
  <c r="E400" i="42"/>
  <c r="E395" i="42"/>
  <c r="E394" i="42"/>
  <c r="E393" i="42"/>
  <c r="D400" i="42"/>
  <c r="D395" i="42"/>
  <c r="D394" i="42"/>
  <c r="D393" i="42"/>
  <c r="E366" i="42"/>
  <c r="H147" i="49" l="1"/>
  <c r="H148" i="49" s="1"/>
  <c r="H151" i="49"/>
  <c r="H152" i="49" s="1"/>
  <c r="I85" i="49"/>
  <c r="D473" i="42"/>
  <c r="J85" i="49"/>
  <c r="E473" i="42"/>
  <c r="F160" i="102"/>
  <c r="D390" i="42"/>
  <c r="E390" i="42"/>
  <c r="E386" i="42"/>
  <c r="E387" i="42" s="1"/>
  <c r="E367" i="42"/>
  <c r="E373" i="42"/>
  <c r="E374" i="42"/>
  <c r="E383" i="42"/>
  <c r="E360" i="42"/>
  <c r="E359" i="42"/>
  <c r="D386" i="42"/>
  <c r="D387" i="42" s="1"/>
  <c r="D383" i="42"/>
  <c r="D374" i="42"/>
  <c r="D373" i="42"/>
  <c r="D367" i="42"/>
  <c r="D366" i="42"/>
  <c r="E358" i="42"/>
  <c r="E357" i="42"/>
  <c r="E354" i="42"/>
  <c r="E352" i="42"/>
  <c r="E351" i="42"/>
  <c r="E348" i="42"/>
  <c r="E347" i="42"/>
  <c r="D360" i="42"/>
  <c r="D359" i="42"/>
  <c r="D358" i="42"/>
  <c r="D357" i="42"/>
  <c r="D354" i="42"/>
  <c r="D352" i="42"/>
  <c r="D351" i="42"/>
  <c r="D348" i="42"/>
  <c r="D347" i="42"/>
  <c r="D345" i="42"/>
  <c r="E335" i="42"/>
  <c r="E334" i="42"/>
  <c r="E332" i="42"/>
  <c r="E326" i="42"/>
  <c r="E325" i="42"/>
  <c r="D335" i="42"/>
  <c r="D334" i="42"/>
  <c r="D332" i="42"/>
  <c r="D327" i="42"/>
  <c r="D325" i="42"/>
  <c r="C36" i="7"/>
  <c r="I147" i="49" l="1"/>
  <c r="I148" i="49" s="1"/>
  <c r="I151" i="49"/>
  <c r="I152" i="49" s="1"/>
  <c r="J147" i="49"/>
  <c r="J148" i="49" s="1"/>
  <c r="J151" i="49"/>
  <c r="J152" i="49" s="1"/>
  <c r="K85" i="49"/>
  <c r="E47" i="9"/>
  <c r="D47" i="9"/>
  <c r="C47" i="9"/>
  <c r="K151" i="49" l="1"/>
  <c r="K152" i="49" s="1"/>
  <c r="K147" i="49"/>
  <c r="K148" i="49" s="1"/>
  <c r="L85" i="49"/>
  <c r="L147" i="49" l="1"/>
  <c r="L148" i="49" s="1"/>
  <c r="L151" i="49"/>
  <c r="L152" i="49" s="1"/>
  <c r="M85" i="49"/>
  <c r="J1" i="108"/>
  <c r="B1" i="108"/>
  <c r="I1" i="68"/>
  <c r="L1" i="65"/>
  <c r="J1" i="59"/>
  <c r="K1" i="57"/>
  <c r="E1" i="20"/>
  <c r="E1" i="52"/>
  <c r="K1" i="109"/>
  <c r="E1" i="49"/>
  <c r="E1" i="48"/>
  <c r="I1" i="103"/>
  <c r="E1" i="47"/>
  <c r="G1" i="105"/>
  <c r="F1" i="46"/>
  <c r="F1" i="45"/>
  <c r="E1" i="13"/>
  <c r="D1" i="11"/>
  <c r="D1" i="10"/>
  <c r="D1" i="9"/>
  <c r="E1" i="7"/>
  <c r="E1" i="6"/>
  <c r="D1" i="3"/>
  <c r="E1" i="1"/>
  <c r="J11" i="106"/>
  <c r="M147" i="49" l="1"/>
  <c r="M148" i="49" s="1"/>
  <c r="M151" i="49"/>
  <c r="M152" i="49" s="1"/>
  <c r="N85" i="49"/>
  <c r="J38" i="106"/>
  <c r="J37" i="106"/>
  <c r="J30" i="106"/>
  <c r="J29" i="106"/>
  <c r="J26" i="106"/>
  <c r="J25" i="106"/>
  <c r="J24" i="106"/>
  <c r="J23" i="106"/>
  <c r="J22" i="106"/>
  <c r="J21" i="106"/>
  <c r="J20" i="106"/>
  <c r="J18" i="106"/>
  <c r="J17" i="106"/>
  <c r="J16" i="106"/>
  <c r="J15" i="106"/>
  <c r="J14" i="106"/>
  <c r="B1" i="106"/>
  <c r="N147" i="49" l="1"/>
  <c r="N148" i="49" s="1"/>
  <c r="N151" i="49"/>
  <c r="N152" i="49" s="1"/>
  <c r="O85" i="49"/>
  <c r="B1" i="111"/>
  <c r="B1" i="88"/>
  <c r="B1" i="90"/>
  <c r="B1" i="91"/>
  <c r="B1" i="89"/>
  <c r="B1" i="1"/>
  <c r="B1" i="65"/>
  <c r="B1" i="57"/>
  <c r="P85" i="49"/>
  <c r="B1" i="9"/>
  <c r="B1" i="49"/>
  <c r="B1" i="7"/>
  <c r="B1" i="48"/>
  <c r="B1" i="6"/>
  <c r="B1" i="103"/>
  <c r="B1" i="3"/>
  <c r="B1" i="59"/>
  <c r="B1" i="47"/>
  <c r="B1" i="20"/>
  <c r="B1" i="105"/>
  <c r="B1" i="13"/>
  <c r="B1" i="109"/>
  <c r="B1" i="46"/>
  <c r="B1" i="68"/>
  <c r="B1" i="45"/>
  <c r="B1" i="10"/>
  <c r="B1" i="52"/>
  <c r="B1" i="11"/>
  <c r="E17" i="88"/>
  <c r="O151" i="49" l="1"/>
  <c r="O152" i="49" s="1"/>
  <c r="O147" i="49"/>
  <c r="O148" i="49" s="1"/>
  <c r="P151" i="49"/>
  <c r="P152" i="49" s="1"/>
  <c r="P147" i="49"/>
  <c r="P148" i="49" s="1"/>
  <c r="Q85" i="49"/>
  <c r="BH17" i="45"/>
  <c r="BH18" i="45"/>
  <c r="BH19" i="45"/>
  <c r="BH20" i="45"/>
  <c r="BH21" i="45"/>
  <c r="BH22" i="45"/>
  <c r="BH23" i="45"/>
  <c r="BH24" i="45"/>
  <c r="BH25" i="45"/>
  <c r="BH26" i="45"/>
  <c r="BH27" i="45"/>
  <c r="BH28" i="45"/>
  <c r="BH29" i="45"/>
  <c r="BH30" i="45"/>
  <c r="BH31" i="45"/>
  <c r="BH32" i="45"/>
  <c r="BH33" i="45"/>
  <c r="BH34" i="45"/>
  <c r="BH35" i="45"/>
  <c r="BH36" i="45"/>
  <c r="BH37" i="45"/>
  <c r="BH38" i="45"/>
  <c r="BH39" i="45"/>
  <c r="BH40" i="45"/>
  <c r="BH41" i="45"/>
  <c r="BH42" i="45"/>
  <c r="BH43" i="45"/>
  <c r="BH44" i="45"/>
  <c r="BH45" i="45"/>
  <c r="BH46" i="45"/>
  <c r="BH47" i="45"/>
  <c r="BH48" i="45"/>
  <c r="BH49" i="45"/>
  <c r="BH50" i="45"/>
  <c r="BH51" i="45"/>
  <c r="BH52" i="45"/>
  <c r="BH53" i="45"/>
  <c r="BH54" i="45"/>
  <c r="BH55" i="45"/>
  <c r="BH56" i="45"/>
  <c r="BH57" i="45"/>
  <c r="BH58" i="45"/>
  <c r="BH59" i="45"/>
  <c r="BH60" i="45"/>
  <c r="BH61" i="45"/>
  <c r="BH62" i="45"/>
  <c r="BH63" i="45"/>
  <c r="BH64" i="45"/>
  <c r="BH65" i="45"/>
  <c r="BH16" i="45"/>
  <c r="Q151" i="49" l="1"/>
  <c r="Q152" i="49" s="1"/>
  <c r="Q147" i="49"/>
  <c r="Q148" i="49" s="1"/>
  <c r="R85" i="49"/>
  <c r="G194" i="42"/>
  <c r="R147" i="49" l="1"/>
  <c r="R148" i="49" s="1"/>
  <c r="R151" i="49"/>
  <c r="R152" i="49" s="1"/>
  <c r="S85" i="49"/>
  <c r="C192" i="42"/>
  <c r="S147" i="49" l="1"/>
  <c r="S148" i="49" s="1"/>
  <c r="S151" i="49"/>
  <c r="S152" i="49" s="1"/>
  <c r="T85" i="49"/>
  <c r="F37" i="102"/>
  <c r="F35" i="102"/>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3" i="4"/>
  <c r="AE4" i="4"/>
  <c r="AE5" i="4"/>
  <c r="AE6" i="4"/>
  <c r="AE7" i="4"/>
  <c r="AE8" i="4"/>
  <c r="AE9" i="4"/>
  <c r="AE10" i="4"/>
  <c r="AE11" i="4"/>
  <c r="AE12" i="4"/>
  <c r="AE2" i="4"/>
  <c r="F354" i="102"/>
  <c r="F79" i="102"/>
  <c r="F361" i="102"/>
  <c r="H26" i="103"/>
  <c r="L95" i="108"/>
  <c r="M33" i="109"/>
  <c r="T147" i="49" l="1"/>
  <c r="T148" i="49" s="1"/>
  <c r="T151" i="49"/>
  <c r="T152" i="49" s="1"/>
  <c r="H48" i="103"/>
  <c r="U85" i="49"/>
  <c r="F218" i="102"/>
  <c r="U151" i="49" l="1"/>
  <c r="U152" i="49" s="1"/>
  <c r="U147" i="49"/>
  <c r="U148" i="49" s="1"/>
  <c r="V85" i="49"/>
  <c r="M1" i="109"/>
  <c r="V147" i="49" l="1"/>
  <c r="V148" i="49" s="1"/>
  <c r="V151" i="49"/>
  <c r="V152" i="49" s="1"/>
  <c r="W85" i="49"/>
  <c r="G72" i="108"/>
  <c r="G77" i="108"/>
  <c r="W151" i="49" l="1"/>
  <c r="W152" i="49" s="1"/>
  <c r="W147" i="49"/>
  <c r="W148" i="49" s="1"/>
  <c r="X85" i="49"/>
  <c r="D46" i="108"/>
  <c r="E46" i="108"/>
  <c r="F46" i="108"/>
  <c r="H46" i="108"/>
  <c r="I46" i="108"/>
  <c r="D47" i="108"/>
  <c r="E47" i="108"/>
  <c r="F47" i="108"/>
  <c r="G47" i="108"/>
  <c r="H47" i="108"/>
  <c r="I47" i="108"/>
  <c r="D48" i="108"/>
  <c r="E48" i="108"/>
  <c r="F48" i="108"/>
  <c r="G48" i="108"/>
  <c r="H48" i="108"/>
  <c r="I48" i="108"/>
  <c r="D49" i="108"/>
  <c r="E49" i="108"/>
  <c r="F49" i="108"/>
  <c r="G49" i="108"/>
  <c r="H49" i="108"/>
  <c r="I49" i="108"/>
  <c r="D50" i="108"/>
  <c r="E50" i="108"/>
  <c r="F50" i="108"/>
  <c r="G50" i="108"/>
  <c r="H50" i="108"/>
  <c r="I50" i="108"/>
  <c r="F45" i="108"/>
  <c r="G45" i="108"/>
  <c r="H45" i="108"/>
  <c r="I45" i="108"/>
  <c r="D45" i="108"/>
  <c r="X147" i="49" l="1"/>
  <c r="X148" i="49" s="1"/>
  <c r="X151" i="49"/>
  <c r="X152" i="49" s="1"/>
  <c r="J49" i="108"/>
  <c r="J47" i="108"/>
  <c r="J50" i="108"/>
  <c r="J48" i="108"/>
  <c r="J46" i="108"/>
  <c r="J45" i="108"/>
  <c r="Y85" i="49"/>
  <c r="F253" i="102"/>
  <c r="F252" i="102"/>
  <c r="F247" i="102"/>
  <c r="F239" i="102"/>
  <c r="F221" i="102"/>
  <c r="F220" i="102"/>
  <c r="F203" i="102"/>
  <c r="F202" i="102"/>
  <c r="Q80" i="108"/>
  <c r="Q79" i="108"/>
  <c r="Q78" i="108"/>
  <c r="L80" i="108"/>
  <c r="L79" i="108"/>
  <c r="L78" i="108"/>
  <c r="Y147" i="49" l="1"/>
  <c r="Y148" i="49" s="1"/>
  <c r="Y151" i="49"/>
  <c r="Y152" i="49" s="1"/>
  <c r="Z85" i="49"/>
  <c r="C9" i="88"/>
  <c r="C10" i="88" s="1"/>
  <c r="C11" i="88" s="1"/>
  <c r="C12" i="88" s="1"/>
  <c r="C13" i="88" s="1"/>
  <c r="C14" i="88" s="1"/>
  <c r="C15" i="88" s="1"/>
  <c r="C16" i="88" s="1"/>
  <c r="C17" i="88" s="1"/>
  <c r="C18" i="88" s="1"/>
  <c r="C19" i="88" s="1"/>
  <c r="C20" i="88" s="1"/>
  <c r="C21" i="88" s="1"/>
  <c r="C22" i="88" s="1"/>
  <c r="C23" i="88" s="1"/>
  <c r="C25" i="88" s="1"/>
  <c r="C26" i="88" s="1"/>
  <c r="C27" i="88" s="1"/>
  <c r="C28" i="88" s="1"/>
  <c r="C33" i="88" s="1"/>
  <c r="C35" i="88" s="1"/>
  <c r="C37" i="88" s="1"/>
  <c r="C38" i="88" s="1"/>
  <c r="C41" i="88" s="1"/>
  <c r="AA85" i="49" l="1"/>
  <c r="C53" i="108"/>
  <c r="AB85" i="49" l="1"/>
  <c r="F462" i="102"/>
  <c r="F451" i="102"/>
  <c r="F449" i="102"/>
  <c r="F447" i="102"/>
  <c r="F445" i="102"/>
  <c r="F443" i="102"/>
  <c r="F441" i="102"/>
  <c r="B25" i="55"/>
  <c r="T39" i="108"/>
  <c r="AC85" i="49" l="1"/>
  <c r="F452" i="102"/>
  <c r="AD85" i="49" l="1"/>
  <c r="D56" i="7"/>
  <c r="AE85" i="49" l="1"/>
  <c r="E51" i="108"/>
  <c r="F51" i="108"/>
  <c r="G51" i="108"/>
  <c r="H51" i="108"/>
  <c r="I51" i="108"/>
  <c r="D51" i="108"/>
  <c r="E52" i="108"/>
  <c r="F52" i="108"/>
  <c r="G52" i="108"/>
  <c r="H52" i="108"/>
  <c r="I52" i="108"/>
  <c r="D52" i="108"/>
  <c r="P53" i="108"/>
  <c r="G83" i="108"/>
  <c r="C6" i="108"/>
  <c r="J51" i="108" l="1"/>
  <c r="J52" i="108"/>
  <c r="AF85" i="49"/>
  <c r="D53" i="108"/>
  <c r="D57" i="108" s="1"/>
  <c r="AG85" i="49" l="1"/>
  <c r="D59" i="108"/>
  <c r="D62" i="108"/>
  <c r="D64" i="108"/>
  <c r="D58" i="108"/>
  <c r="D61" i="108"/>
  <c r="D63" i="108"/>
  <c r="D60" i="108"/>
  <c r="AH85" i="49" l="1"/>
  <c r="D65" i="108"/>
  <c r="AI85" i="49" l="1"/>
  <c r="D26" i="1"/>
  <c r="F36" i="102" s="1"/>
  <c r="AJ85" i="49" l="1"/>
  <c r="AK85" i="49" l="1"/>
  <c r="V61" i="109"/>
  <c r="C17" i="109"/>
  <c r="AL85" i="49" l="1"/>
  <c r="C15" i="109"/>
  <c r="K1" i="68"/>
  <c r="P1" i="65"/>
  <c r="L1" i="59"/>
  <c r="M1" i="57"/>
  <c r="G1" i="20"/>
  <c r="F1" i="52"/>
  <c r="F1" i="49"/>
  <c r="G1" i="48"/>
  <c r="K1" i="103"/>
  <c r="F1" i="47"/>
  <c r="I1" i="105"/>
  <c r="G1" i="46"/>
  <c r="H1" i="45"/>
  <c r="F1" i="13"/>
  <c r="F1" i="11"/>
  <c r="E1" i="10"/>
  <c r="F1" i="9"/>
  <c r="F1" i="7"/>
  <c r="F1" i="6"/>
  <c r="E1" i="3"/>
  <c r="F1" i="1"/>
  <c r="L1" i="108"/>
  <c r="M21" i="45" l="1"/>
  <c r="N21" i="45" s="1"/>
  <c r="M20" i="45"/>
  <c r="N20" i="45" s="1"/>
  <c r="N19" i="45"/>
  <c r="N18" i="45"/>
  <c r="N17" i="45"/>
  <c r="AJ55" i="52"/>
  <c r="AI55" i="52"/>
  <c r="AH55" i="52"/>
  <c r="AG55" i="52"/>
  <c r="AF55" i="52"/>
  <c r="AE55" i="52"/>
  <c r="AD55" i="52"/>
  <c r="AC55" i="52"/>
  <c r="AB55" i="52"/>
  <c r="AA55" i="52"/>
  <c r="Z55"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K172" i="47"/>
  <c r="H172" i="47"/>
  <c r="G172" i="47"/>
  <c r="K149" i="47"/>
  <c r="H149" i="47"/>
  <c r="G149" i="47"/>
  <c r="H133" i="47"/>
  <c r="G133" i="47"/>
  <c r="H123" i="47"/>
  <c r="G123" i="47"/>
  <c r="K117" i="47"/>
  <c r="H117" i="47"/>
  <c r="G117" i="47"/>
  <c r="H110" i="47"/>
  <c r="G110" i="47"/>
  <c r="K97" i="47"/>
  <c r="H97" i="47"/>
  <c r="K85" i="47"/>
  <c r="H85" i="47"/>
  <c r="G85" i="47"/>
  <c r="K62" i="47"/>
  <c r="H62" i="47"/>
  <c r="G62" i="47"/>
  <c r="K16" i="47" l="1"/>
  <c r="H16" i="47"/>
  <c r="M35" i="109"/>
  <c r="T55" i="109"/>
  <c r="T53" i="109"/>
  <c r="T51" i="109"/>
  <c r="F85" i="48" l="1"/>
  <c r="F36" i="48"/>
  <c r="F28" i="48"/>
  <c r="F12" i="48"/>
  <c r="M42" i="109" l="1"/>
  <c r="T48" i="109" s="1"/>
  <c r="F77" i="102"/>
  <c r="F81" i="102"/>
  <c r="F83" i="102"/>
  <c r="F85" i="102"/>
  <c r="I7" i="52" l="1"/>
  <c r="L188" i="52" s="1"/>
  <c r="F463" i="102"/>
  <c r="AE192" i="52" l="1"/>
  <c r="AI191" i="52"/>
  <c r="K191" i="52"/>
  <c r="S189" i="52"/>
  <c r="K188" i="52"/>
  <c r="R192" i="52"/>
  <c r="V191" i="52"/>
  <c r="N190" i="52"/>
  <c r="R189" i="52"/>
  <c r="J188" i="52"/>
  <c r="AC192" i="52"/>
  <c r="AG191" i="52"/>
  <c r="I191" i="52"/>
  <c r="AC189" i="52"/>
  <c r="Q189" i="52"/>
  <c r="AG188" i="52"/>
  <c r="U188" i="52"/>
  <c r="I188" i="52"/>
  <c r="H192" i="52"/>
  <c r="AB192" i="52"/>
  <c r="P192" i="52"/>
  <c r="AF191" i="52"/>
  <c r="T191" i="52"/>
  <c r="AJ190" i="52"/>
  <c r="X190" i="52"/>
  <c r="L190" i="52"/>
  <c r="AB189" i="52"/>
  <c r="P189" i="52"/>
  <c r="AF188" i="52"/>
  <c r="T188" i="52"/>
  <c r="H191" i="52"/>
  <c r="AA192" i="52"/>
  <c r="O192" i="52"/>
  <c r="AE191" i="52"/>
  <c r="S191" i="52"/>
  <c r="AI190" i="52"/>
  <c r="W190" i="52"/>
  <c r="K190" i="52"/>
  <c r="AA189" i="52"/>
  <c r="O189" i="52"/>
  <c r="AE188" i="52"/>
  <c r="S188" i="52"/>
  <c r="H190" i="52"/>
  <c r="Z192" i="52"/>
  <c r="N192" i="52"/>
  <c r="AD191" i="52"/>
  <c r="R191" i="52"/>
  <c r="AH190" i="52"/>
  <c r="V190" i="52"/>
  <c r="J190" i="52"/>
  <c r="Z189" i="52"/>
  <c r="N189" i="52"/>
  <c r="AD188" i="52"/>
  <c r="R188" i="52"/>
  <c r="J191" i="52"/>
  <c r="AH188" i="52"/>
  <c r="Q192" i="52"/>
  <c r="Y190" i="52"/>
  <c r="H189" i="52"/>
  <c r="M192" i="52"/>
  <c r="AG190" i="52"/>
  <c r="I190" i="52"/>
  <c r="Q188" i="52"/>
  <c r="X192" i="52"/>
  <c r="AB191" i="52"/>
  <c r="AF190" i="52"/>
  <c r="AJ189" i="52"/>
  <c r="P188" i="52"/>
  <c r="AI192" i="52"/>
  <c r="K192" i="52"/>
  <c r="O191" i="52"/>
  <c r="S190" i="52"/>
  <c r="W189" i="52"/>
  <c r="AA188" i="52"/>
  <c r="AH192" i="52"/>
  <c r="V192" i="52"/>
  <c r="J192" i="52"/>
  <c r="Z191" i="52"/>
  <c r="N191" i="52"/>
  <c r="AD190" i="52"/>
  <c r="R190" i="52"/>
  <c r="AH189" i="52"/>
  <c r="V189" i="52"/>
  <c r="J189" i="52"/>
  <c r="Z188" i="52"/>
  <c r="N188" i="52"/>
  <c r="S192" i="52"/>
  <c r="W191" i="52"/>
  <c r="AA190" i="52"/>
  <c r="O190" i="52"/>
  <c r="AE189" i="52"/>
  <c r="AI188" i="52"/>
  <c r="W188" i="52"/>
  <c r="AD192" i="52"/>
  <c r="AH191" i="52"/>
  <c r="Z190" i="52"/>
  <c r="AD189" i="52"/>
  <c r="V188" i="52"/>
  <c r="H188" i="52"/>
  <c r="U191" i="52"/>
  <c r="M190" i="52"/>
  <c r="Y192" i="52"/>
  <c r="AC191" i="52"/>
  <c r="Q191" i="52"/>
  <c r="U190" i="52"/>
  <c r="Y189" i="52"/>
  <c r="M189" i="52"/>
  <c r="AC188" i="52"/>
  <c r="AJ192" i="52"/>
  <c r="L192" i="52"/>
  <c r="P191" i="52"/>
  <c r="T190" i="52"/>
  <c r="X189" i="52"/>
  <c r="L189" i="52"/>
  <c r="AB188" i="52"/>
  <c r="W192" i="52"/>
  <c r="AA191" i="52"/>
  <c r="AE190" i="52"/>
  <c r="AI189" i="52"/>
  <c r="K189" i="52"/>
  <c r="O188" i="52"/>
  <c r="AG192" i="52"/>
  <c r="U192" i="52"/>
  <c r="I192" i="52"/>
  <c r="Y191" i="52"/>
  <c r="M191" i="52"/>
  <c r="AC190" i="52"/>
  <c r="Q190" i="52"/>
  <c r="AG189" i="52"/>
  <c r="U189" i="52"/>
  <c r="I189" i="52"/>
  <c r="Y188" i="52"/>
  <c r="M188" i="52"/>
  <c r="AF192" i="52"/>
  <c r="T192" i="52"/>
  <c r="AJ191" i="52"/>
  <c r="X191" i="52"/>
  <c r="L191" i="52"/>
  <c r="AB190" i="52"/>
  <c r="P190" i="52"/>
  <c r="AF189" i="52"/>
  <c r="T189" i="52"/>
  <c r="AJ188" i="52"/>
  <c r="X188" i="52"/>
  <c r="AA6" i="45"/>
  <c r="AA8" i="45" s="1"/>
  <c r="T30" i="54"/>
  <c r="U30" i="54"/>
  <c r="V30" i="54"/>
  <c r="W30" i="54"/>
  <c r="X30" i="54"/>
  <c r="Y30" i="54"/>
  <c r="B28" i="55"/>
  <c r="B30" i="54" s="1"/>
  <c r="C28" i="55"/>
  <c r="D28" i="55"/>
  <c r="D30" i="54" s="1"/>
  <c r="E28" i="55"/>
  <c r="E30" i="54" s="1"/>
  <c r="F28" i="55"/>
  <c r="G28" i="55"/>
  <c r="F30" i="54" s="1"/>
  <c r="H28" i="55"/>
  <c r="I28" i="55"/>
  <c r="J28" i="55"/>
  <c r="K28" i="55"/>
  <c r="H30" i="54" s="1"/>
  <c r="L28" i="55"/>
  <c r="M28" i="55"/>
  <c r="J30" i="54" s="1"/>
  <c r="N28" i="55"/>
  <c r="O28" i="55"/>
  <c r="P28" i="55"/>
  <c r="L30" i="54" s="1"/>
  <c r="Q28" i="55"/>
  <c r="M30" i="54" s="1"/>
  <c r="R28" i="55"/>
  <c r="S28" i="55"/>
  <c r="T28" i="55"/>
  <c r="N30" i="54" s="1"/>
  <c r="U28" i="55"/>
  <c r="V28" i="55"/>
  <c r="P30" i="54" s="1"/>
  <c r="W28" i="55"/>
  <c r="X28" i="55"/>
  <c r="Q30" i="54" s="1"/>
  <c r="Y28" i="55"/>
  <c r="R30" i="54" s="1"/>
  <c r="Z28" i="55"/>
  <c r="AA28" i="55"/>
  <c r="AB28" i="55"/>
  <c r="AL28" i="55"/>
  <c r="Z30" i="54" s="1"/>
  <c r="AM28" i="55"/>
  <c r="AN28" i="55"/>
  <c r="AB30" i="54" s="1"/>
  <c r="AO28" i="55"/>
  <c r="AC30" i="54" s="1"/>
  <c r="AP28" i="55"/>
  <c r="AQ28" i="55"/>
  <c r="AD30" i="54" s="1"/>
  <c r="AR28" i="55"/>
  <c r="AS28" i="55"/>
  <c r="AT28" i="55"/>
  <c r="AU28" i="55"/>
  <c r="AV28" i="55"/>
  <c r="AW28" i="55"/>
  <c r="AH30" i="54" s="1"/>
  <c r="AX28" i="55"/>
  <c r="AI30" i="54" s="1"/>
  <c r="AY28" i="55"/>
  <c r="AZ28" i="55"/>
  <c r="AJ30" i="54" s="1"/>
  <c r="BA28" i="55"/>
  <c r="BB28" i="55"/>
  <c r="BC28" i="55"/>
  <c r="BD28" i="55"/>
  <c r="AL30" i="54" s="1"/>
  <c r="BE28" i="55"/>
  <c r="BF28" i="55"/>
  <c r="AN30" i="54" s="1"/>
  <c r="BG28" i="55"/>
  <c r="BH28" i="55"/>
  <c r="BI28" i="55"/>
  <c r="AP30" i="54" s="1"/>
  <c r="BJ28" i="55"/>
  <c r="AQ30" i="54" s="1"/>
  <c r="BK28" i="55"/>
  <c r="BL28" i="55"/>
  <c r="AL47" i="55"/>
  <c r="AM47" i="55"/>
  <c r="AN47" i="55"/>
  <c r="AO47" i="55"/>
  <c r="AP47" i="55"/>
  <c r="K30" i="54" l="1"/>
  <c r="AO30" i="54"/>
  <c r="AK30" i="54"/>
  <c r="S30" i="54"/>
  <c r="AG30" i="54"/>
  <c r="AE30" i="54"/>
  <c r="G30" i="54"/>
  <c r="AF30" i="54"/>
  <c r="I30" i="54"/>
  <c r="AM30" i="54"/>
  <c r="AA30" i="54"/>
  <c r="O30" i="54"/>
  <c r="C30" i="54"/>
  <c r="F219" i="102"/>
  <c r="M34" i="109"/>
  <c r="M47" i="109"/>
  <c r="C58" i="109"/>
  <c r="F174" i="102"/>
  <c r="F173" i="102"/>
  <c r="H259" i="42" l="1"/>
  <c r="H258" i="42"/>
  <c r="H257" i="42"/>
  <c r="E198" i="42" l="1"/>
  <c r="E197" i="42"/>
  <c r="D68" i="49" l="1"/>
  <c r="D67" i="49"/>
  <c r="D66" i="49"/>
  <c r="H17" i="103" l="1"/>
  <c r="K18" i="103"/>
  <c r="D69" i="49" l="1"/>
  <c r="D79" i="49"/>
  <c r="E79" i="49" s="1"/>
  <c r="F79" i="49" s="1"/>
  <c r="G79" i="49" s="1"/>
  <c r="H79" i="49" s="1"/>
  <c r="I79" i="49" s="1"/>
  <c r="J79" i="49" s="1"/>
  <c r="K79" i="49" s="1"/>
  <c r="L79" i="49" s="1"/>
  <c r="M79" i="49" s="1"/>
  <c r="N79" i="49" s="1"/>
  <c r="O79" i="49" s="1"/>
  <c r="P79" i="49" s="1"/>
  <c r="Q79" i="49" s="1"/>
  <c r="R79" i="49" s="1"/>
  <c r="S79" i="49" s="1"/>
  <c r="T79" i="49" s="1"/>
  <c r="U79" i="49" s="1"/>
  <c r="V79" i="49" s="1"/>
  <c r="W79" i="49" s="1"/>
  <c r="X79" i="49" s="1"/>
  <c r="Y79" i="49" s="1"/>
  <c r="Z79" i="49" s="1"/>
  <c r="AA79" i="49" s="1"/>
  <c r="AB79" i="49" s="1"/>
  <c r="AC79" i="49" s="1"/>
  <c r="AD79" i="49" s="1"/>
  <c r="AE79" i="49" s="1"/>
  <c r="AF79" i="49" s="1"/>
  <c r="AG79" i="49" s="1"/>
  <c r="AH79" i="49" s="1"/>
  <c r="AI79" i="49" s="1"/>
  <c r="AJ79" i="49" s="1"/>
  <c r="AK79" i="49" s="1"/>
  <c r="AL79" i="49" s="1"/>
  <c r="C79" i="49"/>
  <c r="I21" i="49" l="1"/>
  <c r="I20" i="49"/>
  <c r="C25" i="52" a="1"/>
  <c r="C25" i="52" s="1"/>
  <c r="C24" i="52" a="1"/>
  <c r="C24" i="52" s="1"/>
  <c r="C23" i="52" a="1"/>
  <c r="C23" i="52" s="1"/>
  <c r="H114" i="45" l="1"/>
  <c r="T8" i="103" s="1"/>
  <c r="G99" i="45"/>
  <c r="T9" i="103" s="1"/>
  <c r="H66" i="45"/>
  <c r="L32" i="9"/>
  <c r="F378" i="102"/>
  <c r="F365" i="102"/>
  <c r="F358" i="102"/>
  <c r="F351" i="102"/>
  <c r="F345" i="102"/>
  <c r="F48" i="47"/>
  <c r="F54" i="47"/>
  <c r="F57" i="47" s="1"/>
  <c r="T7" i="103" l="1"/>
  <c r="T10" i="103" s="1"/>
  <c r="F178" i="102"/>
  <c r="F182" i="102"/>
  <c r="F181" i="102"/>
  <c r="F484" i="102"/>
  <c r="F485" i="102"/>
  <c r="F19" i="102"/>
  <c r="F21" i="102"/>
  <c r="F169" i="102"/>
  <c r="P41" i="103"/>
  <c r="H41" i="103"/>
  <c r="F244" i="102" s="1"/>
  <c r="F423" i="102"/>
  <c r="F421" i="102"/>
  <c r="F419" i="102"/>
  <c r="F417" i="102"/>
  <c r="F415" i="102"/>
  <c r="F413" i="102"/>
  <c r="F411" i="102"/>
  <c r="F409" i="102"/>
  <c r="F407" i="102"/>
  <c r="F405" i="102"/>
  <c r="F403" i="102"/>
  <c r="F401" i="102"/>
  <c r="F399" i="102"/>
  <c r="F397" i="102"/>
  <c r="F395" i="102"/>
  <c r="F393" i="102"/>
  <c r="F391" i="102"/>
  <c r="F389" i="102"/>
  <c r="F387" i="102"/>
  <c r="F385" i="102"/>
  <c r="F383" i="102"/>
  <c r="F381" i="102"/>
  <c r="F379" i="102"/>
  <c r="F318" i="102"/>
  <c r="F319" i="102" s="1"/>
  <c r="F316" i="102"/>
  <c r="F317" i="102" s="1"/>
  <c r="D24" i="59" l="1"/>
  <c r="F75" i="102"/>
  <c r="F254" i="102"/>
  <c r="F73" i="102"/>
  <c r="E496" i="42"/>
  <c r="F460" i="102"/>
  <c r="F167" i="47"/>
  <c r="F168" i="47"/>
  <c r="F169" i="47"/>
  <c r="F170" i="47"/>
  <c r="F171" i="47"/>
  <c r="F152" i="47"/>
  <c r="F153" i="47"/>
  <c r="F154" i="47"/>
  <c r="F155" i="47"/>
  <c r="F156" i="47"/>
  <c r="F157" i="47"/>
  <c r="F158" i="47"/>
  <c r="F159" i="47"/>
  <c r="F183" i="102" s="1"/>
  <c r="F160" i="47"/>
  <c r="F161" i="47"/>
  <c r="F162" i="47"/>
  <c r="F163" i="47"/>
  <c r="F136" i="47"/>
  <c r="F137" i="47"/>
  <c r="F138" i="47"/>
  <c r="F139" i="47"/>
  <c r="F125" i="47"/>
  <c r="F126" i="47"/>
  <c r="F175" i="49" s="1"/>
  <c r="D178" i="49" s="1"/>
  <c r="F127" i="47"/>
  <c r="F128" i="47"/>
  <c r="F129" i="47"/>
  <c r="F130" i="47"/>
  <c r="F131" i="47"/>
  <c r="F132" i="47"/>
  <c r="C438" i="42" s="1"/>
  <c r="F119" i="47"/>
  <c r="F120" i="47"/>
  <c r="F121" i="47"/>
  <c r="F122" i="47"/>
  <c r="F112" i="47"/>
  <c r="F113" i="47"/>
  <c r="F114" i="47"/>
  <c r="F115" i="47"/>
  <c r="F116" i="47"/>
  <c r="F101" i="47"/>
  <c r="F102" i="47"/>
  <c r="E102" i="47" s="1"/>
  <c r="F103" i="47"/>
  <c r="F104" i="47"/>
  <c r="F105" i="47"/>
  <c r="F106" i="47"/>
  <c r="F107" i="47"/>
  <c r="F108" i="47"/>
  <c r="F109" i="47"/>
  <c r="F87" i="47"/>
  <c r="F88" i="47"/>
  <c r="F89" i="47"/>
  <c r="F90" i="47"/>
  <c r="F91" i="47"/>
  <c r="F92" i="47"/>
  <c r="F93" i="47"/>
  <c r="F94" i="47"/>
  <c r="F95" i="47"/>
  <c r="F96" i="47"/>
  <c r="F77" i="47"/>
  <c r="F78" i="47"/>
  <c r="F79" i="47"/>
  <c r="F80" i="47"/>
  <c r="F81" i="47"/>
  <c r="F82" i="47"/>
  <c r="F83" i="47"/>
  <c r="F84" i="47"/>
  <c r="F74" i="47"/>
  <c r="F67" i="47"/>
  <c r="F68" i="47"/>
  <c r="E68" i="47" s="1"/>
  <c r="F60" i="47"/>
  <c r="E60" i="47" s="1" a="1"/>
  <c r="E60" i="47" s="1"/>
  <c r="F61" i="47"/>
  <c r="F26" i="47"/>
  <c r="F28" i="47"/>
  <c r="F29" i="47"/>
  <c r="F30" i="47"/>
  <c r="H7" i="52"/>
  <c r="C150" i="52"/>
  <c r="C149" i="52"/>
  <c r="C148" i="52"/>
  <c r="E178" i="52"/>
  <c r="AU121" i="49"/>
  <c r="F172" i="47" l="1"/>
  <c r="C397" i="42"/>
  <c r="C433" i="42"/>
  <c r="D179" i="49"/>
  <c r="D182" i="49" s="1"/>
  <c r="E178" i="49" s="1"/>
  <c r="E179" i="49" s="1"/>
  <c r="E182" i="49" s="1"/>
  <c r="F178" i="49" s="1"/>
  <c r="F179" i="49" s="1"/>
  <c r="F182" i="49" s="1"/>
  <c r="G178" i="49" s="1"/>
  <c r="G179" i="49" s="1"/>
  <c r="G182" i="49" s="1"/>
  <c r="H178" i="49" s="1"/>
  <c r="H179" i="49" s="1"/>
  <c r="H182" i="49" s="1"/>
  <c r="I178" i="49" s="1"/>
  <c r="I179" i="49" s="1"/>
  <c r="I182" i="49" s="1"/>
  <c r="J178" i="49" s="1"/>
  <c r="J179" i="49" s="1"/>
  <c r="J182" i="49" s="1"/>
  <c r="K178" i="49" s="1"/>
  <c r="K179" i="49" s="1"/>
  <c r="K182" i="49" s="1"/>
  <c r="L178" i="49" s="1"/>
  <c r="L179" i="49" s="1"/>
  <c r="L182" i="49" s="1"/>
  <c r="M178" i="49" s="1"/>
  <c r="M179" i="49" s="1"/>
  <c r="M182" i="49" s="1"/>
  <c r="N178" i="49" s="1"/>
  <c r="N179" i="49" s="1"/>
  <c r="N182" i="49" s="1"/>
  <c r="O178" i="49" s="1"/>
  <c r="O179" i="49" s="1"/>
  <c r="O182" i="49" s="1"/>
  <c r="P178" i="49" s="1"/>
  <c r="P179" i="49" s="1"/>
  <c r="P182" i="49" s="1"/>
  <c r="Q178" i="49" s="1"/>
  <c r="Q179" i="49" s="1"/>
  <c r="Q182" i="49" s="1"/>
  <c r="R178" i="49" s="1"/>
  <c r="R179" i="49" s="1"/>
  <c r="R182" i="49" s="1"/>
  <c r="S178" i="49" s="1"/>
  <c r="S179" i="49" s="1"/>
  <c r="S182" i="49" s="1"/>
  <c r="AV121" i="49"/>
  <c r="F86" i="102"/>
  <c r="E67" i="47"/>
  <c r="C373" i="42"/>
  <c r="F255" i="102"/>
  <c r="G188" i="52"/>
  <c r="I187" i="52"/>
  <c r="J187" i="52"/>
  <c r="K187" i="52"/>
  <c r="L187" i="52"/>
  <c r="M187" i="52"/>
  <c r="N187" i="52"/>
  <c r="O187" i="52"/>
  <c r="P187" i="52"/>
  <c r="Q187" i="52"/>
  <c r="R187" i="52"/>
  <c r="S187" i="52"/>
  <c r="T187" i="52"/>
  <c r="U187" i="52"/>
  <c r="V187" i="52"/>
  <c r="W187" i="52"/>
  <c r="X187" i="52"/>
  <c r="Y187" i="52"/>
  <c r="Z187" i="52"/>
  <c r="AA187" i="52"/>
  <c r="AB187" i="52"/>
  <c r="AC187" i="52"/>
  <c r="AD187" i="52"/>
  <c r="AE187" i="52"/>
  <c r="AF187" i="52"/>
  <c r="AG187" i="52"/>
  <c r="AH187" i="52"/>
  <c r="AI187" i="52"/>
  <c r="AJ187" i="52"/>
  <c r="H187" i="52"/>
  <c r="M20" i="47"/>
  <c r="M21" i="47"/>
  <c r="M22" i="47"/>
  <c r="M23" i="47"/>
  <c r="M24" i="47"/>
  <c r="M25" i="47"/>
  <c r="M26" i="47"/>
  <c r="M27" i="47"/>
  <c r="M28" i="47"/>
  <c r="M29" i="47"/>
  <c r="M30" i="47"/>
  <c r="M32" i="47"/>
  <c r="M33" i="47"/>
  <c r="M34" i="47"/>
  <c r="M35" i="47"/>
  <c r="M36" i="47"/>
  <c r="M37" i="47"/>
  <c r="M38" i="47"/>
  <c r="M39" i="47"/>
  <c r="M41" i="47"/>
  <c r="M42" i="47"/>
  <c r="M43" i="47"/>
  <c r="M44" i="47"/>
  <c r="M45" i="47"/>
  <c r="M46" i="47"/>
  <c r="M47" i="47"/>
  <c r="M48" i="47"/>
  <c r="M49" i="47"/>
  <c r="M51" i="47"/>
  <c r="M52" i="47"/>
  <c r="M53" i="47"/>
  <c r="M54" i="47"/>
  <c r="M55" i="47"/>
  <c r="M56" i="47"/>
  <c r="M60" i="47"/>
  <c r="M61" i="47"/>
  <c r="M62" i="47"/>
  <c r="M65" i="47"/>
  <c r="M66" i="47"/>
  <c r="M67" i="47"/>
  <c r="M68" i="47"/>
  <c r="M69" i="47"/>
  <c r="M70" i="47"/>
  <c r="M71" i="47"/>
  <c r="M72" i="47"/>
  <c r="M74" i="47"/>
  <c r="M75" i="47"/>
  <c r="M77" i="47"/>
  <c r="M78" i="47"/>
  <c r="M79" i="47"/>
  <c r="M80" i="47"/>
  <c r="M81" i="47"/>
  <c r="M82" i="47"/>
  <c r="M83" i="47"/>
  <c r="M84" i="47"/>
  <c r="M85" i="47"/>
  <c r="M87" i="47"/>
  <c r="M88" i="47"/>
  <c r="M89" i="47"/>
  <c r="M90" i="47"/>
  <c r="M91" i="47"/>
  <c r="M92" i="47"/>
  <c r="M93" i="47"/>
  <c r="M94" i="47"/>
  <c r="M95" i="47"/>
  <c r="M96" i="47"/>
  <c r="M97" i="47"/>
  <c r="M98" i="47"/>
  <c r="M101" i="47"/>
  <c r="M102" i="47"/>
  <c r="M103" i="47"/>
  <c r="M104" i="47"/>
  <c r="M105" i="47"/>
  <c r="M106" i="47"/>
  <c r="M107" i="47"/>
  <c r="M108" i="47"/>
  <c r="M109" i="47"/>
  <c r="M110" i="47"/>
  <c r="M112" i="47"/>
  <c r="M113" i="47"/>
  <c r="M114" i="47"/>
  <c r="M115" i="47"/>
  <c r="M116" i="47"/>
  <c r="M117" i="47"/>
  <c r="M118" i="47"/>
  <c r="M119" i="47"/>
  <c r="M120" i="47"/>
  <c r="M121" i="47"/>
  <c r="M122" i="47"/>
  <c r="M123" i="47"/>
  <c r="M125" i="47"/>
  <c r="M126" i="47"/>
  <c r="M127" i="47"/>
  <c r="M128" i="47"/>
  <c r="M129" i="47"/>
  <c r="M130" i="47"/>
  <c r="M131" i="47"/>
  <c r="M132" i="47"/>
  <c r="M133" i="47"/>
  <c r="M136" i="47"/>
  <c r="M137" i="47"/>
  <c r="M138" i="47"/>
  <c r="M139" i="47"/>
  <c r="M140" i="47"/>
  <c r="M141" i="47"/>
  <c r="M142" i="47"/>
  <c r="M143" i="47"/>
  <c r="M144" i="47"/>
  <c r="M145" i="47"/>
  <c r="M146" i="47"/>
  <c r="M147" i="47"/>
  <c r="M148" i="47"/>
  <c r="M149" i="47"/>
  <c r="M151" i="47"/>
  <c r="M152" i="47"/>
  <c r="M153" i="47"/>
  <c r="M154" i="47"/>
  <c r="M155" i="47"/>
  <c r="M156" i="47"/>
  <c r="M157" i="47"/>
  <c r="M158" i="47"/>
  <c r="M159" i="47"/>
  <c r="F179" i="102" s="1"/>
  <c r="M160" i="47"/>
  <c r="M161" i="47"/>
  <c r="M162" i="47"/>
  <c r="M163" i="47"/>
  <c r="M164" i="47"/>
  <c r="M167" i="47"/>
  <c r="M168" i="47"/>
  <c r="M169" i="47"/>
  <c r="M170" i="47"/>
  <c r="M171" i="47"/>
  <c r="M172" i="47"/>
  <c r="M19" i="47"/>
  <c r="M13" i="47"/>
  <c r="M14" i="47"/>
  <c r="M16" i="47"/>
  <c r="M12" i="47"/>
  <c r="I250" i="105"/>
  <c r="I44" i="105"/>
  <c r="I45" i="105"/>
  <c r="I46" i="105"/>
  <c r="I47" i="105"/>
  <c r="I48" i="105"/>
  <c r="I49" i="105"/>
  <c r="I50" i="105"/>
  <c r="I52" i="105"/>
  <c r="I53" i="105"/>
  <c r="I54" i="105"/>
  <c r="I55" i="105"/>
  <c r="I56" i="105"/>
  <c r="I57" i="105"/>
  <c r="I58" i="105"/>
  <c r="I60" i="105"/>
  <c r="I61" i="105"/>
  <c r="I62" i="105"/>
  <c r="I63" i="105"/>
  <c r="I64" i="105"/>
  <c r="I65" i="105"/>
  <c r="I66" i="105"/>
  <c r="I67" i="105"/>
  <c r="I69" i="105"/>
  <c r="I70" i="105"/>
  <c r="I71" i="105"/>
  <c r="I72" i="105"/>
  <c r="I73" i="105"/>
  <c r="I74" i="105"/>
  <c r="I75" i="105"/>
  <c r="I76" i="105"/>
  <c r="I77" i="105"/>
  <c r="I79" i="105"/>
  <c r="I80" i="105"/>
  <c r="I81" i="105"/>
  <c r="I82" i="105"/>
  <c r="I83" i="105"/>
  <c r="I84" i="105"/>
  <c r="I85" i="105"/>
  <c r="I86" i="105"/>
  <c r="I87" i="105"/>
  <c r="I88" i="105"/>
  <c r="I89" i="105"/>
  <c r="I90" i="105"/>
  <c r="I92" i="105"/>
  <c r="I93" i="105"/>
  <c r="I94" i="105"/>
  <c r="I95" i="105"/>
  <c r="I96" i="105"/>
  <c r="I97" i="105"/>
  <c r="I98" i="105"/>
  <c r="I99" i="105"/>
  <c r="I100" i="105"/>
  <c r="I101" i="105"/>
  <c r="I103" i="105"/>
  <c r="I104" i="105"/>
  <c r="I105" i="105"/>
  <c r="I106" i="105"/>
  <c r="I107" i="105"/>
  <c r="I108" i="105"/>
  <c r="I109" i="105"/>
  <c r="I110" i="105"/>
  <c r="I111" i="105"/>
  <c r="I112" i="105"/>
  <c r="I114" i="105"/>
  <c r="I115" i="105"/>
  <c r="I116" i="105"/>
  <c r="I117" i="105"/>
  <c r="I118" i="105"/>
  <c r="I119" i="105"/>
  <c r="I120" i="105"/>
  <c r="I121" i="105"/>
  <c r="I122" i="105"/>
  <c r="I124" i="105"/>
  <c r="I125" i="105"/>
  <c r="I126" i="105"/>
  <c r="I127" i="105"/>
  <c r="I128" i="105"/>
  <c r="I129" i="105"/>
  <c r="I130" i="105"/>
  <c r="I131" i="105"/>
  <c r="I132" i="105"/>
  <c r="I133" i="105"/>
  <c r="I134" i="105"/>
  <c r="I135" i="105"/>
  <c r="I136" i="105"/>
  <c r="I138" i="105"/>
  <c r="I139" i="105"/>
  <c r="I140" i="105"/>
  <c r="I141" i="105"/>
  <c r="I142" i="105"/>
  <c r="I143" i="105"/>
  <c r="I144" i="105"/>
  <c r="I145" i="105"/>
  <c r="I146" i="105"/>
  <c r="I148" i="105"/>
  <c r="I149" i="105"/>
  <c r="I150" i="105"/>
  <c r="I151" i="105"/>
  <c r="I152" i="105"/>
  <c r="I153" i="105"/>
  <c r="I154" i="105"/>
  <c r="I156" i="105"/>
  <c r="I157" i="105"/>
  <c r="I158" i="105"/>
  <c r="I159" i="105"/>
  <c r="I160" i="105"/>
  <c r="I161" i="105"/>
  <c r="I162" i="105"/>
  <c r="I163" i="105"/>
  <c r="I164" i="105"/>
  <c r="I166" i="105"/>
  <c r="I167" i="105"/>
  <c r="I168" i="105"/>
  <c r="I169" i="105"/>
  <c r="I170" i="105"/>
  <c r="I171" i="105"/>
  <c r="I173" i="105"/>
  <c r="I174" i="105"/>
  <c r="I175" i="105"/>
  <c r="I176" i="105"/>
  <c r="I177" i="105"/>
  <c r="I178" i="105"/>
  <c r="I179" i="105"/>
  <c r="I181" i="105"/>
  <c r="I182" i="105"/>
  <c r="I183" i="105"/>
  <c r="I184" i="105"/>
  <c r="I185" i="105"/>
  <c r="I186" i="105"/>
  <c r="I187" i="105"/>
  <c r="I188" i="105"/>
  <c r="I189" i="105"/>
  <c r="I190" i="105"/>
  <c r="I192" i="105"/>
  <c r="I193" i="105"/>
  <c r="I194" i="105"/>
  <c r="I195" i="105"/>
  <c r="I196" i="105"/>
  <c r="I197" i="105"/>
  <c r="I199" i="105"/>
  <c r="I200" i="105"/>
  <c r="I201" i="105"/>
  <c r="I202" i="105"/>
  <c r="I203" i="105"/>
  <c r="I204" i="105"/>
  <c r="I205" i="105"/>
  <c r="I207" i="105"/>
  <c r="I208" i="105"/>
  <c r="I209" i="105"/>
  <c r="I210" i="105"/>
  <c r="I211" i="105"/>
  <c r="I212" i="105"/>
  <c r="I213" i="105"/>
  <c r="I215" i="105"/>
  <c r="I216" i="105"/>
  <c r="I217" i="105"/>
  <c r="I218" i="105"/>
  <c r="I219" i="105"/>
  <c r="I220" i="105"/>
  <c r="I222" i="105"/>
  <c r="I223" i="105"/>
  <c r="I224" i="105"/>
  <c r="I225" i="105"/>
  <c r="I226" i="105"/>
  <c r="I227" i="105"/>
  <c r="I228" i="105"/>
  <c r="I229" i="105"/>
  <c r="I230" i="105"/>
  <c r="I232" i="105"/>
  <c r="I233" i="105"/>
  <c r="I234" i="105"/>
  <c r="I235" i="105"/>
  <c r="I236" i="105"/>
  <c r="I237" i="105"/>
  <c r="I238" i="105"/>
  <c r="I240" i="105"/>
  <c r="I241" i="105"/>
  <c r="I242" i="105"/>
  <c r="I243" i="105"/>
  <c r="I244" i="105"/>
  <c r="I245" i="105"/>
  <c r="I246" i="105"/>
  <c r="I247" i="105"/>
  <c r="I248" i="105"/>
  <c r="I249" i="105"/>
  <c r="I33" i="105"/>
  <c r="I34" i="105"/>
  <c r="I35" i="105"/>
  <c r="I36" i="105"/>
  <c r="I37" i="105"/>
  <c r="I38" i="105"/>
  <c r="I39" i="105"/>
  <c r="I41" i="105"/>
  <c r="I42" i="105"/>
  <c r="I43" i="105"/>
  <c r="I32" i="105"/>
  <c r="I31" i="105"/>
  <c r="I21" i="105"/>
  <c r="I22" i="105"/>
  <c r="I23" i="105"/>
  <c r="I24" i="105"/>
  <c r="I25" i="105"/>
  <c r="I26" i="105"/>
  <c r="I27" i="105"/>
  <c r="I28" i="105"/>
  <c r="I29" i="105"/>
  <c r="I20" i="105"/>
  <c r="I19" i="105"/>
  <c r="I9" i="105"/>
  <c r="I10" i="105"/>
  <c r="I11" i="105"/>
  <c r="I12" i="105"/>
  <c r="I13" i="105"/>
  <c r="I14" i="105"/>
  <c r="I15" i="105"/>
  <c r="I16" i="105"/>
  <c r="I17" i="105"/>
  <c r="I8" i="105"/>
  <c r="I7" i="105"/>
  <c r="E188" i="52" l="1"/>
  <c r="D496" i="42"/>
  <c r="K27" i="103"/>
  <c r="P39" i="103"/>
  <c r="F240" i="102" s="1"/>
  <c r="E249" i="105" l="1"/>
  <c r="E248" i="105"/>
  <c r="E247" i="105"/>
  <c r="E246" i="105"/>
  <c r="E245" i="105"/>
  <c r="E244" i="105"/>
  <c r="E243" i="105"/>
  <c r="E242" i="105"/>
  <c r="E241" i="105"/>
  <c r="H240" i="105"/>
  <c r="G240" i="105"/>
  <c r="F240" i="105"/>
  <c r="E233" i="105"/>
  <c r="H232" i="105"/>
  <c r="G232" i="105"/>
  <c r="H41" i="47" s="1"/>
  <c r="F232" i="105"/>
  <c r="G41" i="47" s="1"/>
  <c r="E230" i="105"/>
  <c r="E229" i="105"/>
  <c r="E228" i="105"/>
  <c r="E227" i="105"/>
  <c r="E226" i="105"/>
  <c r="E225" i="105"/>
  <c r="E224" i="105"/>
  <c r="E223" i="105"/>
  <c r="H222" i="105"/>
  <c r="G222" i="105"/>
  <c r="H42" i="47" s="1"/>
  <c r="F222" i="105"/>
  <c r="E220" i="105"/>
  <c r="E219" i="105"/>
  <c r="E218" i="105"/>
  <c r="E217" i="105"/>
  <c r="E216" i="105"/>
  <c r="H215" i="105"/>
  <c r="G215" i="105"/>
  <c r="F215" i="105"/>
  <c r="E213" i="105"/>
  <c r="E212" i="105"/>
  <c r="E211" i="105"/>
  <c r="E210" i="105"/>
  <c r="E209" i="105"/>
  <c r="E208" i="105"/>
  <c r="H207" i="105"/>
  <c r="G207" i="105"/>
  <c r="F207" i="105"/>
  <c r="E205" i="105"/>
  <c r="E204" i="105"/>
  <c r="E203" i="105"/>
  <c r="E202" i="105"/>
  <c r="E201" i="105"/>
  <c r="E200" i="105"/>
  <c r="H199" i="105"/>
  <c r="G199" i="105"/>
  <c r="F199" i="105"/>
  <c r="E197" i="105"/>
  <c r="E196" i="105"/>
  <c r="E195" i="105"/>
  <c r="E194" i="105"/>
  <c r="E193" i="105"/>
  <c r="H192" i="105"/>
  <c r="G192" i="105"/>
  <c r="F192" i="105"/>
  <c r="E190" i="105"/>
  <c r="E189" i="105"/>
  <c r="E188" i="105"/>
  <c r="E187" i="105"/>
  <c r="E186" i="105"/>
  <c r="E185" i="105"/>
  <c r="E184" i="105"/>
  <c r="E183" i="105"/>
  <c r="E182" i="105"/>
  <c r="H181" i="105"/>
  <c r="G181" i="105"/>
  <c r="F181" i="105"/>
  <c r="E179" i="105"/>
  <c r="E178" i="105"/>
  <c r="E177" i="105"/>
  <c r="E176" i="105"/>
  <c r="E175" i="105"/>
  <c r="E174" i="105"/>
  <c r="H173" i="105"/>
  <c r="G173" i="105"/>
  <c r="F173" i="105"/>
  <c r="E171" i="105"/>
  <c r="E170" i="105"/>
  <c r="E169" i="105"/>
  <c r="E168" i="105"/>
  <c r="E167" i="105"/>
  <c r="H166" i="105"/>
  <c r="G166" i="105"/>
  <c r="F166" i="105"/>
  <c r="E164" i="105"/>
  <c r="E163" i="105"/>
  <c r="E162" i="105"/>
  <c r="E161" i="105"/>
  <c r="E160" i="105"/>
  <c r="E159" i="105"/>
  <c r="E158" i="105"/>
  <c r="E157" i="105"/>
  <c r="H156" i="105"/>
  <c r="G156" i="105"/>
  <c r="F156" i="105"/>
  <c r="E154" i="105"/>
  <c r="E153" i="105"/>
  <c r="E152" i="105"/>
  <c r="E151" i="105"/>
  <c r="E150" i="105"/>
  <c r="E149" i="105"/>
  <c r="H148" i="105"/>
  <c r="G148" i="105"/>
  <c r="F148" i="105"/>
  <c r="E146" i="105"/>
  <c r="E145" i="105"/>
  <c r="E144" i="105"/>
  <c r="E143" i="105"/>
  <c r="E142" i="105"/>
  <c r="E141" i="105"/>
  <c r="E140" i="105"/>
  <c r="E139" i="105"/>
  <c r="H138" i="105"/>
  <c r="G138" i="105"/>
  <c r="E136" i="105"/>
  <c r="E135" i="105"/>
  <c r="E134" i="105"/>
  <c r="E133" i="105"/>
  <c r="E132" i="105"/>
  <c r="E131" i="105"/>
  <c r="E130" i="105"/>
  <c r="E129" i="105"/>
  <c r="E128" i="105"/>
  <c r="E127" i="105"/>
  <c r="E126" i="105"/>
  <c r="E125" i="105"/>
  <c r="H124" i="105"/>
  <c r="G124" i="105"/>
  <c r="F124" i="105"/>
  <c r="E122" i="105"/>
  <c r="E121" i="105"/>
  <c r="E120" i="105"/>
  <c r="E119" i="105"/>
  <c r="E118" i="105"/>
  <c r="E117" i="105"/>
  <c r="E116" i="105"/>
  <c r="E115" i="105"/>
  <c r="H114" i="105"/>
  <c r="G114" i="105"/>
  <c r="F114" i="105"/>
  <c r="E112" i="105"/>
  <c r="E111" i="105"/>
  <c r="E110" i="105"/>
  <c r="E109" i="105"/>
  <c r="E108" i="105"/>
  <c r="E107" i="105"/>
  <c r="E106" i="105"/>
  <c r="E105" i="105"/>
  <c r="E104" i="105"/>
  <c r="H103" i="105"/>
  <c r="G103" i="105"/>
  <c r="F103" i="105"/>
  <c r="E101" i="105"/>
  <c r="E100" i="105"/>
  <c r="E99" i="105"/>
  <c r="E98" i="105"/>
  <c r="E97" i="105"/>
  <c r="E96" i="105"/>
  <c r="E95" i="105"/>
  <c r="E94" i="105"/>
  <c r="E93" i="105"/>
  <c r="H92" i="105"/>
  <c r="G92" i="105"/>
  <c r="F92" i="105"/>
  <c r="E90" i="105"/>
  <c r="E89" i="105"/>
  <c r="E88" i="105"/>
  <c r="E87" i="105"/>
  <c r="E86" i="105"/>
  <c r="E85" i="105"/>
  <c r="E84" i="105"/>
  <c r="E83" i="105"/>
  <c r="E82" i="105"/>
  <c r="E81" i="105"/>
  <c r="E80" i="105"/>
  <c r="H79" i="105"/>
  <c r="G79" i="105"/>
  <c r="F79" i="105"/>
  <c r="E77" i="105"/>
  <c r="E76" i="105"/>
  <c r="E75" i="105"/>
  <c r="E74" i="105"/>
  <c r="E73" i="105"/>
  <c r="E72" i="105"/>
  <c r="E71" i="105"/>
  <c r="E70" i="105"/>
  <c r="H69" i="105"/>
  <c r="G69" i="105"/>
  <c r="F69" i="105"/>
  <c r="E67" i="105"/>
  <c r="E66" i="105"/>
  <c r="E65" i="105"/>
  <c r="E64" i="105"/>
  <c r="E63" i="105"/>
  <c r="E62" i="105"/>
  <c r="E61" i="105"/>
  <c r="H60" i="105"/>
  <c r="G60" i="105"/>
  <c r="F60" i="105"/>
  <c r="E58" i="105"/>
  <c r="E57" i="105"/>
  <c r="E56" i="105"/>
  <c r="E55" i="105"/>
  <c r="E54" i="105"/>
  <c r="E53" i="105"/>
  <c r="H52" i="105"/>
  <c r="G52" i="105"/>
  <c r="F52" i="105"/>
  <c r="E50" i="105"/>
  <c r="E49" i="105"/>
  <c r="E48" i="105"/>
  <c r="E47" i="105"/>
  <c r="E46" i="105"/>
  <c r="E45" i="105"/>
  <c r="E44" i="105"/>
  <c r="E43" i="105"/>
  <c r="E42" i="105"/>
  <c r="H41" i="105"/>
  <c r="G41" i="105"/>
  <c r="F41" i="105"/>
  <c r="E39" i="105"/>
  <c r="E38" i="105"/>
  <c r="E37" i="105"/>
  <c r="E36" i="105"/>
  <c r="E35" i="105"/>
  <c r="E34" i="105"/>
  <c r="E33" i="105"/>
  <c r="E32" i="105"/>
  <c r="H31" i="105"/>
  <c r="F31" i="105"/>
  <c r="E29" i="105"/>
  <c r="E28" i="105"/>
  <c r="E27" i="105"/>
  <c r="E26" i="105"/>
  <c r="E25" i="105"/>
  <c r="E24" i="105"/>
  <c r="E23" i="105"/>
  <c r="E22" i="105"/>
  <c r="E21" i="105"/>
  <c r="E20" i="105"/>
  <c r="H19" i="105"/>
  <c r="G19" i="105"/>
  <c r="F19" i="105"/>
  <c r="E17" i="105"/>
  <c r="E16" i="105"/>
  <c r="E15" i="105"/>
  <c r="E14" i="105"/>
  <c r="E13" i="105"/>
  <c r="E12" i="105"/>
  <c r="E11" i="105"/>
  <c r="E10" i="105"/>
  <c r="E9" i="105"/>
  <c r="E8" i="105"/>
  <c r="H7" i="105"/>
  <c r="G7" i="105"/>
  <c r="F7" i="105"/>
  <c r="G25" i="47" l="1"/>
  <c r="F25" i="47" s="1"/>
  <c r="H49" i="47"/>
  <c r="F41" i="47"/>
  <c r="G250" i="105"/>
  <c r="G24" i="47"/>
  <c r="H25" i="47"/>
  <c r="E339" i="42"/>
  <c r="H250" i="105"/>
  <c r="I19" i="47" s="1"/>
  <c r="G42" i="47"/>
  <c r="F42" i="47" s="1"/>
  <c r="F250" i="105"/>
  <c r="G19" i="47" s="1"/>
  <c r="H24" i="47"/>
  <c r="E240" i="105"/>
  <c r="E232" i="105"/>
  <c r="E215" i="105"/>
  <c r="E199" i="105"/>
  <c r="E166" i="105"/>
  <c r="E156" i="105"/>
  <c r="E207" i="105"/>
  <c r="E79" i="105"/>
  <c r="E69" i="105"/>
  <c r="E124" i="105"/>
  <c r="E92" i="105"/>
  <c r="E103" i="105"/>
  <c r="E114" i="105"/>
  <c r="E148" i="105"/>
  <c r="E222" i="105"/>
  <c r="E60" i="105"/>
  <c r="E138" i="105"/>
  <c r="E181" i="105"/>
  <c r="E192" i="105"/>
  <c r="E19" i="105"/>
  <c r="E41" i="105"/>
  <c r="E52" i="105"/>
  <c r="E7" i="105"/>
  <c r="E31" i="105"/>
  <c r="E173" i="105"/>
  <c r="F24" i="47" l="1"/>
  <c r="C352" i="42" s="1"/>
  <c r="C335" i="42" s="1"/>
  <c r="G49" i="47"/>
  <c r="F49" i="47"/>
  <c r="D339" i="42"/>
  <c r="H19" i="47"/>
  <c r="F19" i="47" s="1"/>
  <c r="E24" i="52"/>
  <c r="C347" i="42"/>
  <c r="E250" i="105"/>
  <c r="E252" i="105" s="1"/>
  <c r="E23" i="52"/>
  <c r="H252" i="105"/>
  <c r="H253" i="105"/>
  <c r="H254" i="105" s="1"/>
  <c r="G253" i="105"/>
  <c r="G254" i="105" s="1"/>
  <c r="G252" i="105"/>
  <c r="F253" i="105"/>
  <c r="F254" i="105" s="1"/>
  <c r="F252" i="105"/>
  <c r="S171" i="68" l="1"/>
  <c r="H27" i="47"/>
  <c r="H31" i="47" s="1"/>
  <c r="G27" i="47"/>
  <c r="G31" i="47" s="1"/>
  <c r="E253" i="105"/>
  <c r="E254" i="105" s="1"/>
  <c r="F27" i="47" l="1"/>
  <c r="F471" i="102"/>
  <c r="E25" i="52" l="1"/>
  <c r="P52" i="108"/>
  <c r="L52" i="108"/>
  <c r="H164" i="47"/>
  <c r="H75" i="47"/>
  <c r="H72" i="47"/>
  <c r="H98" i="47" l="1"/>
  <c r="Q88" i="108" l="1"/>
  <c r="Q87" i="108"/>
  <c r="Q85" i="108"/>
  <c r="Q86" i="108"/>
  <c r="Q82" i="108"/>
  <c r="L82" i="108"/>
  <c r="L76" i="108"/>
  <c r="L75" i="108"/>
  <c r="L74" i="108"/>
  <c r="L73" i="108"/>
  <c r="L72" i="108"/>
  <c r="F424" i="102"/>
  <c r="F422" i="102"/>
  <c r="F420" i="102"/>
  <c r="F418" i="102"/>
  <c r="F416" i="102"/>
  <c r="F414" i="102"/>
  <c r="F412" i="102"/>
  <c r="F410" i="102"/>
  <c r="F408" i="102"/>
  <c r="F402" i="102"/>
  <c r="F390" i="102"/>
  <c r="F388" i="102"/>
  <c r="F386" i="102"/>
  <c r="F384" i="102"/>
  <c r="F382" i="102"/>
  <c r="F380" i="102"/>
  <c r="M39" i="109"/>
  <c r="D9" i="47"/>
  <c r="S175" i="68" s="1"/>
  <c r="M46" i="109" l="1"/>
  <c r="T50" i="109" s="1"/>
  <c r="M45" i="109"/>
  <c r="T49" i="109" s="1"/>
  <c r="M40" i="109"/>
  <c r="T46" i="109" s="1"/>
  <c r="M36" i="109"/>
  <c r="T64" i="109" s="1"/>
  <c r="I149" i="47"/>
  <c r="J149" i="47"/>
  <c r="F14" i="47"/>
  <c r="Q92" i="108"/>
  <c r="Q94" i="108"/>
  <c r="L94" i="108"/>
  <c r="Q83" i="108"/>
  <c r="Q84" i="108"/>
  <c r="L84" i="108"/>
  <c r="L83" i="108"/>
  <c r="Q77" i="108"/>
  <c r="Q76" i="108"/>
  <c r="Q75" i="108"/>
  <c r="Q74" i="108"/>
  <c r="Q73" i="108"/>
  <c r="Q72" i="108"/>
  <c r="Q71" i="108"/>
  <c r="P49" i="108"/>
  <c r="L49" i="108"/>
  <c r="P47" i="108"/>
  <c r="P51" i="108"/>
  <c r="P48" i="108"/>
  <c r="P46" i="108"/>
  <c r="P50" i="108"/>
  <c r="P45" i="108"/>
  <c r="Y60" i="109" l="1"/>
  <c r="Y61" i="109"/>
  <c r="T57" i="109"/>
  <c r="M54" i="109" s="1"/>
  <c r="W51" i="109"/>
  <c r="W53" i="109"/>
  <c r="V50" i="109"/>
  <c r="U49" i="109"/>
  <c r="M41" i="109"/>
  <c r="T47" i="109" s="1"/>
  <c r="P44" i="108"/>
  <c r="F72" i="47"/>
  <c r="M55" i="109" l="1"/>
  <c r="M56" i="109" s="1"/>
  <c r="AU122" i="49"/>
  <c r="D63" i="49"/>
  <c r="E63" i="49" s="1"/>
  <c r="F63" i="49" s="1"/>
  <c r="G63" i="49" s="1"/>
  <c r="H63" i="49" s="1"/>
  <c r="I63" i="49" s="1"/>
  <c r="J63" i="49" s="1"/>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AK63" i="49" s="1"/>
  <c r="AL63" i="49" s="1"/>
  <c r="AF172" i="47"/>
  <c r="W60" i="109" l="1"/>
  <c r="AV122" i="49"/>
  <c r="D25" i="49"/>
  <c r="Z60" i="109" l="1"/>
  <c r="X60" i="109"/>
  <c r="AA60" i="109" s="1"/>
  <c r="AU123" i="49"/>
  <c r="I16" i="47"/>
  <c r="J16" i="47"/>
  <c r="I57" i="47"/>
  <c r="J57" i="47"/>
  <c r="G75" i="47"/>
  <c r="I75" i="47"/>
  <c r="J75" i="47"/>
  <c r="G72" i="47"/>
  <c r="I72" i="47"/>
  <c r="J72" i="47"/>
  <c r="I85" i="47"/>
  <c r="J85" i="47"/>
  <c r="I97" i="47"/>
  <c r="J97" i="47"/>
  <c r="I110" i="47"/>
  <c r="J110" i="47"/>
  <c r="I117" i="47"/>
  <c r="J117" i="47"/>
  <c r="I123" i="47"/>
  <c r="J123" i="47"/>
  <c r="I133" i="47"/>
  <c r="J133" i="47"/>
  <c r="I172" i="47"/>
  <c r="G164" i="47"/>
  <c r="AV123" i="49" l="1"/>
  <c r="AU124" i="49" s="1"/>
  <c r="F461" i="102"/>
  <c r="I98" i="47"/>
  <c r="J98" i="47"/>
  <c r="G98" i="47"/>
  <c r="AV126" i="49" l="1"/>
  <c r="AU127" i="49" s="1"/>
  <c r="D104" i="49" s="1"/>
  <c r="D100" i="49"/>
  <c r="AV125" i="49"/>
  <c r="C100" i="49"/>
  <c r="AV124" i="49"/>
  <c r="AN112" i="49"/>
  <c r="AO112" i="49" s="1"/>
  <c r="D112" i="49"/>
  <c r="AN100" i="49" l="1"/>
  <c r="AO100" i="49" s="1"/>
  <c r="C104" i="49"/>
  <c r="AN90" i="49"/>
  <c r="AO90" i="49" s="1"/>
  <c r="C90" i="49"/>
  <c r="AV133" i="49"/>
  <c r="AV130" i="49"/>
  <c r="AV127" i="49"/>
  <c r="AV132" i="49"/>
  <c r="AV129" i="49"/>
  <c r="C116" i="49"/>
  <c r="D90" i="49"/>
  <c r="D116" i="49"/>
  <c r="C96" i="49"/>
  <c r="E100" i="49"/>
  <c r="F100" i="49" s="1"/>
  <c r="G100" i="49" s="1"/>
  <c r="H100" i="49" s="1"/>
  <c r="I100" i="49" s="1"/>
  <c r="J100" i="49" s="1"/>
  <c r="K100" i="49" s="1"/>
  <c r="L100" i="49" s="1"/>
  <c r="M100" i="49" s="1"/>
  <c r="N100" i="49" s="1"/>
  <c r="O100" i="49" s="1"/>
  <c r="P100" i="49" s="1"/>
  <c r="Q100" i="49" s="1"/>
  <c r="R100" i="49" s="1"/>
  <c r="S100" i="49" s="1"/>
  <c r="T100" i="49" s="1"/>
  <c r="U100" i="49" s="1"/>
  <c r="V100" i="49" s="1"/>
  <c r="W100" i="49" s="1"/>
  <c r="X100" i="49" s="1"/>
  <c r="Y100" i="49" s="1"/>
  <c r="Z100" i="49" s="1"/>
  <c r="D108" i="49"/>
  <c r="D96" i="49"/>
  <c r="AV128" i="49"/>
  <c r="AN108" i="49"/>
  <c r="AO108" i="49" s="1"/>
  <c r="AV131" i="49"/>
  <c r="C108" i="49"/>
  <c r="AN96" i="49"/>
  <c r="AN116" i="49"/>
  <c r="AO116" i="49" s="1"/>
  <c r="C112" i="49"/>
  <c r="AN104" i="49"/>
  <c r="E112" i="49"/>
  <c r="F112" i="49" s="1"/>
  <c r="G112" i="49" s="1"/>
  <c r="H112" i="49" s="1"/>
  <c r="I112" i="49" s="1"/>
  <c r="J112" i="49" s="1"/>
  <c r="K112" i="49" s="1"/>
  <c r="L112" i="49" s="1"/>
  <c r="M112" i="49" s="1"/>
  <c r="N112" i="49" s="1"/>
  <c r="O112" i="49" s="1"/>
  <c r="P112" i="49" s="1"/>
  <c r="Q112" i="49" s="1"/>
  <c r="R112" i="49" s="1"/>
  <c r="S112" i="49" s="1"/>
  <c r="T112" i="49" s="1"/>
  <c r="U112" i="49" s="1"/>
  <c r="V112" i="49" s="1"/>
  <c r="W112" i="49" s="1"/>
  <c r="X112" i="49" s="1"/>
  <c r="Y112" i="49" s="1"/>
  <c r="Z112" i="49" s="1"/>
  <c r="Z113" i="49" s="1"/>
  <c r="E90" i="49" l="1"/>
  <c r="F90" i="49" s="1"/>
  <c r="E116" i="49"/>
  <c r="AO96" i="49"/>
  <c r="E96" i="49"/>
  <c r="F96" i="49" s="1"/>
  <c r="G96" i="49" s="1"/>
  <c r="H96" i="49" s="1"/>
  <c r="I96" i="49" s="1"/>
  <c r="J96" i="49" s="1"/>
  <c r="K96" i="49" s="1"/>
  <c r="L96" i="49" s="1"/>
  <c r="M96" i="49" s="1"/>
  <c r="N96" i="49" s="1"/>
  <c r="O96" i="49" s="1"/>
  <c r="P96" i="49" s="1"/>
  <c r="Q96" i="49" s="1"/>
  <c r="R96" i="49" s="1"/>
  <c r="S96" i="49" s="1"/>
  <c r="T96" i="49" s="1"/>
  <c r="U96" i="49" s="1"/>
  <c r="V96" i="49" s="1"/>
  <c r="W96" i="49" s="1"/>
  <c r="X96" i="49" s="1"/>
  <c r="Y96" i="49" s="1"/>
  <c r="Z96" i="49" s="1"/>
  <c r="AA96" i="49" s="1"/>
  <c r="AB96" i="49" s="1"/>
  <c r="AC96" i="49" s="1"/>
  <c r="AD96" i="49" s="1"/>
  <c r="AE96" i="49" s="1"/>
  <c r="AF96" i="49" s="1"/>
  <c r="AG96" i="49" s="1"/>
  <c r="AH96" i="49" s="1"/>
  <c r="AI96" i="49" s="1"/>
  <c r="AJ96" i="49" s="1"/>
  <c r="AK96" i="49" s="1"/>
  <c r="AL96" i="49" s="1"/>
  <c r="F116" i="49"/>
  <c r="E108" i="49"/>
  <c r="F108" i="49" s="1"/>
  <c r="AO104" i="49"/>
  <c r="E104" i="49"/>
  <c r="F104" i="49" s="1"/>
  <c r="G104" i="49" s="1"/>
  <c r="H104" i="49" s="1"/>
  <c r="I104" i="49" s="1"/>
  <c r="J104" i="49" s="1"/>
  <c r="K104" i="49" s="1"/>
  <c r="L104" i="49" s="1"/>
  <c r="M104" i="49" s="1"/>
  <c r="N104" i="49" s="1"/>
  <c r="O104" i="49" s="1"/>
  <c r="P104" i="49" s="1"/>
  <c r="Q104" i="49" s="1"/>
  <c r="R104" i="49" s="1"/>
  <c r="S104" i="49" s="1"/>
  <c r="T104" i="49" s="1"/>
  <c r="U104" i="49" s="1"/>
  <c r="V104" i="49" s="1"/>
  <c r="W104" i="49" s="1"/>
  <c r="X104" i="49" s="1"/>
  <c r="Y104" i="49" s="1"/>
  <c r="Z104" i="49" s="1"/>
  <c r="G90" i="49"/>
  <c r="H90" i="49" s="1"/>
  <c r="G116" i="49"/>
  <c r="H116" i="49" s="1"/>
  <c r="I116" i="49" s="1"/>
  <c r="J116" i="49" s="1"/>
  <c r="K116" i="49" s="1"/>
  <c r="L116" i="49" s="1"/>
  <c r="M116" i="49" s="1"/>
  <c r="N116" i="49" s="1"/>
  <c r="O116" i="49" s="1"/>
  <c r="P116" i="49" s="1"/>
  <c r="Q116" i="49" s="1"/>
  <c r="R116" i="49" s="1"/>
  <c r="S116" i="49" s="1"/>
  <c r="T116" i="49" s="1"/>
  <c r="U116" i="49" s="1"/>
  <c r="V116" i="49" s="1"/>
  <c r="W116" i="49" s="1"/>
  <c r="X116" i="49" s="1"/>
  <c r="Y116" i="49" s="1"/>
  <c r="Z116" i="49" s="1"/>
  <c r="Z117" i="49" s="1"/>
  <c r="G108" i="49"/>
  <c r="AA100" i="49"/>
  <c r="AB100" i="49" s="1"/>
  <c r="AA112" i="49"/>
  <c r="AB112" i="49" s="1"/>
  <c r="AB113" i="49" s="1"/>
  <c r="AA104" i="49" l="1"/>
  <c r="H108" i="49"/>
  <c r="AA116" i="49"/>
  <c r="I90" i="49"/>
  <c r="AA113" i="49"/>
  <c r="AC112" i="49"/>
  <c r="AC113" i="49" s="1"/>
  <c r="AC100" i="49"/>
  <c r="F162" i="102"/>
  <c r="I108" i="49" l="1"/>
  <c r="J108" i="49" s="1"/>
  <c r="AD112" i="49"/>
  <c r="AD113" i="49" s="1"/>
  <c r="AB104" i="49"/>
  <c r="J90" i="49"/>
  <c r="AA117" i="49"/>
  <c r="AB116" i="49"/>
  <c r="AD100" i="49"/>
  <c r="F161" i="102"/>
  <c r="F165" i="102"/>
  <c r="F164" i="102"/>
  <c r="F163" i="102"/>
  <c r="F145" i="102"/>
  <c r="F146" i="102"/>
  <c r="F144" i="102"/>
  <c r="F149" i="102"/>
  <c r="D57" i="49"/>
  <c r="D56" i="49" s="1"/>
  <c r="F148" i="102"/>
  <c r="F147" i="102"/>
  <c r="AE112" i="49" l="1"/>
  <c r="AF112" i="49" s="1"/>
  <c r="AG112" i="49" s="1"/>
  <c r="AC104" i="49"/>
  <c r="AB117" i="49"/>
  <c r="AC116" i="49"/>
  <c r="K90" i="49"/>
  <c r="K108" i="49"/>
  <c r="AE100" i="49"/>
  <c r="D61" i="49"/>
  <c r="E61" i="49" s="1"/>
  <c r="F61" i="49" s="1"/>
  <c r="G61" i="49" s="1"/>
  <c r="H61" i="49" s="1"/>
  <c r="I61" i="49" s="1"/>
  <c r="J61" i="49" s="1"/>
  <c r="K61" i="49" s="1"/>
  <c r="L61" i="49" s="1"/>
  <c r="M61" i="49" s="1"/>
  <c r="N61" i="49" s="1"/>
  <c r="O61" i="49" s="1"/>
  <c r="P61" i="49" s="1"/>
  <c r="Q61" i="49" s="1"/>
  <c r="R61" i="49" s="1"/>
  <c r="S61" i="49" s="1"/>
  <c r="T61" i="49" s="1"/>
  <c r="U61" i="49" s="1"/>
  <c r="V61" i="49" s="1"/>
  <c r="W61" i="49" s="1"/>
  <c r="X61" i="49" s="1"/>
  <c r="Y61" i="49" s="1"/>
  <c r="Z61" i="49" s="1"/>
  <c r="AA61" i="49" s="1"/>
  <c r="AB61" i="49" s="1"/>
  <c r="AC61" i="49" s="1"/>
  <c r="AD61" i="49" s="1"/>
  <c r="AE61" i="49" s="1"/>
  <c r="AF61" i="49" s="1"/>
  <c r="AG61" i="49" s="1"/>
  <c r="AH61" i="49" s="1"/>
  <c r="AI61" i="49" s="1"/>
  <c r="AJ61" i="49" s="1"/>
  <c r="AK61" i="49" s="1"/>
  <c r="AL61" i="49" s="1"/>
  <c r="AF113" i="49" l="1"/>
  <c r="AE113" i="49"/>
  <c r="AD104" i="49"/>
  <c r="L90" i="49"/>
  <c r="AC117" i="49"/>
  <c r="AD116" i="49"/>
  <c r="L108" i="49"/>
  <c r="AF100" i="49"/>
  <c r="AG113" i="49"/>
  <c r="AH112" i="49"/>
  <c r="I62" i="47"/>
  <c r="F151" i="47"/>
  <c r="F147" i="47"/>
  <c r="F146" i="47"/>
  <c r="F145" i="47"/>
  <c r="F144" i="47"/>
  <c r="F143" i="47"/>
  <c r="F142" i="47"/>
  <c r="F71" i="47"/>
  <c r="F70" i="47"/>
  <c r="F69" i="47"/>
  <c r="F66" i="47"/>
  <c r="F65" i="47"/>
  <c r="F56" i="47"/>
  <c r="F55" i="47"/>
  <c r="F15" i="47"/>
  <c r="M15" i="47" s="1"/>
  <c r="F16" i="47"/>
  <c r="F90" i="108" s="1"/>
  <c r="I140" i="47"/>
  <c r="I148" i="47"/>
  <c r="I164" i="47"/>
  <c r="F139" i="102"/>
  <c r="F138" i="102"/>
  <c r="F137" i="102"/>
  <c r="F136" i="102"/>
  <c r="F135" i="102"/>
  <c r="F134" i="102"/>
  <c r="F133" i="102"/>
  <c r="C133" i="42" s="1"/>
  <c r="D133" i="42" s="1"/>
  <c r="AO257" i="105"/>
  <c r="AN257" i="105"/>
  <c r="AM257"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G392" i="105"/>
  <c r="AQ392" i="105" s="1"/>
  <c r="G393" i="105"/>
  <c r="AQ393" i="105" s="1"/>
  <c r="G394" i="105"/>
  <c r="AQ394" i="105" s="1"/>
  <c r="G395" i="105"/>
  <c r="G396" i="105"/>
  <c r="AQ396" i="105" s="1"/>
  <c r="G397" i="105"/>
  <c r="AQ397" i="105" s="1"/>
  <c r="G398" i="105"/>
  <c r="AQ398" i="105" s="1"/>
  <c r="G399" i="105"/>
  <c r="G400" i="105"/>
  <c r="AQ400" i="105" s="1"/>
  <c r="G401" i="105"/>
  <c r="G402" i="105"/>
  <c r="AQ402" i="105" s="1"/>
  <c r="G403" i="105"/>
  <c r="AQ403" i="105" s="1"/>
  <c r="G404" i="105"/>
  <c r="AQ404" i="105" s="1"/>
  <c r="G405" i="105"/>
  <c r="AQ405" i="105" s="1"/>
  <c r="G406" i="105"/>
  <c r="G407" i="105"/>
  <c r="G408" i="105"/>
  <c r="AQ408" i="105" s="1"/>
  <c r="G409" i="105"/>
  <c r="AQ409" i="105" s="1"/>
  <c r="G410" i="105"/>
  <c r="AQ410" i="105" s="1"/>
  <c r="H411" i="105"/>
  <c r="I411" i="105"/>
  <c r="J411" i="105"/>
  <c r="K411" i="105"/>
  <c r="L411" i="105"/>
  <c r="M411" i="105"/>
  <c r="N411" i="105"/>
  <c r="O411" i="105"/>
  <c r="P411" i="105"/>
  <c r="Q411" i="105"/>
  <c r="R411" i="105"/>
  <c r="S411" i="105"/>
  <c r="T411" i="105"/>
  <c r="U411" i="105"/>
  <c r="V411" i="105"/>
  <c r="W411" i="105"/>
  <c r="X411" i="105"/>
  <c r="Y411" i="105"/>
  <c r="Z411" i="105"/>
  <c r="AA411" i="105"/>
  <c r="AB411" i="105"/>
  <c r="AC411" i="105"/>
  <c r="AD411" i="105"/>
  <c r="AE411" i="105"/>
  <c r="AF411" i="105"/>
  <c r="AG411" i="105"/>
  <c r="AH411" i="105"/>
  <c r="AI411" i="105"/>
  <c r="AJ411" i="105"/>
  <c r="AK411" i="105"/>
  <c r="AL411" i="105"/>
  <c r="AM411" i="105"/>
  <c r="AN411" i="105"/>
  <c r="AO411" i="105"/>
  <c r="AP411" i="105"/>
  <c r="G366" i="105"/>
  <c r="G367" i="105"/>
  <c r="AQ367" i="105" s="1"/>
  <c r="G368" i="105"/>
  <c r="G369" i="105"/>
  <c r="AQ369" i="105" s="1"/>
  <c r="G370" i="105"/>
  <c r="AQ370" i="105" s="1"/>
  <c r="G371" i="105"/>
  <c r="AQ371" i="105" s="1"/>
  <c r="G372" i="105"/>
  <c r="AQ372" i="105" s="1"/>
  <c r="G373" i="105"/>
  <c r="AQ373" i="105" s="1"/>
  <c r="G374" i="105"/>
  <c r="G375" i="105"/>
  <c r="AQ375" i="105" s="1"/>
  <c r="G376" i="105"/>
  <c r="AQ376" i="105" s="1"/>
  <c r="G377" i="105"/>
  <c r="AQ377" i="105" s="1"/>
  <c r="G378" i="105"/>
  <c r="G379" i="105"/>
  <c r="AQ379" i="105" s="1"/>
  <c r="G380" i="105"/>
  <c r="G381" i="105"/>
  <c r="AQ381" i="105" s="1"/>
  <c r="G382" i="105"/>
  <c r="AQ382" i="105" s="1"/>
  <c r="G383" i="105"/>
  <c r="AQ383" i="105" s="1"/>
  <c r="G384" i="105"/>
  <c r="AQ384" i="105" s="1"/>
  <c r="G385" i="105"/>
  <c r="AQ385" i="105" s="1"/>
  <c r="G386" i="105"/>
  <c r="AQ386" i="105" s="1"/>
  <c r="G387" i="105"/>
  <c r="AQ387" i="105" s="1"/>
  <c r="G388" i="105"/>
  <c r="AQ388" i="105" s="1"/>
  <c r="G389" i="105"/>
  <c r="AQ389" i="105" s="1"/>
  <c r="H390" i="105"/>
  <c r="I390" i="105"/>
  <c r="J390" i="105"/>
  <c r="K390" i="105"/>
  <c r="L390" i="105"/>
  <c r="M390" i="105"/>
  <c r="N390" i="105"/>
  <c r="O390" i="105"/>
  <c r="P390" i="105"/>
  <c r="Q390" i="105"/>
  <c r="R390" i="105"/>
  <c r="S390" i="105"/>
  <c r="T390" i="105"/>
  <c r="U390" i="105"/>
  <c r="V390" i="105"/>
  <c r="W390" i="105"/>
  <c r="X390" i="105"/>
  <c r="Y390" i="105"/>
  <c r="Z390" i="105"/>
  <c r="AA390" i="105"/>
  <c r="AB390" i="105"/>
  <c r="AC390" i="105"/>
  <c r="AD390" i="105"/>
  <c r="AE390" i="105"/>
  <c r="AF390" i="105"/>
  <c r="AG390" i="105"/>
  <c r="AH390" i="105"/>
  <c r="AI390" i="105"/>
  <c r="AJ390" i="105"/>
  <c r="AK390" i="105"/>
  <c r="AL390" i="105"/>
  <c r="AM390" i="105"/>
  <c r="AN390" i="105"/>
  <c r="AO390" i="105"/>
  <c r="AP390" i="105"/>
  <c r="G340" i="105"/>
  <c r="G341" i="105"/>
  <c r="AQ341" i="105" s="1"/>
  <c r="G342" i="105"/>
  <c r="G343" i="105"/>
  <c r="AQ343" i="105" s="1"/>
  <c r="G344" i="105"/>
  <c r="AQ344" i="105" s="1"/>
  <c r="G345" i="105"/>
  <c r="AQ345" i="105" s="1"/>
  <c r="G346" i="105"/>
  <c r="AQ346" i="105" s="1"/>
  <c r="G347" i="105"/>
  <c r="AQ347" i="105" s="1"/>
  <c r="G348" i="105"/>
  <c r="G349" i="105"/>
  <c r="AQ349" i="105" s="1"/>
  <c r="G350" i="105"/>
  <c r="AQ350" i="105" s="1"/>
  <c r="G351" i="105"/>
  <c r="AQ351" i="105" s="1"/>
  <c r="G352" i="105"/>
  <c r="G353" i="105"/>
  <c r="AQ353" i="105" s="1"/>
  <c r="G354" i="105"/>
  <c r="G355" i="105"/>
  <c r="AQ355" i="105" s="1"/>
  <c r="G356" i="105"/>
  <c r="AQ356" i="105" s="1"/>
  <c r="G357" i="105"/>
  <c r="AQ357" i="105" s="1"/>
  <c r="G358" i="105"/>
  <c r="AQ358" i="105" s="1"/>
  <c r="G359" i="105"/>
  <c r="AQ359" i="105" s="1"/>
  <c r="G360" i="105"/>
  <c r="G361" i="105"/>
  <c r="AQ361" i="105" s="1"/>
  <c r="G362" i="105"/>
  <c r="AQ362" i="105" s="1"/>
  <c r="G363" i="105"/>
  <c r="AQ363" i="105" s="1"/>
  <c r="H364" i="105"/>
  <c r="I364" i="105"/>
  <c r="J364" i="105"/>
  <c r="K364" i="105"/>
  <c r="L364" i="105"/>
  <c r="M364" i="105"/>
  <c r="N364" i="105"/>
  <c r="O364" i="105"/>
  <c r="P364" i="105"/>
  <c r="Q364" i="105"/>
  <c r="R364" i="105"/>
  <c r="S364" i="105"/>
  <c r="T364" i="105"/>
  <c r="U364" i="105"/>
  <c r="V364" i="105"/>
  <c r="W364" i="105"/>
  <c r="X364" i="105"/>
  <c r="Y364" i="105"/>
  <c r="Z364" i="105"/>
  <c r="AA364" i="105"/>
  <c r="AB364" i="105"/>
  <c r="AC364" i="105"/>
  <c r="AD364" i="105"/>
  <c r="AE364" i="105"/>
  <c r="AF364" i="105"/>
  <c r="AG364" i="105"/>
  <c r="AH364" i="105"/>
  <c r="AI364" i="105"/>
  <c r="AJ364" i="105"/>
  <c r="AK364" i="105"/>
  <c r="AL364" i="105"/>
  <c r="AM364" i="105"/>
  <c r="AN364" i="105"/>
  <c r="AO364" i="105"/>
  <c r="AP364" i="105"/>
  <c r="G329" i="105"/>
  <c r="G330" i="105"/>
  <c r="AQ330" i="105" s="1"/>
  <c r="G331" i="105"/>
  <c r="G332" i="105"/>
  <c r="AQ332" i="105" s="1"/>
  <c r="G333" i="105"/>
  <c r="AQ333" i="105" s="1"/>
  <c r="G334" i="105"/>
  <c r="AQ334" i="105" s="1"/>
  <c r="G335" i="105"/>
  <c r="AQ335" i="105" s="1"/>
  <c r="G336" i="105"/>
  <c r="AQ336" i="105" s="1"/>
  <c r="G337" i="105"/>
  <c r="H338" i="105"/>
  <c r="I338" i="105"/>
  <c r="J338" i="105"/>
  <c r="K338" i="105"/>
  <c r="L338" i="105"/>
  <c r="M338" i="105"/>
  <c r="N338" i="105"/>
  <c r="O338" i="105"/>
  <c r="P338" i="105"/>
  <c r="Q338" i="105"/>
  <c r="R338" i="105"/>
  <c r="S338" i="105"/>
  <c r="T338" i="105"/>
  <c r="U338" i="105"/>
  <c r="V338" i="105"/>
  <c r="W338" i="105"/>
  <c r="X338" i="105"/>
  <c r="Y338" i="105"/>
  <c r="Z338" i="105"/>
  <c r="AA338" i="105"/>
  <c r="AB338" i="105"/>
  <c r="AC338" i="105"/>
  <c r="AD338" i="105"/>
  <c r="AE338" i="105"/>
  <c r="AF338" i="105"/>
  <c r="AG338" i="105"/>
  <c r="AH338" i="105"/>
  <c r="AI338" i="105"/>
  <c r="AJ338" i="105"/>
  <c r="AK338" i="105"/>
  <c r="AL338" i="105"/>
  <c r="AM338" i="105"/>
  <c r="AN338" i="105"/>
  <c r="AO338" i="105"/>
  <c r="AP338" i="105"/>
  <c r="G318" i="105"/>
  <c r="AQ318" i="105" s="1"/>
  <c r="G319" i="105"/>
  <c r="AQ319" i="105" s="1"/>
  <c r="G320" i="105"/>
  <c r="AQ320" i="105" s="1"/>
  <c r="G321" i="105"/>
  <c r="G322" i="105"/>
  <c r="AQ322" i="105" s="1"/>
  <c r="G323" i="105"/>
  <c r="G324" i="105"/>
  <c r="AQ324" i="105" s="1"/>
  <c r="G325" i="105"/>
  <c r="AQ325" i="105" s="1"/>
  <c r="G326" i="105"/>
  <c r="AQ326" i="105" s="1"/>
  <c r="H327" i="105"/>
  <c r="I327" i="105"/>
  <c r="J327" i="105"/>
  <c r="K327" i="105"/>
  <c r="L327" i="105"/>
  <c r="M327" i="105"/>
  <c r="N327" i="105"/>
  <c r="O327" i="105"/>
  <c r="P327" i="105"/>
  <c r="Q327" i="105"/>
  <c r="R327" i="105"/>
  <c r="S327" i="105"/>
  <c r="T327" i="105"/>
  <c r="U327" i="105"/>
  <c r="V327" i="105"/>
  <c r="W327" i="105"/>
  <c r="X327" i="105"/>
  <c r="Y327" i="105"/>
  <c r="Z327" i="105"/>
  <c r="AA327" i="105"/>
  <c r="AB327" i="105"/>
  <c r="AC327" i="105"/>
  <c r="AD327" i="105"/>
  <c r="AE327" i="105"/>
  <c r="AF327" i="105"/>
  <c r="AG327" i="105"/>
  <c r="AH327" i="105"/>
  <c r="AI327" i="105"/>
  <c r="AJ327" i="105"/>
  <c r="AK327" i="105"/>
  <c r="AL327" i="105"/>
  <c r="AM327" i="105"/>
  <c r="AN327" i="105"/>
  <c r="AO327" i="105"/>
  <c r="AP327" i="105"/>
  <c r="G290" i="105"/>
  <c r="G291" i="105"/>
  <c r="AQ291" i="105" s="1"/>
  <c r="G292" i="105"/>
  <c r="AQ292" i="105" s="1"/>
  <c r="G293" i="105"/>
  <c r="AQ293" i="105" s="1"/>
  <c r="G294" i="105"/>
  <c r="AQ294" i="105" s="1"/>
  <c r="G295" i="105"/>
  <c r="AQ295" i="105" s="1"/>
  <c r="G296" i="105"/>
  <c r="AQ296" i="105" s="1"/>
  <c r="G297" i="105"/>
  <c r="AQ297" i="105" s="1"/>
  <c r="G298" i="105"/>
  <c r="AQ298" i="105" s="1"/>
  <c r="G299" i="105"/>
  <c r="AQ299" i="105" s="1"/>
  <c r="G300" i="105"/>
  <c r="AQ300" i="105" s="1"/>
  <c r="G301" i="105"/>
  <c r="AQ301" i="105" s="1"/>
  <c r="G302" i="105"/>
  <c r="G303" i="105"/>
  <c r="AQ303" i="105" s="1"/>
  <c r="G304" i="105"/>
  <c r="AQ304" i="105" s="1"/>
  <c r="G305" i="105"/>
  <c r="AQ305" i="105" s="1"/>
  <c r="G306" i="105"/>
  <c r="G307" i="105"/>
  <c r="AQ307" i="105" s="1"/>
  <c r="G308" i="105"/>
  <c r="G309" i="105"/>
  <c r="AQ309" i="105" s="1"/>
  <c r="G310" i="105"/>
  <c r="G311" i="105"/>
  <c r="AQ311" i="105" s="1"/>
  <c r="G312" i="105"/>
  <c r="AQ312" i="105" s="1"/>
  <c r="G313" i="105"/>
  <c r="AQ313" i="105" s="1"/>
  <c r="G314" i="105"/>
  <c r="AQ314" i="105" s="1"/>
  <c r="G315" i="105"/>
  <c r="AQ315" i="105" s="1"/>
  <c r="H316" i="105"/>
  <c r="I316" i="105"/>
  <c r="J316" i="105"/>
  <c r="K316" i="105"/>
  <c r="L316" i="105"/>
  <c r="M316" i="105"/>
  <c r="N316" i="105"/>
  <c r="O316" i="105"/>
  <c r="P316" i="105"/>
  <c r="Q316" i="105"/>
  <c r="R316" i="105"/>
  <c r="S316" i="105"/>
  <c r="T316" i="105"/>
  <c r="U316" i="105"/>
  <c r="V316" i="105"/>
  <c r="W316" i="105"/>
  <c r="X316" i="105"/>
  <c r="Y316" i="105"/>
  <c r="Z316" i="105"/>
  <c r="AA316" i="105"/>
  <c r="AB316" i="105"/>
  <c r="AC316" i="105"/>
  <c r="AD316" i="105"/>
  <c r="AE316" i="105"/>
  <c r="AF316" i="105"/>
  <c r="AG316" i="105"/>
  <c r="AH316" i="105"/>
  <c r="AI316" i="105"/>
  <c r="AJ316" i="105"/>
  <c r="AK316" i="105"/>
  <c r="AL316" i="105"/>
  <c r="AM316" i="105"/>
  <c r="AN316" i="105"/>
  <c r="AO316" i="105"/>
  <c r="AP316" i="105"/>
  <c r="G278" i="105"/>
  <c r="G279" i="105"/>
  <c r="AQ279" i="105" s="1"/>
  <c r="G280" i="105"/>
  <c r="AQ280" i="105" s="1"/>
  <c r="G281" i="105"/>
  <c r="AQ281" i="105" s="1"/>
  <c r="G282" i="105"/>
  <c r="G283" i="105"/>
  <c r="AQ283" i="105" s="1"/>
  <c r="G284" i="105"/>
  <c r="G285" i="105"/>
  <c r="AQ285" i="105" s="1"/>
  <c r="G286" i="105"/>
  <c r="AQ286" i="105" s="1"/>
  <c r="G287" i="105"/>
  <c r="AQ287" i="105" s="1"/>
  <c r="H288" i="105"/>
  <c r="I288" i="105"/>
  <c r="J288" i="105"/>
  <c r="K288" i="105"/>
  <c r="L288" i="105"/>
  <c r="M288" i="105"/>
  <c r="N288" i="105"/>
  <c r="O288" i="105"/>
  <c r="P288" i="105"/>
  <c r="Q288" i="105"/>
  <c r="R288" i="105"/>
  <c r="S288" i="105"/>
  <c r="T288" i="105"/>
  <c r="U288" i="105"/>
  <c r="V288" i="105"/>
  <c r="W288" i="105"/>
  <c r="X288" i="105"/>
  <c r="Y288" i="105"/>
  <c r="Z288" i="105"/>
  <c r="AA288" i="105"/>
  <c r="AB288" i="105"/>
  <c r="AC288" i="105"/>
  <c r="AD288" i="105"/>
  <c r="AE288" i="105"/>
  <c r="AF288" i="105"/>
  <c r="AG288" i="105"/>
  <c r="AH288" i="105"/>
  <c r="AI288" i="105"/>
  <c r="AJ288" i="105"/>
  <c r="AK288" i="105"/>
  <c r="AL288" i="105"/>
  <c r="AM288" i="105"/>
  <c r="AN288" i="105"/>
  <c r="AO288" i="105"/>
  <c r="AP288" i="105"/>
  <c r="G267" i="105"/>
  <c r="AQ267" i="105" s="1"/>
  <c r="G268" i="105"/>
  <c r="AQ268" i="105" s="1"/>
  <c r="G269" i="105"/>
  <c r="G270" i="105"/>
  <c r="AQ270" i="105" s="1"/>
  <c r="G271" i="105"/>
  <c r="AQ271" i="105" s="1"/>
  <c r="G272" i="105"/>
  <c r="AQ272" i="105" s="1"/>
  <c r="G273" i="105"/>
  <c r="G274" i="105"/>
  <c r="AQ274" i="105" s="1"/>
  <c r="G275" i="105"/>
  <c r="H276" i="105"/>
  <c r="F21" i="47" s="1"/>
  <c r="I276" i="105"/>
  <c r="J276" i="105"/>
  <c r="K276" i="105"/>
  <c r="L276" i="105"/>
  <c r="M276" i="105"/>
  <c r="N276" i="105"/>
  <c r="O276" i="105"/>
  <c r="P276" i="105"/>
  <c r="Q276" i="105"/>
  <c r="R276" i="105"/>
  <c r="S276" i="105"/>
  <c r="T276" i="105"/>
  <c r="U276" i="105"/>
  <c r="V276" i="105"/>
  <c r="W276" i="105"/>
  <c r="X276" i="105"/>
  <c r="Y276" i="105"/>
  <c r="Z276" i="105"/>
  <c r="AA276" i="105"/>
  <c r="AB276" i="105"/>
  <c r="AC276" i="105"/>
  <c r="AD276" i="105"/>
  <c r="AE276" i="105"/>
  <c r="AF276" i="105"/>
  <c r="AG276" i="105"/>
  <c r="AH276" i="105"/>
  <c r="AI276" i="105"/>
  <c r="AJ276" i="105"/>
  <c r="AK276" i="105"/>
  <c r="AL276" i="105"/>
  <c r="AM276" i="105"/>
  <c r="AN276" i="105"/>
  <c r="AO276" i="105"/>
  <c r="AP276" i="105"/>
  <c r="G258" i="105"/>
  <c r="G259" i="105"/>
  <c r="AQ259" i="105" s="1"/>
  <c r="G260" i="105"/>
  <c r="AQ260" i="105" s="1"/>
  <c r="G261" i="105"/>
  <c r="AQ261" i="105" s="1"/>
  <c r="G262" i="105"/>
  <c r="AQ262" i="105" s="1"/>
  <c r="G263" i="105"/>
  <c r="AQ263" i="105" s="1"/>
  <c r="G264" i="105"/>
  <c r="H265" i="105"/>
  <c r="I265" i="105"/>
  <c r="J265" i="105"/>
  <c r="K265" i="105"/>
  <c r="L265" i="105"/>
  <c r="M265" i="105"/>
  <c r="N265" i="105"/>
  <c r="O265" i="105"/>
  <c r="P265" i="105"/>
  <c r="Q265" i="105"/>
  <c r="R265" i="105"/>
  <c r="S265" i="105"/>
  <c r="T265" i="105"/>
  <c r="U265" i="105"/>
  <c r="V265" i="105"/>
  <c r="W265" i="105"/>
  <c r="X265" i="105"/>
  <c r="Y265" i="105"/>
  <c r="Z265" i="105"/>
  <c r="AA265" i="105"/>
  <c r="AB265" i="105"/>
  <c r="AC265" i="105"/>
  <c r="AD265" i="105"/>
  <c r="AE265" i="105"/>
  <c r="AF265" i="105"/>
  <c r="AG265" i="105"/>
  <c r="AH265" i="105"/>
  <c r="AI265" i="105"/>
  <c r="AJ265" i="105"/>
  <c r="AK265" i="105"/>
  <c r="AL265" i="105"/>
  <c r="AM265" i="105"/>
  <c r="AN265" i="105"/>
  <c r="AO265" i="105"/>
  <c r="AP265" i="105"/>
  <c r="F66" i="102"/>
  <c r="F129" i="102"/>
  <c r="F128" i="102"/>
  <c r="F127" i="102"/>
  <c r="F125" i="102"/>
  <c r="F124" i="102"/>
  <c r="F123" i="102"/>
  <c r="F122" i="102"/>
  <c r="F119" i="102"/>
  <c r="F121" i="102"/>
  <c r="F120" i="102"/>
  <c r="F117" i="102"/>
  <c r="F116" i="102"/>
  <c r="F111" i="102"/>
  <c r="F114" i="102"/>
  <c r="F113" i="102"/>
  <c r="F112" i="102"/>
  <c r="F107" i="102"/>
  <c r="F106" i="102"/>
  <c r="F105" i="102"/>
  <c r="F103" i="102"/>
  <c r="F104" i="102"/>
  <c r="F102" i="102"/>
  <c r="F101" i="102"/>
  <c r="F95" i="102"/>
  <c r="F94" i="102"/>
  <c r="F92" i="102"/>
  <c r="F91" i="102"/>
  <c r="F90" i="102"/>
  <c r="F89" i="102"/>
  <c r="F88" i="102"/>
  <c r="F84" i="102"/>
  <c r="F82" i="102"/>
  <c r="F80" i="102"/>
  <c r="F78" i="102"/>
  <c r="F76" i="102"/>
  <c r="F74" i="102"/>
  <c r="F72" i="102"/>
  <c r="F63" i="102"/>
  <c r="F58" i="102"/>
  <c r="F59" i="102"/>
  <c r="F57" i="102"/>
  <c r="F55" i="102"/>
  <c r="F62" i="102"/>
  <c r="F56" i="102"/>
  <c r="F52" i="102"/>
  <c r="AE104" i="49" l="1"/>
  <c r="AD117" i="49"/>
  <c r="AE116" i="49"/>
  <c r="M90" i="49"/>
  <c r="M108" i="49"/>
  <c r="AG100" i="49"/>
  <c r="AH113" i="49"/>
  <c r="AI112" i="49"/>
  <c r="H58" i="47"/>
  <c r="H165" i="47" s="1"/>
  <c r="H173" i="47" s="1"/>
  <c r="F23" i="47"/>
  <c r="F20" i="47"/>
  <c r="F22" i="47"/>
  <c r="AQ368" i="105"/>
  <c r="AQ406" i="105"/>
  <c r="AQ360" i="105"/>
  <c r="AQ354" i="105"/>
  <c r="AQ348" i="105"/>
  <c r="G364" i="105"/>
  <c r="AQ310" i="105"/>
  <c r="G390" i="105"/>
  <c r="G276" i="105"/>
  <c r="I49" i="47"/>
  <c r="AQ284" i="105"/>
  <c r="AQ323" i="105"/>
  <c r="AQ278" i="105"/>
  <c r="AQ407" i="105"/>
  <c r="AQ337" i="105"/>
  <c r="G338" i="105"/>
  <c r="AQ302" i="105"/>
  <c r="AQ342" i="105"/>
  <c r="G327" i="105"/>
  <c r="AQ264" i="105"/>
  <c r="AQ331" i="105"/>
  <c r="G316" i="105"/>
  <c r="AQ401" i="105"/>
  <c r="G265" i="105"/>
  <c r="G288" i="105"/>
  <c r="AQ395" i="105"/>
  <c r="AQ275" i="105"/>
  <c r="AQ290" i="105"/>
  <c r="AQ380" i="105"/>
  <c r="G411" i="105"/>
  <c r="AQ269" i="105"/>
  <c r="AQ374" i="105"/>
  <c r="AQ273" i="105"/>
  <c r="AQ282" i="105"/>
  <c r="AQ306" i="105"/>
  <c r="AQ308" i="105"/>
  <c r="AQ321" i="105"/>
  <c r="AQ329" i="105"/>
  <c r="AQ352" i="105"/>
  <c r="AQ340" i="105"/>
  <c r="AQ378" i="105"/>
  <c r="AQ366" i="105"/>
  <c r="AQ399" i="105"/>
  <c r="AQ258" i="105"/>
  <c r="I31" i="47"/>
  <c r="D37" i="42"/>
  <c r="F54" i="102"/>
  <c r="AF104" i="49" l="1"/>
  <c r="N90" i="49"/>
  <c r="AF116" i="49"/>
  <c r="AE117" i="49"/>
  <c r="N108" i="49"/>
  <c r="F31" i="47"/>
  <c r="AH100" i="49"/>
  <c r="AI113" i="49"/>
  <c r="AJ112" i="49"/>
  <c r="G415" i="105"/>
  <c r="G416" i="105" s="1"/>
  <c r="G58" i="47"/>
  <c r="G165" i="47" s="1"/>
  <c r="G173" i="47" s="1"/>
  <c r="I58" i="47"/>
  <c r="G414" i="105"/>
  <c r="AG104" i="49" l="1"/>
  <c r="AG116" i="49"/>
  <c r="AF117" i="49"/>
  <c r="O90" i="49"/>
  <c r="O108" i="49"/>
  <c r="AI100" i="49"/>
  <c r="AJ113" i="49"/>
  <c r="AK112" i="49"/>
  <c r="M31" i="47"/>
  <c r="J31" i="47"/>
  <c r="J58" i="47" s="1"/>
  <c r="AH104" i="49" l="1"/>
  <c r="P90" i="49"/>
  <c r="AG117" i="49"/>
  <c r="AH116" i="49"/>
  <c r="P108" i="49"/>
  <c r="AJ100" i="49"/>
  <c r="AI101" i="49"/>
  <c r="AL112" i="49"/>
  <c r="AL113" i="49" s="1"/>
  <c r="AK113" i="49"/>
  <c r="F91" i="108"/>
  <c r="L139" i="108"/>
  <c r="L134" i="108"/>
  <c r="L129" i="108"/>
  <c r="F62" i="47"/>
  <c r="F92" i="108" s="1"/>
  <c r="G193" i="52"/>
  <c r="E195" i="52"/>
  <c r="G192" i="52"/>
  <c r="G191" i="52"/>
  <c r="G190" i="52"/>
  <c r="G189" i="52"/>
  <c r="G7" i="52"/>
  <c r="M10" i="52" s="1"/>
  <c r="Q168" i="47"/>
  <c r="R168" i="47"/>
  <c r="AI104" i="49" l="1"/>
  <c r="AI116" i="49"/>
  <c r="AH117" i="49"/>
  <c r="Q90" i="49"/>
  <c r="Q108" i="49"/>
  <c r="AJ101" i="49"/>
  <c r="AK100" i="49"/>
  <c r="W61" i="109"/>
  <c r="X61" i="109" s="1"/>
  <c r="AA61" i="109" s="1"/>
  <c r="E193" i="52"/>
  <c r="G78" i="52"/>
  <c r="F58" i="47"/>
  <c r="M58" i="47" s="1"/>
  <c r="L10" i="52"/>
  <c r="AJ10" i="52"/>
  <c r="X10" i="52"/>
  <c r="AI10" i="52"/>
  <c r="W10" i="52"/>
  <c r="K10" i="52"/>
  <c r="AH10" i="52"/>
  <c r="V10" i="52"/>
  <c r="J10" i="52"/>
  <c r="AG10" i="52"/>
  <c r="U10" i="52"/>
  <c r="I10" i="52"/>
  <c r="AF10" i="52"/>
  <c r="T10" i="52"/>
  <c r="H10" i="52"/>
  <c r="S10" i="52"/>
  <c r="AD10" i="52"/>
  <c r="R10" i="52"/>
  <c r="G11" i="52"/>
  <c r="AE10" i="52"/>
  <c r="AC10" i="52"/>
  <c r="Q10" i="52"/>
  <c r="AB10" i="52"/>
  <c r="P10" i="52"/>
  <c r="AA10" i="52"/>
  <c r="O10" i="52"/>
  <c r="Z10" i="52"/>
  <c r="N10" i="52"/>
  <c r="G10" i="52"/>
  <c r="Y10" i="52"/>
  <c r="AA62" i="109" l="1"/>
  <c r="M58" i="109" s="1"/>
  <c r="M62" i="109" s="1"/>
  <c r="AJ104" i="49"/>
  <c r="AI105" i="49"/>
  <c r="R90" i="49"/>
  <c r="AJ116" i="49"/>
  <c r="AI117" i="49"/>
  <c r="R108" i="49"/>
  <c r="Z61" i="109"/>
  <c r="AK101" i="49"/>
  <c r="AL100" i="49"/>
  <c r="H11" i="52"/>
  <c r="G23" i="52"/>
  <c r="G24" i="52"/>
  <c r="G25" i="52"/>
  <c r="AK104" i="49" l="1"/>
  <c r="AJ105" i="49"/>
  <c r="AK116" i="49"/>
  <c r="AJ117" i="49"/>
  <c r="S90" i="49"/>
  <c r="S108" i="49"/>
  <c r="Z62" i="109"/>
  <c r="AL101" i="49"/>
  <c r="I11" i="52"/>
  <c r="H23" i="52"/>
  <c r="H24" i="52"/>
  <c r="H25" i="52"/>
  <c r="O169" i="47"/>
  <c r="AL104" i="49" l="1"/>
  <c r="AL105" i="49" s="1"/>
  <c r="AK105" i="49"/>
  <c r="T90" i="49"/>
  <c r="AL116" i="49"/>
  <c r="AL117" i="49" s="1"/>
  <c r="AL123" i="49" s="1"/>
  <c r="AL128" i="49" s="1"/>
  <c r="AL133" i="49" s="1"/>
  <c r="AK117" i="49"/>
  <c r="T108" i="49"/>
  <c r="J11" i="52"/>
  <c r="I23" i="52"/>
  <c r="I24" i="52"/>
  <c r="I25" i="52"/>
  <c r="F248" i="102"/>
  <c r="F60" i="102"/>
  <c r="H35" i="103"/>
  <c r="F231" i="102" s="1"/>
  <c r="F229" i="102"/>
  <c r="F227" i="102"/>
  <c r="F61" i="102"/>
  <c r="F67" i="102"/>
  <c r="F68" i="102"/>
  <c r="F70" i="102"/>
  <c r="F69" i="102"/>
  <c r="F51" i="102"/>
  <c r="F48" i="102"/>
  <c r="F64" i="102"/>
  <c r="F204" i="102"/>
  <c r="U90" i="49" l="1"/>
  <c r="U108" i="49"/>
  <c r="K11" i="52"/>
  <c r="J23" i="52"/>
  <c r="J24" i="52"/>
  <c r="J25" i="52"/>
  <c r="F496" i="42"/>
  <c r="G145" i="45"/>
  <c r="V90" i="49" l="1"/>
  <c r="V108" i="49"/>
  <c r="L11" i="52"/>
  <c r="K23" i="52"/>
  <c r="K24" i="52"/>
  <c r="K25" i="52"/>
  <c r="F53" i="102"/>
  <c r="F47" i="102"/>
  <c r="F49" i="102"/>
  <c r="F43" i="102"/>
  <c r="F44" i="102"/>
  <c r="F42" i="102"/>
  <c r="F40" i="102"/>
  <c r="F31" i="102"/>
  <c r="F33" i="102"/>
  <c r="F28" i="102"/>
  <c r="F27" i="102"/>
  <c r="F32" i="102"/>
  <c r="F30" i="102"/>
  <c r="F29" i="102"/>
  <c r="F26" i="102"/>
  <c r="F25" i="102"/>
  <c r="F23" i="102"/>
  <c r="F13" i="102"/>
  <c r="F12" i="102"/>
  <c r="F14" i="102"/>
  <c r="F20" i="102"/>
  <c r="F18" i="102"/>
  <c r="F17" i="102"/>
  <c r="F15" i="102"/>
  <c r="W90" i="49" l="1"/>
  <c r="W108" i="49"/>
  <c r="M11" i="52"/>
  <c r="L23" i="52"/>
  <c r="L24" i="52"/>
  <c r="L25" i="52"/>
  <c r="X90" i="49" l="1"/>
  <c r="X108" i="49"/>
  <c r="X109" i="49" s="1"/>
  <c r="N11" i="52"/>
  <c r="M23" i="52"/>
  <c r="M24" i="52"/>
  <c r="M25" i="52"/>
  <c r="I4" i="101"/>
  <c r="C23" i="101"/>
  <c r="C22" i="101"/>
  <c r="C21" i="101"/>
  <c r="C20" i="101"/>
  <c r="C19" i="101"/>
  <c r="C18" i="101"/>
  <c r="C17" i="101"/>
  <c r="C6" i="101"/>
  <c r="C7" i="101"/>
  <c r="C8" i="101"/>
  <c r="C9" i="101"/>
  <c r="C10" i="101"/>
  <c r="C11" i="101"/>
  <c r="C12" i="101"/>
  <c r="C13" i="101"/>
  <c r="C14" i="101"/>
  <c r="C5" i="101"/>
  <c r="Y90" i="49" l="1"/>
  <c r="Y108" i="49"/>
  <c r="Y109" i="49" s="1"/>
  <c r="O11" i="52"/>
  <c r="N23" i="52"/>
  <c r="N24" i="52"/>
  <c r="N25" i="52"/>
  <c r="T54" i="3"/>
  <c r="T53" i="3"/>
  <c r="Z90" i="49" l="1"/>
  <c r="Z108" i="49"/>
  <c r="Z109" i="49" s="1"/>
  <c r="P11" i="52"/>
  <c r="O23" i="52"/>
  <c r="O24" i="52"/>
  <c r="O25" i="52"/>
  <c r="G42" i="101"/>
  <c r="C42" i="101"/>
  <c r="G40" i="101"/>
  <c r="G4" i="101" s="1"/>
  <c r="C40" i="101"/>
  <c r="G3" i="101" s="1"/>
  <c r="C30" i="101"/>
  <c r="C29" i="101"/>
  <c r="C27" i="101"/>
  <c r="C26" i="101"/>
  <c r="F4" i="101"/>
  <c r="F3" i="101"/>
  <c r="AA90" i="49" l="1"/>
  <c r="AA108" i="49"/>
  <c r="AA109" i="49" s="1"/>
  <c r="Q11" i="52"/>
  <c r="P23" i="52"/>
  <c r="P24" i="52"/>
  <c r="P25" i="52"/>
  <c r="H3" i="101"/>
  <c r="J3" i="101" s="1"/>
  <c r="H4" i="101"/>
  <c r="J4" i="101" s="1"/>
  <c r="AB90" i="49" l="1"/>
  <c r="AB108" i="49"/>
  <c r="AB109" i="49" s="1"/>
  <c r="R11" i="52"/>
  <c r="Q23" i="52"/>
  <c r="Q24" i="52"/>
  <c r="Q25" i="52"/>
  <c r="H5" i="101"/>
  <c r="J5" i="101"/>
  <c r="K4" i="101" s="1"/>
  <c r="G36" i="101" s="1"/>
  <c r="AC90" i="49" l="1"/>
  <c r="AC108" i="49"/>
  <c r="AC109" i="49" s="1"/>
  <c r="S11" i="52"/>
  <c r="R23" i="52"/>
  <c r="R24" i="52"/>
  <c r="R25" i="52"/>
  <c r="K3" i="101"/>
  <c r="C36" i="101" s="1"/>
  <c r="AD90" i="49" l="1"/>
  <c r="AD108" i="49"/>
  <c r="AD109" i="49" s="1"/>
  <c r="T11" i="52"/>
  <c r="S23" i="52"/>
  <c r="S24" i="52"/>
  <c r="S25" i="52"/>
  <c r="R17" i="45"/>
  <c r="R18" i="45"/>
  <c r="R19"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AE90" i="49" l="1"/>
  <c r="AE108" i="49"/>
  <c r="AE109" i="49" s="1"/>
  <c r="U11" i="52"/>
  <c r="T23" i="52"/>
  <c r="T24" i="52"/>
  <c r="T25" i="52"/>
  <c r="E117" i="52"/>
  <c r="G117" i="52" s="1"/>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56" i="45"/>
  <c r="BD57" i="45"/>
  <c r="BD58" i="45"/>
  <c r="BD59" i="45"/>
  <c r="BD60" i="45"/>
  <c r="BD61" i="45"/>
  <c r="BD62" i="45"/>
  <c r="BD63" i="45"/>
  <c r="BD64" i="45"/>
  <c r="BD65" i="45"/>
  <c r="BD16" i="45"/>
  <c r="AF90" i="49" l="1"/>
  <c r="AF108" i="49"/>
  <c r="AF109" i="49" s="1"/>
  <c r="V11" i="52"/>
  <c r="U23" i="52"/>
  <c r="U24" i="52"/>
  <c r="U25" i="52"/>
  <c r="AG90" i="49" l="1"/>
  <c r="AG108" i="49"/>
  <c r="AG109" i="49" s="1"/>
  <c r="W11" i="52"/>
  <c r="V23" i="52"/>
  <c r="V24" i="52"/>
  <c r="V25" i="52"/>
  <c r="AH90" i="49" l="1"/>
  <c r="AH108" i="49"/>
  <c r="AH109" i="49" s="1"/>
  <c r="X11" i="52"/>
  <c r="W23" i="52"/>
  <c r="W24" i="52"/>
  <c r="W25" i="52"/>
  <c r="AI90" i="49" l="1"/>
  <c r="AI108" i="49"/>
  <c r="AI109" i="49" s="1"/>
  <c r="Y11" i="52"/>
  <c r="X23" i="52"/>
  <c r="X24" i="52"/>
  <c r="X25" i="52"/>
  <c r="AJ90" i="49" l="1"/>
  <c r="AJ108" i="49"/>
  <c r="AJ109" i="49" s="1"/>
  <c r="Z11" i="52"/>
  <c r="Y23" i="52"/>
  <c r="Y24" i="52"/>
  <c r="Y25" i="52"/>
  <c r="AE166" i="47"/>
  <c r="X183" i="47"/>
  <c r="AA183" i="47"/>
  <c r="AA184" i="47"/>
  <c r="AA185" i="47"/>
  <c r="AA190" i="47"/>
  <c r="AA192" i="47"/>
  <c r="AA194" i="47"/>
  <c r="AK90" i="49" l="1"/>
  <c r="AK108" i="49"/>
  <c r="AK109" i="49" s="1"/>
  <c r="AA11" i="52"/>
  <c r="Z23" i="52"/>
  <c r="Z24" i="52"/>
  <c r="Z25" i="52"/>
  <c r="AB2" i="42"/>
  <c r="AL90" i="49" l="1"/>
  <c r="AL108" i="49"/>
  <c r="AL109" i="49" s="1"/>
  <c r="AB11" i="52"/>
  <c r="AA23" i="52"/>
  <c r="AA24" i="52"/>
  <c r="AA25" i="52"/>
  <c r="P17" i="46"/>
  <c r="AC11" i="52" l="1"/>
  <c r="AB23" i="52"/>
  <c r="AB24" i="52"/>
  <c r="AB25" i="52"/>
  <c r="D200" i="52"/>
  <c r="AD11" i="52" l="1"/>
  <c r="AC23" i="52"/>
  <c r="AC24" i="52"/>
  <c r="AC25" i="52"/>
  <c r="D209" i="52"/>
  <c r="D208" i="52"/>
  <c r="D207" i="52"/>
  <c r="D206" i="52"/>
  <c r="D205" i="52"/>
  <c r="D204" i="52"/>
  <c r="D203" i="52"/>
  <c r="D202" i="52"/>
  <c r="D201" i="52"/>
  <c r="C209" i="52"/>
  <c r="C208" i="52"/>
  <c r="C207" i="52"/>
  <c r="C206" i="52"/>
  <c r="C205" i="52"/>
  <c r="C204" i="52"/>
  <c r="C203" i="52"/>
  <c r="C202" i="52"/>
  <c r="C201" i="52"/>
  <c r="C200" i="52"/>
  <c r="AE11" i="52" l="1"/>
  <c r="AD23" i="52"/>
  <c r="AD24" i="52"/>
  <c r="AD25" i="52"/>
  <c r="AN178" i="52"/>
  <c r="AM178" i="52"/>
  <c r="AL178" i="52"/>
  <c r="AF11" i="52" l="1"/>
  <c r="AE23" i="52"/>
  <c r="AE24" i="52"/>
  <c r="AE25" i="52"/>
  <c r="AO178" i="52"/>
  <c r="AC343" i="42"/>
  <c r="AC331" i="42"/>
  <c r="AA410" i="42"/>
  <c r="Z410" i="42"/>
  <c r="AA409" i="42"/>
  <c r="Z409" i="42"/>
  <c r="AA408" i="42"/>
  <c r="Z408" i="42"/>
  <c r="AA407" i="42"/>
  <c r="Z407" i="42"/>
  <c r="AE407" i="42" s="1"/>
  <c r="AA406" i="42"/>
  <c r="Z406" i="42"/>
  <c r="AA404" i="42"/>
  <c r="Z404" i="42"/>
  <c r="AA403" i="42"/>
  <c r="Z403" i="42"/>
  <c r="AE403" i="42" s="1"/>
  <c r="AA402" i="42"/>
  <c r="Z402" i="42"/>
  <c r="AA401" i="42"/>
  <c r="Z401" i="42"/>
  <c r="AA400" i="42"/>
  <c r="Z400" i="42"/>
  <c r="AA399" i="42"/>
  <c r="Z399" i="42"/>
  <c r="AA398" i="42"/>
  <c r="Z398" i="42"/>
  <c r="AA397" i="42"/>
  <c r="Z397" i="42"/>
  <c r="AA395" i="42"/>
  <c r="Z395" i="42"/>
  <c r="AA394" i="42"/>
  <c r="Z394" i="42"/>
  <c r="AA393" i="42"/>
  <c r="Z393" i="42"/>
  <c r="AA392" i="42"/>
  <c r="Z392" i="42"/>
  <c r="AA390" i="42"/>
  <c r="Z390" i="42"/>
  <c r="AA389" i="42"/>
  <c r="Z389" i="42"/>
  <c r="AA388" i="42"/>
  <c r="Z388" i="42"/>
  <c r="AA387" i="42"/>
  <c r="Z387" i="42"/>
  <c r="AA386" i="42"/>
  <c r="Z386" i="42"/>
  <c r="AA385" i="42"/>
  <c r="Z385" i="42"/>
  <c r="AA384" i="42"/>
  <c r="Z384" i="42"/>
  <c r="AA382" i="42"/>
  <c r="Z382" i="42"/>
  <c r="AA381" i="42"/>
  <c r="Z381" i="42"/>
  <c r="AA380" i="42"/>
  <c r="Z380" i="42"/>
  <c r="AA378" i="42"/>
  <c r="Z378" i="42"/>
  <c r="AE378" i="42" s="1"/>
  <c r="AA377" i="42"/>
  <c r="Z377" i="42"/>
  <c r="AA376" i="42"/>
  <c r="Z376" i="42"/>
  <c r="AA375" i="42"/>
  <c r="Z375" i="42"/>
  <c r="AA374" i="42"/>
  <c r="Z374" i="42"/>
  <c r="AA372" i="42"/>
  <c r="Z372" i="42"/>
  <c r="AE372" i="42" s="1"/>
  <c r="AA371" i="42"/>
  <c r="Z371" i="42"/>
  <c r="AA370" i="42"/>
  <c r="Z370" i="42"/>
  <c r="AA369" i="42"/>
  <c r="Z369" i="42"/>
  <c r="AA368" i="42"/>
  <c r="Z368" i="42"/>
  <c r="AE368" i="42" s="1"/>
  <c r="AA366" i="42"/>
  <c r="Z366" i="42"/>
  <c r="AE366" i="42" s="1"/>
  <c r="AA365" i="42"/>
  <c r="Z365" i="42"/>
  <c r="AA364" i="42"/>
  <c r="Z364" i="42"/>
  <c r="AA363" i="42"/>
  <c r="Z363" i="42"/>
  <c r="AA362" i="42"/>
  <c r="Z362" i="42"/>
  <c r="AA361" i="42"/>
  <c r="Z361" i="42"/>
  <c r="AA360" i="42"/>
  <c r="Z360" i="42"/>
  <c r="AA358" i="42"/>
  <c r="Z358" i="42"/>
  <c r="AE358" i="42" s="1"/>
  <c r="AA357" i="42"/>
  <c r="Z357" i="42"/>
  <c r="AA356" i="42"/>
  <c r="Z356" i="42"/>
  <c r="AA355" i="42"/>
  <c r="Z355" i="42"/>
  <c r="AE355" i="42" s="1"/>
  <c r="AA353" i="42"/>
  <c r="Z353" i="42"/>
  <c r="AA351" i="42"/>
  <c r="Z351" i="42"/>
  <c r="AE351" i="42" s="1"/>
  <c r="AA350" i="42"/>
  <c r="Z350" i="42"/>
  <c r="AA348" i="42"/>
  <c r="Z348" i="42"/>
  <c r="AA347" i="42"/>
  <c r="Z347" i="42"/>
  <c r="AA345" i="42"/>
  <c r="Z345" i="42"/>
  <c r="AE345" i="42" s="1"/>
  <c r="AA344" i="42"/>
  <c r="Z344" i="42"/>
  <c r="AA343" i="42"/>
  <c r="Z343" i="42"/>
  <c r="AA342" i="42"/>
  <c r="Z342" i="42"/>
  <c r="AA340" i="42"/>
  <c r="Z340" i="42"/>
  <c r="AA339" i="42"/>
  <c r="Z339" i="42"/>
  <c r="AA338" i="42"/>
  <c r="Z338" i="42"/>
  <c r="AA337" i="42"/>
  <c r="Z337" i="42"/>
  <c r="AA336" i="42"/>
  <c r="Z336" i="42"/>
  <c r="AA334" i="42"/>
  <c r="Z334" i="42"/>
  <c r="AA332" i="42"/>
  <c r="Z332" i="42"/>
  <c r="AE332" i="42" s="1"/>
  <c r="AA331" i="42"/>
  <c r="Z331" i="42"/>
  <c r="AE331" i="42" s="1"/>
  <c r="AA330" i="42"/>
  <c r="Z330" i="42"/>
  <c r="AA328" i="42"/>
  <c r="Z328" i="42"/>
  <c r="AA326" i="42"/>
  <c r="Z326" i="42"/>
  <c r="AA325" i="42"/>
  <c r="Z325" i="42"/>
  <c r="AA324" i="42"/>
  <c r="Z324" i="42"/>
  <c r="AC380" i="42"/>
  <c r="AC381" i="42"/>
  <c r="AC384" i="42"/>
  <c r="AC385" i="42"/>
  <c r="AC386" i="42"/>
  <c r="AC392" i="42"/>
  <c r="AC393" i="42"/>
  <c r="AC394" i="42"/>
  <c r="AC395" i="42"/>
  <c r="AC397" i="42"/>
  <c r="AC400" i="42"/>
  <c r="AC401" i="42"/>
  <c r="AC402" i="42"/>
  <c r="AC403" i="42"/>
  <c r="AC404" i="42"/>
  <c r="AC406" i="42"/>
  <c r="AC407" i="42"/>
  <c r="AC409" i="42"/>
  <c r="AC374" i="42"/>
  <c r="AC375" i="42"/>
  <c r="AC376" i="42"/>
  <c r="AC377" i="42"/>
  <c r="AC378" i="42"/>
  <c r="AC368" i="42"/>
  <c r="AC370" i="42"/>
  <c r="AC371" i="42"/>
  <c r="AC372" i="42"/>
  <c r="AC360" i="42"/>
  <c r="AC361" i="42"/>
  <c r="AC362" i="42"/>
  <c r="AC363" i="42"/>
  <c r="AC364" i="42"/>
  <c r="AC366" i="42"/>
  <c r="AC355" i="42"/>
  <c r="AC356" i="42"/>
  <c r="AC358" i="42"/>
  <c r="AC350" i="42"/>
  <c r="AC351" i="42"/>
  <c r="AC347" i="42"/>
  <c r="AC348" i="42"/>
  <c r="AC342" i="42"/>
  <c r="AC344" i="42"/>
  <c r="AC345" i="42"/>
  <c r="AC336" i="42"/>
  <c r="AC337" i="42"/>
  <c r="AC338" i="42"/>
  <c r="AC339" i="42"/>
  <c r="AC340" i="42"/>
  <c r="AC334" i="42"/>
  <c r="AC328" i="42"/>
  <c r="AC330" i="42"/>
  <c r="AC332" i="42"/>
  <c r="AC324" i="42"/>
  <c r="AC325" i="42"/>
  <c r="AG11" i="52" l="1"/>
  <c r="AF23" i="52"/>
  <c r="AF24" i="52"/>
  <c r="AF25" i="52"/>
  <c r="C172" i="42"/>
  <c r="AH11" i="52" l="1"/>
  <c r="AG23" i="52"/>
  <c r="AG24" i="52"/>
  <c r="AG25" i="52"/>
  <c r="AN185" i="52"/>
  <c r="AM185" i="52"/>
  <c r="AL185" i="52"/>
  <c r="AN184" i="52"/>
  <c r="AM184" i="52"/>
  <c r="AL184" i="52"/>
  <c r="AN183" i="52"/>
  <c r="AM183" i="52"/>
  <c r="AL183" i="52"/>
  <c r="AN182" i="52"/>
  <c r="AM182" i="52"/>
  <c r="AL182" i="52"/>
  <c r="AN181" i="52"/>
  <c r="AM181" i="52"/>
  <c r="AL181" i="52"/>
  <c r="AN180" i="52"/>
  <c r="AM180" i="52"/>
  <c r="AL180" i="52"/>
  <c r="AN179" i="52"/>
  <c r="AM179" i="52"/>
  <c r="AL179" i="52"/>
  <c r="AI11" i="52" l="1"/>
  <c r="AH23" i="52"/>
  <c r="AH24" i="52"/>
  <c r="AH25" i="52"/>
  <c r="AO182" i="52"/>
  <c r="AO179" i="52"/>
  <c r="AO180" i="52"/>
  <c r="AO181" i="52"/>
  <c r="AO184" i="52"/>
  <c r="AO185" i="52"/>
  <c r="AO183" i="52"/>
  <c r="AJ11" i="52" l="1"/>
  <c r="AI23" i="52"/>
  <c r="AI24" i="52"/>
  <c r="AI25" i="52"/>
  <c r="E60" i="49"/>
  <c r="AJ23" i="52" l="1"/>
  <c r="AJ24" i="52"/>
  <c r="F24" i="52" s="1"/>
  <c r="AJ25" i="52"/>
  <c r="F25" i="52" s="1"/>
  <c r="F60" i="49"/>
  <c r="G60" i="49" s="1"/>
  <c r="S188" i="47"/>
  <c r="T188" i="47" s="1"/>
  <c r="T196" i="47"/>
  <c r="S187" i="47"/>
  <c r="T195" i="47"/>
  <c r="F23" i="52" l="1"/>
  <c r="H60" i="49"/>
  <c r="I60" i="49" l="1"/>
  <c r="J60" i="49" l="1"/>
  <c r="AB65" i="45"/>
  <c r="AB64" i="45"/>
  <c r="AB63" i="45"/>
  <c r="AB62" i="45"/>
  <c r="AB61" i="45"/>
  <c r="AB60" i="45"/>
  <c r="AB59" i="45"/>
  <c r="AB58" i="45"/>
  <c r="AB57" i="45"/>
  <c r="AB56" i="45"/>
  <c r="AB55" i="45"/>
  <c r="AB54" i="45"/>
  <c r="AB53" i="45"/>
  <c r="AB52" i="45"/>
  <c r="AB51" i="45"/>
  <c r="AB50" i="45"/>
  <c r="AB49" i="45"/>
  <c r="AB48" i="45"/>
  <c r="AB47" i="45"/>
  <c r="AB46" i="45"/>
  <c r="AB45" i="45"/>
  <c r="AB44" i="45"/>
  <c r="AB43" i="45"/>
  <c r="AB42" i="45"/>
  <c r="AB41" i="45"/>
  <c r="AB40" i="45"/>
  <c r="AB39" i="45"/>
  <c r="AB38" i="45"/>
  <c r="AB37" i="45"/>
  <c r="AB36" i="45"/>
  <c r="AB35" i="45"/>
  <c r="AB34" i="45"/>
  <c r="AB33" i="45"/>
  <c r="AB32" i="45"/>
  <c r="AB31" i="45"/>
  <c r="AB30" i="45"/>
  <c r="AB29" i="45"/>
  <c r="AB28" i="45"/>
  <c r="AB27" i="45"/>
  <c r="AB26" i="45"/>
  <c r="AB25" i="45"/>
  <c r="AB24" i="45"/>
  <c r="AB23" i="45"/>
  <c r="AB22" i="45"/>
  <c r="AB21" i="45"/>
  <c r="AB20" i="45"/>
  <c r="AB19" i="45"/>
  <c r="AB18" i="45"/>
  <c r="AB17" i="45"/>
  <c r="AB16" i="45"/>
  <c r="K60" i="49" l="1"/>
  <c r="L60" i="49" l="1"/>
  <c r="D75" i="49"/>
  <c r="M60" i="49" l="1"/>
  <c r="N60" i="49" l="1"/>
  <c r="O60" i="49" l="1"/>
  <c r="P60" i="49" l="1"/>
  <c r="A5" i="93"/>
  <c r="Q60" i="49" l="1"/>
  <c r="A6" i="93"/>
  <c r="A7" i="93" s="1"/>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C5" i="93"/>
  <c r="R60" i="49" l="1"/>
  <c r="B6" i="93"/>
  <c r="C6" i="93"/>
  <c r="C7" i="93" s="1"/>
  <c r="C8" i="93" s="1"/>
  <c r="C411" i="42"/>
  <c r="S60" i="49" l="1"/>
  <c r="D6" i="93"/>
  <c r="B7" i="93"/>
  <c r="B8" i="93" s="1"/>
  <c r="E5" i="93"/>
  <c r="H5" i="93" s="1" a="1"/>
  <c r="C9" i="93"/>
  <c r="C374" i="42"/>
  <c r="C366" i="42"/>
  <c r="K5" i="93" a="1"/>
  <c r="I6" i="93" a="1"/>
  <c r="J5" i="93" a="1"/>
  <c r="F5" i="93" a="1"/>
  <c r="G5" i="93" a="1"/>
  <c r="I6" i="93" l="1"/>
  <c r="F5" i="93"/>
  <c r="H5" i="93"/>
  <c r="G5" i="93"/>
  <c r="J197" i="42" s="1"/>
  <c r="J5" i="93"/>
  <c r="K5" i="93"/>
  <c r="T60" i="49"/>
  <c r="E6" i="93"/>
  <c r="G6" i="93" s="1" a="1"/>
  <c r="D7" i="93"/>
  <c r="I7" i="93" s="1" a="1"/>
  <c r="B9" i="93"/>
  <c r="C10" i="93"/>
  <c r="C400" i="42"/>
  <c r="C401" i="42"/>
  <c r="C478" i="42"/>
  <c r="C476" i="42"/>
  <c r="C475" i="42"/>
  <c r="C474" i="42"/>
  <c r="C469" i="42"/>
  <c r="C466" i="42"/>
  <c r="C465" i="42"/>
  <c r="C462" i="42"/>
  <c r="C402" i="42" s="1"/>
  <c r="C460" i="42"/>
  <c r="C459" i="42"/>
  <c r="C445" i="42"/>
  <c r="C444" i="42"/>
  <c r="C443" i="42"/>
  <c r="C442" i="42"/>
  <c r="C437" i="42"/>
  <c r="C436" i="42"/>
  <c r="C435" i="42"/>
  <c r="C434" i="42"/>
  <c r="C432" i="42"/>
  <c r="C431" i="42"/>
  <c r="C422" i="42"/>
  <c r="C421" i="42"/>
  <c r="C420" i="42"/>
  <c r="C419" i="42"/>
  <c r="C418" i="42"/>
  <c r="C415" i="42"/>
  <c r="C408" i="42"/>
  <c r="C407" i="42"/>
  <c r="C414" i="42"/>
  <c r="C395" i="42"/>
  <c r="C394" i="42"/>
  <c r="C393" i="42"/>
  <c r="C390" i="42"/>
  <c r="C386" i="42"/>
  <c r="C387" i="42" s="1"/>
  <c r="C383" i="42"/>
  <c r="C380" i="42"/>
  <c r="C367" i="42"/>
  <c r="C360" i="42"/>
  <c r="C359" i="42"/>
  <c r="C358" i="42"/>
  <c r="C357" i="42"/>
  <c r="C354" i="42"/>
  <c r="C351" i="42"/>
  <c r="C348" i="42"/>
  <c r="C336" i="42"/>
  <c r="C334" i="42"/>
  <c r="C332" i="42"/>
  <c r="C327" i="42"/>
  <c r="C326" i="42"/>
  <c r="C325" i="42"/>
  <c r="K355" i="42"/>
  <c r="K351" i="42"/>
  <c r="K350" i="42"/>
  <c r="K349" i="42"/>
  <c r="K348" i="42"/>
  <c r="K345" i="42"/>
  <c r="K344" i="42"/>
  <c r="K343" i="42"/>
  <c r="K342" i="42"/>
  <c r="K341" i="42"/>
  <c r="K334" i="42"/>
  <c r="K333" i="42"/>
  <c r="K332" i="42"/>
  <c r="K331" i="42"/>
  <c r="K330" i="42"/>
  <c r="K329" i="42"/>
  <c r="K327" i="42"/>
  <c r="K488" i="42"/>
  <c r="K484" i="42"/>
  <c r="K483" i="42"/>
  <c r="K482" i="42"/>
  <c r="K481" i="42"/>
  <c r="K478" i="42"/>
  <c r="K477" i="42"/>
  <c r="K476" i="42"/>
  <c r="K475" i="42"/>
  <c r="K474" i="42"/>
  <c r="K467" i="42"/>
  <c r="K466" i="42"/>
  <c r="K465" i="42"/>
  <c r="K464" i="42"/>
  <c r="K463" i="42"/>
  <c r="K462" i="42"/>
  <c r="K460" i="42"/>
  <c r="I7" i="93" l="1"/>
  <c r="G6" i="93"/>
  <c r="E7" i="93"/>
  <c r="H7" i="93" s="1" a="1"/>
  <c r="L197" i="42"/>
  <c r="P197" i="42" s="1"/>
  <c r="C197" i="42"/>
  <c r="N197" i="42"/>
  <c r="D8" i="93"/>
  <c r="I8" i="93" s="1" a="1"/>
  <c r="C473" i="42"/>
  <c r="U60" i="49"/>
  <c r="C11" i="93"/>
  <c r="B10" i="93"/>
  <c r="C458" i="42"/>
  <c r="K6" i="93" a="1"/>
  <c r="F6" i="93" a="1"/>
  <c r="H6" i="93" a="1"/>
  <c r="I8" i="93" l="1"/>
  <c r="H7" i="93"/>
  <c r="K6" i="93"/>
  <c r="F6" i="93"/>
  <c r="C198" i="42" s="1"/>
  <c r="H6" i="93"/>
  <c r="L198" i="42" s="1"/>
  <c r="P198" i="42" s="1"/>
  <c r="J198" i="42"/>
  <c r="D9" i="93"/>
  <c r="I9" i="93" s="1" a="1"/>
  <c r="I9" i="93" s="1"/>
  <c r="H197" i="42"/>
  <c r="E8" i="93"/>
  <c r="K8" i="93" s="1" a="1"/>
  <c r="D10" i="93"/>
  <c r="I10" i="93" s="1" a="1"/>
  <c r="I10" i="93" s="1"/>
  <c r="R197" i="42"/>
  <c r="V60" i="49"/>
  <c r="B11" i="93"/>
  <c r="C12" i="93"/>
  <c r="K7" i="93" a="1"/>
  <c r="F7" i="93" a="1"/>
  <c r="J7" i="93" a="1"/>
  <c r="G7" i="93" a="1"/>
  <c r="K8" i="93" l="1"/>
  <c r="K7" i="93"/>
  <c r="J7" i="93"/>
  <c r="N199" i="42" s="1"/>
  <c r="G7" i="93"/>
  <c r="J199" i="42" s="1"/>
  <c r="F7" i="93"/>
  <c r="C199" i="42" s="1"/>
  <c r="E9" i="93"/>
  <c r="J9" i="93" s="1" a="1"/>
  <c r="J9" i="93" s="1"/>
  <c r="D11" i="93"/>
  <c r="I11" i="93" s="1" a="1"/>
  <c r="I11" i="93" s="1"/>
  <c r="L199" i="42"/>
  <c r="P199" i="42" s="1"/>
  <c r="H198" i="42"/>
  <c r="E10" i="93"/>
  <c r="W60" i="49"/>
  <c r="C13" i="93"/>
  <c r="B12" i="93"/>
  <c r="D12" i="93" s="1"/>
  <c r="I12" i="93" s="1" a="1"/>
  <c r="I12" i="93" s="1"/>
  <c r="F8" i="93" a="1"/>
  <c r="G8" i="93" a="1"/>
  <c r="H8" i="93" a="1"/>
  <c r="J8" i="93" a="1"/>
  <c r="F9" i="93" l="1" a="1"/>
  <c r="F9" i="93" s="1"/>
  <c r="C201" i="42" s="1"/>
  <c r="J8" i="93"/>
  <c r="N200" i="42" s="1"/>
  <c r="H8" i="93"/>
  <c r="L200" i="42" s="1"/>
  <c r="P200" i="42" s="1"/>
  <c r="G8" i="93"/>
  <c r="J200" i="42" s="1"/>
  <c r="F8" i="93"/>
  <c r="C200" i="42" s="1"/>
  <c r="K9" i="93" a="1"/>
  <c r="K9" i="93" s="1"/>
  <c r="G9" i="93" a="1"/>
  <c r="G9" i="93" s="1"/>
  <c r="J201" i="42" s="1"/>
  <c r="H9" i="93" a="1"/>
  <c r="H9" i="93" s="1"/>
  <c r="L201" i="42" s="1"/>
  <c r="P201" i="42" s="1"/>
  <c r="H10" i="93" a="1"/>
  <c r="H10" i="93" s="1"/>
  <c r="K10" i="93" a="1"/>
  <c r="K10" i="93" s="1"/>
  <c r="F10" i="93" a="1"/>
  <c r="F10" i="93" s="1"/>
  <c r="J10" i="93" a="1"/>
  <c r="J10" i="93" s="1"/>
  <c r="G10" i="93" a="1"/>
  <c r="G10" i="93" s="1"/>
  <c r="E11" i="93"/>
  <c r="F11" i="93" s="1" a="1"/>
  <c r="F11" i="93" s="1"/>
  <c r="N201" i="42"/>
  <c r="H199" i="42"/>
  <c r="X60" i="49"/>
  <c r="E12" i="93"/>
  <c r="K12" i="93" s="1" a="1"/>
  <c r="K12" i="93" s="1"/>
  <c r="B13" i="93"/>
  <c r="D13" i="93" s="1"/>
  <c r="I13" i="93" s="1" a="1"/>
  <c r="I13" i="93" s="1"/>
  <c r="C14" i="93"/>
  <c r="BL47" i="55"/>
  <c r="BK47" i="55"/>
  <c r="BJ47" i="55"/>
  <c r="BI47" i="55"/>
  <c r="BH47" i="55"/>
  <c r="BG47" i="55"/>
  <c r="BF47" i="55"/>
  <c r="BE47" i="55"/>
  <c r="BD47" i="55"/>
  <c r="BL46" i="55"/>
  <c r="BK46" i="55"/>
  <c r="BJ46" i="55"/>
  <c r="BI46" i="55"/>
  <c r="BH46" i="55"/>
  <c r="BG46" i="55"/>
  <c r="BF46" i="55"/>
  <c r="BE46" i="55"/>
  <c r="BD46" i="55"/>
  <c r="BL45" i="55"/>
  <c r="BK45" i="55"/>
  <c r="BJ45" i="55"/>
  <c r="BI45" i="55"/>
  <c r="BH45" i="55"/>
  <c r="BG45" i="55"/>
  <c r="BF45" i="55"/>
  <c r="BE45" i="55"/>
  <c r="BD45" i="55"/>
  <c r="BL44" i="55"/>
  <c r="BK44" i="55"/>
  <c r="BJ44" i="55"/>
  <c r="BI44" i="55"/>
  <c r="BH44" i="55"/>
  <c r="BG44" i="55"/>
  <c r="BF44" i="55"/>
  <c r="BE44" i="55"/>
  <c r="BD44" i="55"/>
  <c r="BL43" i="55"/>
  <c r="BK43" i="55"/>
  <c r="BJ43" i="55"/>
  <c r="BI43" i="55"/>
  <c r="BH43" i="55"/>
  <c r="BG43" i="55"/>
  <c r="BF43" i="55"/>
  <c r="BE43" i="55"/>
  <c r="BD43" i="55"/>
  <c r="BL42" i="55"/>
  <c r="BK42" i="55"/>
  <c r="BJ42" i="55"/>
  <c r="BI42" i="55"/>
  <c r="BH42" i="55"/>
  <c r="BG42" i="55"/>
  <c r="BF42" i="55"/>
  <c r="BE42" i="55"/>
  <c r="BD42" i="55"/>
  <c r="BL41" i="55"/>
  <c r="BK41" i="55"/>
  <c r="BJ41" i="55"/>
  <c r="BI41" i="55"/>
  <c r="BH41" i="55"/>
  <c r="BG41" i="55"/>
  <c r="BF41" i="55"/>
  <c r="BE41" i="55"/>
  <c r="BD41" i="55"/>
  <c r="BL40" i="55"/>
  <c r="BK40" i="55"/>
  <c r="BJ40" i="55"/>
  <c r="BI40" i="55"/>
  <c r="BH40" i="55"/>
  <c r="BG40" i="55"/>
  <c r="BF40" i="55"/>
  <c r="BE40" i="55"/>
  <c r="BD40" i="55"/>
  <c r="BL39" i="55"/>
  <c r="BK39" i="55"/>
  <c r="BJ39" i="55"/>
  <c r="BI39" i="55"/>
  <c r="BH39" i="55"/>
  <c r="BG39" i="55"/>
  <c r="BF39" i="55"/>
  <c r="BE39" i="55"/>
  <c r="BD39" i="55"/>
  <c r="BL38" i="55"/>
  <c r="BK38" i="55"/>
  <c r="BJ38" i="55"/>
  <c r="BI38" i="55"/>
  <c r="BH38" i="55"/>
  <c r="BG38" i="55"/>
  <c r="BF38" i="55"/>
  <c r="BE38" i="55"/>
  <c r="BD38" i="55"/>
  <c r="BL37" i="55"/>
  <c r="BK37" i="55"/>
  <c r="BJ37" i="55"/>
  <c r="BI37" i="55"/>
  <c r="BH37" i="55"/>
  <c r="BG37" i="55"/>
  <c r="BF37" i="55"/>
  <c r="BE37" i="55"/>
  <c r="BD37" i="55"/>
  <c r="BL36" i="55"/>
  <c r="BK36" i="55"/>
  <c r="BJ36" i="55"/>
  <c r="BI36" i="55"/>
  <c r="BH36" i="55"/>
  <c r="BG36" i="55"/>
  <c r="BF36" i="55"/>
  <c r="BE36" i="55"/>
  <c r="BD36" i="55"/>
  <c r="BL35" i="55"/>
  <c r="BK35" i="55"/>
  <c r="BJ35" i="55"/>
  <c r="BI35" i="55"/>
  <c r="BH35" i="55"/>
  <c r="BG35" i="55"/>
  <c r="BF35" i="55"/>
  <c r="BE35" i="55"/>
  <c r="BD35" i="55"/>
  <c r="BL34" i="55"/>
  <c r="BK34" i="55"/>
  <c r="BJ34" i="55"/>
  <c r="BI34" i="55"/>
  <c r="BH34" i="55"/>
  <c r="BG34" i="55"/>
  <c r="BF34" i="55"/>
  <c r="BE34" i="55"/>
  <c r="BD34" i="55"/>
  <c r="BL33" i="55"/>
  <c r="BK33" i="55"/>
  <c r="BJ33" i="55"/>
  <c r="BI33" i="55"/>
  <c r="BH33" i="55"/>
  <c r="BG33" i="55"/>
  <c r="BF33" i="55"/>
  <c r="BE33" i="55"/>
  <c r="BD33" i="55"/>
  <c r="BL32" i="55"/>
  <c r="BK32" i="55"/>
  <c r="BJ32" i="55"/>
  <c r="BI32" i="55"/>
  <c r="BH32" i="55"/>
  <c r="BG32" i="55"/>
  <c r="BF32" i="55"/>
  <c r="BE32" i="55"/>
  <c r="BD32" i="55"/>
  <c r="BL31" i="55"/>
  <c r="BK31" i="55"/>
  <c r="BJ31" i="55"/>
  <c r="BI31" i="55"/>
  <c r="BH31" i="55"/>
  <c r="BG31" i="55"/>
  <c r="BF31" i="55"/>
  <c r="BE31" i="55"/>
  <c r="BD31" i="55"/>
  <c r="BL30" i="55"/>
  <c r="BK30" i="55"/>
  <c r="BJ30" i="55"/>
  <c r="BI30" i="55"/>
  <c r="BH30" i="55"/>
  <c r="BG30" i="55"/>
  <c r="BF30" i="55"/>
  <c r="BE30" i="55"/>
  <c r="BD30" i="55"/>
  <c r="BL29" i="55"/>
  <c r="BK29" i="55"/>
  <c r="BJ29" i="55"/>
  <c r="BI29" i="55"/>
  <c r="BH29" i="55"/>
  <c r="BG29" i="55"/>
  <c r="BF29" i="55"/>
  <c r="BE29" i="55"/>
  <c r="BD29" i="55"/>
  <c r="BL27" i="55"/>
  <c r="BK27" i="55"/>
  <c r="BJ27" i="55"/>
  <c r="BI27" i="55"/>
  <c r="BH27" i="55"/>
  <c r="BG27" i="55"/>
  <c r="BF27" i="55"/>
  <c r="BE27" i="55"/>
  <c r="BD27" i="55"/>
  <c r="BL26" i="55"/>
  <c r="BK26" i="55"/>
  <c r="BJ26" i="55"/>
  <c r="BI26" i="55"/>
  <c r="BH26" i="55"/>
  <c r="BG26" i="55"/>
  <c r="BF26" i="55"/>
  <c r="BE26" i="55"/>
  <c r="BD26" i="55"/>
  <c r="BL25" i="55"/>
  <c r="BK25" i="55"/>
  <c r="BJ25" i="55"/>
  <c r="BI25" i="55"/>
  <c r="BH25" i="55"/>
  <c r="BG25" i="55"/>
  <c r="BF25" i="55"/>
  <c r="BE25" i="55"/>
  <c r="BD25" i="55"/>
  <c r="BL24" i="55"/>
  <c r="BK24" i="55"/>
  <c r="BJ24" i="55"/>
  <c r="BI24" i="55"/>
  <c r="BH24" i="55"/>
  <c r="BG24" i="55"/>
  <c r="BF24" i="55"/>
  <c r="BE24" i="55"/>
  <c r="BD24" i="55"/>
  <c r="BL23" i="55"/>
  <c r="BK23" i="55"/>
  <c r="BJ23" i="55"/>
  <c r="BI23" i="55"/>
  <c r="BH23" i="55"/>
  <c r="BG23" i="55"/>
  <c r="BF23" i="55"/>
  <c r="BE23" i="55"/>
  <c r="BD23" i="55"/>
  <c r="BL22" i="55"/>
  <c r="BK22" i="55"/>
  <c r="BJ22" i="55"/>
  <c r="BI22" i="55"/>
  <c r="BH22" i="55"/>
  <c r="BG22" i="55"/>
  <c r="BF22" i="55"/>
  <c r="BE22" i="55"/>
  <c r="BD22" i="55"/>
  <c r="BL21" i="55"/>
  <c r="BK21" i="55"/>
  <c r="BJ21" i="55"/>
  <c r="BI21" i="55"/>
  <c r="BH21" i="55"/>
  <c r="BG21" i="55"/>
  <c r="BF21" i="55"/>
  <c r="BE21" i="55"/>
  <c r="BD21" i="55"/>
  <c r="BL20" i="55"/>
  <c r="BK20" i="55"/>
  <c r="BJ20" i="55"/>
  <c r="BI20" i="55"/>
  <c r="BH20" i="55"/>
  <c r="BG20" i="55"/>
  <c r="BF20" i="55"/>
  <c r="BE20" i="55"/>
  <c r="BD20" i="55"/>
  <c r="BL19" i="55"/>
  <c r="BK19" i="55"/>
  <c r="BJ19" i="55"/>
  <c r="BI19" i="55"/>
  <c r="BH19" i="55"/>
  <c r="BG19" i="55"/>
  <c r="BF19" i="55"/>
  <c r="BE19" i="55"/>
  <c r="BD19" i="55"/>
  <c r="BL18" i="55"/>
  <c r="BK18" i="55"/>
  <c r="BJ18" i="55"/>
  <c r="BI18" i="55"/>
  <c r="BH18" i="55"/>
  <c r="BG18" i="55"/>
  <c r="BF18" i="55"/>
  <c r="BE18" i="55"/>
  <c r="BD18" i="55"/>
  <c r="BL17" i="55"/>
  <c r="BK17" i="55"/>
  <c r="BJ17" i="55"/>
  <c r="BI17" i="55"/>
  <c r="BH17" i="55"/>
  <c r="BG17" i="55"/>
  <c r="BF17" i="55"/>
  <c r="BE17" i="55"/>
  <c r="BD17" i="55"/>
  <c r="BL16" i="55"/>
  <c r="BK16" i="55"/>
  <c r="BJ16" i="55"/>
  <c r="BI16" i="55"/>
  <c r="BH16" i="55"/>
  <c r="BG16" i="55"/>
  <c r="BF16" i="55"/>
  <c r="BE16" i="55"/>
  <c r="BD16" i="55"/>
  <c r="BL15" i="55"/>
  <c r="BK15" i="55"/>
  <c r="BJ15" i="55"/>
  <c r="BI15" i="55"/>
  <c r="BH15" i="55"/>
  <c r="BG15" i="55"/>
  <c r="BF15" i="55"/>
  <c r="BE15" i="55"/>
  <c r="BD15" i="55"/>
  <c r="BL14" i="55"/>
  <c r="BK14" i="55"/>
  <c r="BJ14" i="55"/>
  <c r="BI14" i="55"/>
  <c r="BH14" i="55"/>
  <c r="BG14" i="55"/>
  <c r="BF14" i="55"/>
  <c r="BE14" i="55"/>
  <c r="BD14" i="55"/>
  <c r="BL13" i="55"/>
  <c r="BK13" i="55"/>
  <c r="BJ13" i="55"/>
  <c r="BI13" i="55"/>
  <c r="BH13" i="55"/>
  <c r="BG13" i="55"/>
  <c r="BF13" i="55"/>
  <c r="BE13" i="55"/>
  <c r="BD13" i="55"/>
  <c r="BL12" i="55"/>
  <c r="BK12" i="55"/>
  <c r="BJ12" i="55"/>
  <c r="BI12" i="55"/>
  <c r="BH12" i="55"/>
  <c r="BG12" i="55"/>
  <c r="BF12" i="55"/>
  <c r="BE12" i="55"/>
  <c r="BD12" i="55"/>
  <c r="BL11" i="55"/>
  <c r="BK11" i="55"/>
  <c r="BJ11" i="55"/>
  <c r="BI11" i="55"/>
  <c r="BH11" i="55"/>
  <c r="BG11" i="55"/>
  <c r="BF11" i="55"/>
  <c r="BE11" i="55"/>
  <c r="BD11" i="55"/>
  <c r="BL10" i="55"/>
  <c r="BK10" i="55"/>
  <c r="BJ10" i="55"/>
  <c r="BI10" i="55"/>
  <c r="BH10" i="55"/>
  <c r="BG10" i="55"/>
  <c r="BF10" i="55"/>
  <c r="BE10" i="55"/>
  <c r="BD10" i="55"/>
  <c r="BL9" i="55"/>
  <c r="BK9" i="55"/>
  <c r="BJ9" i="55"/>
  <c r="BI9" i="55"/>
  <c r="BH9" i="55"/>
  <c r="BG9" i="55"/>
  <c r="BF9" i="55"/>
  <c r="BE9" i="55"/>
  <c r="BD9" i="55"/>
  <c r="BL8" i="55"/>
  <c r="BK8" i="55"/>
  <c r="BJ8" i="55"/>
  <c r="BI8" i="55"/>
  <c r="BH8" i="55"/>
  <c r="BG8" i="55"/>
  <c r="BF8" i="55"/>
  <c r="BE8" i="55"/>
  <c r="BD8" i="55"/>
  <c r="BL7" i="55"/>
  <c r="BK7" i="55"/>
  <c r="BJ7" i="55"/>
  <c r="BI7" i="55"/>
  <c r="BH7" i="55"/>
  <c r="BG7" i="55"/>
  <c r="BF7" i="55"/>
  <c r="BE7" i="55"/>
  <c r="BD7" i="55"/>
  <c r="BL6" i="55"/>
  <c r="BK6" i="55"/>
  <c r="BJ6" i="55"/>
  <c r="BI6" i="55"/>
  <c r="BH6" i="55"/>
  <c r="BG6" i="55"/>
  <c r="BF6" i="55"/>
  <c r="BE6" i="55"/>
  <c r="BD6" i="55"/>
  <c r="BL5" i="55"/>
  <c r="BK5" i="55"/>
  <c r="BJ5" i="55"/>
  <c r="BI5" i="55"/>
  <c r="BH5" i="55"/>
  <c r="BG5" i="55"/>
  <c r="BF5" i="55"/>
  <c r="BE5" i="55"/>
  <c r="BD5" i="55"/>
  <c r="BL4" i="55"/>
  <c r="BK4" i="55"/>
  <c r="BJ4" i="55"/>
  <c r="BI4" i="55"/>
  <c r="BH4" i="55"/>
  <c r="BG4" i="55"/>
  <c r="BF4" i="55"/>
  <c r="BE4" i="55"/>
  <c r="BD4" i="55"/>
  <c r="BL3" i="55"/>
  <c r="BK3" i="55"/>
  <c r="BJ3" i="55"/>
  <c r="BI3" i="55"/>
  <c r="BH3" i="55"/>
  <c r="BG3" i="55"/>
  <c r="BF3" i="55"/>
  <c r="BE3" i="55"/>
  <c r="BD3" i="55"/>
  <c r="F12" i="93" l="1" a="1"/>
  <c r="F12" i="93" s="1"/>
  <c r="H12" i="93" a="1"/>
  <c r="H12" i="93" s="1"/>
  <c r="G12" i="93" a="1"/>
  <c r="G12" i="93" s="1"/>
  <c r="G11" i="93" a="1"/>
  <c r="G11" i="93" s="1"/>
  <c r="J203" i="42" s="1"/>
  <c r="H11" i="93" a="1"/>
  <c r="H11" i="93" s="1"/>
  <c r="L203" i="42" s="1"/>
  <c r="P203" i="42" s="1"/>
  <c r="J11" i="93" a="1"/>
  <c r="J11" i="93" s="1"/>
  <c r="N203" i="42" s="1"/>
  <c r="K11" i="93" a="1"/>
  <c r="K11" i="93" s="1"/>
  <c r="J12" i="93" a="1"/>
  <c r="J12" i="93" s="1"/>
  <c r="N204" i="42" s="1"/>
  <c r="C203" i="42"/>
  <c r="N202" i="42"/>
  <c r="J202" i="42"/>
  <c r="L202" i="42"/>
  <c r="P202" i="42" s="1"/>
  <c r="C202" i="42"/>
  <c r="H200" i="42"/>
  <c r="H201" i="42"/>
  <c r="Y60" i="49"/>
  <c r="Z60" i="49" s="1"/>
  <c r="AA60" i="49" s="1"/>
  <c r="AB60" i="49" s="1"/>
  <c r="AC60" i="49" s="1"/>
  <c r="AD60" i="49" s="1"/>
  <c r="AE60" i="49" s="1"/>
  <c r="AF60" i="49" s="1"/>
  <c r="AG60" i="49" s="1"/>
  <c r="AH60" i="49" s="1"/>
  <c r="AI60" i="49" s="1"/>
  <c r="AJ60" i="49" s="1"/>
  <c r="AK60" i="49" s="1"/>
  <c r="AL60" i="49" s="1"/>
  <c r="E13" i="93"/>
  <c r="J13" i="93" s="1" a="1"/>
  <c r="J13" i="93" s="1"/>
  <c r="C15" i="93"/>
  <c r="B14" i="93"/>
  <c r="D14" i="93" s="1"/>
  <c r="I14" i="93" s="1" a="1"/>
  <c r="I14" i="93" s="1"/>
  <c r="K13" i="93" l="1" a="1"/>
  <c r="K13" i="93" s="1"/>
  <c r="F13" i="93" a="1"/>
  <c r="F13" i="93" s="1"/>
  <c r="G13" i="93" a="1"/>
  <c r="G13" i="93" s="1"/>
  <c r="H13" i="93" a="1"/>
  <c r="H13" i="93" s="1"/>
  <c r="H203" i="42"/>
  <c r="N205" i="42"/>
  <c r="J204" i="42"/>
  <c r="L204" i="42"/>
  <c r="P204" i="42" s="1"/>
  <c r="C204" i="42"/>
  <c r="H202" i="42"/>
  <c r="E14" i="93"/>
  <c r="H14" i="93" s="1" a="1"/>
  <c r="H14" i="93" s="1"/>
  <c r="C16" i="93"/>
  <c r="B15" i="93"/>
  <c r="D15" i="93" s="1"/>
  <c r="I15" i="93" s="1" a="1"/>
  <c r="I15" i="93" s="1"/>
  <c r="K14" i="93" l="1" a="1"/>
  <c r="K14" i="93" s="1"/>
  <c r="J14" i="93" a="1"/>
  <c r="J14" i="93" s="1"/>
  <c r="F14" i="93" a="1"/>
  <c r="F14" i="93" s="1"/>
  <c r="G14" i="93" a="1"/>
  <c r="G14" i="93" s="1"/>
  <c r="H204" i="42"/>
  <c r="J205" i="42"/>
  <c r="C205" i="42"/>
  <c r="L205" i="42"/>
  <c r="P205" i="42" s="1"/>
  <c r="E15" i="93"/>
  <c r="K15" i="93" s="1" a="1"/>
  <c r="K15" i="93" s="1"/>
  <c r="B16" i="93"/>
  <c r="D16" i="93" s="1"/>
  <c r="I16" i="93" s="1" a="1"/>
  <c r="I16" i="93" s="1"/>
  <c r="C17" i="93"/>
  <c r="F15" i="93" l="1" a="1"/>
  <c r="F15" i="93" s="1"/>
  <c r="J15" i="93" a="1"/>
  <c r="J15" i="93" s="1"/>
  <c r="N207" i="42" s="1"/>
  <c r="H15" i="93" a="1"/>
  <c r="H15" i="93" s="1"/>
  <c r="G15" i="93" a="1"/>
  <c r="G15" i="93" s="1"/>
  <c r="N206" i="42"/>
  <c r="C206" i="42"/>
  <c r="L206" i="42"/>
  <c r="P206" i="42" s="1"/>
  <c r="J206" i="42"/>
  <c r="H205" i="42"/>
  <c r="E16" i="93"/>
  <c r="F16" i="93" s="1" a="1"/>
  <c r="F16" i="93" s="1"/>
  <c r="C18" i="93"/>
  <c r="B17" i="93"/>
  <c r="D17" i="93" s="1"/>
  <c r="I17" i="93" s="1" a="1"/>
  <c r="I17" i="93" s="1"/>
  <c r="Z296" i="42"/>
  <c r="Z299" i="42"/>
  <c r="Z298" i="42"/>
  <c r="Z297" i="42"/>
  <c r="Z295" i="42"/>
  <c r="AF289" i="42"/>
  <c r="AF288" i="42"/>
  <c r="AF287" i="42"/>
  <c r="AF286" i="42"/>
  <c r="AF285" i="42"/>
  <c r="AF284" i="42"/>
  <c r="AF283" i="42"/>
  <c r="AF282" i="42"/>
  <c r="AF281" i="42"/>
  <c r="AF280" i="42"/>
  <c r="G16" i="93" l="1" a="1"/>
  <c r="G16" i="93" s="1"/>
  <c r="H16" i="93" a="1"/>
  <c r="H16" i="93" s="1"/>
  <c r="J16" i="93" a="1"/>
  <c r="J16" i="93" s="1"/>
  <c r="N208" i="42" s="1"/>
  <c r="K16" i="93" a="1"/>
  <c r="K16" i="93" s="1"/>
  <c r="H206" i="42"/>
  <c r="J207" i="42"/>
  <c r="C207" i="42"/>
  <c r="L207" i="42"/>
  <c r="P207" i="42" s="1"/>
  <c r="E17" i="93"/>
  <c r="J17" i="93" s="1" a="1"/>
  <c r="J17" i="93" s="1"/>
  <c r="B18" i="93"/>
  <c r="D18" i="93" s="1"/>
  <c r="I18" i="93" s="1" a="1"/>
  <c r="I18" i="93" s="1"/>
  <c r="C19" i="93"/>
  <c r="F17" i="93" l="1" a="1"/>
  <c r="F17" i="93" s="1"/>
  <c r="C209" i="42" s="1"/>
  <c r="G17" i="93" a="1"/>
  <c r="G17" i="93" s="1"/>
  <c r="H17" i="93" a="1"/>
  <c r="H17" i="93" s="1"/>
  <c r="K17" i="93" a="1"/>
  <c r="K17" i="93" s="1"/>
  <c r="L208" i="42"/>
  <c r="P208" i="42" s="1"/>
  <c r="J208" i="42"/>
  <c r="C208" i="42"/>
  <c r="H207" i="42"/>
  <c r="E18" i="93"/>
  <c r="H18" i="93" s="1" a="1"/>
  <c r="H18" i="93" s="1"/>
  <c r="C20" i="93"/>
  <c r="B19" i="93"/>
  <c r="D19" i="93" s="1"/>
  <c r="I19" i="93" s="1" a="1"/>
  <c r="I19" i="93" s="1"/>
  <c r="AQ49" i="54"/>
  <c r="AN49" i="54"/>
  <c r="AM49" i="54"/>
  <c r="AL49" i="54"/>
  <c r="AQ48" i="54"/>
  <c r="AN48" i="54"/>
  <c r="AM48" i="54"/>
  <c r="AL48" i="54"/>
  <c r="AQ47" i="54"/>
  <c r="AN47" i="54"/>
  <c r="AM47" i="54"/>
  <c r="AL47" i="54"/>
  <c r="AQ46" i="54"/>
  <c r="AN46" i="54"/>
  <c r="AM46" i="54"/>
  <c r="AL46" i="54"/>
  <c r="AQ45" i="54"/>
  <c r="AN45" i="54"/>
  <c r="AM45" i="54"/>
  <c r="AL45" i="54"/>
  <c r="AQ44" i="54"/>
  <c r="AN44" i="54"/>
  <c r="AM44" i="54"/>
  <c r="AL44" i="54"/>
  <c r="AQ43" i="54"/>
  <c r="AN43" i="54"/>
  <c r="AM43" i="54"/>
  <c r="AL43" i="54"/>
  <c r="AQ42" i="54"/>
  <c r="AN42" i="54"/>
  <c r="AM42" i="54"/>
  <c r="AL42" i="54"/>
  <c r="AQ41" i="54"/>
  <c r="AN41" i="54"/>
  <c r="AM41" i="54"/>
  <c r="AL41" i="54"/>
  <c r="AQ40" i="54"/>
  <c r="AN40" i="54"/>
  <c r="AM40" i="54"/>
  <c r="AL40" i="54"/>
  <c r="AQ39" i="54"/>
  <c r="AN39" i="54"/>
  <c r="AM39" i="54"/>
  <c r="AL39" i="54"/>
  <c r="AQ38" i="54"/>
  <c r="AN38" i="54"/>
  <c r="AM38" i="54"/>
  <c r="AL38" i="54"/>
  <c r="AQ37" i="54"/>
  <c r="AN37" i="54"/>
  <c r="AM37" i="54"/>
  <c r="AL37" i="54"/>
  <c r="AQ36" i="54"/>
  <c r="AN36" i="54"/>
  <c r="AM36" i="54"/>
  <c r="AL36" i="54"/>
  <c r="AQ35" i="54"/>
  <c r="AN35" i="54"/>
  <c r="AM35" i="54"/>
  <c r="AL35" i="54"/>
  <c r="AQ34" i="54"/>
  <c r="AN34" i="54"/>
  <c r="AM34" i="54"/>
  <c r="AL34" i="54"/>
  <c r="AQ33" i="54"/>
  <c r="AN33" i="54"/>
  <c r="AM33" i="54"/>
  <c r="AL33" i="54"/>
  <c r="AQ32" i="54"/>
  <c r="AN32" i="54"/>
  <c r="AM32" i="54"/>
  <c r="AL32" i="54"/>
  <c r="AQ31" i="54"/>
  <c r="AN31" i="54"/>
  <c r="AM31" i="54"/>
  <c r="AL31" i="54"/>
  <c r="AQ29" i="54"/>
  <c r="AN29" i="54"/>
  <c r="AM29" i="54"/>
  <c r="AL29" i="54"/>
  <c r="AQ28" i="54"/>
  <c r="AN28" i="54"/>
  <c r="AM28" i="54"/>
  <c r="AL28" i="54"/>
  <c r="AQ27" i="54"/>
  <c r="AN27" i="54"/>
  <c r="AM27" i="54"/>
  <c r="AL27" i="54"/>
  <c r="AQ26" i="54"/>
  <c r="AN26" i="54"/>
  <c r="AM26" i="54"/>
  <c r="AL26" i="54"/>
  <c r="AQ25" i="54"/>
  <c r="AN25" i="54"/>
  <c r="AM25" i="54"/>
  <c r="AL25" i="54"/>
  <c r="AQ24" i="54"/>
  <c r="AN24" i="54"/>
  <c r="AM24" i="54"/>
  <c r="AL24" i="54"/>
  <c r="AQ23" i="54"/>
  <c r="AN23" i="54"/>
  <c r="AM23" i="54"/>
  <c r="AL23" i="54"/>
  <c r="AQ22" i="54"/>
  <c r="AN22" i="54"/>
  <c r="AM22" i="54"/>
  <c r="AL22" i="54"/>
  <c r="AQ21" i="54"/>
  <c r="AN21" i="54"/>
  <c r="AM21" i="54"/>
  <c r="AL21" i="54"/>
  <c r="AQ20" i="54"/>
  <c r="AN20" i="54"/>
  <c r="AM20" i="54"/>
  <c r="AL20" i="54"/>
  <c r="AQ19" i="54"/>
  <c r="AN19" i="54"/>
  <c r="AM19" i="54"/>
  <c r="AL19" i="54"/>
  <c r="AQ18" i="54"/>
  <c r="AN18" i="54"/>
  <c r="AM18" i="54"/>
  <c r="AL18" i="54"/>
  <c r="AQ17" i="54"/>
  <c r="AN17" i="54"/>
  <c r="AM17" i="54"/>
  <c r="AL17" i="54"/>
  <c r="AQ16" i="54"/>
  <c r="AN16" i="54"/>
  <c r="AM16" i="54"/>
  <c r="AL16" i="54"/>
  <c r="AQ15" i="54"/>
  <c r="AN15" i="54"/>
  <c r="AM15" i="54"/>
  <c r="AL15" i="54"/>
  <c r="AQ14" i="54"/>
  <c r="AN14" i="54"/>
  <c r="AM14" i="54"/>
  <c r="AL14" i="54"/>
  <c r="AQ13" i="54"/>
  <c r="AN13" i="54"/>
  <c r="AM13" i="54"/>
  <c r="AL13" i="54"/>
  <c r="AQ12" i="54"/>
  <c r="AN12" i="54"/>
  <c r="AM12" i="54"/>
  <c r="AL12" i="54"/>
  <c r="AQ11" i="54"/>
  <c r="AN11" i="54"/>
  <c r="AM11" i="54"/>
  <c r="AL11" i="54"/>
  <c r="AQ10" i="54"/>
  <c r="AN10" i="54"/>
  <c r="AM10" i="54"/>
  <c r="AL10" i="54"/>
  <c r="AQ9" i="54"/>
  <c r="AN9" i="54"/>
  <c r="AM9" i="54"/>
  <c r="AL9" i="54"/>
  <c r="AQ8" i="54"/>
  <c r="AN8" i="54"/>
  <c r="AM8" i="54"/>
  <c r="AL8" i="54"/>
  <c r="AQ7" i="54"/>
  <c r="AN7" i="54"/>
  <c r="AM7" i="54"/>
  <c r="AL7" i="54"/>
  <c r="AQ6" i="54"/>
  <c r="AN6" i="54"/>
  <c r="AM6" i="54"/>
  <c r="AL6" i="54"/>
  <c r="AQ5" i="54"/>
  <c r="AN5" i="54"/>
  <c r="AM5" i="54"/>
  <c r="AL5" i="54"/>
  <c r="Y6" i="54"/>
  <c r="Y7" i="54"/>
  <c r="Y8" i="54"/>
  <c r="Y9" i="54"/>
  <c r="Y10" i="54"/>
  <c r="Y11" i="54"/>
  <c r="Y12" i="54"/>
  <c r="Y13" i="54"/>
  <c r="Y14" i="54"/>
  <c r="Y15" i="54"/>
  <c r="Y16" i="54"/>
  <c r="Y17" i="54"/>
  <c r="Y18" i="54"/>
  <c r="Y19" i="54"/>
  <c r="Y20" i="54"/>
  <c r="Y21" i="54"/>
  <c r="Y22" i="54"/>
  <c r="Y23" i="54"/>
  <c r="Y24" i="54"/>
  <c r="Y25" i="54"/>
  <c r="Y26" i="54"/>
  <c r="Y27" i="54"/>
  <c r="Y28" i="54"/>
  <c r="Y29" i="54"/>
  <c r="Y31" i="54"/>
  <c r="Y32" i="54"/>
  <c r="Y33" i="54"/>
  <c r="Y34" i="54"/>
  <c r="Y35" i="54"/>
  <c r="Y36" i="54"/>
  <c r="Y37" i="54"/>
  <c r="Y38" i="54"/>
  <c r="Y39" i="54"/>
  <c r="Y40" i="54"/>
  <c r="Y41" i="54"/>
  <c r="Y42" i="54"/>
  <c r="Y43" i="54"/>
  <c r="Y44" i="54"/>
  <c r="Y45" i="54"/>
  <c r="Y46" i="54"/>
  <c r="Y47" i="54"/>
  <c r="Y48" i="54"/>
  <c r="Y49" i="54"/>
  <c r="Y5" i="54"/>
  <c r="V6" i="54"/>
  <c r="V7" i="54"/>
  <c r="V8" i="54"/>
  <c r="V9" i="54"/>
  <c r="V10" i="54"/>
  <c r="V11" i="54"/>
  <c r="V12" i="54"/>
  <c r="V13" i="54"/>
  <c r="V14" i="54"/>
  <c r="V15" i="54"/>
  <c r="V16" i="54"/>
  <c r="V17" i="54"/>
  <c r="V18" i="54"/>
  <c r="V19" i="54"/>
  <c r="V20" i="54"/>
  <c r="V21" i="54"/>
  <c r="V22" i="54"/>
  <c r="V23" i="54"/>
  <c r="V24" i="54"/>
  <c r="V25" i="54"/>
  <c r="V26" i="54"/>
  <c r="V27" i="54"/>
  <c r="V28" i="54"/>
  <c r="V29" i="54"/>
  <c r="V31" i="54"/>
  <c r="V32" i="54"/>
  <c r="V33" i="54"/>
  <c r="V34" i="54"/>
  <c r="V35" i="54"/>
  <c r="V36" i="54"/>
  <c r="V37" i="54"/>
  <c r="V38" i="54"/>
  <c r="V39" i="54"/>
  <c r="V40" i="54"/>
  <c r="V41" i="54"/>
  <c r="V42" i="54"/>
  <c r="V43" i="54"/>
  <c r="V44" i="54"/>
  <c r="V45" i="54"/>
  <c r="V46" i="54"/>
  <c r="V47" i="54"/>
  <c r="V48" i="54"/>
  <c r="V49" i="54"/>
  <c r="V5" i="54"/>
  <c r="U6" i="54"/>
  <c r="U7" i="54"/>
  <c r="U8" i="54"/>
  <c r="U9" i="54"/>
  <c r="U10" i="54"/>
  <c r="U11" i="54"/>
  <c r="U12" i="54"/>
  <c r="U13" i="54"/>
  <c r="U14" i="54"/>
  <c r="U15" i="54"/>
  <c r="U16" i="54"/>
  <c r="U17" i="54"/>
  <c r="U18" i="54"/>
  <c r="U19" i="54"/>
  <c r="U20" i="54"/>
  <c r="U21" i="54"/>
  <c r="U22" i="54"/>
  <c r="U23" i="54"/>
  <c r="U24" i="54"/>
  <c r="U25" i="54"/>
  <c r="U26" i="54"/>
  <c r="U27" i="54"/>
  <c r="U28" i="54"/>
  <c r="U29" i="54"/>
  <c r="U31" i="54"/>
  <c r="U32" i="54"/>
  <c r="U33" i="54"/>
  <c r="U34" i="54"/>
  <c r="U35" i="54"/>
  <c r="U36" i="54"/>
  <c r="U37" i="54"/>
  <c r="U38" i="54"/>
  <c r="U39" i="54"/>
  <c r="U40" i="54"/>
  <c r="U41" i="54"/>
  <c r="U42" i="54"/>
  <c r="U43" i="54"/>
  <c r="U44" i="54"/>
  <c r="U45" i="54"/>
  <c r="U46" i="54"/>
  <c r="U47" i="54"/>
  <c r="U48" i="54"/>
  <c r="U49" i="54"/>
  <c r="U5" i="54"/>
  <c r="T7" i="54"/>
  <c r="T6" i="54"/>
  <c r="T8" i="54"/>
  <c r="T9" i="54"/>
  <c r="T10" i="54"/>
  <c r="T11" i="54"/>
  <c r="T12" i="54"/>
  <c r="T13" i="54"/>
  <c r="T14" i="54"/>
  <c r="T15" i="54"/>
  <c r="T16" i="54"/>
  <c r="T17" i="54"/>
  <c r="T18" i="54"/>
  <c r="T19" i="54"/>
  <c r="T20" i="54"/>
  <c r="T21" i="54"/>
  <c r="T22" i="54"/>
  <c r="T23" i="54"/>
  <c r="T24" i="54"/>
  <c r="T25" i="54"/>
  <c r="T26" i="54"/>
  <c r="T27" i="54"/>
  <c r="T28" i="54"/>
  <c r="T29" i="54"/>
  <c r="T31" i="54"/>
  <c r="T32" i="54"/>
  <c r="T33" i="54"/>
  <c r="T34" i="54"/>
  <c r="T35" i="54"/>
  <c r="T36" i="54"/>
  <c r="T37" i="54"/>
  <c r="T38" i="54"/>
  <c r="T39" i="54"/>
  <c r="T40" i="54"/>
  <c r="T41" i="54"/>
  <c r="T42" i="54"/>
  <c r="T43" i="54"/>
  <c r="T44" i="54"/>
  <c r="T45" i="54"/>
  <c r="T46" i="54"/>
  <c r="T47" i="54"/>
  <c r="T48" i="54"/>
  <c r="T49" i="54"/>
  <c r="T5" i="54"/>
  <c r="J18" i="93" l="1" a="1"/>
  <c r="J18" i="93" s="1"/>
  <c r="N210" i="42" s="1"/>
  <c r="K18" i="93" a="1"/>
  <c r="K18" i="93" s="1"/>
  <c r="F18" i="93" a="1"/>
  <c r="F18" i="93" s="1"/>
  <c r="G18" i="93" a="1"/>
  <c r="G18" i="93" s="1"/>
  <c r="H208" i="42"/>
  <c r="N209" i="42"/>
  <c r="J209" i="42"/>
  <c r="L209" i="42"/>
  <c r="P209" i="42" s="1"/>
  <c r="E19" i="93"/>
  <c r="H19" i="93" s="1" a="1"/>
  <c r="H19" i="93" s="1"/>
  <c r="B20" i="93"/>
  <c r="D20" i="93" s="1"/>
  <c r="I20" i="93" s="1" a="1"/>
  <c r="I20" i="93" s="1"/>
  <c r="C21" i="93"/>
  <c r="AF279" i="42"/>
  <c r="J19" i="93" l="1" a="1"/>
  <c r="J19" i="93" s="1"/>
  <c r="N211" i="42" s="1"/>
  <c r="F19" i="93" a="1"/>
  <c r="F19" i="93" s="1"/>
  <c r="K19" i="93" a="1"/>
  <c r="K19" i="93" s="1"/>
  <c r="G19" i="93" a="1"/>
  <c r="G19" i="93" s="1"/>
  <c r="H209" i="42"/>
  <c r="C210" i="42"/>
  <c r="J210" i="42"/>
  <c r="L210" i="42"/>
  <c r="P210" i="42" s="1"/>
  <c r="E20" i="93"/>
  <c r="G20" i="93" s="1" a="1"/>
  <c r="G20" i="93" s="1"/>
  <c r="C22" i="93"/>
  <c r="B21" i="93"/>
  <c r="D21" i="93" s="1"/>
  <c r="I21" i="93" s="1" a="1"/>
  <c r="I21" i="93" s="1"/>
  <c r="H20" i="93" l="1" a="1"/>
  <c r="H20" i="93" s="1"/>
  <c r="J20" i="93" a="1"/>
  <c r="J20" i="93" s="1"/>
  <c r="N212" i="42" s="1"/>
  <c r="K20" i="93" a="1"/>
  <c r="K20" i="93" s="1"/>
  <c r="F20" i="93" a="1"/>
  <c r="F20" i="93" s="1"/>
  <c r="H210" i="42"/>
  <c r="L211" i="42"/>
  <c r="P211" i="42" s="1"/>
  <c r="C211" i="42"/>
  <c r="J211" i="42"/>
  <c r="E21" i="93"/>
  <c r="F21" i="93" s="1" a="1"/>
  <c r="F21" i="93" s="1"/>
  <c r="B22" i="93"/>
  <c r="D22" i="93" s="1"/>
  <c r="I22" i="93" s="1" a="1"/>
  <c r="I22" i="93" s="1"/>
  <c r="C23" i="93"/>
  <c r="I177" i="42"/>
  <c r="G193" i="42"/>
  <c r="G192" i="42"/>
  <c r="G191" i="42"/>
  <c r="G190" i="42"/>
  <c r="G189" i="42"/>
  <c r="G188" i="42"/>
  <c r="G187" i="42"/>
  <c r="G186" i="42"/>
  <c r="AJ299" i="42"/>
  <c r="AJ298" i="42"/>
  <c r="AL298" i="42" s="1"/>
  <c r="AJ297" i="42"/>
  <c r="AJ296" i="42"/>
  <c r="AJ295" i="42"/>
  <c r="AH299" i="42"/>
  <c r="AH298" i="42"/>
  <c r="AH297" i="42"/>
  <c r="AH296" i="42"/>
  <c r="AH295" i="42"/>
  <c r="AF299" i="42"/>
  <c r="AF298" i="42"/>
  <c r="AF297" i="42"/>
  <c r="AF296" i="42"/>
  <c r="AF295" i="42"/>
  <c r="AD299" i="42"/>
  <c r="AD298" i="42"/>
  <c r="AD297" i="42"/>
  <c r="AD296" i="42"/>
  <c r="AD295" i="42"/>
  <c r="AB299" i="42"/>
  <c r="AB298" i="42"/>
  <c r="AB297" i="42"/>
  <c r="AB296" i="42"/>
  <c r="AB295" i="42"/>
  <c r="AH289" i="42"/>
  <c r="AH288" i="42"/>
  <c r="AH287" i="42"/>
  <c r="AH286" i="42"/>
  <c r="AH285" i="42"/>
  <c r="AJ289" i="42"/>
  <c r="AJ288" i="42"/>
  <c r="AJ287" i="42"/>
  <c r="AJ286" i="42"/>
  <c r="AJ285" i="42"/>
  <c r="AL295" i="42" l="1"/>
  <c r="AL296" i="42"/>
  <c r="AL297" i="42"/>
  <c r="AL299" i="42"/>
  <c r="H21" i="93" a="1"/>
  <c r="H21" i="93" s="1"/>
  <c r="L213" i="42" s="1"/>
  <c r="P213" i="42" s="1"/>
  <c r="G21" i="93" a="1"/>
  <c r="G21" i="93" s="1"/>
  <c r="J213" i="42" s="1"/>
  <c r="J21" i="93" a="1"/>
  <c r="J21" i="93" s="1"/>
  <c r="N213" i="42" s="1"/>
  <c r="K21" i="93" a="1"/>
  <c r="K21" i="93" s="1"/>
  <c r="C213" i="42"/>
  <c r="H211" i="42"/>
  <c r="L212" i="42"/>
  <c r="P212" i="42" s="1"/>
  <c r="C212" i="42"/>
  <c r="J212" i="42"/>
  <c r="E22" i="93"/>
  <c r="C24" i="93"/>
  <c r="B23" i="93"/>
  <c r="D23" i="93" s="1"/>
  <c r="I23" i="93" s="1" a="1"/>
  <c r="I23" i="93" s="1"/>
  <c r="E256" i="42"/>
  <c r="E255" i="42"/>
  <c r="E254" i="42"/>
  <c r="E253" i="42"/>
  <c r="E252" i="42"/>
  <c r="E251" i="42"/>
  <c r="E250" i="42"/>
  <c r="E249" i="42"/>
  <c r="E248" i="42"/>
  <c r="E247" i="42"/>
  <c r="E259" i="42"/>
  <c r="E258" i="42"/>
  <c r="E257" i="42"/>
  <c r="G22" i="93" l="1" a="1"/>
  <c r="G22" i="93" s="1"/>
  <c r="J214" i="42" s="1"/>
  <c r="J22" i="93" a="1"/>
  <c r="J22" i="93" s="1"/>
  <c r="N214" i="42" s="1"/>
  <c r="K22" i="93" a="1"/>
  <c r="K22" i="93" s="1"/>
  <c r="F22" i="93" a="1"/>
  <c r="F22" i="93" s="1"/>
  <c r="C214" i="42" s="1"/>
  <c r="H22" i="93" a="1"/>
  <c r="H22" i="93" s="1"/>
  <c r="L214" i="42" s="1"/>
  <c r="P214" i="42" s="1"/>
  <c r="H212" i="42"/>
  <c r="H213" i="42"/>
  <c r="E23" i="93"/>
  <c r="K23" i="93" s="1" a="1"/>
  <c r="K23" i="93" s="1"/>
  <c r="B24" i="93"/>
  <c r="D24" i="93" s="1"/>
  <c r="I24" i="93" s="1" a="1"/>
  <c r="I24" i="93" s="1"/>
  <c r="C25" i="93"/>
  <c r="F276" i="42"/>
  <c r="C272" i="42"/>
  <c r="F275" i="42"/>
  <c r="G23" i="93" l="1" a="1"/>
  <c r="G23" i="93" s="1"/>
  <c r="J215" i="42" s="1"/>
  <c r="H23" i="93" a="1"/>
  <c r="H23" i="93" s="1"/>
  <c r="L215" i="42" s="1"/>
  <c r="P215" i="42" s="1"/>
  <c r="F23" i="93" a="1"/>
  <c r="F23" i="93" s="1"/>
  <c r="C215" i="42" s="1"/>
  <c r="J23" i="93" a="1"/>
  <c r="J23" i="93" s="1"/>
  <c r="N215" i="42" s="1"/>
  <c r="H214" i="42"/>
  <c r="E24" i="93"/>
  <c r="G24" i="93" s="1" a="1"/>
  <c r="G24" i="93" s="1"/>
  <c r="C26" i="93"/>
  <c r="B25" i="93"/>
  <c r="D25" i="93" s="1"/>
  <c r="I25" i="93" s="1" a="1"/>
  <c r="I25" i="93" s="1"/>
  <c r="U36" i="3"/>
  <c r="U37" i="3"/>
  <c r="U38" i="3"/>
  <c r="U39" i="3"/>
  <c r="U40" i="3"/>
  <c r="U41" i="3"/>
  <c r="U42" i="3"/>
  <c r="B179" i="42"/>
  <c r="E191" i="42"/>
  <c r="C191" i="42"/>
  <c r="E190" i="42"/>
  <c r="C190" i="42"/>
  <c r="O177" i="42"/>
  <c r="O178" i="42"/>
  <c r="O179" i="42"/>
  <c r="O176" i="42"/>
  <c r="H268" i="42"/>
  <c r="I268" i="42"/>
  <c r="H269" i="42"/>
  <c r="F24" i="93" l="1" a="1"/>
  <c r="F24" i="93" s="1"/>
  <c r="C216" i="42" s="1"/>
  <c r="H24" i="93" a="1"/>
  <c r="H24" i="93" s="1"/>
  <c r="L216" i="42" s="1"/>
  <c r="P216" i="42" s="1"/>
  <c r="J24" i="93" a="1"/>
  <c r="J24" i="93" s="1"/>
  <c r="N216" i="42" s="1"/>
  <c r="K24" i="93" a="1"/>
  <c r="K24" i="93" s="1"/>
  <c r="H215" i="42"/>
  <c r="J216" i="42"/>
  <c r="I269" i="42"/>
  <c r="E25" i="93"/>
  <c r="K25" i="93" s="1" a="1"/>
  <c r="K25" i="93" s="1"/>
  <c r="B26" i="93"/>
  <c r="D26" i="93" s="1"/>
  <c r="I26" i="93" s="1" a="1"/>
  <c r="I26" i="93" s="1"/>
  <c r="C27" i="93"/>
  <c r="F25" i="93" l="1" a="1"/>
  <c r="F25" i="93" s="1"/>
  <c r="C217" i="42" s="1"/>
  <c r="J25" i="93" a="1"/>
  <c r="J25" i="93" s="1"/>
  <c r="N217" i="42" s="1"/>
  <c r="G25" i="93" a="1"/>
  <c r="G25" i="93" s="1"/>
  <c r="J217" i="42" s="1"/>
  <c r="H25" i="93" a="1"/>
  <c r="H25" i="93" s="1"/>
  <c r="L217" i="42" s="1"/>
  <c r="P217" i="42" s="1"/>
  <c r="H216" i="42"/>
  <c r="E26" i="93"/>
  <c r="K26" i="93" s="1" a="1"/>
  <c r="K26" i="93" s="1"/>
  <c r="C28" i="93"/>
  <c r="B27" i="93"/>
  <c r="D27" i="93" s="1"/>
  <c r="I27" i="93" s="1" a="1"/>
  <c r="I27" i="93" s="1"/>
  <c r="C153" i="42"/>
  <c r="E153" i="42" s="1"/>
  <c r="F26" i="93" l="1" a="1"/>
  <c r="F26" i="93" s="1"/>
  <c r="C218" i="42" s="1"/>
  <c r="G26" i="93" a="1"/>
  <c r="G26" i="93" s="1"/>
  <c r="J218" i="42" s="1"/>
  <c r="H26" i="93" a="1"/>
  <c r="H26" i="93" s="1"/>
  <c r="L218" i="42" s="1"/>
  <c r="P218" i="42" s="1"/>
  <c r="J26" i="93" a="1"/>
  <c r="J26" i="93" s="1"/>
  <c r="N218" i="42" s="1"/>
  <c r="H217" i="42"/>
  <c r="E27" i="93"/>
  <c r="J27" i="93" s="1" a="1"/>
  <c r="J27" i="93" s="1"/>
  <c r="B28" i="93"/>
  <c r="D28" i="93" s="1"/>
  <c r="I28" i="93" s="1" a="1"/>
  <c r="I28" i="93" s="1"/>
  <c r="C29" i="93"/>
  <c r="F27" i="93" l="1" a="1"/>
  <c r="F27" i="93" s="1"/>
  <c r="C219" i="42" s="1"/>
  <c r="G27" i="93" a="1"/>
  <c r="G27" i="93" s="1"/>
  <c r="J219" i="42" s="1"/>
  <c r="H27" i="93" a="1"/>
  <c r="H27" i="93" s="1"/>
  <c r="L219" i="42" s="1"/>
  <c r="P219" i="42" s="1"/>
  <c r="K27" i="93" a="1"/>
  <c r="K27" i="93" s="1"/>
  <c r="H218" i="42"/>
  <c r="N219" i="42"/>
  <c r="E28" i="93"/>
  <c r="K28" i="93" s="1" a="1"/>
  <c r="K28" i="93" s="1"/>
  <c r="C30" i="93"/>
  <c r="B29" i="93"/>
  <c r="D29" i="93" s="1"/>
  <c r="I29" i="93" s="1" a="1"/>
  <c r="I29" i="93" s="1"/>
  <c r="AR281" i="42"/>
  <c r="AR282" i="42"/>
  <c r="AR283" i="42"/>
  <c r="AR284" i="42"/>
  <c r="AR280" i="42"/>
  <c r="AP281" i="42"/>
  <c r="AP282" i="42"/>
  <c r="AP283" i="42"/>
  <c r="AP284" i="42"/>
  <c r="AP280" i="42"/>
  <c r="AN281" i="42"/>
  <c r="AN282" i="42"/>
  <c r="AN283" i="42"/>
  <c r="AN284" i="42"/>
  <c r="AN280" i="42"/>
  <c r="AL281" i="42"/>
  <c r="AL282" i="42"/>
  <c r="AL283" i="42"/>
  <c r="AL284" i="42"/>
  <c r="AL280" i="42"/>
  <c r="AJ281" i="42"/>
  <c r="AJ282" i="42"/>
  <c r="AJ283" i="42"/>
  <c r="AJ284" i="42"/>
  <c r="AJ280" i="42"/>
  <c r="AH281" i="42"/>
  <c r="AH282" i="42"/>
  <c r="AH283" i="42"/>
  <c r="AH284" i="42"/>
  <c r="AH280" i="42"/>
  <c r="F28" i="93" l="1" a="1"/>
  <c r="F28" i="93" s="1"/>
  <c r="C220" i="42" s="1"/>
  <c r="G28" i="93" a="1"/>
  <c r="G28" i="93" s="1"/>
  <c r="J220" i="42" s="1"/>
  <c r="H28" i="93" a="1"/>
  <c r="H28" i="93" s="1"/>
  <c r="L220" i="42" s="1"/>
  <c r="P220" i="42" s="1"/>
  <c r="J28" i="93" a="1"/>
  <c r="J28" i="93" s="1"/>
  <c r="N220" i="42" s="1"/>
  <c r="H219" i="42"/>
  <c r="E29" i="93"/>
  <c r="G29" i="93" s="1" a="1"/>
  <c r="G29" i="93" s="1"/>
  <c r="B30" i="93"/>
  <c r="D30" i="93" s="1"/>
  <c r="I30" i="93" s="1" a="1"/>
  <c r="I30" i="93" s="1"/>
  <c r="C31" i="93"/>
  <c r="AB281" i="42"/>
  <c r="AB282" i="42"/>
  <c r="AB283" i="42"/>
  <c r="AB284" i="42"/>
  <c r="AB280" i="42"/>
  <c r="F29" i="93" l="1" a="1"/>
  <c r="F29" i="93" s="1"/>
  <c r="C221" i="42" s="1"/>
  <c r="K29" i="93" a="1"/>
  <c r="K29" i="93" s="1"/>
  <c r="H29" i="93" a="1"/>
  <c r="H29" i="93" s="1"/>
  <c r="L221" i="42" s="1"/>
  <c r="P221" i="42" s="1"/>
  <c r="J29" i="93" a="1"/>
  <c r="J29" i="93" s="1"/>
  <c r="N221" i="42" s="1"/>
  <c r="J221" i="42"/>
  <c r="H220" i="42"/>
  <c r="E30" i="93"/>
  <c r="K30" i="93" s="1" a="1"/>
  <c r="K30" i="93" s="1"/>
  <c r="C32" i="93"/>
  <c r="B31" i="93"/>
  <c r="D31" i="93" s="1"/>
  <c r="I31" i="93" s="1" a="1"/>
  <c r="I31" i="93" s="1"/>
  <c r="AD281" i="42"/>
  <c r="AD282" i="42"/>
  <c r="AD283" i="42"/>
  <c r="AD284" i="42"/>
  <c r="AD280" i="42"/>
  <c r="Z284" i="42" a="1"/>
  <c r="Z284" i="42" s="1"/>
  <c r="Z283" i="42" a="1"/>
  <c r="Z283" i="42" s="1"/>
  <c r="Z282" i="42" a="1"/>
  <c r="Z282" i="42" s="1"/>
  <c r="Z281" i="42" a="1"/>
  <c r="Z281" i="42" s="1"/>
  <c r="Z280" i="42" a="1"/>
  <c r="Z280" i="42" s="1"/>
  <c r="F30" i="93" l="1" a="1"/>
  <c r="F30" i="93" s="1"/>
  <c r="C222" i="42" s="1"/>
  <c r="J30" i="93" a="1"/>
  <c r="J30" i="93" s="1"/>
  <c r="N222" i="42" s="1"/>
  <c r="G30" i="93" a="1"/>
  <c r="G30" i="93" s="1"/>
  <c r="J222" i="42" s="1"/>
  <c r="H30" i="93" a="1"/>
  <c r="H30" i="93" s="1"/>
  <c r="L222" i="42" s="1"/>
  <c r="P222" i="42" s="1"/>
  <c r="H221" i="42"/>
  <c r="E31" i="93"/>
  <c r="H31" i="93" s="1" a="1"/>
  <c r="H31" i="93" s="1"/>
  <c r="B32" i="93"/>
  <c r="D32" i="93" s="1"/>
  <c r="I32" i="93" s="1" a="1"/>
  <c r="I32" i="93" s="1"/>
  <c r="C33" i="93"/>
  <c r="F68" i="6"/>
  <c r="F65" i="6"/>
  <c r="F62" i="6"/>
  <c r="J31" i="93" l="1" a="1"/>
  <c r="J31" i="93" s="1"/>
  <c r="N223" i="42" s="1"/>
  <c r="K31" i="93" a="1"/>
  <c r="K31" i="93" s="1"/>
  <c r="F31" i="93" a="1"/>
  <c r="F31" i="93" s="1"/>
  <c r="C223" i="42" s="1"/>
  <c r="G31" i="93" a="1"/>
  <c r="G31" i="93" s="1"/>
  <c r="J223" i="42" s="1"/>
  <c r="H222" i="42"/>
  <c r="L223" i="42"/>
  <c r="P223" i="42" s="1"/>
  <c r="E32" i="93"/>
  <c r="C34" i="93"/>
  <c r="B33" i="93"/>
  <c r="D33" i="93" s="1"/>
  <c r="I33" i="93" s="1" a="1"/>
  <c r="I33" i="93" s="1"/>
  <c r="X6" i="54"/>
  <c r="X7" i="54"/>
  <c r="X8" i="54"/>
  <c r="X9" i="54"/>
  <c r="X10" i="54"/>
  <c r="X11" i="54"/>
  <c r="X12" i="54"/>
  <c r="X13" i="54"/>
  <c r="X14" i="54"/>
  <c r="X15" i="54"/>
  <c r="X16" i="54"/>
  <c r="X17" i="54"/>
  <c r="X18" i="54"/>
  <c r="X19" i="54"/>
  <c r="X20" i="54"/>
  <c r="X21" i="54"/>
  <c r="X22" i="54"/>
  <c r="X23" i="54"/>
  <c r="X24" i="54"/>
  <c r="X25" i="54"/>
  <c r="X26" i="54"/>
  <c r="X27" i="54"/>
  <c r="X28" i="54"/>
  <c r="X29" i="54"/>
  <c r="X31" i="54"/>
  <c r="X32" i="54"/>
  <c r="X33" i="54"/>
  <c r="X34" i="54"/>
  <c r="X35" i="54"/>
  <c r="X36" i="54"/>
  <c r="X37" i="54"/>
  <c r="X38" i="54"/>
  <c r="X39" i="54"/>
  <c r="X40" i="54"/>
  <c r="X41" i="54"/>
  <c r="X42" i="54"/>
  <c r="X43" i="54"/>
  <c r="X44" i="54"/>
  <c r="X45" i="54"/>
  <c r="X46" i="54"/>
  <c r="X47" i="54"/>
  <c r="X48" i="54"/>
  <c r="X49" i="54"/>
  <c r="X5" i="54"/>
  <c r="W22" i="54"/>
  <c r="W23" i="54"/>
  <c r="W24" i="54"/>
  <c r="W25" i="54"/>
  <c r="W26" i="54"/>
  <c r="W27" i="54"/>
  <c r="W28" i="54"/>
  <c r="W29" i="54"/>
  <c r="W31" i="54"/>
  <c r="W32" i="54"/>
  <c r="W33" i="54"/>
  <c r="W34" i="54"/>
  <c r="W35" i="54"/>
  <c r="W36" i="54"/>
  <c r="W37" i="54"/>
  <c r="W38" i="54"/>
  <c r="W39" i="54"/>
  <c r="W40" i="54"/>
  <c r="W41" i="54"/>
  <c r="W42" i="54"/>
  <c r="W43" i="54"/>
  <c r="W44" i="54"/>
  <c r="W45" i="54"/>
  <c r="W46" i="54"/>
  <c r="W47" i="54"/>
  <c r="W48" i="54"/>
  <c r="W49" i="54"/>
  <c r="W5" i="54"/>
  <c r="W6" i="54"/>
  <c r="W7" i="54"/>
  <c r="W8" i="54"/>
  <c r="W9" i="54"/>
  <c r="W10" i="54"/>
  <c r="W11" i="54"/>
  <c r="W12" i="54"/>
  <c r="W13" i="54"/>
  <c r="W14" i="54"/>
  <c r="W15" i="54"/>
  <c r="W16" i="54"/>
  <c r="W17" i="54"/>
  <c r="W18" i="54"/>
  <c r="W19" i="54"/>
  <c r="W20" i="54"/>
  <c r="W21" i="54"/>
  <c r="K32" i="93" l="1" a="1"/>
  <c r="K32" i="93" s="1"/>
  <c r="F32" i="93" a="1"/>
  <c r="F32" i="93" s="1"/>
  <c r="C224" i="42" s="1"/>
  <c r="G32" i="93" a="1"/>
  <c r="G32" i="93" s="1"/>
  <c r="J224" i="42" s="1"/>
  <c r="H32" i="93" a="1"/>
  <c r="H32" i="93" s="1"/>
  <c r="L224" i="42" s="1"/>
  <c r="P224" i="42" s="1"/>
  <c r="J32" i="93" a="1"/>
  <c r="J32" i="93" s="1"/>
  <c r="N224" i="42" s="1"/>
  <c r="H223" i="42"/>
  <c r="AF170" i="47"/>
  <c r="E33" i="93"/>
  <c r="H33" i="93" s="1" a="1"/>
  <c r="H33" i="93" s="1"/>
  <c r="B34" i="93"/>
  <c r="D34" i="93" s="1"/>
  <c r="I34" i="93" s="1" a="1"/>
  <c r="I34" i="93" s="1"/>
  <c r="C35" i="93"/>
  <c r="J33" i="93" l="1" a="1"/>
  <c r="J33" i="93" s="1"/>
  <c r="N225" i="42" s="1"/>
  <c r="K33" i="93" a="1"/>
  <c r="K33" i="93" s="1"/>
  <c r="F33" i="93" a="1"/>
  <c r="F33" i="93" s="1"/>
  <c r="C225" i="42" s="1"/>
  <c r="G33" i="93" a="1"/>
  <c r="G33" i="93" s="1"/>
  <c r="J225" i="42" s="1"/>
  <c r="L225" i="42"/>
  <c r="P225" i="42" s="1"/>
  <c r="H224" i="42"/>
  <c r="E34" i="93"/>
  <c r="G34" i="93" s="1" a="1"/>
  <c r="G34" i="93" s="1"/>
  <c r="C36" i="93"/>
  <c r="B35" i="93"/>
  <c r="D35" i="93" s="1"/>
  <c r="I35" i="93" s="1" a="1"/>
  <c r="I35" i="93" s="1"/>
  <c r="L108" i="47"/>
  <c r="F414" i="42" s="1"/>
  <c r="L109" i="47"/>
  <c r="F415" i="42" s="1"/>
  <c r="F99" i="45"/>
  <c r="U9" i="103" s="1"/>
  <c r="F114" i="45"/>
  <c r="U8" i="103" s="1"/>
  <c r="G66" i="45"/>
  <c r="U7" i="103" s="1"/>
  <c r="AE16" i="45"/>
  <c r="J34" i="93" l="1" a="1"/>
  <c r="J34" i="93" s="1"/>
  <c r="N226" i="42" s="1"/>
  <c r="F34" i="93" a="1"/>
  <c r="F34" i="93" s="1"/>
  <c r="C226" i="42" s="1"/>
  <c r="H34" i="93" a="1"/>
  <c r="H34" i="93" s="1"/>
  <c r="L226" i="42" s="1"/>
  <c r="P226" i="42" s="1"/>
  <c r="K34" i="93" a="1"/>
  <c r="K34" i="93" s="1"/>
  <c r="U10" i="103"/>
  <c r="J226" i="42"/>
  <c r="H9" i="103"/>
  <c r="P9" i="103" s="1"/>
  <c r="H225" i="42"/>
  <c r="K186" i="47"/>
  <c r="E35" i="93"/>
  <c r="K35" i="93" s="1" a="1"/>
  <c r="K35" i="93" s="1"/>
  <c r="B36" i="93"/>
  <c r="D36" i="93" s="1"/>
  <c r="I36" i="93" s="1" a="1"/>
  <c r="I36" i="93" s="1"/>
  <c r="C37" i="93"/>
  <c r="D169" i="52"/>
  <c r="D168" i="52"/>
  <c r="D167" i="52"/>
  <c r="D166" i="52"/>
  <c r="D165" i="52"/>
  <c r="D164" i="52"/>
  <c r="C169" i="52"/>
  <c r="C167" i="52"/>
  <c r="C166" i="52"/>
  <c r="C165" i="52"/>
  <c r="C164" i="52"/>
  <c r="C160" i="52" a="1"/>
  <c r="C160" i="52" s="1"/>
  <c r="C159" i="52" a="1"/>
  <c r="C159" i="52" s="1"/>
  <c r="C158" i="52" a="1"/>
  <c r="C158" i="52" s="1"/>
  <c r="C157" i="52" a="1"/>
  <c r="C157" i="52" s="1"/>
  <c r="C156" i="52" a="1"/>
  <c r="C156" i="52" s="1"/>
  <c r="C155" i="52" a="1"/>
  <c r="C155" i="52" s="1"/>
  <c r="C154" i="52" a="1"/>
  <c r="C154" i="52" s="1"/>
  <c r="C153" i="52" a="1"/>
  <c r="C153" i="52" s="1"/>
  <c r="C152" i="52" a="1"/>
  <c r="C152" i="52" s="1"/>
  <c r="C151" i="52" a="1"/>
  <c r="C151" i="52" s="1"/>
  <c r="C144" i="52"/>
  <c r="C143" i="52"/>
  <c r="C142" i="52"/>
  <c r="C141" i="52"/>
  <c r="C140" i="52"/>
  <c r="C139" i="52"/>
  <c r="C136" i="52" a="1"/>
  <c r="C136" i="52" s="1"/>
  <c r="C135" i="52" a="1"/>
  <c r="C135" i="52" s="1"/>
  <c r="C134" i="52" a="1"/>
  <c r="C134" i="52" s="1"/>
  <c r="C133" i="52" a="1"/>
  <c r="C133" i="52" s="1"/>
  <c r="C129" i="52" a="1"/>
  <c r="C129" i="52" s="1"/>
  <c r="C128" i="52" a="1"/>
  <c r="C128" i="52" s="1"/>
  <c r="C127" i="52" a="1"/>
  <c r="C127" i="52" s="1"/>
  <c r="C126" i="52" a="1"/>
  <c r="C126" i="52" s="1"/>
  <c r="C125" i="52" a="1"/>
  <c r="C125" i="52" s="1"/>
  <c r="C124" i="52" a="1"/>
  <c r="C124" i="52" s="1"/>
  <c r="C123" i="52" a="1"/>
  <c r="C123" i="52" s="1"/>
  <c r="C122" i="52" a="1"/>
  <c r="C122" i="52" s="1"/>
  <c r="C113" i="52" a="1"/>
  <c r="C113" i="52" s="1"/>
  <c r="C112" i="52" a="1"/>
  <c r="C112" i="52" s="1"/>
  <c r="C111" i="52" a="1"/>
  <c r="C111" i="52" s="1"/>
  <c r="C106" i="52" a="1"/>
  <c r="C106" i="52" s="1"/>
  <c r="C105" i="52" a="1"/>
  <c r="C105" i="52" s="1"/>
  <c r="C104" i="52" a="1"/>
  <c r="C104" i="52" s="1"/>
  <c r="C103" i="52" a="1"/>
  <c r="C103" i="52" s="1"/>
  <c r="C102" i="52" a="1"/>
  <c r="C102" i="52" s="1"/>
  <c r="C101" i="52" a="1"/>
  <c r="C101" i="52" s="1"/>
  <c r="C100" i="52" a="1"/>
  <c r="C100" i="52" s="1"/>
  <c r="C99" i="52" a="1"/>
  <c r="C99" i="52" s="1"/>
  <c r="C98" i="52" a="1"/>
  <c r="C98" i="52" s="1"/>
  <c r="C119" i="52" a="1"/>
  <c r="C119" i="52" s="1"/>
  <c r="C116" i="52" a="1"/>
  <c r="C116" i="52" s="1"/>
  <c r="C78" i="52"/>
  <c r="C118" i="52" a="1"/>
  <c r="C118" i="52" s="1"/>
  <c r="C94" i="52" a="1"/>
  <c r="C94" i="52" s="1"/>
  <c r="C93" i="52" a="1"/>
  <c r="C93" i="52" s="1"/>
  <c r="C92" i="52" a="1"/>
  <c r="C92" i="52" s="1"/>
  <c r="C91" i="52" a="1"/>
  <c r="C91" i="52" s="1"/>
  <c r="C90" i="52" a="1"/>
  <c r="C90" i="52" s="1"/>
  <c r="C89" i="52" a="1"/>
  <c r="C89" i="52" s="1"/>
  <c r="C88" i="52" a="1"/>
  <c r="C88" i="52" s="1"/>
  <c r="C87" i="52" a="1"/>
  <c r="C87" i="52" s="1"/>
  <c r="C86" i="52" a="1"/>
  <c r="C86" i="52" s="1"/>
  <c r="C85" i="52" a="1"/>
  <c r="C85" i="52" s="1"/>
  <c r="C82" i="52" a="1"/>
  <c r="C82" i="52" s="1"/>
  <c r="C81" i="52" a="1"/>
  <c r="C81" i="52" s="1"/>
  <c r="C80" i="52" a="1"/>
  <c r="C80" i="52" s="1"/>
  <c r="C79" i="52" a="1"/>
  <c r="C79" i="52" s="1"/>
  <c r="C77" i="52" a="1"/>
  <c r="C77" i="52" s="1"/>
  <c r="C76" i="52" a="1"/>
  <c r="C76" i="52" s="1"/>
  <c r="C75" i="52" a="1"/>
  <c r="C75" i="52" s="1"/>
  <c r="C72" i="52" a="1"/>
  <c r="C72" i="52" s="1"/>
  <c r="C69" i="52" a="1"/>
  <c r="C69" i="52" s="1"/>
  <c r="C68" i="52" a="1"/>
  <c r="C68" i="52" s="1"/>
  <c r="C67" i="52" a="1"/>
  <c r="C67" i="52" s="1"/>
  <c r="C66" i="52" a="1"/>
  <c r="C66" i="52" s="1"/>
  <c r="C65" i="52" a="1"/>
  <c r="C65" i="52" s="1"/>
  <c r="C64" i="52" a="1"/>
  <c r="C64" i="52" s="1"/>
  <c r="C63" i="52" a="1"/>
  <c r="C63" i="52" s="1"/>
  <c r="C59" i="52" a="1"/>
  <c r="C59" i="52" s="1"/>
  <c r="C58" i="52" a="1"/>
  <c r="C58" i="52" s="1"/>
  <c r="C52" i="52" a="1"/>
  <c r="C52" i="52" s="1"/>
  <c r="C51" i="52" a="1"/>
  <c r="C51" i="52" s="1"/>
  <c r="C50" i="52" a="1"/>
  <c r="C50" i="52" s="1"/>
  <c r="C49" i="52" a="1"/>
  <c r="C49" i="52" s="1"/>
  <c r="C46" i="52" a="1"/>
  <c r="C46" i="52" s="1"/>
  <c r="C45" i="52" a="1"/>
  <c r="C45" i="52" s="1"/>
  <c r="C44" i="52" a="1"/>
  <c r="C44" i="52" s="1"/>
  <c r="C43" i="52" a="1"/>
  <c r="C43" i="52" s="1"/>
  <c r="C42" i="52" a="1"/>
  <c r="C42" i="52" s="1"/>
  <c r="C41" i="52" a="1"/>
  <c r="C41" i="52" s="1"/>
  <c r="C40" i="52" a="1"/>
  <c r="C40" i="52" s="1"/>
  <c r="C39" i="52" a="1"/>
  <c r="C39" i="52" s="1"/>
  <c r="C36" i="52" a="1"/>
  <c r="C36" i="52" s="1"/>
  <c r="C35" i="52" a="1"/>
  <c r="C35" i="52" s="1"/>
  <c r="C34" i="52" a="1"/>
  <c r="C34" i="52" s="1"/>
  <c r="C33" i="52" a="1"/>
  <c r="C33" i="52" s="1"/>
  <c r="C32" i="52" a="1"/>
  <c r="C32" i="52" s="1"/>
  <c r="C31" i="52" a="1"/>
  <c r="C31" i="52" s="1"/>
  <c r="C28" i="52" a="1"/>
  <c r="C28" i="52" s="1"/>
  <c r="C27" i="52" a="1"/>
  <c r="C27" i="52" s="1"/>
  <c r="C26" i="52" a="1"/>
  <c r="C26" i="52" s="1"/>
  <c r="C22" i="52" a="1"/>
  <c r="C22" i="52" s="1"/>
  <c r="C18" i="52" a="1"/>
  <c r="C18" i="52" s="1"/>
  <c r="C17" i="52" a="1"/>
  <c r="C17" i="52" s="1"/>
  <c r="C16" i="52" a="1"/>
  <c r="C16" i="52" s="1"/>
  <c r="C15" i="52" a="1"/>
  <c r="C15" i="52" s="1"/>
  <c r="H35" i="93" l="1" a="1"/>
  <c r="H35" i="93" s="1"/>
  <c r="L227" i="42" s="1"/>
  <c r="P227" i="42" s="1"/>
  <c r="F35" i="93" a="1"/>
  <c r="F35" i="93" s="1"/>
  <c r="C227" i="42" s="1"/>
  <c r="G35" i="93" a="1"/>
  <c r="G35" i="93" s="1"/>
  <c r="J227" i="42" s="1"/>
  <c r="J35" i="93" a="1"/>
  <c r="J35" i="93" s="1"/>
  <c r="N227" i="42" s="1"/>
  <c r="H24" i="103"/>
  <c r="P24" i="103" s="1"/>
  <c r="F189" i="102"/>
  <c r="H226" i="42"/>
  <c r="C494" i="42"/>
  <c r="D494" i="42"/>
  <c r="F190" i="102"/>
  <c r="E36" i="93"/>
  <c r="K36" i="93" s="1" a="1"/>
  <c r="K36" i="93" s="1"/>
  <c r="C38" i="93"/>
  <c r="B37" i="93"/>
  <c r="D37" i="93" s="1"/>
  <c r="I37" i="93" s="1" a="1"/>
  <c r="I37" i="93" s="1"/>
  <c r="E78" i="52"/>
  <c r="L139" i="47"/>
  <c r="F445" i="42" s="1"/>
  <c r="L138" i="47"/>
  <c r="F444" i="42" s="1"/>
  <c r="E494" i="42" l="1"/>
  <c r="F36" i="93" a="1"/>
  <c r="F36" i="93" s="1"/>
  <c r="C228" i="42" s="1"/>
  <c r="H36" i="93" a="1"/>
  <c r="H36" i="93" s="1"/>
  <c r="L228" i="42" s="1"/>
  <c r="P228" i="42" s="1"/>
  <c r="G36" i="93" a="1"/>
  <c r="G36" i="93" s="1"/>
  <c r="J228" i="42" s="1"/>
  <c r="J36" i="93" a="1"/>
  <c r="J36" i="93" s="1"/>
  <c r="N228" i="42" s="1"/>
  <c r="F214" i="102"/>
  <c r="F494" i="42"/>
  <c r="F215" i="102"/>
  <c r="H227" i="42"/>
  <c r="E37" i="93"/>
  <c r="B38" i="93"/>
  <c r="D38" i="93" s="1"/>
  <c r="I38" i="93" s="1" a="1"/>
  <c r="I38" i="93" s="1"/>
  <c r="C39" i="93"/>
  <c r="L171" i="47"/>
  <c r="F478" i="42" s="1"/>
  <c r="L170" i="47"/>
  <c r="F476" i="42" s="1"/>
  <c r="L169" i="47"/>
  <c r="F475" i="42" s="1"/>
  <c r="L168" i="47"/>
  <c r="F474" i="42" s="1"/>
  <c r="L167" i="47"/>
  <c r="L163" i="47"/>
  <c r="F469" i="42" s="1"/>
  <c r="L159" i="47"/>
  <c r="F465" i="42" s="1"/>
  <c r="L157" i="47"/>
  <c r="L156" i="47"/>
  <c r="L155" i="47"/>
  <c r="L147" i="47"/>
  <c r="L146" i="47"/>
  <c r="L145" i="47"/>
  <c r="L144" i="47"/>
  <c r="L143" i="47"/>
  <c r="L142" i="47"/>
  <c r="L137" i="47"/>
  <c r="F443" i="42" s="1"/>
  <c r="L136" i="47"/>
  <c r="F442" i="42" s="1"/>
  <c r="L116" i="47"/>
  <c r="F422" i="42" s="1"/>
  <c r="L115" i="47"/>
  <c r="F421" i="42" s="1"/>
  <c r="L114" i="47"/>
  <c r="F420" i="42" s="1"/>
  <c r="L113" i="47"/>
  <c r="F419" i="42" s="1"/>
  <c r="L112" i="47"/>
  <c r="F418" i="42" s="1"/>
  <c r="L96" i="47"/>
  <c r="F402" i="42" s="1"/>
  <c r="L94" i="47"/>
  <c r="F400" i="42" s="1"/>
  <c r="L93" i="47"/>
  <c r="L92" i="47"/>
  <c r="L91" i="47"/>
  <c r="F397" i="42" s="1"/>
  <c r="L90" i="47"/>
  <c r="L89" i="47"/>
  <c r="F395" i="42" s="1"/>
  <c r="L88" i="47"/>
  <c r="F394" i="42" s="1"/>
  <c r="L87" i="47"/>
  <c r="F393" i="42" s="1"/>
  <c r="L84" i="47"/>
  <c r="F390" i="42" s="1"/>
  <c r="L83" i="47"/>
  <c r="L82" i="47"/>
  <c r="L81" i="47"/>
  <c r="L80" i="47"/>
  <c r="F386" i="42" s="1"/>
  <c r="L79" i="47"/>
  <c r="L78" i="47"/>
  <c r="L77" i="47"/>
  <c r="F383" i="42" s="1"/>
  <c r="L71" i="47"/>
  <c r="L70" i="47"/>
  <c r="L69" i="47"/>
  <c r="L68" i="47"/>
  <c r="F374" i="42" s="1"/>
  <c r="L67" i="47"/>
  <c r="F373" i="42" s="1"/>
  <c r="L65" i="47"/>
  <c r="L61" i="47"/>
  <c r="F367" i="42" s="1"/>
  <c r="L60" i="47"/>
  <c r="F366" i="42" s="1"/>
  <c r="L54" i="47"/>
  <c r="F360" i="42" s="1"/>
  <c r="L53" i="47"/>
  <c r="F359" i="42" s="1"/>
  <c r="L52" i="47"/>
  <c r="F358" i="42" s="1"/>
  <c r="L51" i="47"/>
  <c r="F357" i="42" s="1"/>
  <c r="L48" i="47"/>
  <c r="F354" i="42" s="1"/>
  <c r="L47" i="47"/>
  <c r="L46" i="47"/>
  <c r="F352" i="42" s="1"/>
  <c r="L45" i="47"/>
  <c r="F351" i="42" s="1"/>
  <c r="L44" i="47"/>
  <c r="L43" i="47"/>
  <c r="L42" i="47"/>
  <c r="F348" i="42" s="1"/>
  <c r="F347" i="42"/>
  <c r="L38" i="47"/>
  <c r="L37" i="47"/>
  <c r="L36" i="47"/>
  <c r="L35" i="47"/>
  <c r="L34" i="47"/>
  <c r="L33" i="47"/>
  <c r="L30" i="47"/>
  <c r="F336" i="42" s="1"/>
  <c r="L29" i="47"/>
  <c r="F335" i="42" s="1"/>
  <c r="L28" i="47"/>
  <c r="F334" i="42" s="1"/>
  <c r="L19" i="47"/>
  <c r="L14" i="47"/>
  <c r="F327" i="42" s="1"/>
  <c r="L13" i="47"/>
  <c r="F326" i="42" s="1"/>
  <c r="K37" i="93" l="1" a="1"/>
  <c r="K37" i="93" s="1"/>
  <c r="H37" i="93" a="1"/>
  <c r="H37" i="93" s="1"/>
  <c r="L229" i="42" s="1"/>
  <c r="P229" i="42" s="1"/>
  <c r="G37" i="93" a="1"/>
  <c r="G37" i="93" s="1"/>
  <c r="J229" i="42" s="1"/>
  <c r="J37" i="93" a="1"/>
  <c r="J37" i="93" s="1"/>
  <c r="N229" i="42" s="1"/>
  <c r="F37" i="93" a="1"/>
  <c r="F37" i="93" s="1"/>
  <c r="C229" i="42" s="1"/>
  <c r="H228" i="42"/>
  <c r="F332" i="42"/>
  <c r="L31" i="47"/>
  <c r="F473" i="42"/>
  <c r="F387" i="42"/>
  <c r="F462" i="42"/>
  <c r="E38" i="93"/>
  <c r="J38" i="93" s="1" a="1"/>
  <c r="J38" i="93" s="1"/>
  <c r="C40" i="93"/>
  <c r="B39" i="93"/>
  <c r="D39" i="93" s="1"/>
  <c r="I39" i="93" s="1" a="1"/>
  <c r="I39" i="93" s="1"/>
  <c r="F38" i="93" l="1" a="1"/>
  <c r="F38" i="93" s="1"/>
  <c r="C230" i="42" s="1"/>
  <c r="G38" i="93" a="1"/>
  <c r="G38" i="93" s="1"/>
  <c r="J230" i="42" s="1"/>
  <c r="H38" i="93" a="1"/>
  <c r="H38" i="93" s="1"/>
  <c r="L230" i="42" s="1"/>
  <c r="P230" i="42" s="1"/>
  <c r="K38" i="93" a="1"/>
  <c r="K38" i="93" s="1"/>
  <c r="N230" i="42"/>
  <c r="H229" i="42"/>
  <c r="E39" i="93"/>
  <c r="F39" i="93" s="1" a="1"/>
  <c r="F39" i="93" s="1"/>
  <c r="B40" i="93"/>
  <c r="D40" i="93" s="1"/>
  <c r="I40" i="93" s="1" a="1"/>
  <c r="I40" i="93" s="1"/>
  <c r="C41" i="93"/>
  <c r="F70" i="46"/>
  <c r="H39" i="93" l="1" a="1"/>
  <c r="H39" i="93" s="1"/>
  <c r="L231" i="42" s="1"/>
  <c r="P231" i="42" s="1"/>
  <c r="G39" i="93" a="1"/>
  <c r="G39" i="93" s="1"/>
  <c r="J231" i="42" s="1"/>
  <c r="J39" i="93" a="1"/>
  <c r="J39" i="93" s="1"/>
  <c r="N231" i="42" s="1"/>
  <c r="K39" i="93" a="1"/>
  <c r="K39" i="93" s="1"/>
  <c r="C231" i="42"/>
  <c r="H230" i="42"/>
  <c r="E40" i="93"/>
  <c r="K40" i="93" s="1" a="1"/>
  <c r="K40" i="93" s="1"/>
  <c r="B41" i="93"/>
  <c r="D41" i="93" s="1"/>
  <c r="I41" i="93" s="1" a="1"/>
  <c r="I41" i="93" s="1"/>
  <c r="C42" i="93"/>
  <c r="F62" i="46"/>
  <c r="F63" i="46"/>
  <c r="F65" i="46"/>
  <c r="J177" i="47"/>
  <c r="K176" i="47" s="1"/>
  <c r="K194" i="47"/>
  <c r="F69" i="46"/>
  <c r="F68" i="46"/>
  <c r="F67" i="46"/>
  <c r="F66" i="46"/>
  <c r="F64" i="46"/>
  <c r="G40" i="93" l="1" a="1"/>
  <c r="G40" i="93" s="1"/>
  <c r="J232" i="42" s="1"/>
  <c r="F40" i="93" a="1"/>
  <c r="F40" i="93" s="1"/>
  <c r="C232" i="42" s="1"/>
  <c r="H40" i="93" a="1"/>
  <c r="H40" i="93" s="1"/>
  <c r="L232" i="42" s="1"/>
  <c r="P232" i="42" s="1"/>
  <c r="J40" i="93" a="1"/>
  <c r="J40" i="93" s="1"/>
  <c r="N232" i="42" s="1"/>
  <c r="F73" i="46"/>
  <c r="H231" i="42"/>
  <c r="E41" i="93"/>
  <c r="F41" i="93" s="1" a="1"/>
  <c r="F41" i="93" s="1"/>
  <c r="C43" i="93"/>
  <c r="B42" i="93"/>
  <c r="D42" i="93" s="1"/>
  <c r="I42" i="93" s="1" a="1"/>
  <c r="I42" i="93" s="1"/>
  <c r="G41" i="93" l="1" a="1"/>
  <c r="G41" i="93" s="1"/>
  <c r="J233" i="42" s="1"/>
  <c r="H41" i="93" a="1"/>
  <c r="H41" i="93" s="1"/>
  <c r="L233" i="42" s="1"/>
  <c r="P233" i="42" s="1"/>
  <c r="J41" i="93" a="1"/>
  <c r="J41" i="93" s="1"/>
  <c r="N233" i="42" s="1"/>
  <c r="K41" i="93" a="1"/>
  <c r="K41" i="93" s="1"/>
  <c r="C233" i="42"/>
  <c r="H232" i="42"/>
  <c r="E42" i="93"/>
  <c r="H42" i="93" s="1" a="1"/>
  <c r="H42" i="93" s="1"/>
  <c r="B43" i="93"/>
  <c r="D43" i="93" s="1"/>
  <c r="I43" i="93" s="1" a="1"/>
  <c r="I43" i="93" s="1"/>
  <c r="C44" i="93"/>
  <c r="F42" i="93" l="1" a="1"/>
  <c r="F42" i="93" s="1"/>
  <c r="C234" i="42" s="1"/>
  <c r="G42" i="93" a="1"/>
  <c r="G42" i="93" s="1"/>
  <c r="J234" i="42" s="1"/>
  <c r="J42" i="93" a="1"/>
  <c r="J42" i="93" s="1"/>
  <c r="N234" i="42" s="1"/>
  <c r="K42" i="93" a="1"/>
  <c r="K42" i="93" s="1"/>
  <c r="L234" i="42"/>
  <c r="P234" i="42" s="1"/>
  <c r="H233" i="42"/>
  <c r="E43" i="93"/>
  <c r="K43" i="93" s="1" a="1"/>
  <c r="K43" i="93" s="1"/>
  <c r="B44" i="93"/>
  <c r="D44" i="93" s="1"/>
  <c r="I44" i="93" s="1" a="1"/>
  <c r="I44" i="93" s="1"/>
  <c r="C45" i="93"/>
  <c r="G27" i="20"/>
  <c r="P54" i="108"/>
  <c r="E64" i="52"/>
  <c r="E15" i="52"/>
  <c r="G15" i="52" s="1"/>
  <c r="B163" i="49"/>
  <c r="E66" i="49"/>
  <c r="E69" i="49"/>
  <c r="F69" i="49" s="1"/>
  <c r="G69" i="49" s="1"/>
  <c r="H69" i="49" s="1"/>
  <c r="I69" i="49" s="1"/>
  <c r="J69" i="49" s="1"/>
  <c r="K69" i="49" s="1"/>
  <c r="L69" i="49" s="1"/>
  <c r="M69" i="49" s="1"/>
  <c r="N69" i="49" s="1"/>
  <c r="O69" i="49" s="1"/>
  <c r="P69" i="49" s="1"/>
  <c r="Q69" i="49" s="1"/>
  <c r="R69" i="49" s="1"/>
  <c r="S69" i="49" s="1"/>
  <c r="T69" i="49" s="1"/>
  <c r="U69" i="49" s="1"/>
  <c r="V69" i="49" s="1"/>
  <c r="W69" i="49" s="1"/>
  <c r="X69" i="49" s="1"/>
  <c r="Y69" i="49" s="1"/>
  <c r="Z69" i="49" s="1"/>
  <c r="AA69" i="49" s="1"/>
  <c r="AB69" i="49" s="1"/>
  <c r="AC69" i="49" s="1"/>
  <c r="AD69" i="49" s="1"/>
  <c r="AE69" i="49" s="1"/>
  <c r="AF69" i="49" s="1"/>
  <c r="AG69" i="49" s="1"/>
  <c r="AH69" i="49" s="1"/>
  <c r="AI69" i="49" s="1"/>
  <c r="AJ69" i="49" s="1"/>
  <c r="AK69" i="49" s="1"/>
  <c r="AL69" i="49" s="1"/>
  <c r="E68" i="49"/>
  <c r="F68" i="49" s="1"/>
  <c r="G68" i="49" s="1"/>
  <c r="H68" i="49" s="1"/>
  <c r="I68" i="49" s="1"/>
  <c r="J68" i="49" s="1"/>
  <c r="K68" i="49" s="1"/>
  <c r="L68" i="49" s="1"/>
  <c r="M68" i="49" s="1"/>
  <c r="N68" i="49" s="1"/>
  <c r="O68" i="49" s="1"/>
  <c r="P68" i="49" s="1"/>
  <c r="Q68" i="49" s="1"/>
  <c r="R68" i="49" s="1"/>
  <c r="S68" i="49" s="1"/>
  <c r="T68" i="49" s="1"/>
  <c r="U68" i="49" s="1"/>
  <c r="V68" i="49" s="1"/>
  <c r="W68" i="49" s="1"/>
  <c r="X68" i="49" s="1"/>
  <c r="Y68" i="49" s="1"/>
  <c r="Z68" i="49" s="1"/>
  <c r="AA68" i="49" s="1"/>
  <c r="AB68" i="49" s="1"/>
  <c r="AC68" i="49" s="1"/>
  <c r="AD68" i="49" s="1"/>
  <c r="AE68" i="49" s="1"/>
  <c r="AF68" i="49" s="1"/>
  <c r="AG68" i="49" s="1"/>
  <c r="AH68" i="49" s="1"/>
  <c r="AI68" i="49" s="1"/>
  <c r="AJ68" i="49" s="1"/>
  <c r="AK68" i="49" s="1"/>
  <c r="AL68" i="49" s="1"/>
  <c r="E67" i="49"/>
  <c r="F67" i="49" s="1"/>
  <c r="F163" i="49" l="1"/>
  <c r="F165" i="49" s="1"/>
  <c r="F166" i="49" s="1"/>
  <c r="R163" i="49"/>
  <c r="R165" i="49" s="1"/>
  <c r="R166" i="49" s="1"/>
  <c r="AD163" i="49"/>
  <c r="AD165" i="49" s="1"/>
  <c r="AD166" i="49" s="1"/>
  <c r="AG163" i="49"/>
  <c r="AG165" i="49" s="1"/>
  <c r="AG166" i="49" s="1"/>
  <c r="G163" i="49"/>
  <c r="G165" i="49" s="1"/>
  <c r="G166" i="49" s="1"/>
  <c r="S163" i="49"/>
  <c r="S165" i="49" s="1"/>
  <c r="S166" i="49" s="1"/>
  <c r="AE163" i="49"/>
  <c r="AE165" i="49" s="1"/>
  <c r="AE166" i="49" s="1"/>
  <c r="H163" i="49"/>
  <c r="H165" i="49" s="1"/>
  <c r="H166" i="49" s="1"/>
  <c r="T163" i="49"/>
  <c r="T165" i="49" s="1"/>
  <c r="T166" i="49" s="1"/>
  <c r="AF163" i="49"/>
  <c r="AF165" i="49" s="1"/>
  <c r="AF166" i="49" s="1"/>
  <c r="I163" i="49"/>
  <c r="I165" i="49" s="1"/>
  <c r="I166" i="49" s="1"/>
  <c r="U163" i="49"/>
  <c r="U165" i="49" s="1"/>
  <c r="U166" i="49" s="1"/>
  <c r="D163" i="49"/>
  <c r="D165" i="49" s="1"/>
  <c r="D166" i="49" s="1"/>
  <c r="J163" i="49"/>
  <c r="J165" i="49" s="1"/>
  <c r="J166" i="49" s="1"/>
  <c r="V163" i="49"/>
  <c r="V165" i="49" s="1"/>
  <c r="V166" i="49" s="1"/>
  <c r="AH163" i="49"/>
  <c r="AH165" i="49" s="1"/>
  <c r="AH166" i="49" s="1"/>
  <c r="P163" i="49"/>
  <c r="P165" i="49" s="1"/>
  <c r="P166" i="49" s="1"/>
  <c r="Q163" i="49"/>
  <c r="Q165" i="49" s="1"/>
  <c r="Q166" i="49" s="1"/>
  <c r="K163" i="49"/>
  <c r="K165" i="49" s="1"/>
  <c r="K166" i="49" s="1"/>
  <c r="W163" i="49"/>
  <c r="W165" i="49" s="1"/>
  <c r="W166" i="49" s="1"/>
  <c r="AI163" i="49"/>
  <c r="AI165" i="49" s="1"/>
  <c r="AI166" i="49" s="1"/>
  <c r="AB163" i="49"/>
  <c r="AB165" i="49" s="1"/>
  <c r="AB166" i="49" s="1"/>
  <c r="L163" i="49"/>
  <c r="L165" i="49" s="1"/>
  <c r="L166" i="49" s="1"/>
  <c r="X163" i="49"/>
  <c r="X165" i="49" s="1"/>
  <c r="X166" i="49" s="1"/>
  <c r="AJ163" i="49"/>
  <c r="AJ165" i="49" s="1"/>
  <c r="AJ166" i="49" s="1"/>
  <c r="N163" i="49"/>
  <c r="N165" i="49" s="1"/>
  <c r="N166" i="49" s="1"/>
  <c r="M163" i="49"/>
  <c r="M165" i="49" s="1"/>
  <c r="M166" i="49" s="1"/>
  <c r="Y163" i="49"/>
  <c r="Y165" i="49" s="1"/>
  <c r="Y166" i="49" s="1"/>
  <c r="AK163" i="49"/>
  <c r="AK165" i="49" s="1"/>
  <c r="AK166" i="49" s="1"/>
  <c r="AL163" i="49"/>
  <c r="AL165" i="49" s="1"/>
  <c r="AL166" i="49" s="1"/>
  <c r="AC163" i="49"/>
  <c r="AC165" i="49" s="1"/>
  <c r="AC166" i="49" s="1"/>
  <c r="Z163" i="49"/>
  <c r="Z165" i="49" s="1"/>
  <c r="Z166" i="49" s="1"/>
  <c r="E163" i="49"/>
  <c r="E165" i="49" s="1"/>
  <c r="E166" i="49" s="1"/>
  <c r="O163" i="49"/>
  <c r="O165" i="49" s="1"/>
  <c r="O166" i="49" s="1"/>
  <c r="AA163" i="49"/>
  <c r="AA165" i="49" s="1"/>
  <c r="AA166" i="49" s="1"/>
  <c r="F293" i="102"/>
  <c r="C616" i="42"/>
  <c r="F43" i="93" a="1"/>
  <c r="F43" i="93" s="1"/>
  <c r="C235" i="42" s="1"/>
  <c r="G43" i="93" a="1"/>
  <c r="G43" i="93" s="1"/>
  <c r="J235" i="42" s="1"/>
  <c r="H43" i="93" a="1"/>
  <c r="H43" i="93" s="1"/>
  <c r="L235" i="42" s="1"/>
  <c r="P235" i="42" s="1"/>
  <c r="J43" i="93" a="1"/>
  <c r="J43" i="93" s="1"/>
  <c r="N235" i="42" s="1"/>
  <c r="F297" i="102"/>
  <c r="H234" i="42"/>
  <c r="D167" i="49"/>
  <c r="X117" i="49"/>
  <c r="Y117" i="49"/>
  <c r="X113" i="49"/>
  <c r="Y113" i="49"/>
  <c r="E44" i="93"/>
  <c r="F44" i="93" s="1" a="1"/>
  <c r="F44" i="93" s="1"/>
  <c r="C46" i="93"/>
  <c r="B45" i="93"/>
  <c r="D45" i="93" s="1"/>
  <c r="I45" i="93" s="1" a="1"/>
  <c r="I45" i="93" s="1"/>
  <c r="G67" i="49"/>
  <c r="G44" i="93" l="1" a="1"/>
  <c r="G44" i="93" s="1"/>
  <c r="J236" i="42" s="1"/>
  <c r="H44" i="93" a="1"/>
  <c r="H44" i="93" s="1"/>
  <c r="L236" i="42" s="1"/>
  <c r="P236" i="42" s="1"/>
  <c r="J44" i="93" a="1"/>
  <c r="J44" i="93" s="1"/>
  <c r="N236" i="42" s="1"/>
  <c r="K44" i="93" a="1"/>
  <c r="K44" i="93" s="1"/>
  <c r="AK167" i="49"/>
  <c r="AJ167" i="49"/>
  <c r="AI167" i="49"/>
  <c r="AH167" i="49"/>
  <c r="AG167" i="49"/>
  <c r="AF167" i="49"/>
  <c r="AE167" i="49"/>
  <c r="AD167" i="49"/>
  <c r="AC167" i="49"/>
  <c r="AB167" i="49"/>
  <c r="AA167" i="49"/>
  <c r="AL167" i="49"/>
  <c r="Z167" i="49"/>
  <c r="C236" i="42"/>
  <c r="H235" i="42"/>
  <c r="E45" i="93"/>
  <c r="J45" i="93" s="1" a="1"/>
  <c r="J45" i="93" s="1"/>
  <c r="B46" i="93"/>
  <c r="D46" i="93" s="1"/>
  <c r="I46" i="93" s="1" a="1"/>
  <c r="I46" i="93" s="1"/>
  <c r="C47" i="93"/>
  <c r="H67" i="49"/>
  <c r="F45" i="93" l="1" a="1"/>
  <c r="F45" i="93" s="1"/>
  <c r="C237" i="42" s="1"/>
  <c r="G45" i="93" a="1"/>
  <c r="G45" i="93" s="1"/>
  <c r="J237" i="42" s="1"/>
  <c r="H45" i="93" a="1"/>
  <c r="H45" i="93" s="1"/>
  <c r="L237" i="42" s="1"/>
  <c r="P237" i="42" s="1"/>
  <c r="K45" i="93" a="1"/>
  <c r="K45" i="93" s="1"/>
  <c r="N237" i="42"/>
  <c r="H236" i="42"/>
  <c r="E46" i="93"/>
  <c r="J46" i="93" s="1" a="1"/>
  <c r="J46" i="93" s="1"/>
  <c r="C48" i="93"/>
  <c r="B47" i="93"/>
  <c r="D47" i="93" s="1"/>
  <c r="I47" i="93" s="1" a="1"/>
  <c r="I47" i="93" s="1"/>
  <c r="I67" i="49"/>
  <c r="G46" i="93" l="1" a="1"/>
  <c r="G46" i="93" s="1"/>
  <c r="J238" i="42" s="1"/>
  <c r="K46" i="93" a="1"/>
  <c r="K46" i="93" s="1"/>
  <c r="F46" i="93" a="1"/>
  <c r="F46" i="93" s="1"/>
  <c r="C238" i="42" s="1"/>
  <c r="H46" i="93" a="1"/>
  <c r="H46" i="93" s="1"/>
  <c r="L238" i="42" s="1"/>
  <c r="P238" i="42" s="1"/>
  <c r="N238" i="42"/>
  <c r="H237" i="42"/>
  <c r="E47" i="93"/>
  <c r="H47" i="93" s="1" a="1"/>
  <c r="H47" i="93" s="1"/>
  <c r="B48" i="93"/>
  <c r="D48" i="93" s="1"/>
  <c r="I48" i="93" s="1" a="1"/>
  <c r="I48" i="93" s="1"/>
  <c r="C49" i="93"/>
  <c r="J67" i="49"/>
  <c r="J47" i="93" l="1" a="1"/>
  <c r="J47" i="93" s="1"/>
  <c r="N239" i="42" s="1"/>
  <c r="K47" i="93" a="1"/>
  <c r="K47" i="93" s="1"/>
  <c r="F47" i="93" a="1"/>
  <c r="F47" i="93" s="1"/>
  <c r="C239" i="42" s="1"/>
  <c r="G47" i="93" a="1"/>
  <c r="G47" i="93" s="1"/>
  <c r="J239" i="42" s="1"/>
  <c r="L239" i="42"/>
  <c r="P239" i="42" s="1"/>
  <c r="H238" i="42"/>
  <c r="E48" i="93"/>
  <c r="K48" i="93" s="1" a="1"/>
  <c r="K48" i="93" s="1"/>
  <c r="C50" i="93"/>
  <c r="B49" i="93"/>
  <c r="D49" i="93" s="1"/>
  <c r="I49" i="93" s="1" a="1"/>
  <c r="I49" i="93" s="1"/>
  <c r="K67" i="49"/>
  <c r="F48" i="93" l="1" a="1"/>
  <c r="F48" i="93" s="1"/>
  <c r="C240" i="42" s="1"/>
  <c r="G48" i="93" a="1"/>
  <c r="G48" i="93" s="1"/>
  <c r="J240" i="42" s="1"/>
  <c r="H48" i="93" a="1"/>
  <c r="H48" i="93" s="1"/>
  <c r="L240" i="42" s="1"/>
  <c r="P240" i="42" s="1"/>
  <c r="J48" i="93" a="1"/>
  <c r="J48" i="93" s="1"/>
  <c r="N240" i="42" s="1"/>
  <c r="H239" i="42"/>
  <c r="E49" i="93"/>
  <c r="F49" i="93" s="1" a="1"/>
  <c r="F49" i="93" s="1"/>
  <c r="B50" i="93"/>
  <c r="D50" i="93" s="1"/>
  <c r="I50" i="93" s="1" a="1"/>
  <c r="I50" i="93" s="1"/>
  <c r="C51" i="93"/>
  <c r="L67" i="49"/>
  <c r="G49" i="93" l="1" a="1"/>
  <c r="G49" i="93" s="1"/>
  <c r="J241" i="42" s="1"/>
  <c r="H49" i="93" a="1"/>
  <c r="H49" i="93" s="1"/>
  <c r="L241" i="42" s="1"/>
  <c r="P241" i="42" s="1"/>
  <c r="J49" i="93" a="1"/>
  <c r="J49" i="93" s="1"/>
  <c r="N241" i="42" s="1"/>
  <c r="K49" i="93" a="1"/>
  <c r="K49" i="93" s="1"/>
  <c r="C241" i="42"/>
  <c r="H240" i="42"/>
  <c r="E50" i="93"/>
  <c r="C52" i="93"/>
  <c r="B51" i="93"/>
  <c r="D51" i="93" s="1"/>
  <c r="I51" i="93" s="1" a="1"/>
  <c r="I51" i="93" s="1"/>
  <c r="M67" i="49"/>
  <c r="F50" i="93" l="1" a="1"/>
  <c r="F50" i="93" s="1"/>
  <c r="C242" i="42" s="1"/>
  <c r="G50" i="93" a="1"/>
  <c r="G50" i="93" s="1"/>
  <c r="J242" i="42" s="1"/>
  <c r="J50" i="93" a="1"/>
  <c r="J50" i="93" s="1"/>
  <c r="N242" i="42" s="1"/>
  <c r="K50" i="93" a="1"/>
  <c r="K50" i="93" s="1"/>
  <c r="H50" i="93" a="1"/>
  <c r="H50" i="93" s="1"/>
  <c r="L242" i="42" s="1"/>
  <c r="P242" i="42" s="1"/>
  <c r="H241" i="42"/>
  <c r="E51" i="93"/>
  <c r="K51" i="93" s="1" a="1"/>
  <c r="K51" i="93" s="1"/>
  <c r="B52" i="93"/>
  <c r="D52" i="93" s="1"/>
  <c r="I52" i="93" s="1" a="1"/>
  <c r="I52" i="93" s="1"/>
  <c r="C53" i="93"/>
  <c r="N67" i="49"/>
  <c r="F51" i="93" l="1" a="1"/>
  <c r="F51" i="93" s="1"/>
  <c r="C243" i="42" s="1"/>
  <c r="G51" i="93" a="1"/>
  <c r="G51" i="93" s="1"/>
  <c r="J243" i="42" s="1"/>
  <c r="H51" i="93" a="1"/>
  <c r="H51" i="93" s="1"/>
  <c r="L243" i="42" s="1"/>
  <c r="P243" i="42" s="1"/>
  <c r="J51" i="93" a="1"/>
  <c r="J51" i="93" s="1"/>
  <c r="N243" i="42" s="1"/>
  <c r="H242" i="42"/>
  <c r="E52" i="93"/>
  <c r="G52" i="93" s="1" a="1"/>
  <c r="G52" i="93" s="1"/>
  <c r="C54" i="93"/>
  <c r="B53" i="93"/>
  <c r="D53" i="93" s="1"/>
  <c r="I53" i="93" s="1" a="1"/>
  <c r="I53" i="93" s="1"/>
  <c r="O67" i="49"/>
  <c r="H52" i="93" l="1" a="1"/>
  <c r="H52" i="93" s="1"/>
  <c r="L244" i="42" s="1"/>
  <c r="P244" i="42" s="1"/>
  <c r="K52" i="93" a="1"/>
  <c r="K52" i="93" s="1"/>
  <c r="J52" i="93" a="1"/>
  <c r="J52" i="93" s="1"/>
  <c r="N244" i="42" s="1"/>
  <c r="F52" i="93" a="1"/>
  <c r="F52" i="93" s="1"/>
  <c r="C244" i="42" s="1"/>
  <c r="J244" i="42"/>
  <c r="H243" i="42"/>
  <c r="E53" i="93"/>
  <c r="K53" i="93" s="1" a="1"/>
  <c r="K53" i="93" s="1"/>
  <c r="B54" i="93"/>
  <c r="D54" i="93" s="1"/>
  <c r="I54" i="93" s="1" a="1"/>
  <c r="I54" i="93" s="1"/>
  <c r="C55" i="93"/>
  <c r="P67" i="49"/>
  <c r="F53" i="93" l="1" a="1"/>
  <c r="F53" i="93" s="1"/>
  <c r="C245" i="42" s="1"/>
  <c r="G53" i="93" a="1"/>
  <c r="G53" i="93" s="1"/>
  <c r="J245" i="42" s="1"/>
  <c r="H53" i="93" a="1"/>
  <c r="H53" i="93" s="1"/>
  <c r="L245" i="42" s="1"/>
  <c r="P245" i="42" s="1"/>
  <c r="J53" i="93" a="1"/>
  <c r="J53" i="93" s="1"/>
  <c r="N245" i="42" s="1"/>
  <c r="H244" i="42"/>
  <c r="E54" i="93"/>
  <c r="K54" i="93" s="1" a="1"/>
  <c r="K54" i="93" s="1"/>
  <c r="C56" i="93"/>
  <c r="B55" i="93"/>
  <c r="D55" i="93" s="1"/>
  <c r="I55" i="93" s="1" a="1"/>
  <c r="I55" i="93" s="1"/>
  <c r="Q67" i="49"/>
  <c r="H54" i="93" l="1" a="1"/>
  <c r="H54" i="93" s="1"/>
  <c r="L246" i="42" s="1"/>
  <c r="P246" i="42" s="1"/>
  <c r="F54" i="93" a="1"/>
  <c r="F54" i="93" s="1"/>
  <c r="C246" i="42" s="1"/>
  <c r="G54" i="93" a="1"/>
  <c r="G54" i="93" s="1"/>
  <c r="J246" i="42" s="1"/>
  <c r="J54" i="93" a="1"/>
  <c r="J54" i="93" s="1"/>
  <c r="N246" i="42" s="1"/>
  <c r="H245" i="42"/>
  <c r="E55" i="93"/>
  <c r="B56" i="93"/>
  <c r="D56" i="93" s="1"/>
  <c r="I56" i="93" s="1" a="1"/>
  <c r="I56" i="93" s="1"/>
  <c r="C57" i="93"/>
  <c r="R67" i="49"/>
  <c r="F55" i="93" l="1" a="1"/>
  <c r="F55" i="93" s="1"/>
  <c r="C247" i="42" s="1"/>
  <c r="G55" i="93" a="1"/>
  <c r="G55" i="93" s="1"/>
  <c r="J247" i="42" s="1"/>
  <c r="J55" i="93" a="1"/>
  <c r="J55" i="93" s="1"/>
  <c r="N247" i="42" s="1"/>
  <c r="K55" i="93" a="1"/>
  <c r="K55" i="93" s="1"/>
  <c r="H55" i="93" a="1"/>
  <c r="H55" i="93" s="1"/>
  <c r="L247" i="42" s="1"/>
  <c r="P247" i="42" s="1"/>
  <c r="G268" i="42"/>
  <c r="E268" i="42" s="1"/>
  <c r="G266" i="42"/>
  <c r="E266" i="42" s="1"/>
  <c r="G267" i="42"/>
  <c r="E267" i="42" s="1"/>
  <c r="G264" i="42"/>
  <c r="E264" i="42" s="1"/>
  <c r="G265" i="42"/>
  <c r="E265" i="42" s="1"/>
  <c r="G263" i="42"/>
  <c r="E263" i="42" s="1"/>
  <c r="H246" i="42"/>
  <c r="E56" i="93"/>
  <c r="K56" i="93" s="1" a="1"/>
  <c r="K56" i="93" s="1"/>
  <c r="C58" i="93"/>
  <c r="B57" i="93"/>
  <c r="D57" i="93" s="1"/>
  <c r="I57" i="93" s="1" a="1"/>
  <c r="I57" i="93" s="1"/>
  <c r="S67" i="49"/>
  <c r="F56" i="93" l="1" a="1"/>
  <c r="F56" i="93" s="1"/>
  <c r="C248" i="42" s="1"/>
  <c r="G56" i="93" a="1"/>
  <c r="G56" i="93" s="1"/>
  <c r="J248" i="42" s="1"/>
  <c r="H56" i="93" a="1"/>
  <c r="H56" i="93" s="1"/>
  <c r="L248" i="42" s="1"/>
  <c r="P248" i="42" s="1"/>
  <c r="J56" i="93" a="1"/>
  <c r="J56" i="93" s="1"/>
  <c r="N248" i="42" s="1"/>
  <c r="H247" i="42"/>
  <c r="E57" i="93"/>
  <c r="G57" i="93" s="1" a="1"/>
  <c r="G57" i="93" s="1"/>
  <c r="B58" i="93"/>
  <c r="D58" i="93" s="1"/>
  <c r="I58" i="93" s="1" a="1"/>
  <c r="I58" i="93" s="1"/>
  <c r="C59" i="93"/>
  <c r="T67" i="49"/>
  <c r="H57" i="93" l="1" a="1"/>
  <c r="H57" i="93" s="1"/>
  <c r="L249" i="42" s="1"/>
  <c r="P249" i="42" s="1"/>
  <c r="J57" i="93" a="1"/>
  <c r="J57" i="93" s="1"/>
  <c r="N249" i="42" s="1"/>
  <c r="K57" i="93" a="1"/>
  <c r="K57" i="93" s="1"/>
  <c r="F57" i="93" a="1"/>
  <c r="F57" i="93" s="1"/>
  <c r="C249" i="42" s="1"/>
  <c r="J249" i="42"/>
  <c r="H248" i="42"/>
  <c r="E58" i="93"/>
  <c r="K58" i="93" s="1" a="1"/>
  <c r="K58" i="93" s="1"/>
  <c r="R247" i="42"/>
  <c r="C60" i="93"/>
  <c r="B59" i="93"/>
  <c r="D59" i="93" s="1"/>
  <c r="I59" i="93" s="1" a="1"/>
  <c r="I59" i="93" s="1"/>
  <c r="U67" i="49"/>
  <c r="F58" i="93" l="1" a="1"/>
  <c r="F58" i="93" s="1"/>
  <c r="C250" i="42" s="1"/>
  <c r="J58" i="93" a="1"/>
  <c r="J58" i="93" s="1"/>
  <c r="N250" i="42" s="1"/>
  <c r="G58" i="93" a="1"/>
  <c r="G58" i="93" s="1"/>
  <c r="J250" i="42" s="1"/>
  <c r="H58" i="93" a="1"/>
  <c r="H58" i="93" s="1"/>
  <c r="L250" i="42" s="1"/>
  <c r="P250" i="42" s="1"/>
  <c r="H249" i="42"/>
  <c r="E59" i="93"/>
  <c r="J59" i="93" s="1" a="1"/>
  <c r="J59" i="93" s="1"/>
  <c r="R248" i="42"/>
  <c r="B60" i="93"/>
  <c r="D60" i="93" s="1"/>
  <c r="I60" i="93" s="1" a="1"/>
  <c r="I60" i="93" s="1"/>
  <c r="C61" i="93"/>
  <c r="V67" i="49"/>
  <c r="H59" i="93" l="1" a="1"/>
  <c r="H59" i="93" s="1"/>
  <c r="L251" i="42" s="1"/>
  <c r="P251" i="42" s="1"/>
  <c r="G59" i="93" a="1"/>
  <c r="G59" i="93" s="1"/>
  <c r="J251" i="42" s="1"/>
  <c r="K59" i="93" a="1"/>
  <c r="K59" i="93" s="1"/>
  <c r="F59" i="93" a="1"/>
  <c r="F59" i="93" s="1"/>
  <c r="C251" i="42" s="1"/>
  <c r="N251" i="42"/>
  <c r="H250" i="42"/>
  <c r="E60" i="93"/>
  <c r="H60" i="93" s="1" a="1"/>
  <c r="H60" i="93" s="1"/>
  <c r="R249" i="42"/>
  <c r="C62" i="93"/>
  <c r="B61" i="93"/>
  <c r="D61" i="93" s="1"/>
  <c r="I61" i="93" s="1" a="1"/>
  <c r="I61" i="93" s="1"/>
  <c r="W67" i="49"/>
  <c r="J60" i="93" l="1" a="1"/>
  <c r="J60" i="93" s="1"/>
  <c r="N252" i="42" s="1"/>
  <c r="K60" i="93" a="1"/>
  <c r="K60" i="93" s="1"/>
  <c r="F60" i="93" a="1"/>
  <c r="F60" i="93" s="1"/>
  <c r="C252" i="42" s="1"/>
  <c r="G60" i="93" a="1"/>
  <c r="G60" i="93" s="1"/>
  <c r="J252" i="42" s="1"/>
  <c r="H251" i="42"/>
  <c r="L252" i="42"/>
  <c r="P252" i="42" s="1"/>
  <c r="E61" i="93"/>
  <c r="G61" i="93" s="1" a="1"/>
  <c r="G61" i="93" s="1"/>
  <c r="R250" i="42"/>
  <c r="C63" i="93"/>
  <c r="B62" i="93"/>
  <c r="D62" i="93" s="1"/>
  <c r="I62" i="93" s="1" a="1"/>
  <c r="I62" i="93" s="1"/>
  <c r="X67" i="49"/>
  <c r="F61" i="93" l="1" a="1"/>
  <c r="F61" i="93" s="1"/>
  <c r="C253" i="42" s="1"/>
  <c r="H61" i="93" a="1"/>
  <c r="H61" i="93" s="1"/>
  <c r="L253" i="42" s="1"/>
  <c r="P253" i="42" s="1"/>
  <c r="K61" i="93" a="1"/>
  <c r="K61" i="93" s="1"/>
  <c r="J61" i="93" a="1"/>
  <c r="J61" i="93" s="1"/>
  <c r="N253" i="42" s="1"/>
  <c r="J253" i="42"/>
  <c r="H252" i="42"/>
  <c r="E62" i="93"/>
  <c r="K62" i="93" s="1" a="1"/>
  <c r="K62" i="93" s="1"/>
  <c r="R251" i="42"/>
  <c r="C64" i="93"/>
  <c r="B63" i="93"/>
  <c r="D63" i="93" s="1"/>
  <c r="I63" i="93" s="1" a="1"/>
  <c r="I63" i="93" s="1"/>
  <c r="Y67" i="49"/>
  <c r="Z67" i="49" s="1"/>
  <c r="AA67" i="49" s="1"/>
  <c r="AB67" i="49" s="1"/>
  <c r="AC67" i="49" s="1"/>
  <c r="AD67" i="49" s="1"/>
  <c r="AE67" i="49" s="1"/>
  <c r="AF67" i="49" s="1"/>
  <c r="AG67" i="49" s="1"/>
  <c r="AH67" i="49" s="1"/>
  <c r="AI67" i="49" s="1"/>
  <c r="AJ67" i="49" s="1"/>
  <c r="AK67" i="49" s="1"/>
  <c r="AL67" i="49" s="1"/>
  <c r="H62" i="93" l="1" a="1"/>
  <c r="H62" i="93" s="1"/>
  <c r="L254" i="42" s="1"/>
  <c r="P254" i="42" s="1"/>
  <c r="F62" i="93" a="1"/>
  <c r="F62" i="93" s="1"/>
  <c r="C254" i="42" s="1"/>
  <c r="G62" i="93" a="1"/>
  <c r="G62" i="93" s="1"/>
  <c r="J254" i="42" s="1"/>
  <c r="J62" i="93" a="1"/>
  <c r="J62" i="93" s="1"/>
  <c r="N254" i="42" s="1"/>
  <c r="H253" i="42"/>
  <c r="E63" i="93"/>
  <c r="K63" i="93" s="1" a="1"/>
  <c r="K63" i="93" s="1"/>
  <c r="R252" i="42"/>
  <c r="B64" i="93"/>
  <c r="D64" i="93" s="1"/>
  <c r="I64" i="93" s="1" a="1"/>
  <c r="I64" i="93" s="1"/>
  <c r="L172" i="47"/>
  <c r="L56" i="47"/>
  <c r="L55" i="47"/>
  <c r="L16" i="47"/>
  <c r="G63" i="93" l="1" a="1"/>
  <c r="G63" i="93" s="1"/>
  <c r="J255" i="42" s="1"/>
  <c r="H63" i="93" a="1"/>
  <c r="H63" i="93" s="1"/>
  <c r="L255" i="42" s="1"/>
  <c r="P255" i="42" s="1"/>
  <c r="F63" i="93" a="1"/>
  <c r="F63" i="93" s="1"/>
  <c r="C255" i="42" s="1"/>
  <c r="J63" i="93" a="1"/>
  <c r="J63" i="93" s="1"/>
  <c r="N255" i="42" s="1"/>
  <c r="H254" i="42"/>
  <c r="H8" i="103"/>
  <c r="P8" i="103" s="1"/>
  <c r="E64" i="93"/>
  <c r="J64" i="93" s="1" a="1"/>
  <c r="J64" i="93" s="1"/>
  <c r="R253" i="42"/>
  <c r="U11" i="46"/>
  <c r="E48" i="46"/>
  <c r="E155" i="49" s="1"/>
  <c r="K155" i="49" l="1"/>
  <c r="R155" i="49"/>
  <c r="L155" i="49"/>
  <c r="X155" i="49"/>
  <c r="AJ155" i="49"/>
  <c r="Y155" i="49"/>
  <c r="AK155" i="49"/>
  <c r="M155" i="49"/>
  <c r="F155" i="49"/>
  <c r="G155" i="49"/>
  <c r="N155" i="49"/>
  <c r="AL155" i="49"/>
  <c r="AE155" i="49"/>
  <c r="O155" i="49"/>
  <c r="AA155" i="49"/>
  <c r="D155" i="49"/>
  <c r="D156" i="49" s="1"/>
  <c r="P155" i="49"/>
  <c r="AB155" i="49"/>
  <c r="AD155" i="49"/>
  <c r="S155" i="49"/>
  <c r="Q155" i="49"/>
  <c r="AC155" i="49"/>
  <c r="H155" i="49"/>
  <c r="T155" i="49"/>
  <c r="AF155" i="49"/>
  <c r="W155" i="49"/>
  <c r="I155" i="49"/>
  <c r="U155" i="49"/>
  <c r="AG155" i="49"/>
  <c r="J155" i="49"/>
  <c r="V155" i="49"/>
  <c r="AH155" i="49"/>
  <c r="AI155" i="49"/>
  <c r="Z155" i="49"/>
  <c r="H36" i="103"/>
  <c r="F233" i="102" s="1"/>
  <c r="H64" i="93" a="1"/>
  <c r="H64" i="93" s="1"/>
  <c r="L256" i="42" s="1"/>
  <c r="P256" i="42" s="1"/>
  <c r="F64" i="93" a="1"/>
  <c r="F64" i="93" s="1"/>
  <c r="C256" i="42" s="1"/>
  <c r="G64" i="93" a="1"/>
  <c r="G64" i="93" s="1"/>
  <c r="J256" i="42" s="1"/>
  <c r="K64" i="93" a="1"/>
  <c r="K64" i="93" s="1"/>
  <c r="H16" i="103"/>
  <c r="F198" i="102" s="1"/>
  <c r="F187" i="102"/>
  <c r="Q93" i="108"/>
  <c r="H255" i="42"/>
  <c r="H10" i="103"/>
  <c r="N256" i="42"/>
  <c r="C28" i="101"/>
  <c r="C32" i="101" s="1"/>
  <c r="R254" i="42"/>
  <c r="R27" i="46"/>
  <c r="P10" i="103" l="1"/>
  <c r="F192" i="102" s="1"/>
  <c r="F188" i="102"/>
  <c r="H12" i="103"/>
  <c r="F191" i="102"/>
  <c r="F265" i="102"/>
  <c r="H256" i="42"/>
  <c r="F268" i="42"/>
  <c r="R255" i="42"/>
  <c r="R256" i="42"/>
  <c r="F272" i="42"/>
  <c r="P12" i="103" l="1"/>
  <c r="F194" i="102" s="1"/>
  <c r="F267" i="102"/>
  <c r="H37" i="103"/>
  <c r="F193" i="102"/>
  <c r="Z53" i="42"/>
  <c r="F235" i="102" l="1"/>
  <c r="Z52" i="42"/>
  <c r="P25" i="42" l="1"/>
  <c r="C52" i="42" l="1"/>
  <c r="G37" i="20" l="1"/>
  <c r="G26" i="20"/>
  <c r="C619" i="42" s="1"/>
  <c r="F305" i="102"/>
  <c r="F301" i="102"/>
  <c r="G36" i="20"/>
  <c r="F295" i="102"/>
  <c r="G32" i="20"/>
  <c r="G31" i="20"/>
  <c r="F289" i="102" s="1"/>
  <c r="G30" i="20"/>
  <c r="F287" i="102" s="1"/>
  <c r="G29" i="20"/>
  <c r="G28" i="20" s="1"/>
  <c r="F283" i="102"/>
  <c r="G34" i="20"/>
  <c r="G33" i="20" s="1"/>
  <c r="F279" i="102"/>
  <c r="G24" i="20"/>
  <c r="G23" i="20" s="1"/>
  <c r="F291" i="102" l="1"/>
  <c r="C611" i="42"/>
  <c r="G43" i="20"/>
  <c r="F281" i="102"/>
  <c r="F299" i="102"/>
  <c r="C614" i="42"/>
  <c r="F303" i="102"/>
  <c r="C617" i="42"/>
  <c r="C620" i="42"/>
  <c r="F309" i="102"/>
  <c r="F307" i="102"/>
  <c r="F285" i="102"/>
  <c r="F315" i="102"/>
  <c r="C605" i="42"/>
  <c r="F304" i="102"/>
  <c r="F36" i="20"/>
  <c r="F298" i="102" s="1"/>
  <c r="E237" i="52"/>
  <c r="E236" i="52"/>
  <c r="E235" i="52"/>
  <c r="E234" i="52"/>
  <c r="E233" i="52"/>
  <c r="E226" i="52"/>
  <c r="E225" i="52"/>
  <c r="E224" i="52"/>
  <c r="E223" i="52"/>
  <c r="E221" i="52"/>
  <c r="D226" i="52"/>
  <c r="D225" i="52"/>
  <c r="D224" i="52"/>
  <c r="D223" i="52"/>
  <c r="D222" i="52"/>
  <c r="D221" i="52"/>
  <c r="D220" i="52"/>
  <c r="C226" i="52"/>
  <c r="C225" i="52"/>
  <c r="C224" i="52"/>
  <c r="C223" i="52"/>
  <c r="C222" i="52"/>
  <c r="C221" i="52"/>
  <c r="C220" i="52"/>
  <c r="E217" i="52"/>
  <c r="E216" i="52"/>
  <c r="E215" i="52"/>
  <c r="E214" i="52"/>
  <c r="E213" i="52"/>
  <c r="E212" i="52"/>
  <c r="E211" i="52"/>
  <c r="D217" i="52"/>
  <c r="D216" i="52"/>
  <c r="D215" i="52"/>
  <c r="D214" i="52"/>
  <c r="D213" i="52"/>
  <c r="D212" i="52"/>
  <c r="D211" i="52"/>
  <c r="C217" i="52"/>
  <c r="C216" i="52"/>
  <c r="C215" i="52"/>
  <c r="C214" i="52"/>
  <c r="C213" i="52"/>
  <c r="C212" i="52"/>
  <c r="C211" i="52"/>
  <c r="E209" i="52"/>
  <c r="E208" i="52"/>
  <c r="E207" i="52"/>
  <c r="E206" i="52"/>
  <c r="E205" i="52"/>
  <c r="E204" i="52"/>
  <c r="E203" i="52"/>
  <c r="E202" i="52"/>
  <c r="E201" i="52"/>
  <c r="E200" i="52"/>
  <c r="E182" i="52"/>
  <c r="F182" i="52" s="1"/>
  <c r="E181" i="52"/>
  <c r="F181" i="52" s="1"/>
  <c r="E180" i="52"/>
  <c r="F180" i="52" s="1"/>
  <c r="E179" i="52"/>
  <c r="F179" i="52" s="1"/>
  <c r="D185" i="52"/>
  <c r="D184" i="52"/>
  <c r="D183" i="52"/>
  <c r="D182" i="52"/>
  <c r="D192" i="52" s="1"/>
  <c r="D181" i="52"/>
  <c r="D191" i="52" s="1"/>
  <c r="D180" i="52"/>
  <c r="D190" i="52" s="1"/>
  <c r="D179" i="52"/>
  <c r="D189" i="52" s="1"/>
  <c r="D178" i="52"/>
  <c r="D188" i="52" s="1"/>
  <c r="C185" i="52"/>
  <c r="C184" i="52"/>
  <c r="C183" i="52"/>
  <c r="C182" i="52"/>
  <c r="C181" i="52"/>
  <c r="C180" i="52"/>
  <c r="C179" i="52"/>
  <c r="C178" i="52"/>
  <c r="E169" i="52"/>
  <c r="E167" i="52"/>
  <c r="E166" i="52"/>
  <c r="E165" i="52"/>
  <c r="E164" i="52"/>
  <c r="E160" i="52"/>
  <c r="E159" i="52"/>
  <c r="E158" i="52"/>
  <c r="E157" i="52"/>
  <c r="E156" i="52"/>
  <c r="E155" i="52"/>
  <c r="E154" i="52"/>
  <c r="E153" i="52"/>
  <c r="E152" i="52"/>
  <c r="E151" i="52"/>
  <c r="E150" i="52"/>
  <c r="E149" i="52"/>
  <c r="E148" i="52"/>
  <c r="E144" i="52"/>
  <c r="E143" i="52"/>
  <c r="E142" i="52"/>
  <c r="E141" i="52"/>
  <c r="E140" i="52"/>
  <c r="E139" i="52"/>
  <c r="E136" i="52"/>
  <c r="G136" i="52" s="1"/>
  <c r="E135" i="52"/>
  <c r="G135" i="52" s="1"/>
  <c r="E134" i="52"/>
  <c r="G134" i="52" s="1"/>
  <c r="E133" i="52"/>
  <c r="G133" i="52" s="1"/>
  <c r="E129" i="52"/>
  <c r="E128" i="52"/>
  <c r="E127" i="52"/>
  <c r="E126" i="52"/>
  <c r="E125" i="52"/>
  <c r="E124" i="52"/>
  <c r="E123" i="52"/>
  <c r="E122" i="52"/>
  <c r="E119" i="52"/>
  <c r="G119" i="52" s="1"/>
  <c r="E118" i="52"/>
  <c r="G118" i="52" s="1"/>
  <c r="E116" i="52"/>
  <c r="G116" i="52" s="1"/>
  <c r="E113" i="52"/>
  <c r="G113" i="52" s="1"/>
  <c r="E112" i="52"/>
  <c r="G112" i="52" s="1"/>
  <c r="E111" i="52"/>
  <c r="G111" i="52" s="1"/>
  <c r="E110" i="52"/>
  <c r="E109" i="52"/>
  <c r="G109" i="52" s="1"/>
  <c r="E106" i="52"/>
  <c r="G106" i="52" s="1"/>
  <c r="E105" i="52"/>
  <c r="G105" i="52" s="1"/>
  <c r="E104" i="52"/>
  <c r="G104" i="52" s="1"/>
  <c r="E103" i="52"/>
  <c r="G103" i="52" s="1"/>
  <c r="E102" i="52"/>
  <c r="G102" i="52" s="1"/>
  <c r="E101" i="52"/>
  <c r="G101" i="52" s="1"/>
  <c r="E100" i="52"/>
  <c r="G100" i="52" s="1"/>
  <c r="E99" i="52"/>
  <c r="G99" i="52" s="1"/>
  <c r="E98" i="52"/>
  <c r="G98" i="52" s="1"/>
  <c r="E94" i="52"/>
  <c r="E93" i="52"/>
  <c r="E92" i="52"/>
  <c r="E91" i="52"/>
  <c r="E90" i="52"/>
  <c r="E89" i="52"/>
  <c r="G89" i="52" s="1"/>
  <c r="E88" i="52"/>
  <c r="E87" i="52"/>
  <c r="E86" i="52"/>
  <c r="E85" i="52"/>
  <c r="G85" i="52" s="1"/>
  <c r="E82" i="52"/>
  <c r="G82" i="52" s="1"/>
  <c r="E81" i="52"/>
  <c r="E80" i="52"/>
  <c r="E79" i="52"/>
  <c r="E77" i="52"/>
  <c r="E76" i="52"/>
  <c r="E75" i="52"/>
  <c r="G75" i="52" s="1"/>
  <c r="E72" i="52"/>
  <c r="E69" i="52"/>
  <c r="E68" i="52"/>
  <c r="E67" i="52"/>
  <c r="E66" i="52"/>
  <c r="G66" i="52" s="1"/>
  <c r="E65" i="52"/>
  <c r="G65" i="52" s="1"/>
  <c r="E63" i="52"/>
  <c r="E59" i="52"/>
  <c r="E58" i="52"/>
  <c r="E54" i="52"/>
  <c r="E53" i="52"/>
  <c r="E52" i="52"/>
  <c r="E51" i="52"/>
  <c r="E50" i="52"/>
  <c r="E46" i="52"/>
  <c r="E45" i="52"/>
  <c r="E44" i="52"/>
  <c r="E33" i="52"/>
  <c r="E43" i="52"/>
  <c r="E42" i="52"/>
  <c r="E41" i="52"/>
  <c r="E40" i="52"/>
  <c r="E39" i="52"/>
  <c r="E36" i="52"/>
  <c r="E35" i="52"/>
  <c r="E34" i="52"/>
  <c r="E32" i="52"/>
  <c r="E31" i="52"/>
  <c r="E28" i="52"/>
  <c r="E27" i="52"/>
  <c r="E26" i="52"/>
  <c r="E22" i="52"/>
  <c r="E18" i="52"/>
  <c r="E17" i="52"/>
  <c r="G17" i="52" s="1"/>
  <c r="E16" i="52"/>
  <c r="G16" i="52" s="1"/>
  <c r="D82" i="49"/>
  <c r="S196" i="47"/>
  <c r="U196" i="47" s="1"/>
  <c r="S195" i="47"/>
  <c r="U195" i="47" s="1"/>
  <c r="F85" i="47"/>
  <c r="AA65" i="45"/>
  <c r="AC65" i="45" s="1"/>
  <c r="AA64" i="45"/>
  <c r="AC64" i="45" s="1"/>
  <c r="O64" i="45" s="1"/>
  <c r="AA63" i="45"/>
  <c r="AC63" i="45" s="1"/>
  <c r="O63" i="45" s="1"/>
  <c r="AA62" i="45"/>
  <c r="AC62" i="45" s="1"/>
  <c r="AA61" i="45"/>
  <c r="AC61" i="45" s="1"/>
  <c r="O61" i="45" s="1"/>
  <c r="AA60" i="45"/>
  <c r="AC60" i="45" s="1"/>
  <c r="O60" i="45" s="1"/>
  <c r="AA59" i="45"/>
  <c r="AC59" i="45" s="1"/>
  <c r="O59" i="45" s="1"/>
  <c r="AA58" i="45"/>
  <c r="AC58" i="45" s="1"/>
  <c r="O58" i="45" s="1"/>
  <c r="AA57" i="45"/>
  <c r="AC57" i="45" s="1"/>
  <c r="O57" i="45" s="1"/>
  <c r="AA56" i="45"/>
  <c r="AC56" i="45" s="1"/>
  <c r="O56" i="45" s="1"/>
  <c r="AA55" i="45"/>
  <c r="AC55" i="45" s="1"/>
  <c r="O55" i="45" s="1"/>
  <c r="AA54" i="45"/>
  <c r="AC54" i="45" s="1"/>
  <c r="O54" i="45" s="1"/>
  <c r="AA53" i="45"/>
  <c r="AC53" i="45" s="1"/>
  <c r="O53" i="45" s="1"/>
  <c r="AA52" i="45"/>
  <c r="AC52" i="45" s="1"/>
  <c r="O52" i="45" s="1"/>
  <c r="AA51" i="45"/>
  <c r="AC51" i="45" s="1"/>
  <c r="O51" i="45" s="1"/>
  <c r="AA50" i="45"/>
  <c r="AC50" i="45" s="1"/>
  <c r="O50" i="45" s="1"/>
  <c r="AA49" i="45"/>
  <c r="AC49" i="45" s="1"/>
  <c r="O49" i="45" s="1"/>
  <c r="AA48" i="45"/>
  <c r="AC48" i="45" s="1"/>
  <c r="O48" i="45" s="1"/>
  <c r="AA47" i="45"/>
  <c r="AC47" i="45" s="1"/>
  <c r="O47" i="45" s="1"/>
  <c r="AA46" i="45"/>
  <c r="AC46" i="45" s="1"/>
  <c r="O46" i="45" s="1"/>
  <c r="AA45" i="45"/>
  <c r="AC45" i="45" s="1"/>
  <c r="O45" i="45" s="1"/>
  <c r="AA44" i="45"/>
  <c r="AC44" i="45" s="1"/>
  <c r="O44" i="45" s="1"/>
  <c r="AA43" i="45"/>
  <c r="AC43" i="45" s="1"/>
  <c r="O43" i="45" s="1"/>
  <c r="AA42" i="45"/>
  <c r="AC42" i="45" s="1"/>
  <c r="O42" i="45" s="1"/>
  <c r="AA41" i="45"/>
  <c r="AC41" i="45" s="1"/>
  <c r="O41" i="45" s="1"/>
  <c r="AA40" i="45"/>
  <c r="AC40" i="45" s="1"/>
  <c r="O40" i="45" s="1"/>
  <c r="AA39" i="45"/>
  <c r="AC39" i="45" s="1"/>
  <c r="O39" i="45" s="1"/>
  <c r="AA38" i="45"/>
  <c r="AC38" i="45" s="1"/>
  <c r="O38" i="45" s="1"/>
  <c r="AA37" i="45"/>
  <c r="AC37" i="45" s="1"/>
  <c r="O37" i="45" s="1"/>
  <c r="AA36" i="45"/>
  <c r="AC36" i="45" s="1"/>
  <c r="O36" i="45" s="1"/>
  <c r="AA35" i="45"/>
  <c r="AC35" i="45" s="1"/>
  <c r="O35" i="45" s="1"/>
  <c r="AA34" i="45"/>
  <c r="AC34" i="45" s="1"/>
  <c r="O34" i="45" s="1"/>
  <c r="AA33" i="45"/>
  <c r="AC33" i="45" s="1"/>
  <c r="O33" i="45" s="1"/>
  <c r="AA32" i="45"/>
  <c r="AC32" i="45" s="1"/>
  <c r="O32" i="45" s="1"/>
  <c r="AA31" i="45"/>
  <c r="AC31" i="45" s="1"/>
  <c r="O31" i="45" s="1"/>
  <c r="AA30" i="45"/>
  <c r="AA29" i="45"/>
  <c r="AC29" i="45" s="1"/>
  <c r="AA28" i="45"/>
  <c r="AA27" i="45"/>
  <c r="AC27" i="45" s="1"/>
  <c r="AA26" i="45"/>
  <c r="AA25" i="45"/>
  <c r="AC25" i="45" s="1"/>
  <c r="AA24" i="45"/>
  <c r="AA23" i="45"/>
  <c r="AA22" i="45"/>
  <c r="AA21" i="45"/>
  <c r="AA20" i="45"/>
  <c r="AA19" i="45"/>
  <c r="AA18" i="45"/>
  <c r="AA17" i="45"/>
  <c r="AA16" i="45"/>
  <c r="AP49" i="54"/>
  <c r="AO49" i="54"/>
  <c r="BC47" i="55"/>
  <c r="BB47" i="55"/>
  <c r="BA47" i="55"/>
  <c r="AZ47" i="55"/>
  <c r="AJ49" i="54" s="1"/>
  <c r="AY47" i="55"/>
  <c r="AX47" i="55"/>
  <c r="AW47" i="55"/>
  <c r="AH49" i="54" s="1"/>
  <c r="AV47" i="55"/>
  <c r="AU47" i="55"/>
  <c r="AT47" i="55"/>
  <c r="AS47" i="55"/>
  <c r="AR47" i="55"/>
  <c r="AQ47" i="55"/>
  <c r="AD49" i="54" s="1"/>
  <c r="AB49" i="54"/>
  <c r="AB47" i="55"/>
  <c r="AA47" i="55"/>
  <c r="Z47" i="55"/>
  <c r="Y47" i="55"/>
  <c r="R49" i="54" s="1"/>
  <c r="X47" i="55"/>
  <c r="W47" i="55"/>
  <c r="V47" i="55"/>
  <c r="P49" i="54" s="1"/>
  <c r="U47" i="55"/>
  <c r="T47" i="55"/>
  <c r="S47" i="55"/>
  <c r="R47" i="55"/>
  <c r="Q47" i="55"/>
  <c r="P47" i="55"/>
  <c r="L49" i="54" s="1"/>
  <c r="O47" i="55"/>
  <c r="N47" i="55"/>
  <c r="M47" i="55"/>
  <c r="J49" i="54" s="1"/>
  <c r="L47" i="55"/>
  <c r="K47" i="55"/>
  <c r="J47" i="55"/>
  <c r="I47" i="55"/>
  <c r="H47" i="55"/>
  <c r="G47" i="55"/>
  <c r="F49" i="54" s="1"/>
  <c r="F47" i="55"/>
  <c r="E47" i="55"/>
  <c r="D47" i="55"/>
  <c r="D49" i="54" s="1"/>
  <c r="C47" i="55"/>
  <c r="B47" i="55"/>
  <c r="AP48" i="54"/>
  <c r="AO48" i="54"/>
  <c r="BC46" i="55"/>
  <c r="BB46" i="55"/>
  <c r="BA46" i="55"/>
  <c r="AZ46" i="55"/>
  <c r="AJ48" i="54" s="1"/>
  <c r="AY46" i="55"/>
  <c r="AX46" i="55"/>
  <c r="AW46" i="55"/>
  <c r="AH48" i="54" s="1"/>
  <c r="AV46" i="55"/>
  <c r="AU46" i="55"/>
  <c r="AT46" i="55"/>
  <c r="AS46" i="55"/>
  <c r="AR46" i="55"/>
  <c r="AQ46" i="55"/>
  <c r="AD48" i="54" s="1"/>
  <c r="AP46" i="55"/>
  <c r="AO46" i="55"/>
  <c r="AN46" i="55"/>
  <c r="AB48" i="54" s="1"/>
  <c r="AM46" i="55"/>
  <c r="AL46" i="55"/>
  <c r="AB46" i="55"/>
  <c r="AA46" i="55"/>
  <c r="Z46" i="55"/>
  <c r="Y46" i="55"/>
  <c r="R48" i="54" s="1"/>
  <c r="X46" i="55"/>
  <c r="W46" i="55"/>
  <c r="V46" i="55"/>
  <c r="P48" i="54" s="1"/>
  <c r="U46" i="55"/>
  <c r="T46" i="55"/>
  <c r="S46" i="55"/>
  <c r="R46" i="55"/>
  <c r="Q46" i="55"/>
  <c r="P46" i="55"/>
  <c r="L48" i="54" s="1"/>
  <c r="O46" i="55"/>
  <c r="N46" i="55"/>
  <c r="M46" i="55"/>
  <c r="J48" i="54" s="1"/>
  <c r="L46" i="55"/>
  <c r="K46" i="55"/>
  <c r="J46" i="55"/>
  <c r="I46" i="55"/>
  <c r="H46" i="55"/>
  <c r="G46" i="55"/>
  <c r="F48" i="54" s="1"/>
  <c r="F46" i="55"/>
  <c r="E46" i="55"/>
  <c r="D46" i="55"/>
  <c r="D48" i="54" s="1"/>
  <c r="C46" i="55"/>
  <c r="B46" i="55"/>
  <c r="AP47" i="54"/>
  <c r="AO47" i="54"/>
  <c r="BC45" i="55"/>
  <c r="BB45" i="55"/>
  <c r="BA45" i="55"/>
  <c r="AZ45" i="55"/>
  <c r="AJ47" i="54" s="1"/>
  <c r="AY45" i="55"/>
  <c r="AX45" i="55"/>
  <c r="AW45" i="55"/>
  <c r="AH47" i="54" s="1"/>
  <c r="AV45" i="55"/>
  <c r="AU45" i="55"/>
  <c r="AT45" i="55"/>
  <c r="AS45" i="55"/>
  <c r="AR45" i="55"/>
  <c r="AQ45" i="55"/>
  <c r="AD47" i="54" s="1"/>
  <c r="AP45" i="55"/>
  <c r="AO45" i="55"/>
  <c r="AN45" i="55"/>
  <c r="AB47" i="54" s="1"/>
  <c r="AM45" i="55"/>
  <c r="AL45" i="55"/>
  <c r="AB45" i="55"/>
  <c r="AA45" i="55"/>
  <c r="Z45" i="55"/>
  <c r="Y45" i="55"/>
  <c r="R47" i="54" s="1"/>
  <c r="X45" i="55"/>
  <c r="W45" i="55"/>
  <c r="V45" i="55"/>
  <c r="P47" i="54" s="1"/>
  <c r="U45" i="55"/>
  <c r="T45" i="55"/>
  <c r="S45" i="55"/>
  <c r="R45" i="55"/>
  <c r="Q45" i="55"/>
  <c r="P45" i="55"/>
  <c r="L47" i="54" s="1"/>
  <c r="O45" i="55"/>
  <c r="N45" i="55"/>
  <c r="M45" i="55"/>
  <c r="J47" i="54" s="1"/>
  <c r="L45" i="55"/>
  <c r="K45" i="55"/>
  <c r="J45" i="55"/>
  <c r="I45" i="55"/>
  <c r="H45" i="55"/>
  <c r="G45" i="55"/>
  <c r="F47" i="54" s="1"/>
  <c r="F45" i="55"/>
  <c r="E45" i="55"/>
  <c r="D45" i="55"/>
  <c r="D47" i="54" s="1"/>
  <c r="C45" i="55"/>
  <c r="B45" i="55"/>
  <c r="AP46" i="54"/>
  <c r="BC44" i="55"/>
  <c r="BB44" i="55"/>
  <c r="BA44" i="55"/>
  <c r="AZ44" i="55"/>
  <c r="AJ46" i="54" s="1"/>
  <c r="AY44" i="55"/>
  <c r="AX44" i="55"/>
  <c r="AW44" i="55"/>
  <c r="AH46" i="54" s="1"/>
  <c r="AV44" i="55"/>
  <c r="AU44" i="55"/>
  <c r="AT44" i="55"/>
  <c r="AS44" i="55"/>
  <c r="AR44" i="55"/>
  <c r="AQ44" i="55"/>
  <c r="AD46" i="54" s="1"/>
  <c r="AP44" i="55"/>
  <c r="AO44" i="55"/>
  <c r="AN44" i="55"/>
  <c r="AB46" i="54" s="1"/>
  <c r="AM44" i="55"/>
  <c r="AL44" i="55"/>
  <c r="AB44" i="55"/>
  <c r="AA44" i="55"/>
  <c r="Z44" i="55"/>
  <c r="Y44" i="55"/>
  <c r="R46" i="54" s="1"/>
  <c r="X44" i="55"/>
  <c r="W44" i="55"/>
  <c r="V44" i="55"/>
  <c r="P46" i="54" s="1"/>
  <c r="U44" i="55"/>
  <c r="T44" i="55"/>
  <c r="S44" i="55"/>
  <c r="R44" i="55"/>
  <c r="Q44" i="55"/>
  <c r="P44" i="55"/>
  <c r="L46" i="54" s="1"/>
  <c r="O44" i="55"/>
  <c r="N44" i="55"/>
  <c r="M44" i="55"/>
  <c r="J46" i="54" s="1"/>
  <c r="L44" i="55"/>
  <c r="K44" i="55"/>
  <c r="J44" i="55"/>
  <c r="I44" i="55"/>
  <c r="H44" i="55"/>
  <c r="G44" i="55"/>
  <c r="F46" i="54" s="1"/>
  <c r="F44" i="55"/>
  <c r="E44" i="55"/>
  <c r="D44" i="55"/>
  <c r="D46" i="54" s="1"/>
  <c r="C44" i="55"/>
  <c r="B44" i="55"/>
  <c r="AP45" i="54"/>
  <c r="AO45" i="54"/>
  <c r="BC43" i="55"/>
  <c r="BB43" i="55"/>
  <c r="BA43" i="55"/>
  <c r="AZ43" i="55"/>
  <c r="AJ45" i="54" s="1"/>
  <c r="AY43" i="55"/>
  <c r="AX43" i="55"/>
  <c r="AW43" i="55"/>
  <c r="AH45" i="54" s="1"/>
  <c r="AV43" i="55"/>
  <c r="AU43" i="55"/>
  <c r="AT43" i="55"/>
  <c r="AS43" i="55"/>
  <c r="AR43" i="55"/>
  <c r="AQ43" i="55"/>
  <c r="AD45" i="54" s="1"/>
  <c r="AP43" i="55"/>
  <c r="AO43" i="55"/>
  <c r="AN43" i="55"/>
  <c r="AB45" i="54" s="1"/>
  <c r="AM43" i="55"/>
  <c r="AL43" i="55"/>
  <c r="AB43" i="55"/>
  <c r="AA43" i="55"/>
  <c r="Z43" i="55"/>
  <c r="Y43" i="55"/>
  <c r="R45" i="54" s="1"/>
  <c r="X43" i="55"/>
  <c r="W43" i="55"/>
  <c r="V43" i="55"/>
  <c r="P45" i="54" s="1"/>
  <c r="U43" i="55"/>
  <c r="T43" i="55"/>
  <c r="S43" i="55"/>
  <c r="R43" i="55"/>
  <c r="Q43" i="55"/>
  <c r="P43" i="55"/>
  <c r="L45" i="54" s="1"/>
  <c r="O43" i="55"/>
  <c r="N43" i="55"/>
  <c r="M43" i="55"/>
  <c r="J45" i="54" s="1"/>
  <c r="L43" i="55"/>
  <c r="K43" i="55"/>
  <c r="J43" i="55"/>
  <c r="I43" i="55"/>
  <c r="H43" i="55"/>
  <c r="G43" i="55"/>
  <c r="F45" i="54" s="1"/>
  <c r="F43" i="55"/>
  <c r="E43" i="55"/>
  <c r="D43" i="55"/>
  <c r="D45" i="54" s="1"/>
  <c r="C43" i="55"/>
  <c r="B43" i="55"/>
  <c r="AP44" i="54"/>
  <c r="AO44" i="54"/>
  <c r="BC42" i="55"/>
  <c r="BB42" i="55"/>
  <c r="BA42" i="55"/>
  <c r="AZ42" i="55"/>
  <c r="AJ44" i="54" s="1"/>
  <c r="AY42" i="55"/>
  <c r="AX42" i="55"/>
  <c r="AW42" i="55"/>
  <c r="AH44" i="54" s="1"/>
  <c r="AV42" i="55"/>
  <c r="AU42" i="55"/>
  <c r="AT42" i="55"/>
  <c r="AS42" i="55"/>
  <c r="AR42" i="55"/>
  <c r="AQ42" i="55"/>
  <c r="AD44" i="54" s="1"/>
  <c r="AP42" i="55"/>
  <c r="AO42" i="55"/>
  <c r="AN42" i="55"/>
  <c r="AB44" i="54" s="1"/>
  <c r="AM42" i="55"/>
  <c r="AL42" i="55"/>
  <c r="AB42" i="55"/>
  <c r="AA42" i="55"/>
  <c r="Z42" i="55"/>
  <c r="Y42" i="55"/>
  <c r="R44" i="54" s="1"/>
  <c r="X42" i="55"/>
  <c r="W42" i="55"/>
  <c r="V42" i="55"/>
  <c r="P44" i="54" s="1"/>
  <c r="U42" i="55"/>
  <c r="T42" i="55"/>
  <c r="S42" i="55"/>
  <c r="R42" i="55"/>
  <c r="Q42" i="55"/>
  <c r="P42" i="55"/>
  <c r="L44" i="54" s="1"/>
  <c r="O42" i="55"/>
  <c r="N42" i="55"/>
  <c r="M42" i="55"/>
  <c r="J44" i="54" s="1"/>
  <c r="L42" i="55"/>
  <c r="K42" i="55"/>
  <c r="J42" i="55"/>
  <c r="I42" i="55"/>
  <c r="H42" i="55"/>
  <c r="G42" i="55"/>
  <c r="F44" i="54" s="1"/>
  <c r="F42" i="55"/>
  <c r="E42" i="55"/>
  <c r="D42" i="55"/>
  <c r="D44" i="54" s="1"/>
  <c r="C42" i="55"/>
  <c r="B42" i="55"/>
  <c r="AP43" i="54"/>
  <c r="AO43" i="54"/>
  <c r="BC41" i="55"/>
  <c r="BB41" i="55"/>
  <c r="BA41" i="55"/>
  <c r="AZ41" i="55"/>
  <c r="AJ43" i="54" s="1"/>
  <c r="AY41" i="55"/>
  <c r="AX41" i="55"/>
  <c r="AW41" i="55"/>
  <c r="AH43" i="54" s="1"/>
  <c r="AV41" i="55"/>
  <c r="AU41" i="55"/>
  <c r="AT41" i="55"/>
  <c r="AS41" i="55"/>
  <c r="AR41" i="55"/>
  <c r="AQ41" i="55"/>
  <c r="AD43" i="54" s="1"/>
  <c r="AP41" i="55"/>
  <c r="AO41" i="55"/>
  <c r="AN41" i="55"/>
  <c r="AB43" i="54" s="1"/>
  <c r="AM41" i="55"/>
  <c r="AL41" i="55"/>
  <c r="AB41" i="55"/>
  <c r="AA41" i="55"/>
  <c r="Z41" i="55"/>
  <c r="Y41" i="55"/>
  <c r="R43" i="54" s="1"/>
  <c r="X41" i="55"/>
  <c r="W41" i="55"/>
  <c r="Q43" i="54" s="1"/>
  <c r="V41" i="55"/>
  <c r="P43" i="54" s="1"/>
  <c r="U41" i="55"/>
  <c r="T41" i="55"/>
  <c r="S41" i="55"/>
  <c r="R41" i="55"/>
  <c r="Q41" i="55"/>
  <c r="P41" i="55"/>
  <c r="L43" i="54" s="1"/>
  <c r="O41" i="55"/>
  <c r="N41" i="55"/>
  <c r="M41" i="55"/>
  <c r="J43" i="54" s="1"/>
  <c r="L41" i="55"/>
  <c r="K41" i="55"/>
  <c r="J41" i="55"/>
  <c r="I41" i="55"/>
  <c r="H41" i="55"/>
  <c r="G41" i="55"/>
  <c r="F43" i="54" s="1"/>
  <c r="F41" i="55"/>
  <c r="E41" i="55"/>
  <c r="D41" i="55"/>
  <c r="D43" i="54" s="1"/>
  <c r="C41" i="55"/>
  <c r="B41" i="55"/>
  <c r="AP42" i="54"/>
  <c r="BC40" i="55"/>
  <c r="BB40" i="55"/>
  <c r="BA40" i="55"/>
  <c r="AZ40" i="55"/>
  <c r="AJ42" i="54" s="1"/>
  <c r="AY40" i="55"/>
  <c r="AX40" i="55"/>
  <c r="AW40" i="55"/>
  <c r="AH42" i="54" s="1"/>
  <c r="AV40" i="55"/>
  <c r="AU40" i="55"/>
  <c r="AT40" i="55"/>
  <c r="AS40" i="55"/>
  <c r="AR40" i="55"/>
  <c r="AQ40" i="55"/>
  <c r="AD42" i="54" s="1"/>
  <c r="AP40" i="55"/>
  <c r="AO40" i="55"/>
  <c r="AN40" i="55"/>
  <c r="AB42" i="54" s="1"/>
  <c r="AM40" i="55"/>
  <c r="AL40" i="55"/>
  <c r="AB40" i="55"/>
  <c r="AA40" i="55"/>
  <c r="Z40" i="55"/>
  <c r="Y40" i="55"/>
  <c r="R42" i="54" s="1"/>
  <c r="X40" i="55"/>
  <c r="W40" i="55"/>
  <c r="V40" i="55"/>
  <c r="P42" i="54" s="1"/>
  <c r="U40" i="55"/>
  <c r="T40" i="55"/>
  <c r="S40" i="55"/>
  <c r="R40" i="55"/>
  <c r="Q40" i="55"/>
  <c r="P40" i="55"/>
  <c r="L42" i="54" s="1"/>
  <c r="O40" i="55"/>
  <c r="N40" i="55"/>
  <c r="M40" i="55"/>
  <c r="J42" i="54" s="1"/>
  <c r="L40" i="55"/>
  <c r="K40" i="55"/>
  <c r="J40" i="55"/>
  <c r="I40" i="55"/>
  <c r="H40" i="55"/>
  <c r="G40" i="55"/>
  <c r="F42" i="54" s="1"/>
  <c r="F40" i="55"/>
  <c r="E40" i="55"/>
  <c r="D40" i="55"/>
  <c r="D42" i="54" s="1"/>
  <c r="C40" i="55"/>
  <c r="B40" i="55"/>
  <c r="AP41" i="54"/>
  <c r="AO41" i="54"/>
  <c r="BC39" i="55"/>
  <c r="BB39" i="55"/>
  <c r="BA39" i="55"/>
  <c r="AK41" i="54" s="1"/>
  <c r="AZ39" i="55"/>
  <c r="AJ41" i="54" s="1"/>
  <c r="AY39" i="55"/>
  <c r="AX39" i="55"/>
  <c r="AW39" i="55"/>
  <c r="AH41" i="54" s="1"/>
  <c r="AV39" i="55"/>
  <c r="AU39" i="55"/>
  <c r="AT39" i="55"/>
  <c r="AS39" i="55"/>
  <c r="AR39" i="55"/>
  <c r="AQ39" i="55"/>
  <c r="AD41" i="54" s="1"/>
  <c r="AP39" i="55"/>
  <c r="AO39" i="55"/>
  <c r="AN39" i="55"/>
  <c r="AB41" i="54" s="1"/>
  <c r="AM39" i="55"/>
  <c r="AL39" i="55"/>
  <c r="AB39" i="55"/>
  <c r="AA39" i="55"/>
  <c r="Z39" i="55"/>
  <c r="Y39" i="55"/>
  <c r="R41" i="54" s="1"/>
  <c r="X39" i="55"/>
  <c r="W39" i="55"/>
  <c r="V39" i="55"/>
  <c r="P41" i="54" s="1"/>
  <c r="U39" i="55"/>
  <c r="T39" i="55"/>
  <c r="S39" i="55"/>
  <c r="R39" i="55"/>
  <c r="Q39" i="55"/>
  <c r="P39" i="55"/>
  <c r="L41" i="54" s="1"/>
  <c r="O39" i="55"/>
  <c r="N39" i="55"/>
  <c r="M39" i="55"/>
  <c r="J41" i="54" s="1"/>
  <c r="L39" i="55"/>
  <c r="K39" i="55"/>
  <c r="J39" i="55"/>
  <c r="I39" i="55"/>
  <c r="H39" i="55"/>
  <c r="G41" i="54" s="1"/>
  <c r="G39" i="55"/>
  <c r="F41" i="54" s="1"/>
  <c r="F39" i="55"/>
  <c r="E39" i="55"/>
  <c r="D39" i="55"/>
  <c r="D41" i="54" s="1"/>
  <c r="C39" i="55"/>
  <c r="B39" i="55"/>
  <c r="AP40" i="54"/>
  <c r="AO40" i="54"/>
  <c r="BC38" i="55"/>
  <c r="BB38" i="55"/>
  <c r="BA38" i="55"/>
  <c r="AZ38" i="55"/>
  <c r="AJ40" i="54" s="1"/>
  <c r="AY38" i="55"/>
  <c r="AX38" i="55"/>
  <c r="AW38" i="55"/>
  <c r="AH40" i="54" s="1"/>
  <c r="AV38" i="55"/>
  <c r="AU38" i="55"/>
  <c r="AT38" i="55"/>
  <c r="AS38" i="55"/>
  <c r="AR38" i="55"/>
  <c r="AQ38" i="55"/>
  <c r="AD40" i="54" s="1"/>
  <c r="AP38" i="55"/>
  <c r="AO38" i="55"/>
  <c r="AN38" i="55"/>
  <c r="AB40" i="54" s="1"/>
  <c r="AM38" i="55"/>
  <c r="AL38" i="55"/>
  <c r="AB38" i="55"/>
  <c r="AA38" i="55"/>
  <c r="Z38" i="55"/>
  <c r="Y38" i="55"/>
  <c r="R40" i="54" s="1"/>
  <c r="X38" i="55"/>
  <c r="W38" i="55"/>
  <c r="V38" i="55"/>
  <c r="P40" i="54" s="1"/>
  <c r="U38" i="55"/>
  <c r="T38" i="55"/>
  <c r="S38" i="55"/>
  <c r="R38" i="55"/>
  <c r="Q38" i="55"/>
  <c r="P38" i="55"/>
  <c r="L40" i="54" s="1"/>
  <c r="O38" i="55"/>
  <c r="N38" i="55"/>
  <c r="M38" i="55"/>
  <c r="J40" i="54" s="1"/>
  <c r="L38" i="55"/>
  <c r="K38" i="55"/>
  <c r="J38" i="55"/>
  <c r="I38" i="55"/>
  <c r="H38" i="55"/>
  <c r="G38" i="55"/>
  <c r="F40" i="54" s="1"/>
  <c r="F38" i="55"/>
  <c r="E38" i="55"/>
  <c r="D38" i="55"/>
  <c r="D40" i="54" s="1"/>
  <c r="C38" i="55"/>
  <c r="B38" i="55"/>
  <c r="AP39" i="54"/>
  <c r="AO39" i="54"/>
  <c r="BC37" i="55"/>
  <c r="BB37" i="55"/>
  <c r="BA37" i="55"/>
  <c r="AZ37" i="55"/>
  <c r="AJ39" i="54" s="1"/>
  <c r="AY37" i="55"/>
  <c r="AX37" i="55"/>
  <c r="AW37" i="55"/>
  <c r="AH39" i="54" s="1"/>
  <c r="AV37" i="55"/>
  <c r="AU37" i="55"/>
  <c r="AT37" i="55"/>
  <c r="AS37" i="55"/>
  <c r="AR37" i="55"/>
  <c r="AQ37" i="55"/>
  <c r="AD39" i="54" s="1"/>
  <c r="AP37" i="55"/>
  <c r="AO37" i="55"/>
  <c r="AN37" i="55"/>
  <c r="AB39" i="54" s="1"/>
  <c r="AM37" i="55"/>
  <c r="AL37" i="55"/>
  <c r="AB37" i="55"/>
  <c r="AA37" i="55"/>
  <c r="Z37" i="55"/>
  <c r="Y37" i="55"/>
  <c r="R39" i="54" s="1"/>
  <c r="X37" i="55"/>
  <c r="W37" i="55"/>
  <c r="V37" i="55"/>
  <c r="P39" i="54" s="1"/>
  <c r="U37" i="55"/>
  <c r="T37" i="55"/>
  <c r="S37" i="55"/>
  <c r="R37" i="55"/>
  <c r="Q37" i="55"/>
  <c r="P37" i="55"/>
  <c r="L39" i="54" s="1"/>
  <c r="O37" i="55"/>
  <c r="N37" i="55"/>
  <c r="M37" i="55"/>
  <c r="J39" i="54" s="1"/>
  <c r="L37" i="55"/>
  <c r="K37" i="55"/>
  <c r="J37" i="55"/>
  <c r="I37" i="55"/>
  <c r="H37" i="55"/>
  <c r="G37" i="55"/>
  <c r="F39" i="54" s="1"/>
  <c r="F37" i="55"/>
  <c r="E37" i="55"/>
  <c r="D37" i="55"/>
  <c r="D39" i="54" s="1"/>
  <c r="C37" i="55"/>
  <c r="B37" i="55"/>
  <c r="AP38" i="54"/>
  <c r="BC36" i="55"/>
  <c r="BB36" i="55"/>
  <c r="BA36" i="55"/>
  <c r="AZ36" i="55"/>
  <c r="AJ38" i="54" s="1"/>
  <c r="AY36" i="55"/>
  <c r="AX36" i="55"/>
  <c r="AW36" i="55"/>
  <c r="AH38" i="54" s="1"/>
  <c r="AV36" i="55"/>
  <c r="AU36" i="55"/>
  <c r="AT36" i="55"/>
  <c r="AS36" i="55"/>
  <c r="AR36" i="55"/>
  <c r="AQ36" i="55"/>
  <c r="AD38" i="54" s="1"/>
  <c r="AP36" i="55"/>
  <c r="AO36" i="55"/>
  <c r="AN36" i="55"/>
  <c r="AB38" i="54" s="1"/>
  <c r="AM36" i="55"/>
  <c r="AL36" i="55"/>
  <c r="AB36" i="55"/>
  <c r="AA36" i="55"/>
  <c r="Z36" i="55"/>
  <c r="Y36" i="55"/>
  <c r="R38" i="54" s="1"/>
  <c r="X36" i="55"/>
  <c r="W36" i="55"/>
  <c r="V36" i="55"/>
  <c r="P38" i="54" s="1"/>
  <c r="U36" i="55"/>
  <c r="T36" i="55"/>
  <c r="S36" i="55"/>
  <c r="R36" i="55"/>
  <c r="Q36" i="55"/>
  <c r="P36" i="55"/>
  <c r="L38" i="54" s="1"/>
  <c r="O36" i="55"/>
  <c r="N36" i="55"/>
  <c r="M36" i="55"/>
  <c r="J38" i="54" s="1"/>
  <c r="L36" i="55"/>
  <c r="K36" i="55"/>
  <c r="J36" i="55"/>
  <c r="I36" i="55"/>
  <c r="H36" i="55"/>
  <c r="G36" i="55"/>
  <c r="F38" i="54" s="1"/>
  <c r="F36" i="55"/>
  <c r="E36" i="55"/>
  <c r="D36" i="55"/>
  <c r="D38" i="54" s="1"/>
  <c r="C36" i="55"/>
  <c r="B36" i="55"/>
  <c r="AP37" i="54"/>
  <c r="AO37" i="54"/>
  <c r="BC35" i="55"/>
  <c r="BB35" i="55"/>
  <c r="BA35" i="55"/>
  <c r="AZ35" i="55"/>
  <c r="AJ37" i="54" s="1"/>
  <c r="AY35" i="55"/>
  <c r="AX35" i="55"/>
  <c r="AW35" i="55"/>
  <c r="AH37" i="54" s="1"/>
  <c r="AV35" i="55"/>
  <c r="AU35" i="55"/>
  <c r="AT35" i="55"/>
  <c r="AS35" i="55"/>
  <c r="AR35" i="55"/>
  <c r="AQ35" i="55"/>
  <c r="AD37" i="54" s="1"/>
  <c r="AP35" i="55"/>
  <c r="AO35" i="55"/>
  <c r="AN35" i="55"/>
  <c r="AB37" i="54" s="1"/>
  <c r="AM35" i="55"/>
  <c r="AL35" i="55"/>
  <c r="AB35" i="55"/>
  <c r="AA35" i="55"/>
  <c r="Z35" i="55"/>
  <c r="Y35" i="55"/>
  <c r="R37" i="54" s="1"/>
  <c r="X35" i="55"/>
  <c r="W35" i="55"/>
  <c r="V35" i="55"/>
  <c r="P37" i="54" s="1"/>
  <c r="U35" i="55"/>
  <c r="T35" i="55"/>
  <c r="S35" i="55"/>
  <c r="R35" i="55"/>
  <c r="Q35" i="55"/>
  <c r="P35" i="55"/>
  <c r="L37" i="54" s="1"/>
  <c r="O35" i="55"/>
  <c r="N35" i="55"/>
  <c r="M35" i="55"/>
  <c r="J37" i="54" s="1"/>
  <c r="L35" i="55"/>
  <c r="K35" i="55"/>
  <c r="J35" i="55"/>
  <c r="I35" i="55"/>
  <c r="H35" i="55"/>
  <c r="G35" i="55"/>
  <c r="F37" i="54" s="1"/>
  <c r="F35" i="55"/>
  <c r="E35" i="55"/>
  <c r="D35" i="55"/>
  <c r="D37" i="54" s="1"/>
  <c r="C35" i="55"/>
  <c r="B35" i="55"/>
  <c r="AP36" i="54"/>
  <c r="AO36" i="54"/>
  <c r="BC34" i="55"/>
  <c r="BB34" i="55"/>
  <c r="BA34" i="55"/>
  <c r="AZ34" i="55"/>
  <c r="AJ36" i="54" s="1"/>
  <c r="AY34" i="55"/>
  <c r="AX34" i="55"/>
  <c r="AW34" i="55"/>
  <c r="AH36" i="54" s="1"/>
  <c r="AV34" i="55"/>
  <c r="AU34" i="55"/>
  <c r="AT34" i="55"/>
  <c r="AS34" i="55"/>
  <c r="AR34" i="55"/>
  <c r="AQ34" i="55"/>
  <c r="AD36" i="54" s="1"/>
  <c r="AP34" i="55"/>
  <c r="AO34" i="55"/>
  <c r="AN34" i="55"/>
  <c r="AB36" i="54" s="1"/>
  <c r="AM34" i="55"/>
  <c r="AL34" i="55"/>
  <c r="AB34" i="55"/>
  <c r="AA34" i="55"/>
  <c r="Z34" i="55"/>
  <c r="Y34" i="55"/>
  <c r="R36" i="54" s="1"/>
  <c r="X34" i="55"/>
  <c r="W34" i="55"/>
  <c r="V34" i="55"/>
  <c r="P36" i="54" s="1"/>
  <c r="U34" i="55"/>
  <c r="T34" i="55"/>
  <c r="S34" i="55"/>
  <c r="R34" i="55"/>
  <c r="Q34" i="55"/>
  <c r="P34" i="55"/>
  <c r="L36" i="54" s="1"/>
  <c r="O34" i="55"/>
  <c r="N34" i="55"/>
  <c r="M34" i="55"/>
  <c r="J36" i="54" s="1"/>
  <c r="L34" i="55"/>
  <c r="K34" i="55"/>
  <c r="J34" i="55"/>
  <c r="I34" i="55"/>
  <c r="H34" i="55"/>
  <c r="G34" i="55"/>
  <c r="F36" i="54" s="1"/>
  <c r="F34" i="55"/>
  <c r="E34" i="55"/>
  <c r="D34" i="55"/>
  <c r="D36" i="54" s="1"/>
  <c r="C34" i="55"/>
  <c r="B34" i="55"/>
  <c r="AP35" i="54"/>
  <c r="AO35" i="54"/>
  <c r="BC33" i="55"/>
  <c r="BB33" i="55"/>
  <c r="BA33" i="55"/>
  <c r="AZ33" i="55"/>
  <c r="AJ35" i="54" s="1"/>
  <c r="AY33" i="55"/>
  <c r="AX33" i="55"/>
  <c r="AW33" i="55"/>
  <c r="AH35" i="54" s="1"/>
  <c r="AV33" i="55"/>
  <c r="AU33" i="55"/>
  <c r="AT33" i="55"/>
  <c r="AS33" i="55"/>
  <c r="AR33" i="55"/>
  <c r="AQ33" i="55"/>
  <c r="AD35" i="54" s="1"/>
  <c r="AP33" i="55"/>
  <c r="AO33" i="55"/>
  <c r="AN33" i="55"/>
  <c r="AB35" i="54" s="1"/>
  <c r="AM33" i="55"/>
  <c r="AL33" i="55"/>
  <c r="AB33" i="55"/>
  <c r="AA33" i="55"/>
  <c r="Z33" i="55"/>
  <c r="Y33" i="55"/>
  <c r="R35" i="54" s="1"/>
  <c r="X33" i="55"/>
  <c r="W33" i="55"/>
  <c r="V33" i="55"/>
  <c r="P35" i="54" s="1"/>
  <c r="U33" i="55"/>
  <c r="T33" i="55"/>
  <c r="S33" i="55"/>
  <c r="R33" i="55"/>
  <c r="Q33" i="55"/>
  <c r="P33" i="55"/>
  <c r="L35" i="54" s="1"/>
  <c r="O33" i="55"/>
  <c r="N33" i="55"/>
  <c r="M33" i="55"/>
  <c r="J35" i="54" s="1"/>
  <c r="L33" i="55"/>
  <c r="K33" i="55"/>
  <c r="J33" i="55"/>
  <c r="I33" i="55"/>
  <c r="H33" i="55"/>
  <c r="G33" i="55"/>
  <c r="F35" i="54" s="1"/>
  <c r="F33" i="55"/>
  <c r="E33" i="55"/>
  <c r="D33" i="55"/>
  <c r="D35" i="54" s="1"/>
  <c r="C33" i="55"/>
  <c r="B33" i="55"/>
  <c r="AP34" i="54"/>
  <c r="BC32" i="55"/>
  <c r="BB32" i="55"/>
  <c r="BA32" i="55"/>
  <c r="AZ32" i="55"/>
  <c r="AJ34" i="54" s="1"/>
  <c r="AY32" i="55"/>
  <c r="AX32" i="55"/>
  <c r="AW32" i="55"/>
  <c r="AH34" i="54" s="1"/>
  <c r="AV32" i="55"/>
  <c r="AU32" i="55"/>
  <c r="AT32" i="55"/>
  <c r="AS32" i="55"/>
  <c r="AR32" i="55"/>
  <c r="AQ32" i="55"/>
  <c r="AD34" i="54" s="1"/>
  <c r="AP32" i="55"/>
  <c r="AO32" i="55"/>
  <c r="AN32" i="55"/>
  <c r="AB34" i="54" s="1"/>
  <c r="AM32" i="55"/>
  <c r="AL32" i="55"/>
  <c r="AB32" i="55"/>
  <c r="AA32" i="55"/>
  <c r="Z32" i="55"/>
  <c r="Y32" i="55"/>
  <c r="R34" i="54" s="1"/>
  <c r="X32" i="55"/>
  <c r="W32" i="55"/>
  <c r="V32" i="55"/>
  <c r="P34" i="54" s="1"/>
  <c r="U32" i="55"/>
  <c r="T32" i="55"/>
  <c r="S32" i="55"/>
  <c r="R32" i="55"/>
  <c r="Q32" i="55"/>
  <c r="P32" i="55"/>
  <c r="L34" i="54" s="1"/>
  <c r="O32" i="55"/>
  <c r="N32" i="55"/>
  <c r="M32" i="55"/>
  <c r="J34" i="54" s="1"/>
  <c r="L32" i="55"/>
  <c r="K32" i="55"/>
  <c r="J32" i="55"/>
  <c r="I32" i="55"/>
  <c r="H32" i="55"/>
  <c r="G32" i="55"/>
  <c r="F34" i="54" s="1"/>
  <c r="F32" i="55"/>
  <c r="E32" i="55"/>
  <c r="D32" i="55"/>
  <c r="D34" i="54" s="1"/>
  <c r="C32" i="55"/>
  <c r="B32" i="55"/>
  <c r="AP33" i="54"/>
  <c r="AO33" i="54"/>
  <c r="BC31" i="55"/>
  <c r="BB31" i="55"/>
  <c r="BA31" i="55"/>
  <c r="AZ31" i="55"/>
  <c r="AJ33" i="54" s="1"/>
  <c r="AY31" i="55"/>
  <c r="AX31" i="55"/>
  <c r="AW31" i="55"/>
  <c r="AH33" i="54" s="1"/>
  <c r="AV31" i="55"/>
  <c r="AU31" i="55"/>
  <c r="AT31" i="55"/>
  <c r="AS31" i="55"/>
  <c r="AR31" i="55"/>
  <c r="AQ31" i="55"/>
  <c r="AD33" i="54" s="1"/>
  <c r="AP31" i="55"/>
  <c r="AO31" i="55"/>
  <c r="AN31" i="55"/>
  <c r="AB33" i="54" s="1"/>
  <c r="AM31" i="55"/>
  <c r="AL31" i="55"/>
  <c r="AB31" i="55"/>
  <c r="AA31" i="55"/>
  <c r="Z31" i="55"/>
  <c r="Y31" i="55"/>
  <c r="R33" i="54" s="1"/>
  <c r="X31" i="55"/>
  <c r="W31" i="55"/>
  <c r="V31" i="55"/>
  <c r="P33" i="54" s="1"/>
  <c r="U31" i="55"/>
  <c r="T31" i="55"/>
  <c r="S31" i="55"/>
  <c r="R31" i="55"/>
  <c r="Q31" i="55"/>
  <c r="P31" i="55"/>
  <c r="L33" i="54" s="1"/>
  <c r="O31" i="55"/>
  <c r="N31" i="55"/>
  <c r="M31" i="55"/>
  <c r="J33" i="54" s="1"/>
  <c r="L31" i="55"/>
  <c r="K31" i="55"/>
  <c r="J31" i="55"/>
  <c r="I31" i="55"/>
  <c r="H31" i="55"/>
  <c r="G31" i="55"/>
  <c r="F33" i="54" s="1"/>
  <c r="F31" i="55"/>
  <c r="E31" i="55"/>
  <c r="D31" i="55"/>
  <c r="D33" i="54" s="1"/>
  <c r="C31" i="55"/>
  <c r="B31" i="55"/>
  <c r="AP32" i="54"/>
  <c r="AO32" i="54"/>
  <c r="BC30" i="55"/>
  <c r="BB30" i="55"/>
  <c r="BA30" i="55"/>
  <c r="AZ30" i="55"/>
  <c r="AJ32" i="54" s="1"/>
  <c r="AY30" i="55"/>
  <c r="AX30" i="55"/>
  <c r="AW30" i="55"/>
  <c r="AH32" i="54" s="1"/>
  <c r="AV30" i="55"/>
  <c r="AU30" i="55"/>
  <c r="AT30" i="55"/>
  <c r="AS30" i="55"/>
  <c r="AR30" i="55"/>
  <c r="AQ30" i="55"/>
  <c r="AD32" i="54" s="1"/>
  <c r="AP30" i="55"/>
  <c r="AO30" i="55"/>
  <c r="AN30" i="55"/>
  <c r="AB32" i="54" s="1"/>
  <c r="AM30" i="55"/>
  <c r="AL30" i="55"/>
  <c r="AB30" i="55"/>
  <c r="AA30" i="55"/>
  <c r="Z30" i="55"/>
  <c r="Y30" i="55"/>
  <c r="R32" i="54" s="1"/>
  <c r="X30" i="55"/>
  <c r="W30" i="55"/>
  <c r="V30" i="55"/>
  <c r="P32" i="54" s="1"/>
  <c r="U30" i="55"/>
  <c r="T30" i="55"/>
  <c r="S30" i="55"/>
  <c r="R30" i="55"/>
  <c r="Q30" i="55"/>
  <c r="P30" i="55"/>
  <c r="L32" i="54" s="1"/>
  <c r="O30" i="55"/>
  <c r="N30" i="55"/>
  <c r="M30" i="55"/>
  <c r="J32" i="54" s="1"/>
  <c r="L30" i="55"/>
  <c r="K30" i="55"/>
  <c r="J30" i="55"/>
  <c r="I30" i="55"/>
  <c r="H30" i="55"/>
  <c r="G30" i="55"/>
  <c r="F32" i="54" s="1"/>
  <c r="F30" i="55"/>
  <c r="E30" i="55"/>
  <c r="D30" i="55"/>
  <c r="D32" i="54" s="1"/>
  <c r="C30" i="55"/>
  <c r="B30" i="55"/>
  <c r="AP31" i="54"/>
  <c r="AO31" i="54"/>
  <c r="BC29" i="55"/>
  <c r="BB29" i="55"/>
  <c r="BA29" i="55"/>
  <c r="AZ29" i="55"/>
  <c r="AJ31" i="54" s="1"/>
  <c r="AY29" i="55"/>
  <c r="AX29" i="55"/>
  <c r="AW29" i="55"/>
  <c r="AH31" i="54" s="1"/>
  <c r="AV29" i="55"/>
  <c r="AU29" i="55"/>
  <c r="AT29" i="55"/>
  <c r="AS29" i="55"/>
  <c r="AR29" i="55"/>
  <c r="AQ29" i="55"/>
  <c r="AD31" i="54" s="1"/>
  <c r="AP29" i="55"/>
  <c r="AO29" i="55"/>
  <c r="AN29" i="55"/>
  <c r="AB31" i="54" s="1"/>
  <c r="AM29" i="55"/>
  <c r="AL29" i="55"/>
  <c r="AB29" i="55"/>
  <c r="AA29" i="55"/>
  <c r="Z29" i="55"/>
  <c r="Y29" i="55"/>
  <c r="R31" i="54" s="1"/>
  <c r="X29" i="55"/>
  <c r="W29" i="55"/>
  <c r="V29" i="55"/>
  <c r="P31" i="54" s="1"/>
  <c r="U29" i="55"/>
  <c r="T29" i="55"/>
  <c r="S29" i="55"/>
  <c r="R29" i="55"/>
  <c r="Q29" i="55"/>
  <c r="P29" i="55"/>
  <c r="L31" i="54" s="1"/>
  <c r="O29" i="55"/>
  <c r="N29" i="55"/>
  <c r="M29" i="55"/>
  <c r="J31" i="54" s="1"/>
  <c r="L29" i="55"/>
  <c r="K29" i="55"/>
  <c r="J29" i="55"/>
  <c r="I29" i="55"/>
  <c r="H29" i="55"/>
  <c r="G29" i="55"/>
  <c r="F31" i="54" s="1"/>
  <c r="F29" i="55"/>
  <c r="E29" i="55"/>
  <c r="D29" i="55"/>
  <c r="D31" i="54" s="1"/>
  <c r="C29" i="55"/>
  <c r="B29" i="55"/>
  <c r="AP29" i="54"/>
  <c r="BC27" i="55"/>
  <c r="BB27" i="55"/>
  <c r="BA27" i="55"/>
  <c r="AZ27" i="55"/>
  <c r="AJ29" i="54" s="1"/>
  <c r="AY27" i="55"/>
  <c r="AX27" i="55"/>
  <c r="AW27" i="55"/>
  <c r="AH29" i="54" s="1"/>
  <c r="AV27" i="55"/>
  <c r="AU27" i="55"/>
  <c r="AT27" i="55"/>
  <c r="AS27" i="55"/>
  <c r="AR27" i="55"/>
  <c r="AQ27" i="55"/>
  <c r="AD29" i="54" s="1"/>
  <c r="AP27" i="55"/>
  <c r="AO27" i="55"/>
  <c r="AN27" i="55"/>
  <c r="AB29" i="54" s="1"/>
  <c r="AM27" i="55"/>
  <c r="AL27" i="55"/>
  <c r="AB27" i="55"/>
  <c r="AA27" i="55"/>
  <c r="Z27" i="55"/>
  <c r="Y27" i="55"/>
  <c r="R29" i="54" s="1"/>
  <c r="X27" i="55"/>
  <c r="W27" i="55"/>
  <c r="V27" i="55"/>
  <c r="P29" i="54" s="1"/>
  <c r="U27" i="55"/>
  <c r="T27" i="55"/>
  <c r="S27" i="55"/>
  <c r="R27" i="55"/>
  <c r="Q27" i="55"/>
  <c r="P27" i="55"/>
  <c r="L29" i="54" s="1"/>
  <c r="O27" i="55"/>
  <c r="N27" i="55"/>
  <c r="M27" i="55"/>
  <c r="J29" i="54" s="1"/>
  <c r="L27" i="55"/>
  <c r="K27" i="55"/>
  <c r="J27" i="55"/>
  <c r="I27" i="55"/>
  <c r="H27" i="55"/>
  <c r="G27" i="55"/>
  <c r="F29" i="54" s="1"/>
  <c r="F27" i="55"/>
  <c r="E27" i="55"/>
  <c r="D27" i="55"/>
  <c r="D29" i="54" s="1"/>
  <c r="C27" i="55"/>
  <c r="B27" i="55"/>
  <c r="AP28" i="54"/>
  <c r="AO28" i="54"/>
  <c r="BC26" i="55"/>
  <c r="BB26" i="55"/>
  <c r="BA26" i="55"/>
  <c r="AZ26" i="55"/>
  <c r="AJ28" i="54" s="1"/>
  <c r="AY26" i="55"/>
  <c r="AX26" i="55"/>
  <c r="AW26" i="55"/>
  <c r="AH28" i="54" s="1"/>
  <c r="AV26" i="55"/>
  <c r="AU26" i="55"/>
  <c r="AT26" i="55"/>
  <c r="AS26" i="55"/>
  <c r="AR26" i="55"/>
  <c r="AQ26" i="55"/>
  <c r="AD28" i="54" s="1"/>
  <c r="AP26" i="55"/>
  <c r="AO26" i="55"/>
  <c r="AN26" i="55"/>
  <c r="AB28" i="54" s="1"/>
  <c r="AM26" i="55"/>
  <c r="AL26" i="55"/>
  <c r="AB26" i="55"/>
  <c r="AA26" i="55"/>
  <c r="Z26" i="55"/>
  <c r="Y26" i="55"/>
  <c r="R28" i="54" s="1"/>
  <c r="X26" i="55"/>
  <c r="W26" i="55"/>
  <c r="V26" i="55"/>
  <c r="P28" i="54" s="1"/>
  <c r="U26" i="55"/>
  <c r="T26" i="55"/>
  <c r="S26" i="55"/>
  <c r="R26" i="55"/>
  <c r="Q26" i="55"/>
  <c r="P26" i="55"/>
  <c r="L28" i="54" s="1"/>
  <c r="O26" i="55"/>
  <c r="N26" i="55"/>
  <c r="M26" i="55"/>
  <c r="J28" i="54" s="1"/>
  <c r="L26" i="55"/>
  <c r="K26" i="55"/>
  <c r="J26" i="55"/>
  <c r="I26" i="55"/>
  <c r="H26" i="55"/>
  <c r="G26" i="55"/>
  <c r="F28" i="54" s="1"/>
  <c r="F26" i="55"/>
  <c r="E26" i="55"/>
  <c r="D26" i="55"/>
  <c r="D28" i="54" s="1"/>
  <c r="C26" i="55"/>
  <c r="B26" i="55"/>
  <c r="AP27" i="54"/>
  <c r="AO27" i="54"/>
  <c r="BC25" i="55"/>
  <c r="BB25" i="55"/>
  <c r="BA25" i="55"/>
  <c r="AZ25" i="55"/>
  <c r="AJ27" i="54" s="1"/>
  <c r="AY25" i="55"/>
  <c r="AX25" i="55"/>
  <c r="AW25" i="55"/>
  <c r="AH27" i="54" s="1"/>
  <c r="AV25" i="55"/>
  <c r="AU25" i="55"/>
  <c r="AT25" i="55"/>
  <c r="AS25" i="55"/>
  <c r="AR25" i="55"/>
  <c r="AQ25" i="55"/>
  <c r="AD27" i="54" s="1"/>
  <c r="AP25" i="55"/>
  <c r="AO25" i="55"/>
  <c r="AN25" i="55"/>
  <c r="AB27" i="54" s="1"/>
  <c r="AM25" i="55"/>
  <c r="AL25" i="55"/>
  <c r="AB25" i="55"/>
  <c r="AA25" i="55"/>
  <c r="Z25" i="55"/>
  <c r="Y25" i="55"/>
  <c r="R27" i="54" s="1"/>
  <c r="X25" i="55"/>
  <c r="W25" i="55"/>
  <c r="V25" i="55"/>
  <c r="P27" i="54" s="1"/>
  <c r="U25" i="55"/>
  <c r="T25" i="55"/>
  <c r="S25" i="55"/>
  <c r="R25" i="55"/>
  <c r="Q25" i="55"/>
  <c r="P25" i="55"/>
  <c r="L27" i="54" s="1"/>
  <c r="O25" i="55"/>
  <c r="N25" i="55"/>
  <c r="M25" i="55"/>
  <c r="J27" i="54" s="1"/>
  <c r="L25" i="55"/>
  <c r="K25" i="55"/>
  <c r="J25" i="55"/>
  <c r="I25" i="55"/>
  <c r="H25" i="55"/>
  <c r="G25" i="55"/>
  <c r="F27" i="54" s="1"/>
  <c r="F25" i="55"/>
  <c r="E25" i="55"/>
  <c r="D25" i="55"/>
  <c r="D27" i="54" s="1"/>
  <c r="C25" i="55"/>
  <c r="AP26" i="54"/>
  <c r="AO26" i="54"/>
  <c r="BC24" i="55"/>
  <c r="BB24" i="55"/>
  <c r="BA24" i="55"/>
  <c r="AZ24" i="55"/>
  <c r="AJ26" i="54" s="1"/>
  <c r="AY24" i="55"/>
  <c r="AX24" i="55"/>
  <c r="AW24" i="55"/>
  <c r="AH26" i="54" s="1"/>
  <c r="AV24" i="55"/>
  <c r="AU24" i="55"/>
  <c r="AT24" i="55"/>
  <c r="AS24" i="55"/>
  <c r="AR24" i="55"/>
  <c r="AQ24" i="55"/>
  <c r="AD26" i="54" s="1"/>
  <c r="AP24" i="55"/>
  <c r="AO24" i="55"/>
  <c r="AN24" i="55"/>
  <c r="AB26" i="54" s="1"/>
  <c r="AM24" i="55"/>
  <c r="AL24" i="55"/>
  <c r="AB24" i="55"/>
  <c r="AA24" i="55"/>
  <c r="Z24" i="55"/>
  <c r="Y24" i="55"/>
  <c r="R26" i="54" s="1"/>
  <c r="X24" i="55"/>
  <c r="W24" i="55"/>
  <c r="V24" i="55"/>
  <c r="P26" i="54" s="1"/>
  <c r="U24" i="55"/>
  <c r="T24" i="55"/>
  <c r="S24" i="55"/>
  <c r="R24" i="55"/>
  <c r="Q24" i="55"/>
  <c r="P24" i="55"/>
  <c r="L26" i="54" s="1"/>
  <c r="O24" i="55"/>
  <c r="N24" i="55"/>
  <c r="M24" i="55"/>
  <c r="J26" i="54" s="1"/>
  <c r="L24" i="55"/>
  <c r="K24" i="55"/>
  <c r="J24" i="55"/>
  <c r="I24" i="55"/>
  <c r="H24" i="55"/>
  <c r="G24" i="55"/>
  <c r="F26" i="54" s="1"/>
  <c r="F24" i="55"/>
  <c r="E24" i="55"/>
  <c r="D24" i="55"/>
  <c r="D26" i="54" s="1"/>
  <c r="C24" i="55"/>
  <c r="B24" i="55"/>
  <c r="AP25" i="54"/>
  <c r="BC23" i="55"/>
  <c r="BB23" i="55"/>
  <c r="BA23" i="55"/>
  <c r="AZ23" i="55"/>
  <c r="AJ25" i="54" s="1"/>
  <c r="AY23" i="55"/>
  <c r="AX23" i="55"/>
  <c r="AW23" i="55"/>
  <c r="AH25" i="54" s="1"/>
  <c r="AV23" i="55"/>
  <c r="AU23" i="55"/>
  <c r="AT23" i="55"/>
  <c r="AS23" i="55"/>
  <c r="AR23" i="55"/>
  <c r="AQ23" i="55"/>
  <c r="AD25" i="54" s="1"/>
  <c r="AP23" i="55"/>
  <c r="AO23" i="55"/>
  <c r="AN23" i="55"/>
  <c r="AB25" i="54" s="1"/>
  <c r="AM23" i="55"/>
  <c r="AL23" i="55"/>
  <c r="AB23" i="55"/>
  <c r="AA23" i="55"/>
  <c r="Z23" i="55"/>
  <c r="Y23" i="55"/>
  <c r="R25" i="54" s="1"/>
  <c r="X23" i="55"/>
  <c r="W23" i="55"/>
  <c r="V23" i="55"/>
  <c r="P25" i="54" s="1"/>
  <c r="U23" i="55"/>
  <c r="T23" i="55"/>
  <c r="S23" i="55"/>
  <c r="R23" i="55"/>
  <c r="Q23" i="55"/>
  <c r="P23" i="55"/>
  <c r="L25" i="54" s="1"/>
  <c r="O23" i="55"/>
  <c r="N23" i="55"/>
  <c r="M23" i="55"/>
  <c r="J25" i="54" s="1"/>
  <c r="L23" i="55"/>
  <c r="K23" i="55"/>
  <c r="J23" i="55"/>
  <c r="I23" i="55"/>
  <c r="H23" i="55"/>
  <c r="G23" i="55"/>
  <c r="F25" i="54" s="1"/>
  <c r="F23" i="55"/>
  <c r="E23" i="55"/>
  <c r="D23" i="55"/>
  <c r="D25" i="54" s="1"/>
  <c r="C23" i="55"/>
  <c r="B23" i="55"/>
  <c r="AP24" i="54"/>
  <c r="AO24" i="54"/>
  <c r="BC22" i="55"/>
  <c r="BB22" i="55"/>
  <c r="BA22" i="55"/>
  <c r="AZ22" i="55"/>
  <c r="AJ24" i="54" s="1"/>
  <c r="AY22" i="55"/>
  <c r="AX22" i="55"/>
  <c r="AW22" i="55"/>
  <c r="AH24" i="54" s="1"/>
  <c r="AV22" i="55"/>
  <c r="AU22" i="55"/>
  <c r="AT22" i="55"/>
  <c r="AS22" i="55"/>
  <c r="AR22" i="55"/>
  <c r="AQ22" i="55"/>
  <c r="AD24" i="54" s="1"/>
  <c r="AP22" i="55"/>
  <c r="AO22" i="55"/>
  <c r="AN22" i="55"/>
  <c r="AB24" i="54" s="1"/>
  <c r="AM22" i="55"/>
  <c r="AL22" i="55"/>
  <c r="AB22" i="55"/>
  <c r="AA22" i="55"/>
  <c r="Z22" i="55"/>
  <c r="Y22" i="55"/>
  <c r="R24" i="54" s="1"/>
  <c r="X22" i="55"/>
  <c r="W22" i="55"/>
  <c r="V22" i="55"/>
  <c r="P24" i="54" s="1"/>
  <c r="U22" i="55"/>
  <c r="T22" i="55"/>
  <c r="S22" i="55"/>
  <c r="R22" i="55"/>
  <c r="Q22" i="55"/>
  <c r="P22" i="55"/>
  <c r="L24" i="54" s="1"/>
  <c r="O22" i="55"/>
  <c r="N22" i="55"/>
  <c r="M22" i="55"/>
  <c r="J24" i="54" s="1"/>
  <c r="L22" i="55"/>
  <c r="K22" i="55"/>
  <c r="J22" i="55"/>
  <c r="I22" i="55"/>
  <c r="H22" i="55"/>
  <c r="G22" i="55"/>
  <c r="F24" i="54" s="1"/>
  <c r="F22" i="55"/>
  <c r="E22" i="55"/>
  <c r="D22" i="55"/>
  <c r="D24" i="54" s="1"/>
  <c r="C22" i="55"/>
  <c r="B22" i="55"/>
  <c r="AP23" i="54"/>
  <c r="AO23" i="54"/>
  <c r="BC21" i="55"/>
  <c r="BB21" i="55"/>
  <c r="BA21" i="55"/>
  <c r="AZ21" i="55"/>
  <c r="AJ23" i="54" s="1"/>
  <c r="AY21" i="55"/>
  <c r="AX21" i="55"/>
  <c r="AW21" i="55"/>
  <c r="AH23" i="54" s="1"/>
  <c r="AV21" i="55"/>
  <c r="AU21" i="55"/>
  <c r="AT21" i="55"/>
  <c r="AS21" i="55"/>
  <c r="AR21" i="55"/>
  <c r="AQ21" i="55"/>
  <c r="AD23" i="54" s="1"/>
  <c r="AP21" i="55"/>
  <c r="AO21" i="55"/>
  <c r="AN21" i="55"/>
  <c r="AB23" i="54" s="1"/>
  <c r="AM21" i="55"/>
  <c r="AL21" i="55"/>
  <c r="AB21" i="55"/>
  <c r="AA21" i="55"/>
  <c r="Z21" i="55"/>
  <c r="Y21" i="55"/>
  <c r="R23" i="54" s="1"/>
  <c r="X21" i="55"/>
  <c r="W21" i="55"/>
  <c r="V21" i="55"/>
  <c r="P23" i="54" s="1"/>
  <c r="U21" i="55"/>
  <c r="T21" i="55"/>
  <c r="S21" i="55"/>
  <c r="R21" i="55"/>
  <c r="Q21" i="55"/>
  <c r="P21" i="55"/>
  <c r="L23" i="54" s="1"/>
  <c r="O21" i="55"/>
  <c r="N21" i="55"/>
  <c r="M21" i="55"/>
  <c r="J23" i="54" s="1"/>
  <c r="L21" i="55"/>
  <c r="K21" i="55"/>
  <c r="J21" i="55"/>
  <c r="I21" i="55"/>
  <c r="H21" i="55"/>
  <c r="G21" i="55"/>
  <c r="F23" i="54" s="1"/>
  <c r="F21" i="55"/>
  <c r="E21" i="55"/>
  <c r="D21" i="55"/>
  <c r="D23" i="54" s="1"/>
  <c r="C21" i="55"/>
  <c r="B21" i="55"/>
  <c r="AP22" i="54"/>
  <c r="BC20" i="55"/>
  <c r="BB20" i="55"/>
  <c r="BA20" i="55"/>
  <c r="AZ20" i="55"/>
  <c r="AJ22" i="54" s="1"/>
  <c r="AY20" i="55"/>
  <c r="AX20" i="55"/>
  <c r="AW20" i="55"/>
  <c r="AH22" i="54" s="1"/>
  <c r="AV20" i="55"/>
  <c r="AU20" i="55"/>
  <c r="AT20" i="55"/>
  <c r="AS20" i="55"/>
  <c r="AR20" i="55"/>
  <c r="AQ20" i="55"/>
  <c r="AD22" i="54" s="1"/>
  <c r="AP20" i="55"/>
  <c r="AO20" i="55"/>
  <c r="AN20" i="55"/>
  <c r="AB22" i="54" s="1"/>
  <c r="AM20" i="55"/>
  <c r="AL20" i="55"/>
  <c r="AB20" i="55"/>
  <c r="AA20" i="55"/>
  <c r="Z20" i="55"/>
  <c r="Y20" i="55"/>
  <c r="R22" i="54" s="1"/>
  <c r="X20" i="55"/>
  <c r="W20" i="55"/>
  <c r="V20" i="55"/>
  <c r="P22" i="54" s="1"/>
  <c r="U20" i="55"/>
  <c r="T20" i="55"/>
  <c r="S20" i="55"/>
  <c r="R20" i="55"/>
  <c r="Q20" i="55"/>
  <c r="P20" i="55"/>
  <c r="L22" i="54" s="1"/>
  <c r="O20" i="55"/>
  <c r="N20" i="55"/>
  <c r="M20" i="55"/>
  <c r="J22" i="54" s="1"/>
  <c r="L20" i="55"/>
  <c r="K20" i="55"/>
  <c r="J20" i="55"/>
  <c r="I20" i="55"/>
  <c r="H20" i="55"/>
  <c r="G20" i="55"/>
  <c r="F22" i="54" s="1"/>
  <c r="F20" i="55"/>
  <c r="E20" i="55"/>
  <c r="D20" i="55"/>
  <c r="D22" i="54" s="1"/>
  <c r="C20" i="55"/>
  <c r="B20" i="55"/>
  <c r="AP21" i="54"/>
  <c r="AO21" i="54"/>
  <c r="BC19" i="55"/>
  <c r="BB19" i="55"/>
  <c r="BA19" i="55"/>
  <c r="AZ19" i="55"/>
  <c r="AJ21" i="54" s="1"/>
  <c r="AY19" i="55"/>
  <c r="AX19" i="55"/>
  <c r="AW19" i="55"/>
  <c r="AH21" i="54" s="1"/>
  <c r="AV19" i="55"/>
  <c r="AU19" i="55"/>
  <c r="AT19" i="55"/>
  <c r="AS19" i="55"/>
  <c r="AR19" i="55"/>
  <c r="AQ19" i="55"/>
  <c r="AD21" i="54" s="1"/>
  <c r="AP19" i="55"/>
  <c r="AO19" i="55"/>
  <c r="AN19" i="55"/>
  <c r="AB21" i="54" s="1"/>
  <c r="AM19" i="55"/>
  <c r="AL19" i="55"/>
  <c r="AB19" i="55"/>
  <c r="AA19" i="55"/>
  <c r="Z19" i="55"/>
  <c r="Y19" i="55"/>
  <c r="R21" i="54" s="1"/>
  <c r="X19" i="55"/>
  <c r="W19" i="55"/>
  <c r="V19" i="55"/>
  <c r="P21" i="54" s="1"/>
  <c r="U19" i="55"/>
  <c r="T19" i="55"/>
  <c r="S19" i="55"/>
  <c r="R19" i="55"/>
  <c r="Q19" i="55"/>
  <c r="P19" i="55"/>
  <c r="L21" i="54" s="1"/>
  <c r="O19" i="55"/>
  <c r="N19" i="55"/>
  <c r="M19" i="55"/>
  <c r="J21" i="54" s="1"/>
  <c r="L19" i="55"/>
  <c r="K19" i="55"/>
  <c r="J19" i="55"/>
  <c r="I19" i="55"/>
  <c r="H19" i="55"/>
  <c r="G19" i="55"/>
  <c r="F21" i="54" s="1"/>
  <c r="F19" i="55"/>
  <c r="E19" i="55"/>
  <c r="D19" i="55"/>
  <c r="D21" i="54" s="1"/>
  <c r="C19" i="55"/>
  <c r="B19" i="55"/>
  <c r="AP20" i="54"/>
  <c r="AO20" i="54"/>
  <c r="BC18" i="55"/>
  <c r="BB18" i="55"/>
  <c r="BA18" i="55"/>
  <c r="AZ18" i="55"/>
  <c r="AJ20" i="54" s="1"/>
  <c r="AY18" i="55"/>
  <c r="AX18" i="55"/>
  <c r="AW18" i="55"/>
  <c r="AH20" i="54" s="1"/>
  <c r="AV18" i="55"/>
  <c r="AU18" i="55"/>
  <c r="AT18" i="55"/>
  <c r="AS18" i="55"/>
  <c r="AR18" i="55"/>
  <c r="AQ18" i="55"/>
  <c r="AD20" i="54" s="1"/>
  <c r="AP18" i="55"/>
  <c r="AO18" i="55"/>
  <c r="AN18" i="55"/>
  <c r="AB20" i="54" s="1"/>
  <c r="AM18" i="55"/>
  <c r="AL18" i="55"/>
  <c r="AB18" i="55"/>
  <c r="AA18" i="55"/>
  <c r="Z18" i="55"/>
  <c r="Y18" i="55"/>
  <c r="R20" i="54" s="1"/>
  <c r="X18" i="55"/>
  <c r="W18" i="55"/>
  <c r="V18" i="55"/>
  <c r="P20" i="54" s="1"/>
  <c r="U18" i="55"/>
  <c r="T18" i="55"/>
  <c r="S18" i="55"/>
  <c r="R18" i="55"/>
  <c r="Q18" i="55"/>
  <c r="P18" i="55"/>
  <c r="L20" i="54" s="1"/>
  <c r="O18" i="55"/>
  <c r="N18" i="55"/>
  <c r="M18" i="55"/>
  <c r="J20" i="54" s="1"/>
  <c r="L18" i="55"/>
  <c r="K18" i="55"/>
  <c r="J18" i="55"/>
  <c r="I18" i="55"/>
  <c r="H18" i="55"/>
  <c r="G18" i="55"/>
  <c r="F20" i="54" s="1"/>
  <c r="F18" i="55"/>
  <c r="E18" i="55"/>
  <c r="D18" i="55"/>
  <c r="D20" i="54" s="1"/>
  <c r="C18" i="55"/>
  <c r="B18" i="55"/>
  <c r="AP19" i="54"/>
  <c r="AO19" i="54"/>
  <c r="BC17" i="55"/>
  <c r="BB17" i="55"/>
  <c r="BA17" i="55"/>
  <c r="AZ17" i="55"/>
  <c r="AJ19" i="54" s="1"/>
  <c r="AY17" i="55"/>
  <c r="AX17" i="55"/>
  <c r="AW17" i="55"/>
  <c r="AH19" i="54" s="1"/>
  <c r="AV17" i="55"/>
  <c r="AU17" i="55"/>
  <c r="AT17" i="55"/>
  <c r="AS17" i="55"/>
  <c r="AR17" i="55"/>
  <c r="AQ17" i="55"/>
  <c r="AD19" i="54" s="1"/>
  <c r="AP17" i="55"/>
  <c r="AO17" i="55"/>
  <c r="AN17" i="55"/>
  <c r="AB19" i="54" s="1"/>
  <c r="AM17" i="55"/>
  <c r="AL17" i="55"/>
  <c r="AB17" i="55"/>
  <c r="AA17" i="55"/>
  <c r="Z17" i="55"/>
  <c r="Y17" i="55"/>
  <c r="R19" i="54" s="1"/>
  <c r="X17" i="55"/>
  <c r="W17" i="55"/>
  <c r="V17" i="55"/>
  <c r="P19" i="54" s="1"/>
  <c r="U17" i="55"/>
  <c r="T17" i="55"/>
  <c r="S17" i="55"/>
  <c r="R17" i="55"/>
  <c r="Q17" i="55"/>
  <c r="P17" i="55"/>
  <c r="L19" i="54" s="1"/>
  <c r="O17" i="55"/>
  <c r="N17" i="55"/>
  <c r="M17" i="55"/>
  <c r="J19" i="54" s="1"/>
  <c r="L17" i="55"/>
  <c r="K17" i="55"/>
  <c r="J17" i="55"/>
  <c r="I17" i="55"/>
  <c r="H17" i="55"/>
  <c r="G17" i="55"/>
  <c r="F19" i="54" s="1"/>
  <c r="F17" i="55"/>
  <c r="E17" i="55"/>
  <c r="D17" i="55"/>
  <c r="D19" i="54" s="1"/>
  <c r="C17" i="55"/>
  <c r="B17" i="55"/>
  <c r="AP18" i="54"/>
  <c r="BC16" i="55"/>
  <c r="BB16" i="55"/>
  <c r="BA16" i="55"/>
  <c r="AZ16" i="55"/>
  <c r="AJ18" i="54" s="1"/>
  <c r="AY16" i="55"/>
  <c r="AX16" i="55"/>
  <c r="AW16" i="55"/>
  <c r="AH18" i="54" s="1"/>
  <c r="AV16" i="55"/>
  <c r="AU16" i="55"/>
  <c r="AT16" i="55"/>
  <c r="AS16" i="55"/>
  <c r="AR16" i="55"/>
  <c r="AQ16" i="55"/>
  <c r="AD18" i="54" s="1"/>
  <c r="AP16" i="55"/>
  <c r="AO16" i="55"/>
  <c r="AN16" i="55"/>
  <c r="AB18" i="54" s="1"/>
  <c r="AM16" i="55"/>
  <c r="AL16" i="55"/>
  <c r="AB16" i="55"/>
  <c r="AA16" i="55"/>
  <c r="Z16" i="55"/>
  <c r="Y16" i="55"/>
  <c r="R18" i="54" s="1"/>
  <c r="X16" i="55"/>
  <c r="W16" i="55"/>
  <c r="V16" i="55"/>
  <c r="P18" i="54" s="1"/>
  <c r="U16" i="55"/>
  <c r="T16" i="55"/>
  <c r="S16" i="55"/>
  <c r="R16" i="55"/>
  <c r="Q16" i="55"/>
  <c r="P16" i="55"/>
  <c r="L18" i="54" s="1"/>
  <c r="O16" i="55"/>
  <c r="N16" i="55"/>
  <c r="M16" i="55"/>
  <c r="J18" i="54" s="1"/>
  <c r="L16" i="55"/>
  <c r="K16" i="55"/>
  <c r="J16" i="55"/>
  <c r="I16" i="55"/>
  <c r="H16" i="55"/>
  <c r="G16" i="55"/>
  <c r="F18" i="54" s="1"/>
  <c r="F16" i="55"/>
  <c r="E16" i="55"/>
  <c r="D16" i="55"/>
  <c r="D18" i="54" s="1"/>
  <c r="C16" i="55"/>
  <c r="B16" i="55"/>
  <c r="AP17" i="54"/>
  <c r="AO17" i="54"/>
  <c r="BC15" i="55"/>
  <c r="BB15" i="55"/>
  <c r="BA15" i="55"/>
  <c r="AZ15" i="55"/>
  <c r="AJ17" i="54" s="1"/>
  <c r="AY15" i="55"/>
  <c r="AX15" i="55"/>
  <c r="AW15" i="55"/>
  <c r="AH17" i="54" s="1"/>
  <c r="AV15" i="55"/>
  <c r="AU15" i="55"/>
  <c r="AT15" i="55"/>
  <c r="AS15" i="55"/>
  <c r="AR15" i="55"/>
  <c r="AQ15" i="55"/>
  <c r="AD17" i="54" s="1"/>
  <c r="AP15" i="55"/>
  <c r="AO15" i="55"/>
  <c r="AN15" i="55"/>
  <c r="AB17" i="54" s="1"/>
  <c r="AM15" i="55"/>
  <c r="AL15" i="55"/>
  <c r="AB15" i="55"/>
  <c r="AA15" i="55"/>
  <c r="Z15" i="55"/>
  <c r="Y15" i="55"/>
  <c r="R17" i="54" s="1"/>
  <c r="X15" i="55"/>
  <c r="W15" i="55"/>
  <c r="V15" i="55"/>
  <c r="P17" i="54" s="1"/>
  <c r="U15" i="55"/>
  <c r="T15" i="55"/>
  <c r="S15" i="55"/>
  <c r="R15" i="55"/>
  <c r="Q15" i="55"/>
  <c r="P15" i="55"/>
  <c r="L17" i="54" s="1"/>
  <c r="O15" i="55"/>
  <c r="N15" i="55"/>
  <c r="M15" i="55"/>
  <c r="J17" i="54" s="1"/>
  <c r="L15" i="55"/>
  <c r="K15" i="55"/>
  <c r="J15" i="55"/>
  <c r="I15" i="55"/>
  <c r="H15" i="55"/>
  <c r="G15" i="55"/>
  <c r="F17" i="54" s="1"/>
  <c r="F15" i="55"/>
  <c r="E15" i="55"/>
  <c r="D15" i="55"/>
  <c r="D17" i="54" s="1"/>
  <c r="C15" i="55"/>
  <c r="B15" i="55"/>
  <c r="AP16" i="54"/>
  <c r="AO16" i="54"/>
  <c r="BC14" i="55"/>
  <c r="BB14" i="55"/>
  <c r="BA14" i="55"/>
  <c r="AZ14" i="55"/>
  <c r="AJ16" i="54" s="1"/>
  <c r="AY14" i="55"/>
  <c r="AX14" i="55"/>
  <c r="AW14" i="55"/>
  <c r="AH16" i="54" s="1"/>
  <c r="AV14" i="55"/>
  <c r="AU14" i="55"/>
  <c r="AT14" i="55"/>
  <c r="AS14" i="55"/>
  <c r="AR14" i="55"/>
  <c r="AQ14" i="55"/>
  <c r="AD16" i="54" s="1"/>
  <c r="AP14" i="55"/>
  <c r="AO14" i="55"/>
  <c r="AN14" i="55"/>
  <c r="AB16" i="54" s="1"/>
  <c r="AM14" i="55"/>
  <c r="AL14" i="55"/>
  <c r="AB14" i="55"/>
  <c r="AA14" i="55"/>
  <c r="Z14" i="55"/>
  <c r="Y14" i="55"/>
  <c r="R16" i="54" s="1"/>
  <c r="X14" i="55"/>
  <c r="W14" i="55"/>
  <c r="V14" i="55"/>
  <c r="P16" i="54" s="1"/>
  <c r="U14" i="55"/>
  <c r="T14" i="55"/>
  <c r="S14" i="55"/>
  <c r="R14" i="55"/>
  <c r="Q14" i="55"/>
  <c r="P14" i="55"/>
  <c r="L16" i="54" s="1"/>
  <c r="O14" i="55"/>
  <c r="N14" i="55"/>
  <c r="M14" i="55"/>
  <c r="J16" i="54" s="1"/>
  <c r="L14" i="55"/>
  <c r="K14" i="55"/>
  <c r="J14" i="55"/>
  <c r="I14" i="55"/>
  <c r="H14" i="55"/>
  <c r="G14" i="55"/>
  <c r="F16" i="54" s="1"/>
  <c r="F14" i="55"/>
  <c r="E14" i="55"/>
  <c r="D14" i="55"/>
  <c r="D16" i="54" s="1"/>
  <c r="C14" i="55"/>
  <c r="B14" i="55"/>
  <c r="AP15" i="54"/>
  <c r="AO15" i="54"/>
  <c r="BC13" i="55"/>
  <c r="BB13" i="55"/>
  <c r="BA13" i="55"/>
  <c r="AZ13" i="55"/>
  <c r="AJ15" i="54" s="1"/>
  <c r="AY13" i="55"/>
  <c r="AX13" i="55"/>
  <c r="AW13" i="55"/>
  <c r="AH15" i="54" s="1"/>
  <c r="AV13" i="55"/>
  <c r="AU13" i="55"/>
  <c r="AT13" i="55"/>
  <c r="AS13" i="55"/>
  <c r="AR13" i="55"/>
  <c r="AQ13" i="55"/>
  <c r="AD15" i="54" s="1"/>
  <c r="AP13" i="55"/>
  <c r="AO13" i="55"/>
  <c r="AN13" i="55"/>
  <c r="AB15" i="54" s="1"/>
  <c r="AM13" i="55"/>
  <c r="AL13" i="55"/>
  <c r="AB13" i="55"/>
  <c r="AA13" i="55"/>
  <c r="Z13" i="55"/>
  <c r="Y13" i="55"/>
  <c r="R15" i="54" s="1"/>
  <c r="X13" i="55"/>
  <c r="W13" i="55"/>
  <c r="V13" i="55"/>
  <c r="P15" i="54" s="1"/>
  <c r="U13" i="55"/>
  <c r="T13" i="55"/>
  <c r="S13" i="55"/>
  <c r="R13" i="55"/>
  <c r="Q13" i="55"/>
  <c r="P13" i="55"/>
  <c r="L15" i="54" s="1"/>
  <c r="O13" i="55"/>
  <c r="N13" i="55"/>
  <c r="M13" i="55"/>
  <c r="J15" i="54" s="1"/>
  <c r="L13" i="55"/>
  <c r="K13" i="55"/>
  <c r="J13" i="55"/>
  <c r="I13" i="55"/>
  <c r="H13" i="55"/>
  <c r="G13" i="55"/>
  <c r="F15" i="54" s="1"/>
  <c r="F13" i="55"/>
  <c r="E13" i="55"/>
  <c r="D13" i="55"/>
  <c r="D15" i="54" s="1"/>
  <c r="C13" i="55"/>
  <c r="B13" i="55"/>
  <c r="AP14" i="54"/>
  <c r="BC12" i="55"/>
  <c r="BB12" i="55"/>
  <c r="BA12" i="55"/>
  <c r="AZ12" i="55"/>
  <c r="AJ14" i="54" s="1"/>
  <c r="AY12" i="55"/>
  <c r="AX12" i="55"/>
  <c r="AW12" i="55"/>
  <c r="AH14" i="54" s="1"/>
  <c r="AV12" i="55"/>
  <c r="AU12" i="55"/>
  <c r="AT12" i="55"/>
  <c r="AS12" i="55"/>
  <c r="AR12" i="55"/>
  <c r="AQ12" i="55"/>
  <c r="AD14" i="54" s="1"/>
  <c r="AP12" i="55"/>
  <c r="AO12" i="55"/>
  <c r="AN12" i="55"/>
  <c r="AB14" i="54" s="1"/>
  <c r="AM12" i="55"/>
  <c r="AL12" i="55"/>
  <c r="AB12" i="55"/>
  <c r="AA12" i="55"/>
  <c r="Z12" i="55"/>
  <c r="Y12" i="55"/>
  <c r="R14" i="54" s="1"/>
  <c r="X12" i="55"/>
  <c r="W12" i="55"/>
  <c r="V12" i="55"/>
  <c r="P14" i="54" s="1"/>
  <c r="U12" i="55"/>
  <c r="T12" i="55"/>
  <c r="S12" i="55"/>
  <c r="R12" i="55"/>
  <c r="Q12" i="55"/>
  <c r="P12" i="55"/>
  <c r="L14" i="54" s="1"/>
  <c r="O12" i="55"/>
  <c r="N12" i="55"/>
  <c r="M12" i="55"/>
  <c r="J14" i="54" s="1"/>
  <c r="L12" i="55"/>
  <c r="K12" i="55"/>
  <c r="J12" i="55"/>
  <c r="I12" i="55"/>
  <c r="H12" i="55"/>
  <c r="G12" i="55"/>
  <c r="F14" i="54" s="1"/>
  <c r="F12" i="55"/>
  <c r="E12" i="55"/>
  <c r="D12" i="55"/>
  <c r="D14" i="54" s="1"/>
  <c r="C12" i="55"/>
  <c r="B12" i="55"/>
  <c r="AP13" i="54"/>
  <c r="AO13" i="54"/>
  <c r="BC11" i="55"/>
  <c r="BB11" i="55"/>
  <c r="BA11" i="55"/>
  <c r="AZ11" i="55"/>
  <c r="AJ13" i="54" s="1"/>
  <c r="AY11" i="55"/>
  <c r="AX11" i="55"/>
  <c r="AW11" i="55"/>
  <c r="AH13" i="54" s="1"/>
  <c r="AV11" i="55"/>
  <c r="AU11" i="55"/>
  <c r="AT11" i="55"/>
  <c r="AS11" i="55"/>
  <c r="AR11" i="55"/>
  <c r="AQ11" i="55"/>
  <c r="AD13" i="54" s="1"/>
  <c r="AP11" i="55"/>
  <c r="AO11" i="55"/>
  <c r="AN11" i="55"/>
  <c r="AB13" i="54" s="1"/>
  <c r="AM11" i="55"/>
  <c r="AL11" i="55"/>
  <c r="AB11" i="55"/>
  <c r="AA11" i="55"/>
  <c r="Z11" i="55"/>
  <c r="Y11" i="55"/>
  <c r="R13" i="54" s="1"/>
  <c r="X11" i="55"/>
  <c r="W11" i="55"/>
  <c r="V11" i="55"/>
  <c r="P13" i="54" s="1"/>
  <c r="U11" i="55"/>
  <c r="T11" i="55"/>
  <c r="S11" i="55"/>
  <c r="R11" i="55"/>
  <c r="Q11" i="55"/>
  <c r="P11" i="55"/>
  <c r="L13" i="54" s="1"/>
  <c r="O11" i="55"/>
  <c r="N11" i="55"/>
  <c r="M11" i="55"/>
  <c r="J13" i="54" s="1"/>
  <c r="L11" i="55"/>
  <c r="K11" i="55"/>
  <c r="J11" i="55"/>
  <c r="I11" i="55"/>
  <c r="H11" i="55"/>
  <c r="G11" i="55"/>
  <c r="F13" i="54" s="1"/>
  <c r="F11" i="55"/>
  <c r="E11" i="55"/>
  <c r="D11" i="55"/>
  <c r="D13" i="54" s="1"/>
  <c r="C11" i="55"/>
  <c r="B11" i="55"/>
  <c r="AP12" i="54"/>
  <c r="AO12" i="54"/>
  <c r="BC10" i="55"/>
  <c r="BB10" i="55"/>
  <c r="BA10" i="55"/>
  <c r="AZ10" i="55"/>
  <c r="AJ12" i="54" s="1"/>
  <c r="AY10" i="55"/>
  <c r="AX10" i="55"/>
  <c r="AW10" i="55"/>
  <c r="AH12" i="54" s="1"/>
  <c r="AV10" i="55"/>
  <c r="AU10" i="55"/>
  <c r="AT10" i="55"/>
  <c r="AS10" i="55"/>
  <c r="AR10" i="55"/>
  <c r="AQ10" i="55"/>
  <c r="AD12" i="54" s="1"/>
  <c r="AP10" i="55"/>
  <c r="AO10" i="55"/>
  <c r="AN10" i="55"/>
  <c r="AB12" i="54" s="1"/>
  <c r="AM10" i="55"/>
  <c r="AL10" i="55"/>
  <c r="AB10" i="55"/>
  <c r="AA10" i="55"/>
  <c r="Z10" i="55"/>
  <c r="Y10" i="55"/>
  <c r="R12" i="54" s="1"/>
  <c r="X10" i="55"/>
  <c r="W10" i="55"/>
  <c r="V10" i="55"/>
  <c r="P12" i="54" s="1"/>
  <c r="U10" i="55"/>
  <c r="T10" i="55"/>
  <c r="S10" i="55"/>
  <c r="R10" i="55"/>
  <c r="Q10" i="55"/>
  <c r="P10" i="55"/>
  <c r="L12" i="54" s="1"/>
  <c r="O10" i="55"/>
  <c r="N10" i="55"/>
  <c r="M10" i="55"/>
  <c r="J12" i="54" s="1"/>
  <c r="L10" i="55"/>
  <c r="K10" i="55"/>
  <c r="J10" i="55"/>
  <c r="I10" i="55"/>
  <c r="H10" i="55"/>
  <c r="G10" i="55"/>
  <c r="F12" i="54" s="1"/>
  <c r="F10" i="55"/>
  <c r="E10" i="55"/>
  <c r="D10" i="55"/>
  <c r="D12" i="54" s="1"/>
  <c r="C10" i="55"/>
  <c r="B10" i="55"/>
  <c r="AP11" i="54"/>
  <c r="AO11" i="54"/>
  <c r="BC9" i="55"/>
  <c r="BB9" i="55"/>
  <c r="BA9" i="55"/>
  <c r="AZ9" i="55"/>
  <c r="AJ11" i="54" s="1"/>
  <c r="AY9" i="55"/>
  <c r="AX9" i="55"/>
  <c r="AW9" i="55"/>
  <c r="AH11" i="54" s="1"/>
  <c r="AV9" i="55"/>
  <c r="AU9" i="55"/>
  <c r="AT9" i="55"/>
  <c r="AS9" i="55"/>
  <c r="AR9" i="55"/>
  <c r="AQ9" i="55"/>
  <c r="AD11" i="54" s="1"/>
  <c r="AP9" i="55"/>
  <c r="AO9" i="55"/>
  <c r="AN9" i="55"/>
  <c r="AB11" i="54" s="1"/>
  <c r="AM9" i="55"/>
  <c r="AL9" i="55"/>
  <c r="AB9" i="55"/>
  <c r="AA9" i="55"/>
  <c r="Z9" i="55"/>
  <c r="Y9" i="55"/>
  <c r="R11" i="54" s="1"/>
  <c r="X9" i="55"/>
  <c r="W9" i="55"/>
  <c r="V9" i="55"/>
  <c r="P11" i="54" s="1"/>
  <c r="U9" i="55"/>
  <c r="T9" i="55"/>
  <c r="S9" i="55"/>
  <c r="R9" i="55"/>
  <c r="Q9" i="55"/>
  <c r="P9" i="55"/>
  <c r="L11" i="54" s="1"/>
  <c r="O9" i="55"/>
  <c r="N9" i="55"/>
  <c r="M9" i="55"/>
  <c r="J11" i="54" s="1"/>
  <c r="L9" i="55"/>
  <c r="K9" i="55"/>
  <c r="J9" i="55"/>
  <c r="I9" i="55"/>
  <c r="H9" i="55"/>
  <c r="G9" i="55"/>
  <c r="F11" i="54" s="1"/>
  <c r="F9" i="55"/>
  <c r="E9" i="55"/>
  <c r="D9" i="55"/>
  <c r="D11" i="54" s="1"/>
  <c r="C9" i="55"/>
  <c r="B9" i="55"/>
  <c r="AP10" i="54"/>
  <c r="BC8" i="55"/>
  <c r="BB8" i="55"/>
  <c r="BA8" i="55"/>
  <c r="AZ8" i="55"/>
  <c r="AJ10" i="54" s="1"/>
  <c r="AY8" i="55"/>
  <c r="AX8" i="55"/>
  <c r="AW8" i="55"/>
  <c r="AH10" i="54" s="1"/>
  <c r="AV8" i="55"/>
  <c r="AU8" i="55"/>
  <c r="AT8" i="55"/>
  <c r="AS8" i="55"/>
  <c r="AR8" i="55"/>
  <c r="AQ8" i="55"/>
  <c r="AD10" i="54" s="1"/>
  <c r="AP8" i="55"/>
  <c r="AO8" i="55"/>
  <c r="AN8" i="55"/>
  <c r="AB10" i="54" s="1"/>
  <c r="AM8" i="55"/>
  <c r="AL8" i="55"/>
  <c r="AB8" i="55"/>
  <c r="AA8" i="55"/>
  <c r="Z8" i="55"/>
  <c r="Y8" i="55"/>
  <c r="R10" i="54" s="1"/>
  <c r="X8" i="55"/>
  <c r="W8" i="55"/>
  <c r="V8" i="55"/>
  <c r="P10" i="54" s="1"/>
  <c r="U8" i="55"/>
  <c r="T8" i="55"/>
  <c r="S8" i="55"/>
  <c r="R8" i="55"/>
  <c r="Q8" i="55"/>
  <c r="P8" i="55"/>
  <c r="L10" i="54" s="1"/>
  <c r="O8" i="55"/>
  <c r="N8" i="55"/>
  <c r="M8" i="55"/>
  <c r="J10" i="54" s="1"/>
  <c r="L8" i="55"/>
  <c r="K8" i="55"/>
  <c r="J8" i="55"/>
  <c r="I8" i="55"/>
  <c r="H8" i="55"/>
  <c r="G8" i="55"/>
  <c r="F10" i="54" s="1"/>
  <c r="F8" i="55"/>
  <c r="E8" i="55"/>
  <c r="D8" i="55"/>
  <c r="D10" i="54" s="1"/>
  <c r="C8" i="55"/>
  <c r="B8" i="55"/>
  <c r="AP9" i="54"/>
  <c r="AO9" i="54"/>
  <c r="BC7" i="55"/>
  <c r="BB7" i="55"/>
  <c r="BA7" i="55"/>
  <c r="AZ7" i="55"/>
  <c r="AJ9" i="54" s="1"/>
  <c r="AY7" i="55"/>
  <c r="AX7" i="55"/>
  <c r="AW7" i="55"/>
  <c r="AH9" i="54" s="1"/>
  <c r="AV7" i="55"/>
  <c r="AU7" i="55"/>
  <c r="AT7" i="55"/>
  <c r="AS7" i="55"/>
  <c r="AR7" i="55"/>
  <c r="AQ7" i="55"/>
  <c r="AD9" i="54" s="1"/>
  <c r="AP7" i="55"/>
  <c r="AO7" i="55"/>
  <c r="AN7" i="55"/>
  <c r="AB9" i="54" s="1"/>
  <c r="AM7" i="55"/>
  <c r="AL7" i="55"/>
  <c r="AB7" i="55"/>
  <c r="AA7" i="55"/>
  <c r="Z7" i="55"/>
  <c r="Y7" i="55"/>
  <c r="R9" i="54" s="1"/>
  <c r="X7" i="55"/>
  <c r="W7" i="55"/>
  <c r="V7" i="55"/>
  <c r="P9" i="54" s="1"/>
  <c r="U7" i="55"/>
  <c r="T7" i="55"/>
  <c r="S7" i="55"/>
  <c r="R7" i="55"/>
  <c r="Q7" i="55"/>
  <c r="P7" i="55"/>
  <c r="L9" i="54" s="1"/>
  <c r="O7" i="55"/>
  <c r="N7" i="55"/>
  <c r="M7" i="55"/>
  <c r="J9" i="54" s="1"/>
  <c r="L7" i="55"/>
  <c r="K7" i="55"/>
  <c r="J7" i="55"/>
  <c r="I7" i="55"/>
  <c r="H7" i="55"/>
  <c r="G7" i="55"/>
  <c r="F9" i="54" s="1"/>
  <c r="F7" i="55"/>
  <c r="E7" i="55"/>
  <c r="D7" i="55"/>
  <c r="D9" i="54" s="1"/>
  <c r="C7" i="55"/>
  <c r="B7" i="55"/>
  <c r="AP8" i="54"/>
  <c r="AO8" i="54"/>
  <c r="BC6" i="55"/>
  <c r="BB6" i="55"/>
  <c r="BA6" i="55"/>
  <c r="AZ6" i="55"/>
  <c r="AJ8" i="54" s="1"/>
  <c r="AY6" i="55"/>
  <c r="AX6" i="55"/>
  <c r="AW6" i="55"/>
  <c r="AH8" i="54" s="1"/>
  <c r="AV6" i="55"/>
  <c r="AU6" i="55"/>
  <c r="AT6" i="55"/>
  <c r="AS6" i="55"/>
  <c r="AR6" i="55"/>
  <c r="AQ6" i="55"/>
  <c r="AD8" i="54" s="1"/>
  <c r="AP6" i="55"/>
  <c r="AO6" i="55"/>
  <c r="AN6" i="55"/>
  <c r="AB8" i="54" s="1"/>
  <c r="AM6" i="55"/>
  <c r="AL6" i="55"/>
  <c r="AB6" i="55"/>
  <c r="AA6" i="55"/>
  <c r="Z6" i="55"/>
  <c r="Y6" i="55"/>
  <c r="R8" i="54" s="1"/>
  <c r="X6" i="55"/>
  <c r="W6" i="55"/>
  <c r="V6" i="55"/>
  <c r="P8" i="54" s="1"/>
  <c r="U6" i="55"/>
  <c r="T6" i="55"/>
  <c r="S6" i="55"/>
  <c r="R6" i="55"/>
  <c r="Q6" i="55"/>
  <c r="P6" i="55"/>
  <c r="L8" i="54" s="1"/>
  <c r="O6" i="55"/>
  <c r="N6" i="55"/>
  <c r="M6" i="55"/>
  <c r="J8" i="54" s="1"/>
  <c r="L6" i="55"/>
  <c r="K6" i="55"/>
  <c r="J6" i="55"/>
  <c r="I6" i="55"/>
  <c r="H6" i="55"/>
  <c r="G6" i="55"/>
  <c r="F8" i="54" s="1"/>
  <c r="F6" i="55"/>
  <c r="E6" i="55"/>
  <c r="D6" i="55"/>
  <c r="D8" i="54" s="1"/>
  <c r="C6" i="55"/>
  <c r="B6" i="55"/>
  <c r="AP7" i="54"/>
  <c r="AO7" i="54"/>
  <c r="BC5" i="55"/>
  <c r="BB5" i="55"/>
  <c r="BA5" i="55"/>
  <c r="AZ5" i="55"/>
  <c r="AJ7" i="54" s="1"/>
  <c r="AY5" i="55"/>
  <c r="AX5" i="55"/>
  <c r="AW5" i="55"/>
  <c r="AH7" i="54" s="1"/>
  <c r="AV5" i="55"/>
  <c r="AU5" i="55"/>
  <c r="AT5" i="55"/>
  <c r="AS5" i="55"/>
  <c r="AR5" i="55"/>
  <c r="AQ5" i="55"/>
  <c r="AD7" i="54" s="1"/>
  <c r="AP5" i="55"/>
  <c r="AO5" i="55"/>
  <c r="AN5" i="55"/>
  <c r="AB7" i="54" s="1"/>
  <c r="AM5" i="55"/>
  <c r="AL5" i="55"/>
  <c r="AB5" i="55"/>
  <c r="AA5" i="55"/>
  <c r="Z5" i="55"/>
  <c r="Y5" i="55"/>
  <c r="R7" i="54" s="1"/>
  <c r="X5" i="55"/>
  <c r="W5" i="55"/>
  <c r="V5" i="55"/>
  <c r="P7" i="54" s="1"/>
  <c r="U5" i="55"/>
  <c r="T5" i="55"/>
  <c r="S5" i="55"/>
  <c r="R5" i="55"/>
  <c r="Q5" i="55"/>
  <c r="P5" i="55"/>
  <c r="L7" i="54" s="1"/>
  <c r="O5" i="55"/>
  <c r="N5" i="55"/>
  <c r="M5" i="55"/>
  <c r="J7" i="54" s="1"/>
  <c r="L5" i="55"/>
  <c r="K5" i="55"/>
  <c r="J5" i="55"/>
  <c r="I5" i="55"/>
  <c r="H5" i="55"/>
  <c r="G5" i="55"/>
  <c r="F7" i="54" s="1"/>
  <c r="F5" i="55"/>
  <c r="E5" i="55"/>
  <c r="D5" i="55"/>
  <c r="D7" i="54" s="1"/>
  <c r="C5" i="55"/>
  <c r="B5" i="55"/>
  <c r="AP6" i="54"/>
  <c r="BC4" i="55"/>
  <c r="BB4" i="55"/>
  <c r="BA4" i="55"/>
  <c r="AZ4" i="55"/>
  <c r="AJ6" i="54" s="1"/>
  <c r="AY4" i="55"/>
  <c r="AX4" i="55"/>
  <c r="AW4" i="55"/>
  <c r="AH6" i="54" s="1"/>
  <c r="AV4" i="55"/>
  <c r="AU4" i="55"/>
  <c r="AT4" i="55"/>
  <c r="AS4" i="55"/>
  <c r="AR4" i="55"/>
  <c r="AQ4" i="55"/>
  <c r="AD6" i="54" s="1"/>
  <c r="AP4" i="55"/>
  <c r="AO4" i="55"/>
  <c r="AN4" i="55"/>
  <c r="AB6" i="54" s="1"/>
  <c r="AM4" i="55"/>
  <c r="AL4" i="55"/>
  <c r="AB4" i="55"/>
  <c r="AA4" i="55"/>
  <c r="Z4" i="55"/>
  <c r="Y4" i="55"/>
  <c r="R6" i="54" s="1"/>
  <c r="X4" i="55"/>
  <c r="W4" i="55"/>
  <c r="V4" i="55"/>
  <c r="P6" i="54" s="1"/>
  <c r="U4" i="55"/>
  <c r="T4" i="55"/>
  <c r="S4" i="55"/>
  <c r="R4" i="55"/>
  <c r="Q4" i="55"/>
  <c r="P4" i="55"/>
  <c r="L6" i="54" s="1"/>
  <c r="O4" i="55"/>
  <c r="N4" i="55"/>
  <c r="M4" i="55"/>
  <c r="J6" i="54" s="1"/>
  <c r="L4" i="55"/>
  <c r="K4" i="55"/>
  <c r="J4" i="55"/>
  <c r="I4" i="55"/>
  <c r="H4" i="55"/>
  <c r="G4" i="55"/>
  <c r="F6" i="54" s="1"/>
  <c r="F4" i="55"/>
  <c r="E4" i="55"/>
  <c r="D4" i="55"/>
  <c r="D6" i="54" s="1"/>
  <c r="C4" i="55"/>
  <c r="B4" i="55"/>
  <c r="AP5" i="54"/>
  <c r="AO5" i="54"/>
  <c r="BC3" i="55"/>
  <c r="BB3" i="55"/>
  <c r="BA3" i="55"/>
  <c r="AZ3" i="55"/>
  <c r="AJ5" i="54" s="1"/>
  <c r="AY3" i="55"/>
  <c r="AX3" i="55"/>
  <c r="AW3" i="55"/>
  <c r="AH5" i="54" s="1"/>
  <c r="AV3" i="55"/>
  <c r="AU3" i="55"/>
  <c r="AT3" i="55"/>
  <c r="AS3" i="55"/>
  <c r="AR3" i="55"/>
  <c r="AQ3" i="55"/>
  <c r="AD5" i="54" s="1"/>
  <c r="AP3" i="55"/>
  <c r="AO3" i="55"/>
  <c r="AN3" i="55"/>
  <c r="AB5" i="54" s="1"/>
  <c r="AM3" i="55"/>
  <c r="AL3" i="55"/>
  <c r="AB3" i="55"/>
  <c r="AA3" i="55"/>
  <c r="Z3" i="55"/>
  <c r="Y3" i="55"/>
  <c r="R5" i="54" s="1"/>
  <c r="X3" i="55"/>
  <c r="W3" i="55"/>
  <c r="V3" i="55"/>
  <c r="P5" i="54" s="1"/>
  <c r="U3" i="55"/>
  <c r="T3" i="55"/>
  <c r="S3" i="55"/>
  <c r="R3" i="55"/>
  <c r="Q3" i="55"/>
  <c r="P3" i="55"/>
  <c r="L5" i="54" s="1"/>
  <c r="O3" i="55"/>
  <c r="N3" i="55"/>
  <c r="M3" i="55"/>
  <c r="J5" i="54" s="1"/>
  <c r="L3" i="55"/>
  <c r="J3" i="55"/>
  <c r="I3" i="55"/>
  <c r="H3" i="55"/>
  <c r="G3" i="55"/>
  <c r="F5" i="54" s="1"/>
  <c r="F3" i="55"/>
  <c r="E3" i="55"/>
  <c r="D3" i="55"/>
  <c r="D5" i="54" s="1"/>
  <c r="C3" i="55"/>
  <c r="B3" i="55"/>
  <c r="AC28" i="45"/>
  <c r="AC30" i="45"/>
  <c r="AC20" i="45"/>
  <c r="F311" i="102" l="1"/>
  <c r="G83" i="52"/>
  <c r="Q48" i="54"/>
  <c r="G19" i="52"/>
  <c r="K35" i="54"/>
  <c r="O62" i="45"/>
  <c r="O65" i="45"/>
  <c r="S35" i="54"/>
  <c r="AE9" i="54"/>
  <c r="K11" i="54"/>
  <c r="S11" i="54"/>
  <c r="E14" i="54"/>
  <c r="M14" i="54"/>
  <c r="G16" i="54"/>
  <c r="AC16" i="54"/>
  <c r="AK16" i="54"/>
  <c r="K21" i="54"/>
  <c r="S21" i="54"/>
  <c r="E23" i="54"/>
  <c r="M23" i="54"/>
  <c r="G25" i="54"/>
  <c r="AC25" i="54"/>
  <c r="AK25" i="54"/>
  <c r="Q27" i="54"/>
  <c r="AE27" i="54"/>
  <c r="M33" i="54"/>
  <c r="AI33" i="54"/>
  <c r="G35" i="54"/>
  <c r="AC35" i="54"/>
  <c r="AK35" i="54"/>
  <c r="AE38" i="54"/>
  <c r="S40" i="54"/>
  <c r="G45" i="54"/>
  <c r="AK45" i="54"/>
  <c r="Q47" i="54"/>
  <c r="AE47" i="54"/>
  <c r="G27" i="54"/>
  <c r="AC27" i="54"/>
  <c r="AK27" i="54"/>
  <c r="K33" i="54"/>
  <c r="S33" i="54"/>
  <c r="E35" i="54"/>
  <c r="M35" i="54"/>
  <c r="G38" i="54"/>
  <c r="AC38" i="54"/>
  <c r="AK38" i="54"/>
  <c r="Q40" i="54"/>
  <c r="AE40" i="54"/>
  <c r="G47" i="54"/>
  <c r="O30" i="45"/>
  <c r="O28" i="45"/>
  <c r="O29" i="45"/>
  <c r="O27" i="45"/>
  <c r="G33" i="54"/>
  <c r="AK33" i="54"/>
  <c r="Q35" i="54"/>
  <c r="AE35" i="54"/>
  <c r="K38" i="54"/>
  <c r="AE45" i="54"/>
  <c r="K47" i="54"/>
  <c r="M45" i="54"/>
  <c r="G5" i="54"/>
  <c r="AK5" i="54"/>
  <c r="Q7" i="54"/>
  <c r="AE7" i="54"/>
  <c r="K10" i="54"/>
  <c r="S10" i="54"/>
  <c r="M12" i="54"/>
  <c r="AI12" i="54"/>
  <c r="AE17" i="54"/>
  <c r="K19" i="54"/>
  <c r="S19" i="54"/>
  <c r="E22" i="54"/>
  <c r="M22" i="54"/>
  <c r="J22" i="52"/>
  <c r="V22" i="52"/>
  <c r="AH22" i="52"/>
  <c r="K22" i="52"/>
  <c r="W22" i="52"/>
  <c r="AI22" i="52"/>
  <c r="X22" i="52"/>
  <c r="AF22" i="52"/>
  <c r="I22" i="52"/>
  <c r="Y22" i="52"/>
  <c r="H22" i="52"/>
  <c r="L22" i="52"/>
  <c r="AJ22" i="52"/>
  <c r="M22" i="52"/>
  <c r="R22" i="52"/>
  <c r="S22" i="52"/>
  <c r="U22" i="52"/>
  <c r="N22" i="52"/>
  <c r="Z22" i="52"/>
  <c r="O22" i="52"/>
  <c r="AA22" i="52"/>
  <c r="P22" i="52"/>
  <c r="AB22" i="52"/>
  <c r="Q22" i="52"/>
  <c r="AC22" i="52"/>
  <c r="AD22" i="52"/>
  <c r="AE22" i="52"/>
  <c r="T22" i="52"/>
  <c r="AG22" i="52"/>
  <c r="R27" i="52"/>
  <c r="AD27" i="52"/>
  <c r="G27" i="52"/>
  <c r="S27" i="52"/>
  <c r="AE27" i="52"/>
  <c r="H27" i="52"/>
  <c r="T27" i="52"/>
  <c r="AF27" i="52"/>
  <c r="I27" i="52"/>
  <c r="U27" i="52"/>
  <c r="AG27" i="52"/>
  <c r="AH27" i="52"/>
  <c r="K27" i="52"/>
  <c r="W27" i="52"/>
  <c r="AJ27" i="52"/>
  <c r="O27" i="52"/>
  <c r="AA27" i="52"/>
  <c r="Q27" i="52"/>
  <c r="J27" i="52"/>
  <c r="V27" i="52"/>
  <c r="AI27" i="52"/>
  <c r="N27" i="52"/>
  <c r="P27" i="52"/>
  <c r="L27" i="52"/>
  <c r="X27" i="52"/>
  <c r="M27" i="52"/>
  <c r="Y27" i="52"/>
  <c r="Z27" i="52"/>
  <c r="AB27" i="52"/>
  <c r="AC27" i="52"/>
  <c r="K28" i="54"/>
  <c r="S28" i="54"/>
  <c r="E31" i="54"/>
  <c r="M31" i="54"/>
  <c r="G34" i="54"/>
  <c r="AC34" i="54"/>
  <c r="AK34" i="54"/>
  <c r="Q36" i="54"/>
  <c r="AE36" i="54"/>
  <c r="M41" i="54"/>
  <c r="AI41" i="54"/>
  <c r="G43" i="54"/>
  <c r="AC43" i="54"/>
  <c r="AE46" i="54"/>
  <c r="AE6" i="54"/>
  <c r="K5" i="54"/>
  <c r="S5" i="54"/>
  <c r="E7" i="54"/>
  <c r="M7" i="54"/>
  <c r="G10" i="54"/>
  <c r="AC10" i="54"/>
  <c r="AK10" i="54"/>
  <c r="Q12" i="54"/>
  <c r="AE41" i="54"/>
  <c r="K43" i="54"/>
  <c r="S43" i="54"/>
  <c r="E46" i="54"/>
  <c r="M46" i="54"/>
  <c r="R92" i="52"/>
  <c r="AD92" i="52"/>
  <c r="G92" i="52"/>
  <c r="V92" i="52"/>
  <c r="AI92" i="52"/>
  <c r="S92" i="52"/>
  <c r="AE92" i="52"/>
  <c r="AH92" i="52"/>
  <c r="W92" i="52"/>
  <c r="AB92" i="52"/>
  <c r="H92" i="52"/>
  <c r="T92" i="52"/>
  <c r="AF92" i="52"/>
  <c r="K92" i="52"/>
  <c r="M92" i="52"/>
  <c r="AA92" i="52"/>
  <c r="I92" i="52"/>
  <c r="U92" i="52"/>
  <c r="AG92" i="52"/>
  <c r="J92" i="52"/>
  <c r="Z92" i="52"/>
  <c r="AC92" i="52"/>
  <c r="O92" i="52"/>
  <c r="L92" i="52"/>
  <c r="X92" i="52"/>
  <c r="AJ92" i="52"/>
  <c r="Y92" i="52"/>
  <c r="P92" i="52"/>
  <c r="N92" i="52"/>
  <c r="Q92" i="52"/>
  <c r="M93" i="52"/>
  <c r="Y93" i="52"/>
  <c r="AF93" i="52"/>
  <c r="AJ93" i="52"/>
  <c r="N93" i="52"/>
  <c r="Z93" i="52"/>
  <c r="G93" i="52"/>
  <c r="AD93" i="52"/>
  <c r="H93" i="52"/>
  <c r="U93" i="52"/>
  <c r="AH93" i="52"/>
  <c r="AI93" i="52"/>
  <c r="X93" i="52"/>
  <c r="O93" i="52"/>
  <c r="AA93" i="52"/>
  <c r="Q93" i="52"/>
  <c r="P93" i="52"/>
  <c r="AB93" i="52"/>
  <c r="R93" i="52"/>
  <c r="V93" i="52"/>
  <c r="K93" i="52"/>
  <c r="AC93" i="52"/>
  <c r="AE93" i="52"/>
  <c r="AG93" i="52"/>
  <c r="T93" i="52"/>
  <c r="L93" i="52"/>
  <c r="S93" i="52"/>
  <c r="I93" i="52"/>
  <c r="J93" i="52"/>
  <c r="W93" i="52"/>
  <c r="E73" i="52"/>
  <c r="G72" i="52"/>
  <c r="F37" i="20"/>
  <c r="O25" i="45"/>
  <c r="F178" i="52"/>
  <c r="E247" i="52"/>
  <c r="R234" i="52"/>
  <c r="AD234" i="52"/>
  <c r="S234" i="52"/>
  <c r="AE234" i="52"/>
  <c r="T234" i="52"/>
  <c r="AF234" i="52"/>
  <c r="I234" i="52"/>
  <c r="U234" i="52"/>
  <c r="AG234" i="52"/>
  <c r="AC234" i="52"/>
  <c r="J234" i="52"/>
  <c r="V234" i="52"/>
  <c r="AH234" i="52"/>
  <c r="K234" i="52"/>
  <c r="W234" i="52"/>
  <c r="AI234" i="52"/>
  <c r="L234" i="52"/>
  <c r="X234" i="52"/>
  <c r="AJ234" i="52"/>
  <c r="M234" i="52"/>
  <c r="Y234" i="52"/>
  <c r="H234" i="52"/>
  <c r="N234" i="52"/>
  <c r="Z234" i="52"/>
  <c r="Q234" i="52"/>
  <c r="O234" i="52"/>
  <c r="AA234" i="52"/>
  <c r="P234" i="52"/>
  <c r="AB234" i="52"/>
  <c r="N235" i="52"/>
  <c r="Z235" i="52"/>
  <c r="O235" i="52"/>
  <c r="AA235" i="52"/>
  <c r="P235" i="52"/>
  <c r="AB235" i="52"/>
  <c r="Q235" i="52"/>
  <c r="AC235" i="52"/>
  <c r="R235" i="52"/>
  <c r="AD235" i="52"/>
  <c r="S235" i="52"/>
  <c r="AE235" i="52"/>
  <c r="Y235" i="52"/>
  <c r="T235" i="52"/>
  <c r="AF235" i="52"/>
  <c r="I235" i="52"/>
  <c r="U235" i="52"/>
  <c r="AG235" i="52"/>
  <c r="M235" i="52"/>
  <c r="J235" i="52"/>
  <c r="V235" i="52"/>
  <c r="AH235" i="52"/>
  <c r="H235" i="52"/>
  <c r="K235" i="52"/>
  <c r="W235" i="52"/>
  <c r="AI235" i="52"/>
  <c r="L235" i="52"/>
  <c r="X235" i="52"/>
  <c r="AJ235" i="52"/>
  <c r="J236" i="52"/>
  <c r="V236" i="52"/>
  <c r="AH236" i="52"/>
  <c r="AG236" i="52"/>
  <c r="K236" i="52"/>
  <c r="W236" i="52"/>
  <c r="AI236" i="52"/>
  <c r="L236" i="52"/>
  <c r="X236" i="52"/>
  <c r="AJ236" i="52"/>
  <c r="M236" i="52"/>
  <c r="Y236" i="52"/>
  <c r="N236" i="52"/>
  <c r="Z236" i="52"/>
  <c r="O236" i="52"/>
  <c r="AA236" i="52"/>
  <c r="P236" i="52"/>
  <c r="AB236" i="52"/>
  <c r="U236" i="52"/>
  <c r="Q236" i="52"/>
  <c r="AC236" i="52"/>
  <c r="R236" i="52"/>
  <c r="AD236" i="52"/>
  <c r="S236" i="52"/>
  <c r="AE236" i="52"/>
  <c r="H236" i="52"/>
  <c r="T236" i="52"/>
  <c r="AF236" i="52"/>
  <c r="I236" i="52"/>
  <c r="R237" i="52"/>
  <c r="AD237" i="52"/>
  <c r="S237" i="52"/>
  <c r="AE237" i="52"/>
  <c r="AC237" i="52"/>
  <c r="T237" i="52"/>
  <c r="AF237" i="52"/>
  <c r="I237" i="52"/>
  <c r="U237" i="52"/>
  <c r="AG237" i="52"/>
  <c r="J237" i="52"/>
  <c r="V237" i="52"/>
  <c r="AH237" i="52"/>
  <c r="Q237" i="52"/>
  <c r="K237" i="52"/>
  <c r="W237" i="52"/>
  <c r="AI237" i="52"/>
  <c r="L237" i="52"/>
  <c r="X237" i="52"/>
  <c r="AJ237" i="52"/>
  <c r="M237" i="52"/>
  <c r="Y237" i="52"/>
  <c r="N237" i="52"/>
  <c r="Z237" i="52"/>
  <c r="O237" i="52"/>
  <c r="AA237" i="52"/>
  <c r="P237" i="52"/>
  <c r="AB237" i="52"/>
  <c r="H237" i="52"/>
  <c r="G22" i="52"/>
  <c r="J233" i="52"/>
  <c r="V233" i="52"/>
  <c r="AH233" i="52"/>
  <c r="K233" i="52"/>
  <c r="W233" i="52"/>
  <c r="AI233" i="52"/>
  <c r="I233" i="52"/>
  <c r="L233" i="52"/>
  <c r="X233" i="52"/>
  <c r="AJ233" i="52"/>
  <c r="M233" i="52"/>
  <c r="Y233" i="52"/>
  <c r="N233" i="52"/>
  <c r="Z233" i="52"/>
  <c r="U233" i="52"/>
  <c r="O233" i="52"/>
  <c r="AA233" i="52"/>
  <c r="P233" i="52"/>
  <c r="AB233" i="52"/>
  <c r="Q233" i="52"/>
  <c r="AC233" i="52"/>
  <c r="R233" i="52"/>
  <c r="AD233" i="52"/>
  <c r="S233" i="52"/>
  <c r="AE233" i="52"/>
  <c r="AG233" i="52"/>
  <c r="T233" i="52"/>
  <c r="AF233" i="52"/>
  <c r="AJ26" i="52"/>
  <c r="X26" i="52"/>
  <c r="L26" i="52"/>
  <c r="AI26" i="52"/>
  <c r="W26" i="52"/>
  <c r="K26" i="52"/>
  <c r="AH26" i="52"/>
  <c r="V26" i="52"/>
  <c r="J26" i="52"/>
  <c r="AG26" i="52"/>
  <c r="U26" i="52"/>
  <c r="I26" i="52"/>
  <c r="AF26" i="52"/>
  <c r="T26" i="52"/>
  <c r="H26" i="52"/>
  <c r="Y26" i="52"/>
  <c r="AE26" i="52"/>
  <c r="S26" i="52"/>
  <c r="G26" i="52"/>
  <c r="AD26" i="52"/>
  <c r="R26" i="52"/>
  <c r="AC26" i="52"/>
  <c r="Q26" i="52"/>
  <c r="AB26" i="52"/>
  <c r="P26" i="52"/>
  <c r="AA26" i="52"/>
  <c r="O26" i="52"/>
  <c r="Z26" i="52"/>
  <c r="N26" i="52"/>
  <c r="M26" i="52"/>
  <c r="AD28" i="52"/>
  <c r="R28" i="52"/>
  <c r="AC28" i="52"/>
  <c r="Q28" i="52"/>
  <c r="AB28" i="52"/>
  <c r="P28" i="52"/>
  <c r="AA28" i="52"/>
  <c r="O28" i="52"/>
  <c r="S28" i="52"/>
  <c r="Z28" i="52"/>
  <c r="N28" i="52"/>
  <c r="Y28" i="52"/>
  <c r="M28" i="52"/>
  <c r="G28" i="52"/>
  <c r="AJ28" i="52"/>
  <c r="X28" i="52"/>
  <c r="L28" i="52"/>
  <c r="AI28" i="52"/>
  <c r="W28" i="52"/>
  <c r="K28" i="52"/>
  <c r="AH28" i="52"/>
  <c r="V28" i="52"/>
  <c r="J28" i="52"/>
  <c r="AG28" i="52"/>
  <c r="U28" i="52"/>
  <c r="I28" i="52"/>
  <c r="AE28" i="52"/>
  <c r="AF28" i="52"/>
  <c r="T28" i="52"/>
  <c r="H28" i="52"/>
  <c r="AJ31" i="52"/>
  <c r="AJ37" i="52" s="1"/>
  <c r="X31" i="52"/>
  <c r="X37" i="52" s="1"/>
  <c r="L31" i="52"/>
  <c r="L37" i="52" s="1"/>
  <c r="AI31" i="52"/>
  <c r="AI37" i="52" s="1"/>
  <c r="W31" i="52"/>
  <c r="W37" i="52" s="1"/>
  <c r="K31" i="52"/>
  <c r="K37" i="52" s="1"/>
  <c r="AH31" i="52"/>
  <c r="AH37" i="52" s="1"/>
  <c r="V31" i="52"/>
  <c r="V37" i="52" s="1"/>
  <c r="J31" i="52"/>
  <c r="J37" i="52" s="1"/>
  <c r="AG31" i="52"/>
  <c r="AG37" i="52" s="1"/>
  <c r="U31" i="52"/>
  <c r="U37" i="52" s="1"/>
  <c r="I31" i="52"/>
  <c r="I37" i="52" s="1"/>
  <c r="AF31" i="52"/>
  <c r="AF37" i="52" s="1"/>
  <c r="T31" i="52"/>
  <c r="T37" i="52" s="1"/>
  <c r="H31" i="52"/>
  <c r="H37" i="52" s="1"/>
  <c r="AE31" i="52"/>
  <c r="AE37" i="52" s="1"/>
  <c r="S31" i="52"/>
  <c r="S37" i="52" s="1"/>
  <c r="G31" i="52"/>
  <c r="G37" i="52" s="1"/>
  <c r="AD31" i="52"/>
  <c r="AD37" i="52" s="1"/>
  <c r="R31" i="52"/>
  <c r="R37" i="52" s="1"/>
  <c r="AC31" i="52"/>
  <c r="AC37" i="52" s="1"/>
  <c r="Q31" i="52"/>
  <c r="Q37" i="52" s="1"/>
  <c r="AB31" i="52"/>
  <c r="AB37" i="52" s="1"/>
  <c r="P31" i="52"/>
  <c r="P37" i="52" s="1"/>
  <c r="M31" i="52"/>
  <c r="M37" i="52" s="1"/>
  <c r="AA31" i="52"/>
  <c r="AA37" i="52" s="1"/>
  <c r="O31" i="52"/>
  <c r="O37" i="52" s="1"/>
  <c r="Z31" i="52"/>
  <c r="Z37" i="52" s="1"/>
  <c r="N31" i="52"/>
  <c r="N37" i="52" s="1"/>
  <c r="Y31" i="52"/>
  <c r="Y37" i="52" s="1"/>
  <c r="K338" i="42"/>
  <c r="K471" i="42"/>
  <c r="S8" i="54"/>
  <c r="G13" i="54"/>
  <c r="AK13" i="54"/>
  <c r="Q15" i="54"/>
  <c r="AE15" i="54"/>
  <c r="E38" i="54"/>
  <c r="G48" i="54"/>
  <c r="AK43" i="54"/>
  <c r="S48" i="54"/>
  <c r="AE12" i="54"/>
  <c r="AI45" i="54"/>
  <c r="AE43" i="54"/>
  <c r="AK49" i="54"/>
  <c r="M17" i="54"/>
  <c r="K18" i="54"/>
  <c r="S18" i="54"/>
  <c r="AE24" i="54"/>
  <c r="K26" i="54"/>
  <c r="K46" i="54"/>
  <c r="M38" i="54"/>
  <c r="AI17" i="54"/>
  <c r="G19" i="54"/>
  <c r="AC19" i="54"/>
  <c r="AE22" i="54"/>
  <c r="G28" i="54"/>
  <c r="AK28" i="54"/>
  <c r="Q31" i="54"/>
  <c r="AC48" i="54"/>
  <c r="M49" i="54"/>
  <c r="S47" i="54"/>
  <c r="S26" i="54"/>
  <c r="G40" i="54"/>
  <c r="AC40" i="54"/>
  <c r="AK40" i="54"/>
  <c r="E6" i="54"/>
  <c r="M6" i="54"/>
  <c r="G8" i="54"/>
  <c r="AC8" i="54"/>
  <c r="G46" i="54"/>
  <c r="E29" i="54"/>
  <c r="S46" i="54"/>
  <c r="K45" i="54"/>
  <c r="S45" i="54"/>
  <c r="E47" i="54"/>
  <c r="M47" i="54"/>
  <c r="K6" i="54"/>
  <c r="S6" i="54"/>
  <c r="M8" i="54"/>
  <c r="AI8" i="54"/>
  <c r="AE13" i="54"/>
  <c r="K15" i="54"/>
  <c r="S15" i="54"/>
  <c r="E18" i="54"/>
  <c r="M18" i="54"/>
  <c r="G20" i="54"/>
  <c r="AC20" i="54"/>
  <c r="AK20" i="54"/>
  <c r="K24" i="54"/>
  <c r="S24" i="54"/>
  <c r="E26" i="54"/>
  <c r="M26" i="54"/>
  <c r="G29" i="54"/>
  <c r="AC29" i="54"/>
  <c r="AK29" i="54"/>
  <c r="Q32" i="54"/>
  <c r="AE32" i="54"/>
  <c r="AE31" i="54"/>
  <c r="K34" i="54"/>
  <c r="S34" i="54"/>
  <c r="AC47" i="54"/>
  <c r="AK8" i="54"/>
  <c r="K13" i="54"/>
  <c r="S13" i="54"/>
  <c r="E15" i="54"/>
  <c r="M15" i="54"/>
  <c r="G18" i="54"/>
  <c r="AC18" i="54"/>
  <c r="AK18" i="54"/>
  <c r="Q20" i="54"/>
  <c r="AE20" i="54"/>
  <c r="M24" i="54"/>
  <c r="AI24" i="54"/>
  <c r="AE28" i="54"/>
  <c r="K31" i="54"/>
  <c r="S31" i="54"/>
  <c r="E34" i="54"/>
  <c r="M34" i="54"/>
  <c r="G36" i="54"/>
  <c r="AC36" i="54"/>
  <c r="K41" i="54"/>
  <c r="E43" i="54"/>
  <c r="AC46" i="54"/>
  <c r="H7" i="54"/>
  <c r="I7" i="54"/>
  <c r="C19" i="54"/>
  <c r="B19" i="54"/>
  <c r="Z22" i="54"/>
  <c r="AA22" i="54"/>
  <c r="O34" i="54"/>
  <c r="N34" i="54"/>
  <c r="Z41" i="54"/>
  <c r="AA41" i="54"/>
  <c r="C48" i="54"/>
  <c r="B48" i="54"/>
  <c r="B9" i="54"/>
  <c r="C9" i="54"/>
  <c r="K9" i="54"/>
  <c r="S9" i="54"/>
  <c r="AG9" i="54"/>
  <c r="AF9" i="54"/>
  <c r="E11" i="54"/>
  <c r="M11" i="54"/>
  <c r="AA11" i="54"/>
  <c r="Z11" i="54"/>
  <c r="G14" i="54"/>
  <c r="N14" i="54"/>
  <c r="O14" i="54"/>
  <c r="AC14" i="54"/>
  <c r="AK14" i="54"/>
  <c r="H16" i="54"/>
  <c r="I16" i="54"/>
  <c r="Q16" i="54"/>
  <c r="AE16" i="54"/>
  <c r="M21" i="54"/>
  <c r="Z21" i="54"/>
  <c r="AA21" i="54"/>
  <c r="AI21" i="54"/>
  <c r="G23" i="54"/>
  <c r="N23" i="54"/>
  <c r="O23" i="54"/>
  <c r="AC23" i="54"/>
  <c r="AK23" i="54"/>
  <c r="I25" i="54"/>
  <c r="H25" i="54"/>
  <c r="AE25" i="54"/>
  <c r="C27" i="54"/>
  <c r="B27" i="54"/>
  <c r="S27" i="54"/>
  <c r="AF27" i="54"/>
  <c r="AG27" i="54"/>
  <c r="O33" i="54"/>
  <c r="N33" i="54"/>
  <c r="I35" i="54"/>
  <c r="H35" i="54"/>
  <c r="B38" i="54"/>
  <c r="C38" i="54"/>
  <c r="S38" i="54"/>
  <c r="AG38" i="54"/>
  <c r="AF38" i="54"/>
  <c r="M40" i="54"/>
  <c r="Z40" i="54"/>
  <c r="AA40" i="54"/>
  <c r="AI40" i="54"/>
  <c r="H45" i="54"/>
  <c r="I45" i="54"/>
  <c r="B47" i="54"/>
  <c r="C47" i="54"/>
  <c r="AG47" i="54"/>
  <c r="AF47" i="54"/>
  <c r="AG10" i="54"/>
  <c r="AF10" i="54"/>
  <c r="AA12" i="54"/>
  <c r="Z12" i="54"/>
  <c r="H17" i="54"/>
  <c r="I17" i="54"/>
  <c r="AG19" i="54"/>
  <c r="AF19" i="54"/>
  <c r="H46" i="54"/>
  <c r="I46" i="54"/>
  <c r="AF48" i="54"/>
  <c r="AG48" i="54"/>
  <c r="H6" i="54"/>
  <c r="I6" i="54"/>
  <c r="C8" i="54"/>
  <c r="B8" i="54"/>
  <c r="AF8" i="54"/>
  <c r="AG8" i="54"/>
  <c r="N13" i="54"/>
  <c r="O13" i="54"/>
  <c r="H15" i="54"/>
  <c r="I15" i="54"/>
  <c r="C18" i="54"/>
  <c r="B18" i="54"/>
  <c r="AG18" i="54"/>
  <c r="AF18" i="54"/>
  <c r="M20" i="54"/>
  <c r="Z20" i="54"/>
  <c r="AA20" i="54"/>
  <c r="AI20" i="54"/>
  <c r="I24" i="54"/>
  <c r="H24" i="54"/>
  <c r="C26" i="54"/>
  <c r="B26" i="54"/>
  <c r="AG26" i="54"/>
  <c r="AF26" i="54"/>
  <c r="M29" i="54"/>
  <c r="Z29" i="54"/>
  <c r="AA29" i="54"/>
  <c r="G32" i="54"/>
  <c r="O32" i="54"/>
  <c r="N32" i="54"/>
  <c r="AC32" i="54"/>
  <c r="AK32" i="54"/>
  <c r="B37" i="54"/>
  <c r="C37" i="54"/>
  <c r="K37" i="54"/>
  <c r="S37" i="54"/>
  <c r="AG37" i="54"/>
  <c r="AF37" i="54"/>
  <c r="E39" i="54"/>
  <c r="M39" i="54"/>
  <c r="Z39" i="54"/>
  <c r="AA39" i="54"/>
  <c r="G42" i="54"/>
  <c r="N42" i="54"/>
  <c r="O42" i="54"/>
  <c r="AC42" i="54"/>
  <c r="AK42" i="54"/>
  <c r="H44" i="54"/>
  <c r="I44" i="54"/>
  <c r="Q44" i="54"/>
  <c r="AE44" i="54"/>
  <c r="H5" i="54"/>
  <c r="AE5" i="54"/>
  <c r="C7" i="54"/>
  <c r="B7" i="54"/>
  <c r="K7" i="54"/>
  <c r="S7" i="54"/>
  <c r="AG7" i="54"/>
  <c r="AF7" i="54"/>
  <c r="E10" i="54"/>
  <c r="M10" i="54"/>
  <c r="Z10" i="54"/>
  <c r="AA10" i="54"/>
  <c r="G12" i="54"/>
  <c r="N12" i="54"/>
  <c r="O12" i="54"/>
  <c r="AC12" i="54"/>
  <c r="AK12" i="54"/>
  <c r="B17" i="54"/>
  <c r="C17" i="54"/>
  <c r="K17" i="54"/>
  <c r="S17" i="54"/>
  <c r="AG17" i="54"/>
  <c r="AF17" i="54"/>
  <c r="E19" i="54"/>
  <c r="M19" i="54"/>
  <c r="Z19" i="54"/>
  <c r="AA19" i="54"/>
  <c r="G22" i="54"/>
  <c r="O22" i="54"/>
  <c r="N22" i="54"/>
  <c r="AC22" i="54"/>
  <c r="AK22" i="54"/>
  <c r="M28" i="54"/>
  <c r="Z28" i="54"/>
  <c r="AA28" i="54"/>
  <c r="AI28" i="54"/>
  <c r="G31" i="54"/>
  <c r="O31" i="54"/>
  <c r="N31" i="54"/>
  <c r="AC31" i="54"/>
  <c r="AK31" i="54"/>
  <c r="H34" i="54"/>
  <c r="I34" i="54"/>
  <c r="AE34" i="54"/>
  <c r="C36" i="54"/>
  <c r="B36" i="54"/>
  <c r="S36" i="54"/>
  <c r="AF36" i="54"/>
  <c r="AG36" i="54"/>
  <c r="N41" i="54"/>
  <c r="O41" i="54"/>
  <c r="H43" i="54"/>
  <c r="I43" i="54"/>
  <c r="B46" i="54"/>
  <c r="C46" i="54"/>
  <c r="AG46" i="54"/>
  <c r="AF46" i="54"/>
  <c r="M48" i="54"/>
  <c r="AA48" i="54"/>
  <c r="Z48" i="54"/>
  <c r="AI48" i="54"/>
  <c r="N5" i="54"/>
  <c r="O5" i="54"/>
  <c r="Z31" i="54"/>
  <c r="AA31" i="54"/>
  <c r="I36" i="54"/>
  <c r="H36" i="54"/>
  <c r="O43" i="54"/>
  <c r="N43" i="54"/>
  <c r="M9" i="54"/>
  <c r="Z9" i="54"/>
  <c r="AA9" i="54"/>
  <c r="AI9" i="54"/>
  <c r="G11" i="54"/>
  <c r="N11" i="54"/>
  <c r="O11" i="54"/>
  <c r="AC11" i="54"/>
  <c r="AK11" i="54"/>
  <c r="I14" i="54"/>
  <c r="H14" i="54"/>
  <c r="AE14" i="54"/>
  <c r="C16" i="54"/>
  <c r="B16" i="54"/>
  <c r="S16" i="54"/>
  <c r="AF16" i="54"/>
  <c r="AG16" i="54"/>
  <c r="G21" i="54"/>
  <c r="O21" i="54"/>
  <c r="N21" i="54"/>
  <c r="AK21" i="54"/>
  <c r="I23" i="54"/>
  <c r="H23" i="54"/>
  <c r="Q23" i="54"/>
  <c r="AE23" i="54"/>
  <c r="B25" i="54"/>
  <c r="C25" i="54"/>
  <c r="K25" i="54"/>
  <c r="S25" i="54"/>
  <c r="AG25" i="54"/>
  <c r="AF25" i="54"/>
  <c r="M27" i="54"/>
  <c r="Z27" i="54"/>
  <c r="AA27" i="54"/>
  <c r="AI27" i="54"/>
  <c r="H33" i="54"/>
  <c r="I33" i="54"/>
  <c r="AE33" i="54"/>
  <c r="B35" i="54"/>
  <c r="C35" i="54"/>
  <c r="AG35" i="54"/>
  <c r="AF35" i="54"/>
  <c r="AA38" i="54"/>
  <c r="Z38" i="54"/>
  <c r="N40" i="54"/>
  <c r="O40" i="54"/>
  <c r="B45" i="54"/>
  <c r="C45" i="54"/>
  <c r="AG45" i="54"/>
  <c r="AF45" i="54"/>
  <c r="AA47" i="54"/>
  <c r="Z47" i="54"/>
  <c r="Z8" i="54"/>
  <c r="AA8" i="54"/>
  <c r="I13" i="54"/>
  <c r="H13" i="54"/>
  <c r="C15" i="54"/>
  <c r="B15" i="54"/>
  <c r="AG15" i="54"/>
  <c r="AF15" i="54"/>
  <c r="Z18" i="54"/>
  <c r="AA18" i="54"/>
  <c r="O20" i="54"/>
  <c r="N20" i="54"/>
  <c r="B24" i="54"/>
  <c r="C24" i="54"/>
  <c r="AG24" i="54"/>
  <c r="AF24" i="54"/>
  <c r="Z26" i="54"/>
  <c r="AA26" i="54"/>
  <c r="N29" i="54"/>
  <c r="O29" i="54"/>
  <c r="H32" i="54"/>
  <c r="I32" i="54"/>
  <c r="M37" i="54"/>
  <c r="AA37" i="54"/>
  <c r="Z37" i="54"/>
  <c r="AI37" i="54"/>
  <c r="G39" i="54"/>
  <c r="N39" i="54"/>
  <c r="O39" i="54"/>
  <c r="AC39" i="54"/>
  <c r="AK39" i="54"/>
  <c r="H42" i="54"/>
  <c r="I42" i="54"/>
  <c r="AE42" i="54"/>
  <c r="C44" i="54"/>
  <c r="B44" i="54"/>
  <c r="S44" i="54"/>
  <c r="AF44" i="54"/>
  <c r="AG44" i="54"/>
  <c r="AG28" i="54"/>
  <c r="AF28" i="54"/>
  <c r="AG6" i="54"/>
  <c r="AF6" i="54"/>
  <c r="AG5" i="54"/>
  <c r="AF5" i="54"/>
  <c r="O10" i="54"/>
  <c r="N10" i="54"/>
  <c r="I12" i="54"/>
  <c r="H12" i="54"/>
  <c r="Z17" i="54"/>
  <c r="AA17" i="54"/>
  <c r="O19" i="54"/>
  <c r="N19" i="54"/>
  <c r="AK19" i="54"/>
  <c r="H22" i="54"/>
  <c r="I22" i="54"/>
  <c r="N28" i="54"/>
  <c r="O28" i="54"/>
  <c r="H31" i="54"/>
  <c r="I31" i="54"/>
  <c r="C34" i="54"/>
  <c r="B34" i="54"/>
  <c r="AG34" i="54"/>
  <c r="AF34" i="54"/>
  <c r="M36" i="54"/>
  <c r="AA36" i="54"/>
  <c r="Z36" i="54"/>
  <c r="AI36" i="54"/>
  <c r="H41" i="54"/>
  <c r="I41" i="54"/>
  <c r="C43" i="54"/>
  <c r="B43" i="54"/>
  <c r="AG43" i="54"/>
  <c r="AF43" i="54"/>
  <c r="Z46" i="54"/>
  <c r="AA46" i="54"/>
  <c r="N48" i="54"/>
  <c r="O48" i="54"/>
  <c r="AK48" i="54"/>
  <c r="B28" i="54"/>
  <c r="C28" i="54"/>
  <c r="C6" i="54"/>
  <c r="B6" i="54"/>
  <c r="B5" i="54"/>
  <c r="C5" i="54"/>
  <c r="Z7" i="54"/>
  <c r="AA7" i="54"/>
  <c r="G9" i="54"/>
  <c r="O9" i="54"/>
  <c r="N9" i="54"/>
  <c r="AK9" i="54"/>
  <c r="I11" i="54"/>
  <c r="H11" i="54"/>
  <c r="Q11" i="54"/>
  <c r="AE11" i="54"/>
  <c r="B14" i="54"/>
  <c r="C14" i="54"/>
  <c r="K14" i="54"/>
  <c r="S14" i="54"/>
  <c r="AG14" i="54"/>
  <c r="AF14" i="54"/>
  <c r="M16" i="54"/>
  <c r="Z16" i="54"/>
  <c r="AA16" i="54"/>
  <c r="AI16" i="54"/>
  <c r="H21" i="54"/>
  <c r="I21" i="54"/>
  <c r="AE21" i="54"/>
  <c r="B23" i="54"/>
  <c r="C23" i="54"/>
  <c r="K23" i="54"/>
  <c r="S23" i="54"/>
  <c r="AG23" i="54"/>
  <c r="AF23" i="54"/>
  <c r="E25" i="54"/>
  <c r="M25" i="54"/>
  <c r="AA25" i="54"/>
  <c r="Z25" i="54"/>
  <c r="N27" i="54"/>
  <c r="O27" i="54"/>
  <c r="B33" i="54"/>
  <c r="C33" i="54"/>
  <c r="AG33" i="54"/>
  <c r="AF33" i="54"/>
  <c r="AA35" i="54"/>
  <c r="Z35" i="54"/>
  <c r="N38" i="54"/>
  <c r="O38" i="54"/>
  <c r="H40" i="54"/>
  <c r="I40" i="54"/>
  <c r="Z45" i="54"/>
  <c r="AA45" i="54"/>
  <c r="N47" i="54"/>
  <c r="O47" i="54"/>
  <c r="AK47" i="54"/>
  <c r="Z6" i="54"/>
  <c r="AA6" i="54"/>
  <c r="O8" i="54"/>
  <c r="N8" i="54"/>
  <c r="B13" i="54"/>
  <c r="C13" i="54"/>
  <c r="G26" i="54"/>
  <c r="N26" i="54"/>
  <c r="O26" i="54"/>
  <c r="AC26" i="54"/>
  <c r="AK26" i="54"/>
  <c r="H29" i="54"/>
  <c r="I29" i="54"/>
  <c r="AE29" i="54"/>
  <c r="C32" i="54"/>
  <c r="B32" i="54"/>
  <c r="S32" i="54"/>
  <c r="AF32" i="54"/>
  <c r="AG32" i="54"/>
  <c r="G37" i="54"/>
  <c r="N37" i="54"/>
  <c r="O37" i="54"/>
  <c r="AK37" i="54"/>
  <c r="H39" i="54"/>
  <c r="I39" i="54"/>
  <c r="Q39" i="54"/>
  <c r="AE39" i="54"/>
  <c r="C42" i="54"/>
  <c r="B42" i="54"/>
  <c r="K42" i="54"/>
  <c r="S42" i="54"/>
  <c r="AG42" i="54"/>
  <c r="AF42" i="54"/>
  <c r="M44" i="54"/>
  <c r="Z44" i="54"/>
  <c r="AA44" i="54"/>
  <c r="AI44" i="54"/>
  <c r="B10" i="54"/>
  <c r="C10" i="54"/>
  <c r="AG13" i="54"/>
  <c r="AF13" i="54"/>
  <c r="N18" i="54"/>
  <c r="O18" i="54"/>
  <c r="H20" i="54"/>
  <c r="I20" i="54"/>
  <c r="AA24" i="54"/>
  <c r="Z24" i="54"/>
  <c r="M5" i="54"/>
  <c r="AA5" i="54"/>
  <c r="Z5" i="54"/>
  <c r="AI5" i="54"/>
  <c r="G7" i="54"/>
  <c r="O7" i="54"/>
  <c r="N7" i="54"/>
  <c r="AC7" i="54"/>
  <c r="AK7" i="54"/>
  <c r="H10" i="54"/>
  <c r="I10" i="54"/>
  <c r="AE10" i="54"/>
  <c r="C12" i="54"/>
  <c r="B12" i="54"/>
  <c r="S12" i="54"/>
  <c r="AF12" i="54"/>
  <c r="AG12" i="54"/>
  <c r="G17" i="54"/>
  <c r="N17" i="54"/>
  <c r="O17" i="54"/>
  <c r="AK17" i="54"/>
  <c r="H19" i="54"/>
  <c r="I19" i="54"/>
  <c r="Q19" i="54"/>
  <c r="AE19" i="54"/>
  <c r="C22" i="54"/>
  <c r="B22" i="54"/>
  <c r="K22" i="54"/>
  <c r="S22" i="54"/>
  <c r="AG22" i="54"/>
  <c r="AF22" i="54"/>
  <c r="H28" i="54"/>
  <c r="I28" i="54"/>
  <c r="C31" i="54"/>
  <c r="B31" i="54"/>
  <c r="AG31" i="54"/>
  <c r="AF31" i="54"/>
  <c r="Z34" i="54"/>
  <c r="AA34" i="54"/>
  <c r="N36" i="54"/>
  <c r="O36" i="54"/>
  <c r="AK36" i="54"/>
  <c r="B41" i="54"/>
  <c r="C41" i="54"/>
  <c r="S41" i="54"/>
  <c r="AG41" i="54"/>
  <c r="AF41" i="54"/>
  <c r="M43" i="54"/>
  <c r="Z43" i="54"/>
  <c r="AA43" i="54"/>
  <c r="O46" i="54"/>
  <c r="N46" i="54"/>
  <c r="AK46" i="54"/>
  <c r="I48" i="54"/>
  <c r="H48" i="54"/>
  <c r="AE48" i="54"/>
  <c r="H9" i="54"/>
  <c r="I9" i="54"/>
  <c r="AG11" i="54"/>
  <c r="AF11" i="54"/>
  <c r="AA14" i="54"/>
  <c r="Z14" i="54"/>
  <c r="N16" i="54"/>
  <c r="O16" i="54"/>
  <c r="B21" i="54"/>
  <c r="C21" i="54"/>
  <c r="AG21" i="54"/>
  <c r="AF21" i="54"/>
  <c r="AA23" i="54"/>
  <c r="Z23" i="54"/>
  <c r="N25" i="54"/>
  <c r="O25" i="54"/>
  <c r="H27" i="54"/>
  <c r="I27" i="54"/>
  <c r="Z33" i="54"/>
  <c r="AA33" i="54"/>
  <c r="N35" i="54"/>
  <c r="O35" i="54"/>
  <c r="I38" i="54"/>
  <c r="H38" i="54"/>
  <c r="C40" i="54"/>
  <c r="B40" i="54"/>
  <c r="AF40" i="54"/>
  <c r="AG40" i="54"/>
  <c r="O45" i="54"/>
  <c r="N45" i="54"/>
  <c r="I47" i="54"/>
  <c r="H47" i="54"/>
  <c r="Z15" i="54"/>
  <c r="AA15" i="54"/>
  <c r="B11" i="54"/>
  <c r="C11" i="54"/>
  <c r="G6" i="54"/>
  <c r="N6" i="54"/>
  <c r="O6" i="54"/>
  <c r="AC6" i="54"/>
  <c r="AK6" i="54"/>
  <c r="H8" i="54"/>
  <c r="I8" i="54"/>
  <c r="Q8" i="54"/>
  <c r="AE8" i="54"/>
  <c r="M13" i="54"/>
  <c r="AA13" i="54"/>
  <c r="Z13" i="54"/>
  <c r="AI13" i="54"/>
  <c r="G15" i="54"/>
  <c r="N15" i="54"/>
  <c r="O15" i="54"/>
  <c r="AC15" i="54"/>
  <c r="AK15" i="54"/>
  <c r="H18" i="54"/>
  <c r="I18" i="54"/>
  <c r="AE18" i="54"/>
  <c r="C20" i="54"/>
  <c r="B20" i="54"/>
  <c r="S20" i="54"/>
  <c r="AF20" i="54"/>
  <c r="AG20" i="54"/>
  <c r="G24" i="54"/>
  <c r="N24" i="54"/>
  <c r="O24" i="54"/>
  <c r="AK24" i="54"/>
  <c r="H26" i="54"/>
  <c r="I26" i="54"/>
  <c r="Q26" i="54"/>
  <c r="AE26" i="54"/>
  <c r="C29" i="54"/>
  <c r="B29" i="54"/>
  <c r="K29" i="54"/>
  <c r="S29" i="54"/>
  <c r="AG29" i="54"/>
  <c r="AF29" i="54"/>
  <c r="M32" i="54"/>
  <c r="Z32" i="54"/>
  <c r="AA32" i="54"/>
  <c r="AI32" i="54"/>
  <c r="I37" i="54"/>
  <c r="H37" i="54"/>
  <c r="AE37" i="54"/>
  <c r="C39" i="54"/>
  <c r="B39" i="54"/>
  <c r="K39" i="54"/>
  <c r="S39" i="54"/>
  <c r="AG39" i="54"/>
  <c r="AF39" i="54"/>
  <c r="E42" i="54"/>
  <c r="M42" i="54"/>
  <c r="Z42" i="54"/>
  <c r="AA42" i="54"/>
  <c r="G44" i="54"/>
  <c r="O44" i="54"/>
  <c r="N44" i="54"/>
  <c r="AC44" i="54"/>
  <c r="AK44" i="54"/>
  <c r="S49" i="54"/>
  <c r="O20" i="45"/>
  <c r="AI49" i="54"/>
  <c r="C49" i="54"/>
  <c r="B49" i="54"/>
  <c r="H49" i="54"/>
  <c r="I49" i="54"/>
  <c r="AE49" i="54"/>
  <c r="O49" i="54"/>
  <c r="N49" i="54"/>
  <c r="E49" i="54"/>
  <c r="Z49" i="54"/>
  <c r="AA49" i="54"/>
  <c r="AG49" i="54"/>
  <c r="AF49" i="54"/>
  <c r="G49" i="54"/>
  <c r="E5" i="54"/>
  <c r="Q6" i="54"/>
  <c r="AI7" i="54"/>
  <c r="E9" i="54"/>
  <c r="Q10" i="54"/>
  <c r="AI11" i="54"/>
  <c r="E13" i="54"/>
  <c r="Q14" i="54"/>
  <c r="AI15" i="54"/>
  <c r="E17" i="54"/>
  <c r="Q18" i="54"/>
  <c r="AI19" i="54"/>
  <c r="E21" i="54"/>
  <c r="Q22" i="54"/>
  <c r="AI23" i="54"/>
  <c r="E24" i="54"/>
  <c r="Q25" i="54"/>
  <c r="AI26" i="54"/>
  <c r="E28" i="54"/>
  <c r="Q29" i="54"/>
  <c r="AI31" i="54"/>
  <c r="E33" i="54"/>
  <c r="Q34" i="54"/>
  <c r="AI35" i="54"/>
  <c r="E37" i="54"/>
  <c r="Q38" i="54"/>
  <c r="AI39" i="54"/>
  <c r="E41" i="54"/>
  <c r="Q42" i="54"/>
  <c r="AI43" i="54"/>
  <c r="E45" i="54"/>
  <c r="Q46" i="54"/>
  <c r="AI47" i="54"/>
  <c r="K49" i="54"/>
  <c r="Q5" i="54"/>
  <c r="AI6" i="54"/>
  <c r="E8" i="54"/>
  <c r="Q9" i="54"/>
  <c r="AI10" i="54"/>
  <c r="E12" i="54"/>
  <c r="Q13" i="54"/>
  <c r="AI14" i="54"/>
  <c r="E16" i="54"/>
  <c r="Q17" i="54"/>
  <c r="AI18" i="54"/>
  <c r="E20" i="54"/>
  <c r="Q21" i="54"/>
  <c r="AI22" i="54"/>
  <c r="Q24" i="54"/>
  <c r="AI25" i="54"/>
  <c r="E27" i="54"/>
  <c r="Q28" i="54"/>
  <c r="AI29" i="54"/>
  <c r="E32" i="54"/>
  <c r="Q33" i="54"/>
  <c r="AI34" i="54"/>
  <c r="E36" i="54"/>
  <c r="Q37" i="54"/>
  <c r="AI38" i="54"/>
  <c r="E40" i="54"/>
  <c r="Q41" i="54"/>
  <c r="AI42" i="54"/>
  <c r="E44" i="54"/>
  <c r="Q45" i="54"/>
  <c r="AI46" i="54"/>
  <c r="E48" i="54"/>
  <c r="Q49" i="54"/>
  <c r="AC5" i="54"/>
  <c r="AO6" i="54"/>
  <c r="K8" i="54"/>
  <c r="AC9" i="54"/>
  <c r="AO10" i="54"/>
  <c r="K12" i="54"/>
  <c r="AC13" i="54"/>
  <c r="AO14" i="54"/>
  <c r="K16" i="54"/>
  <c r="AC17" i="54"/>
  <c r="AO18" i="54"/>
  <c r="K20" i="54"/>
  <c r="AC21" i="54"/>
  <c r="AO22" i="54"/>
  <c r="AC24" i="54"/>
  <c r="AO25" i="54"/>
  <c r="K27" i="54"/>
  <c r="AC28" i="54"/>
  <c r="AO29" i="54"/>
  <c r="K32" i="54"/>
  <c r="AC33" i="54"/>
  <c r="AO34" i="54"/>
  <c r="K36" i="54"/>
  <c r="AC37" i="54"/>
  <c r="AO38" i="54"/>
  <c r="K40" i="54"/>
  <c r="AC41" i="54"/>
  <c r="AO42" i="54"/>
  <c r="K44" i="54"/>
  <c r="AC45" i="54"/>
  <c r="AO46" i="54"/>
  <c r="K48" i="54"/>
  <c r="AC49" i="54"/>
  <c r="E60" i="52"/>
  <c r="F375" i="102"/>
  <c r="E55" i="52"/>
  <c r="E47" i="52"/>
  <c r="E70" i="52"/>
  <c r="E37" i="52"/>
  <c r="E19" i="52"/>
  <c r="E29" i="52"/>
  <c r="E137" i="52"/>
  <c r="E170" i="52"/>
  <c r="E161" i="52"/>
  <c r="E145" i="52"/>
  <c r="E130" i="52"/>
  <c r="E120" i="52"/>
  <c r="E114" i="52"/>
  <c r="E107" i="52"/>
  <c r="E95" i="52"/>
  <c r="P23" i="1"/>
  <c r="AC26" i="45"/>
  <c r="AC24" i="45"/>
  <c r="AC23" i="45"/>
  <c r="AC22" i="45"/>
  <c r="AC21" i="45"/>
  <c r="AC17" i="45"/>
  <c r="AC19" i="45"/>
  <c r="AC18" i="45"/>
  <c r="AC16" i="45"/>
  <c r="F308" i="102" l="1"/>
  <c r="F278" i="102"/>
  <c r="O16" i="45"/>
  <c r="P16" i="45" s="1"/>
  <c r="G29" i="52"/>
  <c r="Q95" i="52"/>
  <c r="N95" i="52"/>
  <c r="P95" i="52"/>
  <c r="Y95" i="52"/>
  <c r="AJ95" i="52"/>
  <c r="X95" i="52"/>
  <c r="L95" i="52"/>
  <c r="O95" i="52"/>
  <c r="AC95" i="52"/>
  <c r="Z95" i="52"/>
  <c r="J95" i="52"/>
  <c r="AG95" i="52"/>
  <c r="U95" i="52"/>
  <c r="I95" i="52"/>
  <c r="AA95" i="52"/>
  <c r="M95" i="52"/>
  <c r="K95" i="52"/>
  <c r="AF95" i="52"/>
  <c r="T95" i="52"/>
  <c r="H95" i="52"/>
  <c r="AB95" i="52"/>
  <c r="W95" i="52"/>
  <c r="AH95" i="52"/>
  <c r="AE95" i="52"/>
  <c r="S95" i="52"/>
  <c r="AI95" i="52"/>
  <c r="V95" i="52"/>
  <c r="G95" i="52"/>
  <c r="AD95" i="52"/>
  <c r="R95" i="52"/>
  <c r="AG29" i="52"/>
  <c r="T29" i="52"/>
  <c r="AE29" i="52"/>
  <c r="AD29" i="52"/>
  <c r="AC29" i="52"/>
  <c r="Q29" i="52"/>
  <c r="AB29" i="52"/>
  <c r="P29" i="52"/>
  <c r="AA29" i="52"/>
  <c r="O29" i="52"/>
  <c r="Z29" i="52"/>
  <c r="N29" i="52"/>
  <c r="U29" i="52"/>
  <c r="S29" i="52"/>
  <c r="R29" i="52"/>
  <c r="M29" i="52"/>
  <c r="AJ29" i="52"/>
  <c r="L29" i="52"/>
  <c r="H29" i="52"/>
  <c r="Y29" i="52"/>
  <c r="I29" i="52"/>
  <c r="AF29" i="52"/>
  <c r="X29" i="52"/>
  <c r="AI29" i="52"/>
  <c r="W29" i="52"/>
  <c r="K29" i="52"/>
  <c r="AH29" i="52"/>
  <c r="V29" i="52"/>
  <c r="J29" i="52"/>
  <c r="F448" i="102"/>
  <c r="F444" i="102"/>
  <c r="O17" i="45"/>
  <c r="F27" i="52"/>
  <c r="O26" i="45"/>
  <c r="O23" i="45"/>
  <c r="O18" i="45"/>
  <c r="F34" i="20"/>
  <c r="F280" i="102" s="1"/>
  <c r="F325" i="102"/>
  <c r="O22" i="45"/>
  <c r="O21" i="45"/>
  <c r="O24" i="45"/>
  <c r="O19" i="45"/>
  <c r="F26" i="20"/>
  <c r="F306" i="102" s="1"/>
  <c r="E56" i="52"/>
  <c r="U197" i="47"/>
  <c r="V195" i="47" s="1"/>
  <c r="E146" i="52"/>
  <c r="Z268" i="42"/>
  <c r="F440" i="102" l="1"/>
  <c r="F439" i="102"/>
  <c r="F35" i="20"/>
  <c r="F294" i="102" s="1"/>
  <c r="F376" i="102"/>
  <c r="V196" i="47"/>
  <c r="Z176" i="42"/>
  <c r="Z177" i="42"/>
  <c r="Z178" i="42"/>
  <c r="Y178" i="42" s="1"/>
  <c r="Z179" i="42"/>
  <c r="Z180" i="42"/>
  <c r="Z181" i="42"/>
  <c r="Z175" i="42"/>
  <c r="Z182" i="42"/>
  <c r="Z183" i="42"/>
  <c r="Z184" i="42"/>
  <c r="F33" i="20" l="1"/>
  <c r="O25" i="42"/>
  <c r="N25" i="42"/>
  <c r="F99" i="102" l="1" a="1"/>
  <c r="F99" i="102" s="1"/>
  <c r="C102" i="42"/>
  <c r="C101" i="42"/>
  <c r="C100" i="42"/>
  <c r="C171" i="42"/>
  <c r="C170" i="42"/>
  <c r="C169" i="42"/>
  <c r="C168" i="42"/>
  <c r="C167" i="42"/>
  <c r="C166" i="42"/>
  <c r="C165" i="42"/>
  <c r="I185" i="42"/>
  <c r="C59" i="42"/>
  <c r="C58" i="42"/>
  <c r="C57" i="42"/>
  <c r="C56" i="42"/>
  <c r="C55" i="42"/>
  <c r="C54" i="42"/>
  <c r="I176" i="42"/>
  <c r="I175" i="42"/>
  <c r="N97" i="42" l="1"/>
  <c r="N96" i="42"/>
  <c r="N95" i="42"/>
  <c r="N94" i="42"/>
  <c r="N93" i="42"/>
  <c r="N92" i="42"/>
  <c r="N91" i="42"/>
  <c r="N90" i="42"/>
  <c r="N89" i="42"/>
  <c r="N88" i="42"/>
  <c r="N87" i="42"/>
  <c r="N86" i="42"/>
  <c r="N85" i="42"/>
  <c r="N84" i="42"/>
  <c r="N83" i="42"/>
  <c r="N82" i="42"/>
  <c r="N81" i="42"/>
  <c r="N80" i="42"/>
  <c r="N79" i="42"/>
  <c r="N78" i="42"/>
  <c r="N77" i="42"/>
  <c r="N76" i="42"/>
  <c r="N75" i="42"/>
  <c r="N74" i="42"/>
  <c r="N73" i="42"/>
  <c r="N72" i="42"/>
  <c r="N71" i="42"/>
  <c r="N70" i="42"/>
  <c r="N69" i="42"/>
  <c r="N68" i="42"/>
  <c r="N67" i="42"/>
  <c r="N66" i="42"/>
  <c r="N65" i="42"/>
  <c r="N64"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5" i="42" a="1"/>
  <c r="L65" i="42" s="1"/>
  <c r="L67" i="42"/>
  <c r="L66" i="42"/>
  <c r="L64" i="42"/>
  <c r="H38" i="42" l="1"/>
  <c r="G38" i="42"/>
  <c r="F38" i="42"/>
  <c r="E38" i="42" l="1"/>
  <c r="D38" i="42"/>
  <c r="F109" i="102" s="1" a="1"/>
  <c r="F109" i="102" s="1"/>
  <c r="Z10" i="42"/>
  <c r="C179" i="42" l="1"/>
  <c r="C178" i="42"/>
  <c r="K162" i="42" l="1"/>
  <c r="K161" i="42"/>
  <c r="K160" i="42"/>
  <c r="K152" i="42"/>
  <c r="K151" i="42"/>
  <c r="K150" i="42"/>
  <c r="K149" i="42"/>
  <c r="K145" i="42"/>
  <c r="K144" i="42"/>
  <c r="K143" i="42"/>
  <c r="K142" i="42"/>
  <c r="K141" i="42"/>
  <c r="K140" i="42"/>
  <c r="K139" i="42"/>
  <c r="K138" i="42"/>
  <c r="C109" i="42" l="1"/>
  <c r="AG30" i="42" l="1"/>
  <c r="AF30" i="42"/>
  <c r="AE30" i="42"/>
  <c r="AD30" i="42"/>
  <c r="AC30" i="42"/>
  <c r="C162" i="42" l="1"/>
  <c r="E162" i="42" s="1"/>
  <c r="C161" i="42"/>
  <c r="E161" i="42" s="1"/>
  <c r="C160" i="42"/>
  <c r="C159" i="42"/>
  <c r="C158" i="42"/>
  <c r="E158" i="42" s="1"/>
  <c r="C157" i="42"/>
  <c r="E157" i="42" s="1"/>
  <c r="C156" i="42"/>
  <c r="C155" i="42"/>
  <c r="C154" i="42"/>
  <c r="E154" i="42" s="1"/>
  <c r="C152" i="42"/>
  <c r="C151" i="42"/>
  <c r="C150" i="42"/>
  <c r="E150" i="42" s="1"/>
  <c r="C149" i="42"/>
  <c r="E149" i="42" s="1"/>
  <c r="D155" i="42" l="1"/>
  <c r="E155" i="42"/>
  <c r="D152" i="42"/>
  <c r="E152" i="42"/>
  <c r="D159" i="42"/>
  <c r="E159" i="42"/>
  <c r="D160" i="42"/>
  <c r="E160" i="42"/>
  <c r="D151" i="42"/>
  <c r="E151" i="42"/>
  <c r="D156" i="42"/>
  <c r="E156" i="42"/>
  <c r="D149" i="42"/>
  <c r="D157" i="42"/>
  <c r="D150" i="42"/>
  <c r="D158" i="42"/>
  <c r="D153" i="42"/>
  <c r="D161" i="42"/>
  <c r="D154" i="42"/>
  <c r="D162" i="42"/>
  <c r="F162" i="42"/>
  <c r="F161" i="42"/>
  <c r="F160" i="42"/>
  <c r="J162" i="42"/>
  <c r="J161" i="42"/>
  <c r="J160" i="42"/>
  <c r="I162" i="42"/>
  <c r="I161" i="42"/>
  <c r="I160" i="42"/>
  <c r="H162" i="42"/>
  <c r="H161" i="42"/>
  <c r="H160" i="42"/>
  <c r="G161" i="42"/>
  <c r="G160" i="42"/>
  <c r="G162" i="42"/>
  <c r="AD31" i="42" l="1"/>
  <c r="C136" i="42" l="1"/>
  <c r="E136" i="42" s="1"/>
  <c r="AL198" i="42" l="1"/>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197" i="42"/>
  <c r="J95" i="42" l="1"/>
  <c r="K31" i="42" l="1"/>
  <c r="J31" i="42"/>
  <c r="I31" i="42"/>
  <c r="H31" i="42"/>
  <c r="G31" i="42"/>
  <c r="J148" i="42"/>
  <c r="J147" i="42"/>
  <c r="J146" i="42"/>
  <c r="J145" i="42"/>
  <c r="J144" i="42"/>
  <c r="J143" i="42"/>
  <c r="J142" i="42"/>
  <c r="J141" i="42"/>
  <c r="J140" i="42"/>
  <c r="J139" i="42"/>
  <c r="J138" i="42"/>
  <c r="J134" i="42"/>
  <c r="J133" i="42"/>
  <c r="I134" i="42"/>
  <c r="I133" i="42"/>
  <c r="I148" i="42"/>
  <c r="I147" i="42"/>
  <c r="I146" i="42"/>
  <c r="I145" i="42"/>
  <c r="I144" i="42"/>
  <c r="I143" i="42"/>
  <c r="I142" i="42"/>
  <c r="I141" i="42"/>
  <c r="I140" i="42"/>
  <c r="I139" i="42"/>
  <c r="I138" i="42"/>
  <c r="H148" i="42"/>
  <c r="H133" i="42"/>
  <c r="G148" i="42"/>
  <c r="H147" i="42"/>
  <c r="G147" i="42"/>
  <c r="H146" i="42"/>
  <c r="G146" i="42"/>
  <c r="H145" i="42"/>
  <c r="H144" i="42"/>
  <c r="H143" i="42"/>
  <c r="H142" i="42"/>
  <c r="H141" i="42"/>
  <c r="H140" i="42"/>
  <c r="H139" i="42"/>
  <c r="H138" i="42"/>
  <c r="H134" i="42"/>
  <c r="G145" i="42"/>
  <c r="G144" i="42"/>
  <c r="G143" i="42"/>
  <c r="G142" i="42"/>
  <c r="G141" i="42"/>
  <c r="G140" i="42"/>
  <c r="G139" i="42"/>
  <c r="G138" i="42"/>
  <c r="G134" i="42"/>
  <c r="F145" i="42"/>
  <c r="F144" i="42"/>
  <c r="F143" i="42"/>
  <c r="F142" i="42"/>
  <c r="F141" i="42"/>
  <c r="F140" i="42"/>
  <c r="F139" i="42"/>
  <c r="F138" i="42"/>
  <c r="G133" i="42"/>
  <c r="F152" i="42"/>
  <c r="F151" i="42"/>
  <c r="F150" i="42"/>
  <c r="F149" i="42"/>
  <c r="AA30" i="42" l="1"/>
  <c r="AA31" i="42" s="1"/>
  <c r="C3" i="42" l="1"/>
  <c r="R240" i="42" l="1"/>
  <c r="R210" i="42"/>
  <c r="R201" i="42"/>
  <c r="R203" i="42"/>
  <c r="R220" i="42"/>
  <c r="R236" i="42"/>
  <c r="R199" i="42"/>
  <c r="R213" i="42"/>
  <c r="R229" i="42"/>
  <c r="R245" i="42"/>
  <c r="R232" i="42"/>
  <c r="R204" i="42"/>
  <c r="R198" i="42"/>
  <c r="R206" i="42"/>
  <c r="R222" i="42"/>
  <c r="R246" i="42"/>
  <c r="F273" i="42"/>
  <c r="R207" i="42"/>
  <c r="R227" i="42"/>
  <c r="R239" i="42"/>
  <c r="R200" i="42"/>
  <c r="F267" i="42" s="1"/>
  <c r="R212" i="42"/>
  <c r="R216" i="42"/>
  <c r="R228" i="42"/>
  <c r="R244" i="42"/>
  <c r="R211" i="42"/>
  <c r="R219" i="42"/>
  <c r="R235" i="42"/>
  <c r="R208" i="42"/>
  <c r="R205" i="42"/>
  <c r="R209" i="42"/>
  <c r="R217" i="42"/>
  <c r="R221" i="42"/>
  <c r="R233" i="42"/>
  <c r="R237" i="42"/>
  <c r="R241" i="42"/>
  <c r="R215" i="42"/>
  <c r="R223" i="42"/>
  <c r="R231" i="42"/>
  <c r="R243" i="42"/>
  <c r="R202" i="42"/>
  <c r="R214" i="42"/>
  <c r="R218" i="42"/>
  <c r="R226" i="42"/>
  <c r="R230" i="42"/>
  <c r="R234" i="42"/>
  <c r="R238" i="42"/>
  <c r="R242" i="42"/>
  <c r="F266" i="42" l="1"/>
  <c r="F265" i="42"/>
  <c r="F264" i="42"/>
  <c r="C148" i="42"/>
  <c r="D148" i="42" s="1"/>
  <c r="C147" i="42"/>
  <c r="D147" i="42" s="1"/>
  <c r="C146" i="42"/>
  <c r="D146" i="42" s="1"/>
  <c r="E148" i="42" l="1"/>
  <c r="E147" i="42"/>
  <c r="E146" i="42"/>
  <c r="E124" i="42"/>
  <c r="C137" i="42" l="1"/>
  <c r="E137" i="42" s="1"/>
  <c r="C135" i="42"/>
  <c r="E135" i="42" s="1"/>
  <c r="Z39" i="42"/>
  <c r="D137" i="42" l="1"/>
  <c r="D135" i="42"/>
  <c r="D136" i="42"/>
  <c r="E133" i="42"/>
  <c r="AG31" i="42"/>
  <c r="AF31" i="42"/>
  <c r="AE31" i="42"/>
  <c r="AC31" i="42"/>
  <c r="AB30" i="42"/>
  <c r="AB31" i="42" s="1"/>
  <c r="Z32" i="42" l="1" a="1"/>
  <c r="Z32" i="42" s="1"/>
  <c r="Z30" i="42" a="1"/>
  <c r="Z30" i="42" s="1"/>
  <c r="Z33" i="42" a="1"/>
  <c r="Z33" i="42" s="1"/>
  <c r="Z31" i="42" l="1" a="1"/>
  <c r="Z31" i="42" s="1"/>
  <c r="E82" i="49" l="1"/>
  <c r="F82" i="49" s="1"/>
  <c r="G82" i="49" s="1"/>
  <c r="H82" i="49" s="1"/>
  <c r="I82" i="49" s="1"/>
  <c r="J82" i="49" s="1"/>
  <c r="K82" i="49" s="1"/>
  <c r="L82" i="49" s="1"/>
  <c r="M82" i="49" s="1"/>
  <c r="N82" i="49" s="1"/>
  <c r="O82" i="49" s="1"/>
  <c r="P82" i="49" s="1"/>
  <c r="Q82" i="49" s="1"/>
  <c r="R82" i="49" s="1"/>
  <c r="S82" i="49" s="1"/>
  <c r="T82" i="49" s="1"/>
  <c r="U82" i="49" s="1"/>
  <c r="V82" i="49" s="1"/>
  <c r="W82" i="49" s="1"/>
  <c r="X82" i="49" s="1"/>
  <c r="Y82" i="49" s="1"/>
  <c r="Z82" i="49" s="1"/>
  <c r="AA82" i="49" s="1"/>
  <c r="AB82" i="49" s="1"/>
  <c r="AC82" i="49" s="1"/>
  <c r="AD82" i="49" s="1"/>
  <c r="AE82" i="49" s="1"/>
  <c r="AF82" i="49" s="1"/>
  <c r="AG82" i="49" s="1"/>
  <c r="AH82" i="49" s="1"/>
  <c r="AI82" i="49" s="1"/>
  <c r="AJ82" i="49" s="1"/>
  <c r="AK82" i="49" s="1"/>
  <c r="AL82" i="49" s="1"/>
  <c r="F128" i="45" l="1"/>
  <c r="C144" i="42" l="1"/>
  <c r="C143" i="42"/>
  <c r="E143" i="42" s="1"/>
  <c r="D144" i="42" l="1"/>
  <c r="E144" i="42"/>
  <c r="D143" i="42"/>
  <c r="Z20" i="42"/>
  <c r="I98" i="45"/>
  <c r="I97" i="45"/>
  <c r="I96" i="45"/>
  <c r="T18" i="45"/>
  <c r="U18" i="45" s="1"/>
  <c r="T19" i="45"/>
  <c r="U19" i="45" s="1"/>
  <c r="T20" i="45"/>
  <c r="U20" i="45" s="1"/>
  <c r="T21" i="45"/>
  <c r="U21" i="45" s="1"/>
  <c r="T22" i="45"/>
  <c r="U22" i="45" s="1"/>
  <c r="T23" i="45"/>
  <c r="U23" i="45" s="1"/>
  <c r="T24" i="45"/>
  <c r="U24" i="45" s="1"/>
  <c r="T25" i="45"/>
  <c r="U25" i="45" s="1"/>
  <c r="T26" i="45"/>
  <c r="U26" i="45" s="1"/>
  <c r="T27" i="45"/>
  <c r="U27" i="45" s="1"/>
  <c r="T28" i="45"/>
  <c r="U28" i="45" s="1"/>
  <c r="T29" i="45"/>
  <c r="U29" i="45" s="1"/>
  <c r="T30" i="45"/>
  <c r="U30" i="45" s="1"/>
  <c r="T31" i="45"/>
  <c r="U31" i="45" s="1"/>
  <c r="T32" i="45"/>
  <c r="U32" i="45" s="1"/>
  <c r="T33" i="45"/>
  <c r="U33" i="45" s="1"/>
  <c r="T34" i="45"/>
  <c r="U34" i="45" s="1"/>
  <c r="T35" i="45"/>
  <c r="U35" i="45" s="1"/>
  <c r="T36" i="45"/>
  <c r="U36" i="45" s="1"/>
  <c r="T37" i="45"/>
  <c r="U37" i="45" s="1"/>
  <c r="T38" i="45"/>
  <c r="U38" i="45" s="1"/>
  <c r="T39" i="45"/>
  <c r="U39" i="45" s="1"/>
  <c r="T40" i="45"/>
  <c r="U40" i="45" s="1"/>
  <c r="T41" i="45"/>
  <c r="U41" i="45" s="1"/>
  <c r="T42" i="45"/>
  <c r="U42" i="45" s="1"/>
  <c r="T43" i="45"/>
  <c r="U43" i="45" s="1"/>
  <c r="T44" i="45"/>
  <c r="U44" i="45" s="1"/>
  <c r="T45" i="45"/>
  <c r="U45" i="45" s="1"/>
  <c r="T46" i="45"/>
  <c r="U46" i="45" s="1"/>
  <c r="T47" i="45"/>
  <c r="U47" i="45" s="1"/>
  <c r="T48" i="45"/>
  <c r="U48" i="45" s="1"/>
  <c r="T49" i="45"/>
  <c r="U49" i="45" s="1"/>
  <c r="T50" i="45"/>
  <c r="U50" i="45" s="1"/>
  <c r="T51" i="45"/>
  <c r="U51" i="45" s="1"/>
  <c r="T52" i="45"/>
  <c r="U52" i="45" s="1"/>
  <c r="T53" i="45"/>
  <c r="U53" i="45" s="1"/>
  <c r="T54" i="45"/>
  <c r="U54" i="45" s="1"/>
  <c r="T55" i="45"/>
  <c r="U55" i="45" s="1"/>
  <c r="T56" i="45"/>
  <c r="U56" i="45" s="1"/>
  <c r="T57" i="45"/>
  <c r="U57" i="45" s="1"/>
  <c r="T58" i="45"/>
  <c r="U58" i="45" s="1"/>
  <c r="T59" i="45"/>
  <c r="U59" i="45" s="1"/>
  <c r="T60" i="45"/>
  <c r="U60" i="45" s="1"/>
  <c r="T61" i="45"/>
  <c r="U61" i="45" s="1"/>
  <c r="T62" i="45"/>
  <c r="U62" i="45" s="1"/>
  <c r="T63" i="45"/>
  <c r="U63" i="45" s="1"/>
  <c r="T64" i="45"/>
  <c r="U64" i="45" s="1"/>
  <c r="T65" i="45"/>
  <c r="U65" i="45" s="1"/>
  <c r="T17" i="45"/>
  <c r="U17" i="45" s="1"/>
  <c r="T16" i="45"/>
  <c r="U16" i="45" s="1"/>
  <c r="U66" i="45" l="1"/>
  <c r="AL247" i="42" l="1"/>
  <c r="AL248" i="42"/>
  <c r="AL249" i="42"/>
  <c r="AB259" i="42" l="1" a="1"/>
  <c r="AB259" i="42" s="1"/>
  <c r="AB258" i="42" a="1"/>
  <c r="AB258" i="42" s="1"/>
  <c r="AB257" i="42" a="1"/>
  <c r="AB257" i="42" s="1"/>
  <c r="C574" i="42" l="1"/>
  <c r="C573" i="42"/>
  <c r="C572" i="42"/>
  <c r="C571" i="42"/>
  <c r="C570" i="42"/>
  <c r="C569" i="42"/>
  <c r="C568" i="42"/>
  <c r="C567" i="42"/>
  <c r="C564" i="42"/>
  <c r="C563" i="42"/>
  <c r="C562" i="42"/>
  <c r="C561" i="42"/>
  <c r="C560" i="42"/>
  <c r="C559" i="42"/>
  <c r="C558" i="42"/>
  <c r="C557" i="42"/>
  <c r="C556" i="42"/>
  <c r="C555" i="42"/>
  <c r="C554" i="42"/>
  <c r="C551" i="42"/>
  <c r="C550" i="42"/>
  <c r="C549" i="42"/>
  <c r="C548" i="42"/>
  <c r="C547" i="42"/>
  <c r="C546" i="42"/>
  <c r="C543" i="42"/>
  <c r="C542" i="42"/>
  <c r="C541" i="42"/>
  <c r="C540" i="42"/>
  <c r="C539" i="42"/>
  <c r="C538" i="42"/>
  <c r="C537" i="42"/>
  <c r="C536" i="42"/>
  <c r="C535" i="42"/>
  <c r="C534" i="42"/>
  <c r="C533" i="42"/>
  <c r="C532" i="42"/>
  <c r="C531" i="42"/>
  <c r="C530" i="42"/>
  <c r="C526" i="42"/>
  <c r="C525" i="42"/>
  <c r="C524" i="42"/>
  <c r="D543" i="42" l="1"/>
  <c r="D535" i="42"/>
  <c r="D526" i="42"/>
  <c r="L164" i="47"/>
  <c r="K164" i="47"/>
  <c r="L148" i="47"/>
  <c r="K148" i="47"/>
  <c r="L140" i="47"/>
  <c r="K140" i="47"/>
  <c r="L133" i="47"/>
  <c r="K133" i="47"/>
  <c r="L123" i="47"/>
  <c r="K123" i="47"/>
  <c r="L117" i="47"/>
  <c r="L110" i="47"/>
  <c r="K110" i="47"/>
  <c r="L97" i="47"/>
  <c r="L85" i="47"/>
  <c r="L75" i="47"/>
  <c r="K75" i="47"/>
  <c r="L72" i="47"/>
  <c r="K72" i="47"/>
  <c r="L62" i="47"/>
  <c r="L57" i="47"/>
  <c r="L49" i="47"/>
  <c r="L39" i="47"/>
  <c r="F345" i="42" s="1"/>
  <c r="E345" i="42"/>
  <c r="Q223" i="47"/>
  <c r="P222" i="47"/>
  <c r="R222" i="47" s="1"/>
  <c r="P223" i="47"/>
  <c r="L149" i="47" l="1"/>
  <c r="K58" i="47"/>
  <c r="L58" i="47"/>
  <c r="K98" i="47"/>
  <c r="R223" i="47"/>
  <c r="R224" i="47" s="1"/>
  <c r="L98" i="47"/>
  <c r="I165" i="47" l="1"/>
  <c r="I173" i="47" s="1"/>
  <c r="F173" i="47" s="1"/>
  <c r="P32" i="103" s="1"/>
  <c r="K165" i="47"/>
  <c r="L165" i="47"/>
  <c r="L173" i="47" s="1"/>
  <c r="I175" i="47" s="1"/>
  <c r="S223" i="47"/>
  <c r="S222" i="47"/>
  <c r="K173" i="47" l="1"/>
  <c r="D77" i="46" s="1"/>
  <c r="F77" i="46" s="1"/>
  <c r="M173" i="47"/>
  <c r="F226" i="102"/>
  <c r="H32" i="103"/>
  <c r="F175" i="47"/>
  <c r="F210" i="47" s="1"/>
  <c r="I198" i="47"/>
  <c r="F506" i="42" s="1"/>
  <c r="I197" i="47"/>
  <c r="F505" i="42" s="1"/>
  <c r="I196" i="47"/>
  <c r="F504" i="42" s="1"/>
  <c r="I203" i="47"/>
  <c r="E511" i="42" s="1"/>
  <c r="I199" i="47"/>
  <c r="F507" i="42" s="1"/>
  <c r="I205" i="47"/>
  <c r="I207" i="47"/>
  <c r="I181" i="47"/>
  <c r="S224" i="47"/>
  <c r="Z6" i="42"/>
  <c r="Z263" i="42"/>
  <c r="AD176" i="42"/>
  <c r="AD177" i="42"/>
  <c r="AD178" i="42"/>
  <c r="AD179" i="42"/>
  <c r="AD180" i="42"/>
  <c r="AD175" i="42"/>
  <c r="AB176" i="42"/>
  <c r="AB177" i="42"/>
  <c r="AB178" i="42"/>
  <c r="AB179" i="42"/>
  <c r="AB180" i="42"/>
  <c r="AB181" i="42"/>
  <c r="AB182" i="42"/>
  <c r="AB183" i="42"/>
  <c r="AB184" i="42"/>
  <c r="AB185" i="42"/>
  <c r="AB186" i="42"/>
  <c r="AB187" i="42"/>
  <c r="AB188" i="42"/>
  <c r="AB175" i="42"/>
  <c r="Z185" i="42"/>
  <c r="Z186" i="42"/>
  <c r="Z187" i="42"/>
  <c r="Z188" i="42"/>
  <c r="H15" i="103" l="1"/>
  <c r="P15" i="103"/>
  <c r="G175" i="47"/>
  <c r="G181" i="47" s="1"/>
  <c r="F225" i="102"/>
  <c r="F203" i="47"/>
  <c r="F207" i="47"/>
  <c r="F208" i="47"/>
  <c r="F204" i="47"/>
  <c r="F214" i="47"/>
  <c r="F199" i="47"/>
  <c r="E507" i="42" s="1"/>
  <c r="F234" i="102"/>
  <c r="P35" i="103"/>
  <c r="F232" i="102" s="1"/>
  <c r="F230" i="102"/>
  <c r="F228" i="102"/>
  <c r="F201" i="47"/>
  <c r="F181" i="47"/>
  <c r="F211" i="47"/>
  <c r="F212" i="47" s="1"/>
  <c r="F202" i="47"/>
  <c r="F200" i="47"/>
  <c r="F195" i="47"/>
  <c r="F205" i="47"/>
  <c r="F197" i="47"/>
  <c r="E505" i="42" s="1"/>
  <c r="F196" i="47"/>
  <c r="E504" i="42" s="1"/>
  <c r="F206" i="47"/>
  <c r="F198" i="47"/>
  <c r="E506" i="42" s="1"/>
  <c r="I200" i="47"/>
  <c r="C618" i="42"/>
  <c r="C615" i="42"/>
  <c r="C613" i="42"/>
  <c r="C610" i="42"/>
  <c r="C609" i="42"/>
  <c r="C608" i="42"/>
  <c r="C607" i="42"/>
  <c r="C606" i="42"/>
  <c r="G77" i="46" l="1"/>
  <c r="S29" i="46"/>
  <c r="S30" i="46" s="1"/>
  <c r="C621" i="42"/>
  <c r="F196" i="102"/>
  <c r="H20" i="103"/>
  <c r="F197" i="102"/>
  <c r="P17" i="103"/>
  <c r="P19" i="103"/>
  <c r="F205" i="102" s="1"/>
  <c r="P16" i="103"/>
  <c r="H21" i="103" l="1"/>
  <c r="F208" i="102" s="1"/>
  <c r="F206" i="102"/>
  <c r="H22" i="103"/>
  <c r="F210" i="102" s="1"/>
  <c r="P20" i="103"/>
  <c r="P21" i="103" s="1"/>
  <c r="F199" i="102"/>
  <c r="Z247" i="42"/>
  <c r="AB247" i="42" s="1"/>
  <c r="AD247" i="42"/>
  <c r="AF247" i="42"/>
  <c r="AH247" i="42"/>
  <c r="Z248" i="42"/>
  <c r="AB248" i="42" s="1"/>
  <c r="AD248" i="42"/>
  <c r="AF248" i="42"/>
  <c r="AH248" i="42"/>
  <c r="Z249" i="42"/>
  <c r="AB249" i="42" s="1"/>
  <c r="AD249" i="42"/>
  <c r="AF249" i="42"/>
  <c r="AH249" i="42"/>
  <c r="Z250" i="42"/>
  <c r="AB250" i="42" s="1"/>
  <c r="AD250" i="42"/>
  <c r="AF250" i="42"/>
  <c r="AH250" i="42"/>
  <c r="Z251" i="42"/>
  <c r="AB251" i="42" s="1"/>
  <c r="AD251" i="42"/>
  <c r="AF251" i="42"/>
  <c r="AH251" i="42"/>
  <c r="Z252" i="42"/>
  <c r="AB252" i="42" s="1"/>
  <c r="AD252" i="42"/>
  <c r="AF252" i="42"/>
  <c r="AH252" i="42"/>
  <c r="Z253" i="42"/>
  <c r="AB253" i="42" s="1"/>
  <c r="AD253" i="42"/>
  <c r="AF253" i="42"/>
  <c r="AH253" i="42"/>
  <c r="Z254" i="42"/>
  <c r="AB254" i="42" s="1"/>
  <c r="AD254" i="42"/>
  <c r="AF254" i="42"/>
  <c r="AH254" i="42"/>
  <c r="Z255" i="42"/>
  <c r="AB255" i="42" s="1"/>
  <c r="AD255" i="42"/>
  <c r="AF255" i="42"/>
  <c r="AH255" i="42"/>
  <c r="Z256" i="42"/>
  <c r="AB256" i="42" s="1"/>
  <c r="AD256" i="42"/>
  <c r="AF256" i="42"/>
  <c r="AH256" i="42"/>
  <c r="Z257" i="42"/>
  <c r="AD257" i="42"/>
  <c r="AF257" i="42"/>
  <c r="AH257" i="42"/>
  <c r="Z258" i="42"/>
  <c r="AD258" i="42"/>
  <c r="AF258" i="42"/>
  <c r="AH258" i="42"/>
  <c r="Z259" i="42"/>
  <c r="AD259" i="42"/>
  <c r="AF259" i="42"/>
  <c r="AH259" i="42"/>
  <c r="AH198" i="42"/>
  <c r="AH199" i="42"/>
  <c r="AH200" i="42"/>
  <c r="AH201" i="42"/>
  <c r="AH202" i="42"/>
  <c r="AH203" i="42"/>
  <c r="AH204" i="42"/>
  <c r="AH205" i="42"/>
  <c r="AH206" i="42"/>
  <c r="AH207" i="42"/>
  <c r="AH208" i="42"/>
  <c r="AH209" i="42"/>
  <c r="AH210" i="42"/>
  <c r="AH211" i="42"/>
  <c r="AH212" i="42"/>
  <c r="AH213" i="42"/>
  <c r="AH214" i="42"/>
  <c r="AH215" i="42"/>
  <c r="AH216" i="42"/>
  <c r="AH217" i="42"/>
  <c r="AH218" i="42"/>
  <c r="AH219" i="42"/>
  <c r="AH220" i="42"/>
  <c r="AH221" i="42"/>
  <c r="AH222" i="42"/>
  <c r="AH223" i="42"/>
  <c r="AH224" i="42"/>
  <c r="AH225" i="42"/>
  <c r="AH226" i="42"/>
  <c r="AH227" i="42"/>
  <c r="AH228" i="42"/>
  <c r="AH229" i="42"/>
  <c r="AH230" i="42"/>
  <c r="AH231" i="42"/>
  <c r="AH232" i="42"/>
  <c r="AH233" i="42"/>
  <c r="AH234" i="42"/>
  <c r="AH235" i="42"/>
  <c r="AH236" i="42"/>
  <c r="AH237" i="42"/>
  <c r="AH238" i="42"/>
  <c r="AH239" i="42"/>
  <c r="AH240" i="42"/>
  <c r="AH241" i="42"/>
  <c r="AH242" i="42"/>
  <c r="AH243" i="42"/>
  <c r="AH244" i="42"/>
  <c r="AH245" i="42"/>
  <c r="AH246" i="42"/>
  <c r="AH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197"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197" i="42"/>
  <c r="Z266" i="42" l="1"/>
  <c r="H23" i="103"/>
  <c r="F209" i="102"/>
  <c r="P22" i="103"/>
  <c r="F211" i="102" s="1"/>
  <c r="F207" i="102"/>
  <c r="Z264" i="42"/>
  <c r="Z262" i="42"/>
  <c r="Z261" i="42"/>
  <c r="Z267" i="42" s="1"/>
  <c r="Z199" i="42"/>
  <c r="AB199" i="42" s="1"/>
  <c r="Z200" i="42"/>
  <c r="AB200" i="42" s="1"/>
  <c r="Z201" i="42"/>
  <c r="AB201" i="42" s="1"/>
  <c r="Z202" i="42"/>
  <c r="AB202" i="42" s="1"/>
  <c r="Z203" i="42"/>
  <c r="AB203" i="42" s="1"/>
  <c r="Z204" i="42"/>
  <c r="AB204" i="42" s="1"/>
  <c r="Z205" i="42"/>
  <c r="AB205" i="42" s="1"/>
  <c r="Z206" i="42"/>
  <c r="AB206" i="42" s="1"/>
  <c r="Z207" i="42"/>
  <c r="AB207" i="42" s="1"/>
  <c r="Z208" i="42"/>
  <c r="AB208" i="42" s="1"/>
  <c r="Z209" i="42"/>
  <c r="AB209" i="42" s="1"/>
  <c r="Z210" i="42"/>
  <c r="AB210" i="42" s="1"/>
  <c r="Z211" i="42"/>
  <c r="AB211" i="42" s="1"/>
  <c r="Z212" i="42"/>
  <c r="AB212" i="42" s="1"/>
  <c r="Z213" i="42"/>
  <c r="AB213" i="42" s="1"/>
  <c r="Z214" i="42"/>
  <c r="AB214" i="42" s="1"/>
  <c r="Z215" i="42"/>
  <c r="AB215" i="42" s="1"/>
  <c r="Z216" i="42"/>
  <c r="AB216" i="42" s="1"/>
  <c r="Z217" i="42"/>
  <c r="AB217" i="42" s="1"/>
  <c r="Z218" i="42"/>
  <c r="AB218" i="42" s="1"/>
  <c r="Z219" i="42"/>
  <c r="AB219" i="42" s="1"/>
  <c r="Z220" i="42"/>
  <c r="AB220" i="42" s="1"/>
  <c r="Z221" i="42"/>
  <c r="AB221" i="42" s="1"/>
  <c r="Z222" i="42"/>
  <c r="AB222" i="42" s="1"/>
  <c r="Z223" i="42"/>
  <c r="AB223" i="42" s="1"/>
  <c r="Z224" i="42"/>
  <c r="AB224" i="42" s="1"/>
  <c r="Z225" i="42"/>
  <c r="AB225" i="42" s="1"/>
  <c r="Z226" i="42"/>
  <c r="AB226" i="42" s="1"/>
  <c r="Z227" i="42"/>
  <c r="AB227" i="42" s="1"/>
  <c r="Z228" i="42"/>
  <c r="AB228" i="42" s="1"/>
  <c r="Z229" i="42"/>
  <c r="AB229" i="42" s="1"/>
  <c r="Z230" i="42"/>
  <c r="AB230" i="42" s="1"/>
  <c r="Z231" i="42"/>
  <c r="AB231" i="42" s="1"/>
  <c r="Z232" i="42"/>
  <c r="AB232" i="42" s="1"/>
  <c r="Z233" i="42"/>
  <c r="AB233" i="42" s="1"/>
  <c r="Z234" i="42"/>
  <c r="AB234" i="42" s="1"/>
  <c r="Z235" i="42"/>
  <c r="AB235" i="42" s="1"/>
  <c r="Z236" i="42"/>
  <c r="AB236" i="42" s="1"/>
  <c r="Z237" i="42"/>
  <c r="AB237" i="42" s="1"/>
  <c r="Z238" i="42"/>
  <c r="AB238" i="42" s="1"/>
  <c r="Z239" i="42"/>
  <c r="AB239" i="42" s="1"/>
  <c r="Z240" i="42"/>
  <c r="AB240" i="42" s="1"/>
  <c r="Z241" i="42"/>
  <c r="AB241" i="42" s="1"/>
  <c r="Z242" i="42"/>
  <c r="AB242" i="42" s="1"/>
  <c r="Z243" i="42"/>
  <c r="AB243" i="42" s="1"/>
  <c r="Z244" i="42"/>
  <c r="AB244" i="42" s="1"/>
  <c r="Z245" i="42"/>
  <c r="AB245" i="42" s="1"/>
  <c r="Z246" i="42"/>
  <c r="AB246" i="42" s="1"/>
  <c r="Z198" i="42"/>
  <c r="AB198" i="42" s="1"/>
  <c r="Z197" i="42"/>
  <c r="AB197" i="42" s="1"/>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F212" i="102" l="1"/>
  <c r="H25" i="103"/>
  <c r="H28" i="103" s="1"/>
  <c r="P23" i="103"/>
  <c r="F213" i="102" s="1"/>
  <c r="C277" i="42"/>
  <c r="C275" i="42"/>
  <c r="C271" i="42"/>
  <c r="F216" i="102" l="1"/>
  <c r="F266" i="102"/>
  <c r="J97" i="42"/>
  <c r="J96"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C97" i="42"/>
  <c r="H97" i="42" s="1"/>
  <c r="C96" i="42"/>
  <c r="H96" i="42" s="1"/>
  <c r="C95" i="42"/>
  <c r="H95" i="42" s="1"/>
  <c r="C94" i="42"/>
  <c r="H94" i="42" s="1"/>
  <c r="C93" i="42"/>
  <c r="H93" i="42" s="1"/>
  <c r="C92" i="42"/>
  <c r="H92" i="42" s="1"/>
  <c r="C91" i="42"/>
  <c r="H91" i="42" s="1"/>
  <c r="C90" i="42"/>
  <c r="H90" i="42" s="1"/>
  <c r="C89" i="42"/>
  <c r="H89" i="42" s="1"/>
  <c r="C88" i="42"/>
  <c r="H88" i="42" s="1"/>
  <c r="C87" i="42"/>
  <c r="H87" i="42" s="1"/>
  <c r="C86" i="42"/>
  <c r="H86" i="42" s="1"/>
  <c r="C85" i="42"/>
  <c r="H85" i="42" s="1"/>
  <c r="C84" i="42"/>
  <c r="H84" i="42" s="1"/>
  <c r="C83" i="42"/>
  <c r="H83" i="42" s="1"/>
  <c r="C82" i="42"/>
  <c r="H82" i="42" s="1"/>
  <c r="C81" i="42"/>
  <c r="H81" i="42" s="1"/>
  <c r="C80" i="42"/>
  <c r="H80" i="42" s="1"/>
  <c r="C79" i="42"/>
  <c r="H79" i="42" s="1"/>
  <c r="C78" i="42"/>
  <c r="H78" i="42" s="1"/>
  <c r="C77" i="42"/>
  <c r="H77" i="42" s="1"/>
  <c r="C76" i="42"/>
  <c r="H76" i="42" s="1"/>
  <c r="C75" i="42"/>
  <c r="H75" i="42" s="1"/>
  <c r="C74" i="42"/>
  <c r="H74" i="42" s="1"/>
  <c r="C73" i="42"/>
  <c r="H73" i="42" s="1"/>
  <c r="C72" i="42"/>
  <c r="H72" i="42" s="1"/>
  <c r="C71" i="42"/>
  <c r="H71" i="42" s="1"/>
  <c r="C70" i="42"/>
  <c r="H70" i="42" s="1"/>
  <c r="C69" i="42"/>
  <c r="H69" i="42" s="1"/>
  <c r="C68" i="42"/>
  <c r="H68" i="42" s="1"/>
  <c r="C67" i="42"/>
  <c r="H67" i="42" s="1"/>
  <c r="C66" i="42"/>
  <c r="H66" i="42" s="1"/>
  <c r="C65" i="42"/>
  <c r="H65" i="42" s="1"/>
  <c r="C64" i="42"/>
  <c r="F222" i="102" l="1"/>
  <c r="H64" i="42"/>
  <c r="C98" i="42" a="1"/>
  <c r="C98" i="42" s="1"/>
  <c r="T187" i="47"/>
  <c r="U179" i="47"/>
  <c r="M176" i="47"/>
  <c r="L176" i="47"/>
  <c r="F93" i="108"/>
  <c r="F164" i="47"/>
  <c r="F148" i="47"/>
  <c r="F140" i="47"/>
  <c r="F133" i="47"/>
  <c r="F123" i="47"/>
  <c r="C429" i="42" s="1"/>
  <c r="F117" i="47"/>
  <c r="F110" i="47"/>
  <c r="F97" i="47"/>
  <c r="F75" i="47"/>
  <c r="C109" i="52" l="1" a="1"/>
  <c r="C109" i="52" s="1"/>
  <c r="S168" i="47"/>
  <c r="K479" i="42"/>
  <c r="K346" i="42"/>
  <c r="K353" i="42"/>
  <c r="K486" i="42"/>
  <c r="K347" i="42"/>
  <c r="K480" i="42"/>
  <c r="C345" i="42"/>
  <c r="K487" i="42"/>
  <c r="K354" i="42"/>
  <c r="K472" i="42"/>
  <c r="K339" i="42"/>
  <c r="K459" i="42"/>
  <c r="K326" i="42"/>
  <c r="K340" i="42"/>
  <c r="K473" i="42"/>
  <c r="K328" i="42"/>
  <c r="K461" i="42"/>
  <c r="K468" i="42"/>
  <c r="K335" i="42"/>
  <c r="K337" i="42"/>
  <c r="K470" i="42"/>
  <c r="T189" i="47"/>
  <c r="U187" i="47" s="1"/>
  <c r="F149" i="47"/>
  <c r="F94" i="108" s="1"/>
  <c r="F96" i="108" l="1"/>
  <c r="U188" i="47"/>
  <c r="C189" i="52" l="1"/>
  <c r="F226" i="52"/>
  <c r="F225" i="52"/>
  <c r="F224" i="52"/>
  <c r="F223" i="52"/>
  <c r="F221" i="52"/>
  <c r="F217" i="52"/>
  <c r="F216" i="52"/>
  <c r="F215" i="52"/>
  <c r="F214" i="52"/>
  <c r="F213" i="52"/>
  <c r="F212" i="52"/>
  <c r="F211" i="52"/>
  <c r="F209" i="52"/>
  <c r="F208" i="52"/>
  <c r="F207" i="52"/>
  <c r="F206" i="52"/>
  <c r="F205" i="52"/>
  <c r="F204" i="52"/>
  <c r="F203" i="52"/>
  <c r="F202" i="52"/>
  <c r="F201" i="52"/>
  <c r="AJ186" i="52"/>
  <c r="AJ228" i="52" s="1"/>
  <c r="AI186" i="52"/>
  <c r="AI228" i="52" s="1"/>
  <c r="AH186" i="52"/>
  <c r="AH228" i="52" s="1"/>
  <c r="AG186" i="52"/>
  <c r="AG228" i="52" s="1"/>
  <c r="AF186" i="52"/>
  <c r="AF228" i="52" s="1"/>
  <c r="AE186" i="52"/>
  <c r="AE228" i="52" s="1"/>
  <c r="AD186" i="52"/>
  <c r="AD228" i="52" s="1"/>
  <c r="AC186" i="52"/>
  <c r="AC228" i="52" s="1"/>
  <c r="AB186" i="52"/>
  <c r="AB228" i="52" s="1"/>
  <c r="AA186" i="52"/>
  <c r="AA228" i="52" s="1"/>
  <c r="Z186" i="52"/>
  <c r="Z228" i="52" s="1"/>
  <c r="Y186" i="52"/>
  <c r="Y228" i="52" s="1"/>
  <c r="X186" i="52"/>
  <c r="X228" i="52" s="1"/>
  <c r="W186" i="52"/>
  <c r="W228" i="52" s="1"/>
  <c r="V186" i="52"/>
  <c r="V228" i="52" s="1"/>
  <c r="U186" i="52"/>
  <c r="U228" i="52" s="1"/>
  <c r="T186" i="52"/>
  <c r="T228" i="52" s="1"/>
  <c r="S186" i="52"/>
  <c r="S228" i="52" s="1"/>
  <c r="R186" i="52"/>
  <c r="R228" i="52" s="1"/>
  <c r="Q186" i="52"/>
  <c r="Q228" i="52" s="1"/>
  <c r="P186" i="52"/>
  <c r="P228" i="52" s="1"/>
  <c r="O186" i="52"/>
  <c r="O228" i="52" s="1"/>
  <c r="N186" i="52"/>
  <c r="N228" i="52" s="1"/>
  <c r="M186" i="52"/>
  <c r="M228" i="52" s="1"/>
  <c r="K186" i="52"/>
  <c r="K228" i="52" s="1"/>
  <c r="J186" i="52"/>
  <c r="J228" i="52" s="1"/>
  <c r="I186" i="52"/>
  <c r="I228" i="52" s="1"/>
  <c r="H186" i="52"/>
  <c r="H228" i="52" s="1"/>
  <c r="E186" i="52"/>
  <c r="C192" i="52"/>
  <c r="C191" i="52"/>
  <c r="C190" i="52"/>
  <c r="C188" i="52"/>
  <c r="AJ177" i="52"/>
  <c r="AJ198" i="52" s="1"/>
  <c r="AJ219" i="52" s="1"/>
  <c r="AI177" i="52"/>
  <c r="AI198" i="52" s="1"/>
  <c r="AI219" i="52" s="1"/>
  <c r="AH177" i="52"/>
  <c r="AH198" i="52" s="1"/>
  <c r="AH219" i="52" s="1"/>
  <c r="AG177" i="52"/>
  <c r="AG198" i="52" s="1"/>
  <c r="AG219" i="52" s="1"/>
  <c r="AF177" i="52"/>
  <c r="AF198" i="52" s="1"/>
  <c r="AF219" i="52" s="1"/>
  <c r="AE177" i="52"/>
  <c r="AE198" i="52" s="1"/>
  <c r="AE219" i="52" s="1"/>
  <c r="AD177" i="52"/>
  <c r="AD198" i="52" s="1"/>
  <c r="AD219" i="52" s="1"/>
  <c r="AC177" i="52"/>
  <c r="AC198" i="52" s="1"/>
  <c r="AC219" i="52" s="1"/>
  <c r="AC229" i="52" s="1"/>
  <c r="AB177" i="52"/>
  <c r="AB198" i="52" s="1"/>
  <c r="AB219" i="52" s="1"/>
  <c r="AA177" i="52"/>
  <c r="AA198" i="52" s="1"/>
  <c r="AA219" i="52" s="1"/>
  <c r="Z177" i="52"/>
  <c r="Z198" i="52" s="1"/>
  <c r="Z219" i="52" s="1"/>
  <c r="Y177" i="52"/>
  <c r="Y198" i="52" s="1"/>
  <c r="Y219" i="52" s="1"/>
  <c r="X177" i="52"/>
  <c r="X198" i="52" s="1"/>
  <c r="X219" i="52" s="1"/>
  <c r="W177" i="52"/>
  <c r="W198" i="52" s="1"/>
  <c r="W219" i="52" s="1"/>
  <c r="V177" i="52"/>
  <c r="V198" i="52" s="1"/>
  <c r="V219" i="52" s="1"/>
  <c r="U177" i="52"/>
  <c r="U198" i="52" s="1"/>
  <c r="U219" i="52" s="1"/>
  <c r="T177" i="52"/>
  <c r="T198" i="52" s="1"/>
  <c r="T219" i="52" s="1"/>
  <c r="S177" i="52"/>
  <c r="S198" i="52" s="1"/>
  <c r="S219" i="52" s="1"/>
  <c r="R177" i="52"/>
  <c r="R198" i="52" s="1"/>
  <c r="R219" i="52" s="1"/>
  <c r="Q177" i="52"/>
  <c r="Q198" i="52" s="1"/>
  <c r="Q219" i="52" s="1"/>
  <c r="P177" i="52"/>
  <c r="P198" i="52" s="1"/>
  <c r="P219" i="52" s="1"/>
  <c r="O177" i="52"/>
  <c r="O198" i="52" s="1"/>
  <c r="O219" i="52" s="1"/>
  <c r="N177" i="52"/>
  <c r="N198" i="52" s="1"/>
  <c r="N219" i="52" s="1"/>
  <c r="M177" i="52"/>
  <c r="M198" i="52" s="1"/>
  <c r="M219" i="52" s="1"/>
  <c r="L177" i="52"/>
  <c r="L198" i="52" s="1"/>
  <c r="L219" i="52" s="1"/>
  <c r="K177" i="52"/>
  <c r="K198" i="52" s="1"/>
  <c r="K219" i="52" s="1"/>
  <c r="J177" i="52"/>
  <c r="J198" i="52" s="1"/>
  <c r="J219" i="52" s="1"/>
  <c r="I177" i="52"/>
  <c r="I198" i="52" s="1"/>
  <c r="I219" i="52" s="1"/>
  <c r="H177" i="52"/>
  <c r="H198" i="52" s="1"/>
  <c r="H219" i="52" s="1"/>
  <c r="G177" i="52"/>
  <c r="AJ170" i="52"/>
  <c r="AI170" i="52"/>
  <c r="AH170" i="52"/>
  <c r="AG170" i="52"/>
  <c r="AF170" i="52"/>
  <c r="AE170" i="52"/>
  <c r="AD170" i="52"/>
  <c r="AC170" i="52"/>
  <c r="AB170" i="52"/>
  <c r="AA170" i="52"/>
  <c r="Z170" i="52"/>
  <c r="Y170" i="52"/>
  <c r="X170" i="52"/>
  <c r="W170" i="52"/>
  <c r="V170" i="52"/>
  <c r="U170" i="52"/>
  <c r="T170" i="52"/>
  <c r="S170" i="52"/>
  <c r="R170" i="52"/>
  <c r="Q170" i="52"/>
  <c r="P170" i="52"/>
  <c r="O170" i="52"/>
  <c r="N170" i="52"/>
  <c r="M170" i="52"/>
  <c r="L170" i="52"/>
  <c r="K170" i="52"/>
  <c r="J170" i="52"/>
  <c r="I170" i="52"/>
  <c r="H170" i="52"/>
  <c r="G170" i="52"/>
  <c r="F169" i="52"/>
  <c r="F168" i="52"/>
  <c r="F167" i="52"/>
  <c r="F166" i="52"/>
  <c r="F165" i="52"/>
  <c r="F164" i="52"/>
  <c r="AJ161" i="52"/>
  <c r="AI161" i="52"/>
  <c r="AH161" i="52"/>
  <c r="AG161" i="52"/>
  <c r="AF161" i="52"/>
  <c r="AE161" i="52"/>
  <c r="AD161" i="52"/>
  <c r="AC161" i="52"/>
  <c r="AB161" i="52"/>
  <c r="AA161" i="52"/>
  <c r="Z161" i="52"/>
  <c r="Y161" i="52"/>
  <c r="X161" i="52"/>
  <c r="W161" i="52"/>
  <c r="V161" i="52"/>
  <c r="U161" i="52"/>
  <c r="T161" i="52"/>
  <c r="S161" i="52"/>
  <c r="R161" i="52"/>
  <c r="Q161" i="52"/>
  <c r="P161" i="52"/>
  <c r="O161" i="52"/>
  <c r="N161" i="52"/>
  <c r="M161" i="52"/>
  <c r="L161" i="52"/>
  <c r="K161" i="52"/>
  <c r="J161" i="52"/>
  <c r="I161" i="52"/>
  <c r="H161" i="52"/>
  <c r="G161" i="52"/>
  <c r="F160" i="52"/>
  <c r="F159" i="52"/>
  <c r="F158" i="52"/>
  <c r="F157" i="52"/>
  <c r="F156" i="52"/>
  <c r="F155" i="52"/>
  <c r="F154" i="52"/>
  <c r="F153" i="52"/>
  <c r="F152" i="52"/>
  <c r="F151" i="52"/>
  <c r="F150" i="52"/>
  <c r="F149" i="52"/>
  <c r="F148" i="52"/>
  <c r="AJ145" i="52"/>
  <c r="AI145" i="52"/>
  <c r="AH145" i="52"/>
  <c r="AG145" i="52"/>
  <c r="AF145" i="52"/>
  <c r="AE145" i="52"/>
  <c r="AD145" i="52"/>
  <c r="AC145" i="52"/>
  <c r="AB145" i="52"/>
  <c r="AA145" i="52"/>
  <c r="Z145" i="52"/>
  <c r="Y145" i="52"/>
  <c r="X145" i="52"/>
  <c r="W145" i="52"/>
  <c r="V145" i="52"/>
  <c r="U145" i="52"/>
  <c r="T145" i="52"/>
  <c r="S145" i="52"/>
  <c r="R145" i="52"/>
  <c r="Q145" i="52"/>
  <c r="P145" i="52"/>
  <c r="O145" i="52"/>
  <c r="N145" i="52"/>
  <c r="M145" i="52"/>
  <c r="L145" i="52"/>
  <c r="K145" i="52"/>
  <c r="J145" i="52"/>
  <c r="I145" i="52"/>
  <c r="H145" i="52"/>
  <c r="G145" i="52"/>
  <c r="F144" i="52"/>
  <c r="F143" i="52"/>
  <c r="F142" i="52"/>
  <c r="F141" i="52"/>
  <c r="F140" i="52"/>
  <c r="F139" i="52"/>
  <c r="AJ137" i="52"/>
  <c r="AI137" i="52"/>
  <c r="AH137" i="52"/>
  <c r="AG137" i="52"/>
  <c r="AF137" i="52"/>
  <c r="AE137" i="52"/>
  <c r="AD137" i="52"/>
  <c r="AC137" i="52"/>
  <c r="AB137" i="52"/>
  <c r="AA137" i="52"/>
  <c r="AA146" i="52" s="1"/>
  <c r="Z137" i="52"/>
  <c r="Y137" i="52"/>
  <c r="X137" i="52"/>
  <c r="W137" i="52"/>
  <c r="V137" i="52"/>
  <c r="U137" i="52"/>
  <c r="T137" i="52"/>
  <c r="S137" i="52"/>
  <c r="R137" i="52"/>
  <c r="Q137" i="52"/>
  <c r="Q146" i="52" s="1"/>
  <c r="P137" i="52"/>
  <c r="O137" i="52"/>
  <c r="N137" i="52"/>
  <c r="M137" i="52"/>
  <c r="L137" i="52"/>
  <c r="K137" i="52"/>
  <c r="J137" i="52"/>
  <c r="I137" i="52"/>
  <c r="I146" i="52" s="1"/>
  <c r="H137" i="52"/>
  <c r="G137" i="52"/>
  <c r="F136" i="52"/>
  <c r="F135" i="52"/>
  <c r="F134" i="52"/>
  <c r="F133" i="52"/>
  <c r="AJ130" i="52"/>
  <c r="AI130" i="52"/>
  <c r="AH130" i="52"/>
  <c r="AG130" i="52"/>
  <c r="AF130" i="52"/>
  <c r="AE130" i="52"/>
  <c r="AD130" i="52"/>
  <c r="AC130" i="52"/>
  <c r="AB130" i="52"/>
  <c r="AA130" i="52"/>
  <c r="Z130" i="52"/>
  <c r="Y130" i="52"/>
  <c r="X130" i="52"/>
  <c r="W130" i="52"/>
  <c r="V130" i="52"/>
  <c r="U130" i="52"/>
  <c r="T130" i="52"/>
  <c r="S130" i="52"/>
  <c r="R130" i="52"/>
  <c r="Q130" i="52"/>
  <c r="P130" i="52"/>
  <c r="O130" i="52"/>
  <c r="N130" i="52"/>
  <c r="M130" i="52"/>
  <c r="L130" i="52"/>
  <c r="K130" i="52"/>
  <c r="J130" i="52"/>
  <c r="I130" i="52"/>
  <c r="H130" i="52"/>
  <c r="G130" i="52"/>
  <c r="F129" i="52"/>
  <c r="F128" i="52"/>
  <c r="F127" i="52"/>
  <c r="F126" i="52"/>
  <c r="F125" i="52"/>
  <c r="F124" i="52"/>
  <c r="F123" i="52"/>
  <c r="F122"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19" i="52"/>
  <c r="F118" i="52"/>
  <c r="F117" i="52"/>
  <c r="F116"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3" i="52"/>
  <c r="F112" i="52"/>
  <c r="F111" i="52"/>
  <c r="F110" i="52"/>
  <c r="F109"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6" i="52"/>
  <c r="F105" i="52"/>
  <c r="F104" i="52"/>
  <c r="F103" i="52"/>
  <c r="F102" i="52"/>
  <c r="F101" i="52"/>
  <c r="F100" i="52"/>
  <c r="F99" i="52"/>
  <c r="F98" i="52"/>
  <c r="F94" i="52"/>
  <c r="F93" i="52"/>
  <c r="F92" i="52"/>
  <c r="F91" i="52"/>
  <c r="F90" i="52"/>
  <c r="F89" i="52"/>
  <c r="F88" i="52"/>
  <c r="F87" i="52"/>
  <c r="F86" i="52"/>
  <c r="F85" i="52"/>
  <c r="F82" i="52"/>
  <c r="F81" i="52"/>
  <c r="F80" i="52"/>
  <c r="F79" i="52"/>
  <c r="F77" i="52"/>
  <c r="F76" i="52"/>
  <c r="F75"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2" i="52"/>
  <c r="F73" i="52" s="1"/>
  <c r="AJ70" i="52"/>
  <c r="AI70" i="52"/>
  <c r="AH70" i="52"/>
  <c r="AG70" i="52"/>
  <c r="AF70" i="52"/>
  <c r="AE70" i="52"/>
  <c r="AD70" i="52"/>
  <c r="AC70" i="52"/>
  <c r="AB70" i="52"/>
  <c r="AA70" i="52"/>
  <c r="Z70" i="52"/>
  <c r="Y70" i="52"/>
  <c r="X70" i="52"/>
  <c r="W70" i="52"/>
  <c r="V70" i="52"/>
  <c r="U70" i="52"/>
  <c r="T70" i="52"/>
  <c r="S70" i="52"/>
  <c r="R70" i="52"/>
  <c r="Q70" i="52"/>
  <c r="P70" i="52"/>
  <c r="O70" i="52"/>
  <c r="N70" i="52"/>
  <c r="M70" i="52"/>
  <c r="L70" i="52"/>
  <c r="K70" i="52"/>
  <c r="J70" i="52"/>
  <c r="I70" i="52"/>
  <c r="H70" i="52"/>
  <c r="G70" i="52"/>
  <c r="F69" i="52"/>
  <c r="F68" i="52"/>
  <c r="F67" i="52"/>
  <c r="F66" i="52"/>
  <c r="F65" i="52"/>
  <c r="F64" i="52"/>
  <c r="F63" i="52"/>
  <c r="AJ60" i="52"/>
  <c r="AI60" i="52"/>
  <c r="AH60" i="52"/>
  <c r="AG60" i="52"/>
  <c r="AF60" i="52"/>
  <c r="AE60" i="52"/>
  <c r="AD60" i="52"/>
  <c r="AC60" i="52"/>
  <c r="AB60" i="52"/>
  <c r="AA60" i="52"/>
  <c r="Z60" i="52"/>
  <c r="Y60" i="52"/>
  <c r="X60" i="52"/>
  <c r="W59" i="52"/>
  <c r="W60" i="52" s="1"/>
  <c r="V59" i="52"/>
  <c r="T59" i="52"/>
  <c r="S59" i="52"/>
  <c r="R59" i="52"/>
  <c r="P59" i="52"/>
  <c r="O59" i="52"/>
  <c r="N59" i="52"/>
  <c r="L59" i="52"/>
  <c r="K59" i="52"/>
  <c r="J59" i="52"/>
  <c r="H59" i="52"/>
  <c r="G59" i="52"/>
  <c r="U59" i="52"/>
  <c r="V58" i="52"/>
  <c r="T58" i="52"/>
  <c r="R58" i="52"/>
  <c r="P58" i="52"/>
  <c r="N58" i="52"/>
  <c r="L58" i="52"/>
  <c r="J58" i="52"/>
  <c r="H58" i="52"/>
  <c r="U58" i="52"/>
  <c r="W54" i="52"/>
  <c r="S54" i="52"/>
  <c r="O54" i="52"/>
  <c r="K54" i="52"/>
  <c r="G54" i="52"/>
  <c r="V54" i="52"/>
  <c r="F53" i="52"/>
  <c r="S52" i="52"/>
  <c r="O52" i="52"/>
  <c r="K52" i="52"/>
  <c r="G52" i="52"/>
  <c r="V52" i="52"/>
  <c r="V51" i="52"/>
  <c r="T51" i="52"/>
  <c r="R51" i="52"/>
  <c r="P51" i="52"/>
  <c r="N51" i="52"/>
  <c r="L51" i="52"/>
  <c r="J51" i="52"/>
  <c r="H51" i="52"/>
  <c r="U51" i="52"/>
  <c r="T50" i="52"/>
  <c r="S49" i="52"/>
  <c r="O49" i="52"/>
  <c r="K49" i="52"/>
  <c r="G49" i="52"/>
  <c r="V49" i="52"/>
  <c r="F45" i="52"/>
  <c r="F44" i="52"/>
  <c r="F43" i="52"/>
  <c r="F42" i="52"/>
  <c r="F41" i="52"/>
  <c r="F40" i="52"/>
  <c r="F39" i="52"/>
  <c r="F36" i="52"/>
  <c r="F35" i="52"/>
  <c r="F34" i="52"/>
  <c r="F33" i="52"/>
  <c r="F32" i="52"/>
  <c r="F31" i="52"/>
  <c r="F28" i="52"/>
  <c r="F26" i="52"/>
  <c r="F18" i="52"/>
  <c r="F17" i="52"/>
  <c r="F16" i="52"/>
  <c r="F15" i="52"/>
  <c r="AJ13" i="52"/>
  <c r="AJ245" i="52" s="1"/>
  <c r="AI13" i="52"/>
  <c r="AI245" i="52" s="1"/>
  <c r="AH13" i="52"/>
  <c r="AH245" i="52" s="1"/>
  <c r="AG13" i="52"/>
  <c r="AG245" i="52" s="1"/>
  <c r="AF13" i="52"/>
  <c r="AF245" i="52" s="1"/>
  <c r="AE13" i="52"/>
  <c r="AE245" i="52" s="1"/>
  <c r="AD13" i="52"/>
  <c r="AD245" i="52" s="1"/>
  <c r="AC13" i="52"/>
  <c r="AC245" i="52" s="1"/>
  <c r="AB13" i="52"/>
  <c r="AB245" i="52" s="1"/>
  <c r="AA13" i="52"/>
  <c r="AA245" i="52" s="1"/>
  <c r="Z13" i="52"/>
  <c r="Z245" i="52" s="1"/>
  <c r="Y13" i="52"/>
  <c r="Y245" i="52" s="1"/>
  <c r="X13" i="52"/>
  <c r="X245" i="52" s="1"/>
  <c r="W13" i="52"/>
  <c r="W245" i="52" s="1"/>
  <c r="V13" i="52"/>
  <c r="V245" i="52" s="1"/>
  <c r="U13" i="52"/>
  <c r="U245" i="52" s="1"/>
  <c r="T13" i="52"/>
  <c r="T245" i="52" s="1"/>
  <c r="S13" i="52"/>
  <c r="S245" i="52" s="1"/>
  <c r="R13" i="52"/>
  <c r="R245" i="52" s="1"/>
  <c r="Q13" i="52"/>
  <c r="Q245" i="52" s="1"/>
  <c r="P13" i="52"/>
  <c r="P245" i="52" s="1"/>
  <c r="O13" i="52"/>
  <c r="O245" i="52" s="1"/>
  <c r="N13" i="52"/>
  <c r="N245" i="52" s="1"/>
  <c r="M13" i="52"/>
  <c r="M245" i="52" s="1"/>
  <c r="L13" i="52"/>
  <c r="L245" i="52" s="1"/>
  <c r="K13" i="52"/>
  <c r="K245" i="52" s="1"/>
  <c r="J13" i="52"/>
  <c r="J245" i="52" s="1"/>
  <c r="I13" i="52"/>
  <c r="I245" i="52" s="1"/>
  <c r="H13" i="52"/>
  <c r="H245" i="52" s="1"/>
  <c r="G13" i="52"/>
  <c r="G245" i="52" s="1"/>
  <c r="G12" i="52"/>
  <c r="H12" i="52" s="1"/>
  <c r="I12" i="52" s="1"/>
  <c r="J12" i="52" s="1"/>
  <c r="K12" i="52" s="1"/>
  <c r="L12" i="52" s="1"/>
  <c r="M12" i="52" s="1"/>
  <c r="N12" i="52" s="1"/>
  <c r="O12" i="52" s="1"/>
  <c r="P12" i="52" s="1"/>
  <c r="Q12" i="52" s="1"/>
  <c r="R12" i="52" s="1"/>
  <c r="S12" i="52" s="1"/>
  <c r="T12" i="52" s="1"/>
  <c r="U12" i="52" s="1"/>
  <c r="V12" i="52" s="1"/>
  <c r="W12" i="52" s="1"/>
  <c r="X12" i="52" s="1"/>
  <c r="Y12" i="52" s="1"/>
  <c r="Z12" i="52" s="1"/>
  <c r="AA12" i="52" s="1"/>
  <c r="AB12" i="52" s="1"/>
  <c r="AC12" i="52" s="1"/>
  <c r="AD12" i="52" s="1"/>
  <c r="AE12" i="52" s="1"/>
  <c r="AF12" i="52" s="1"/>
  <c r="AG12" i="52" s="1"/>
  <c r="AH12" i="52" s="1"/>
  <c r="AI12" i="52" s="1"/>
  <c r="AJ12" i="52" s="1"/>
  <c r="F66" i="49"/>
  <c r="G66" i="49" s="1"/>
  <c r="H66" i="49" s="1"/>
  <c r="I66" i="49" s="1"/>
  <c r="J66" i="49" s="1"/>
  <c r="K66" i="49" s="1"/>
  <c r="L66" i="49" s="1"/>
  <c r="M66" i="49" s="1"/>
  <c r="N66" i="49" s="1"/>
  <c r="O66" i="49" s="1"/>
  <c r="P66" i="49" s="1"/>
  <c r="Q66" i="49" s="1"/>
  <c r="R66" i="49" s="1"/>
  <c r="S66" i="49" s="1"/>
  <c r="T66" i="49" s="1"/>
  <c r="U66" i="49" s="1"/>
  <c r="V66" i="49" s="1"/>
  <c r="W66" i="49" s="1"/>
  <c r="X66" i="49" s="1"/>
  <c r="Y66" i="49" s="1"/>
  <c r="Z66" i="49" s="1"/>
  <c r="AA66" i="49" s="1"/>
  <c r="AB66" i="49" s="1"/>
  <c r="AC66" i="49" s="1"/>
  <c r="AD66" i="49" s="1"/>
  <c r="AE66" i="49" s="1"/>
  <c r="AF66" i="49" s="1"/>
  <c r="AG66" i="49" s="1"/>
  <c r="AH66" i="49" s="1"/>
  <c r="AI66" i="49" s="1"/>
  <c r="AJ66" i="49" s="1"/>
  <c r="AK66" i="49" s="1"/>
  <c r="AL66" i="49" s="1"/>
  <c r="D21" i="49"/>
  <c r="D20" i="49"/>
  <c r="E65" i="49" s="1"/>
  <c r="F65" i="49" s="1"/>
  <c r="G65" i="49" s="1"/>
  <c r="H65" i="49" s="1"/>
  <c r="I65" i="49" s="1"/>
  <c r="J65" i="49" s="1"/>
  <c r="K65" i="49" s="1"/>
  <c r="L65" i="49" s="1"/>
  <c r="M65" i="49" s="1"/>
  <c r="N65" i="49" s="1"/>
  <c r="O65" i="49" s="1"/>
  <c r="P65" i="49" s="1"/>
  <c r="Q65" i="49" s="1"/>
  <c r="R65" i="49" s="1"/>
  <c r="S65" i="49" s="1"/>
  <c r="T65" i="49" s="1"/>
  <c r="U65" i="49" s="1"/>
  <c r="V65" i="49" s="1"/>
  <c r="W65" i="49" s="1"/>
  <c r="X65" i="49" s="1"/>
  <c r="Y65" i="49" s="1"/>
  <c r="Z65" i="49" s="1"/>
  <c r="AA65" i="49" s="1"/>
  <c r="AB65" i="49" s="1"/>
  <c r="AC65" i="49" s="1"/>
  <c r="AD65" i="49" s="1"/>
  <c r="AE65" i="49" s="1"/>
  <c r="AF65" i="49" s="1"/>
  <c r="AG65" i="49" s="1"/>
  <c r="AH65" i="49" s="1"/>
  <c r="AI65" i="49" s="1"/>
  <c r="AJ65" i="49" s="1"/>
  <c r="AK65" i="49" s="1"/>
  <c r="AL65" i="49" s="1"/>
  <c r="I13" i="49"/>
  <c r="D85" i="48"/>
  <c r="G82" i="108" s="1"/>
  <c r="F59" i="48"/>
  <c r="D59" i="48" s="1"/>
  <c r="F49" i="48"/>
  <c r="D49" i="48" s="1"/>
  <c r="G80" i="108" s="1"/>
  <c r="D36" i="48"/>
  <c r="G79" i="108" s="1"/>
  <c r="D28" i="48"/>
  <c r="G78" i="108" s="1"/>
  <c r="D12" i="48"/>
  <c r="G76" i="108" s="1"/>
  <c r="P20" i="46"/>
  <c r="P19" i="46"/>
  <c r="P18" i="46"/>
  <c r="P16" i="46"/>
  <c r="P15" i="46"/>
  <c r="P14" i="46"/>
  <c r="P13" i="46"/>
  <c r="P12" i="46"/>
  <c r="P11" i="46"/>
  <c r="G81" i="108" l="1"/>
  <c r="D80" i="49"/>
  <c r="E80" i="49" s="1"/>
  <c r="F80" i="49" s="1"/>
  <c r="G80" i="49" s="1"/>
  <c r="H80" i="49" s="1"/>
  <c r="I80" i="49" s="1"/>
  <c r="J80" i="49" s="1"/>
  <c r="K80" i="49" s="1"/>
  <c r="L80" i="49" s="1"/>
  <c r="M80" i="49" s="1"/>
  <c r="N80" i="49" s="1"/>
  <c r="O80" i="49" s="1"/>
  <c r="P80" i="49" s="1"/>
  <c r="Q80" i="49" s="1"/>
  <c r="R80" i="49" s="1"/>
  <c r="S80" i="49" s="1"/>
  <c r="T80" i="49" s="1"/>
  <c r="U80" i="49" s="1"/>
  <c r="V80" i="49" s="1"/>
  <c r="W80" i="49" s="1"/>
  <c r="X80" i="49" s="1"/>
  <c r="Y80" i="49" s="1"/>
  <c r="Z80" i="49" s="1"/>
  <c r="AA80" i="49" s="1"/>
  <c r="AB80" i="49" s="1"/>
  <c r="AC80" i="49" s="1"/>
  <c r="AD80" i="49" s="1"/>
  <c r="AE80" i="49" s="1"/>
  <c r="AF80" i="49" s="1"/>
  <c r="AG80" i="49" s="1"/>
  <c r="AH80" i="49" s="1"/>
  <c r="AI80" i="49" s="1"/>
  <c r="AJ80" i="49" s="1"/>
  <c r="AK80" i="49" s="1"/>
  <c r="AL80" i="49" s="1"/>
  <c r="D81" i="49"/>
  <c r="E81" i="49" s="1"/>
  <c r="F81" i="49" s="1"/>
  <c r="G81" i="49" s="1"/>
  <c r="H81" i="49" s="1"/>
  <c r="I81" i="49" s="1"/>
  <c r="J81" i="49" s="1"/>
  <c r="K81" i="49" s="1"/>
  <c r="L81" i="49" s="1"/>
  <c r="M81" i="49" s="1"/>
  <c r="N81" i="49" s="1"/>
  <c r="O81" i="49" s="1"/>
  <c r="P81" i="49" s="1"/>
  <c r="Q81" i="49" s="1"/>
  <c r="R81" i="49" s="1"/>
  <c r="S81" i="49" s="1"/>
  <c r="T81" i="49" s="1"/>
  <c r="U81" i="49" s="1"/>
  <c r="V81" i="49" s="1"/>
  <c r="W81" i="49" s="1"/>
  <c r="X81" i="49" s="1"/>
  <c r="Y81" i="49" s="1"/>
  <c r="Z81" i="49" s="1"/>
  <c r="AA81" i="49" s="1"/>
  <c r="AB81" i="49" s="1"/>
  <c r="AC81" i="49" s="1"/>
  <c r="AD81" i="49" s="1"/>
  <c r="AE81" i="49" s="1"/>
  <c r="AF81" i="49" s="1"/>
  <c r="AG81" i="49" s="1"/>
  <c r="AH81" i="49" s="1"/>
  <c r="AI81" i="49" s="1"/>
  <c r="AJ81" i="49" s="1"/>
  <c r="AK81" i="49" s="1"/>
  <c r="AL81" i="49" s="1"/>
  <c r="D76" i="49"/>
  <c r="E76" i="49" s="1"/>
  <c r="F76" i="49" s="1"/>
  <c r="G76" i="49" s="1"/>
  <c r="H76" i="49" s="1"/>
  <c r="I76" i="49" s="1"/>
  <c r="J76" i="49" s="1"/>
  <c r="K76" i="49" s="1"/>
  <c r="L76" i="49" s="1"/>
  <c r="M76" i="49" s="1"/>
  <c r="N76" i="49" s="1"/>
  <c r="O76" i="49" s="1"/>
  <c r="P76" i="49" s="1"/>
  <c r="Q76" i="49" s="1"/>
  <c r="R76" i="49" s="1"/>
  <c r="S76" i="49" s="1"/>
  <c r="T76" i="49" s="1"/>
  <c r="U76" i="49" s="1"/>
  <c r="V76" i="49" s="1"/>
  <c r="W76" i="49" s="1"/>
  <c r="X76" i="49" s="1"/>
  <c r="Y76" i="49" s="1"/>
  <c r="Z76" i="49" s="1"/>
  <c r="AA76" i="49" s="1"/>
  <c r="AB76" i="49" s="1"/>
  <c r="AC76" i="49" s="1"/>
  <c r="AD76" i="49" s="1"/>
  <c r="AE76" i="49" s="1"/>
  <c r="AF76" i="49" s="1"/>
  <c r="AG76" i="49" s="1"/>
  <c r="AH76" i="49" s="1"/>
  <c r="AI76" i="49" s="1"/>
  <c r="AJ76" i="49" s="1"/>
  <c r="AK76" i="49" s="1"/>
  <c r="AL76" i="49" s="1"/>
  <c r="G198" i="52"/>
  <c r="G219" i="52" s="1"/>
  <c r="E167" i="49"/>
  <c r="F88" i="48"/>
  <c r="L25" i="46"/>
  <c r="H146" i="52"/>
  <c r="M146" i="52"/>
  <c r="O146" i="52"/>
  <c r="P146" i="52"/>
  <c r="W146" i="52"/>
  <c r="G528" i="42"/>
  <c r="V146" i="52"/>
  <c r="J146" i="52"/>
  <c r="R146" i="52"/>
  <c r="Z146" i="52"/>
  <c r="AH146" i="52"/>
  <c r="G524" i="42"/>
  <c r="D74" i="49"/>
  <c r="E74" i="49" s="1"/>
  <c r="F74" i="49" s="1"/>
  <c r="G74" i="49" s="1"/>
  <c r="H74" i="49" s="1"/>
  <c r="I74" i="49" s="1"/>
  <c r="J74" i="49" s="1"/>
  <c r="K74" i="49" s="1"/>
  <c r="L74" i="49" s="1"/>
  <c r="M74" i="49" s="1"/>
  <c r="N74" i="49" s="1"/>
  <c r="O74" i="49" s="1"/>
  <c r="P74" i="49" s="1"/>
  <c r="Q74" i="49" s="1"/>
  <c r="R74" i="49" s="1"/>
  <c r="S74" i="49" s="1"/>
  <c r="T74" i="49" s="1"/>
  <c r="U74" i="49" s="1"/>
  <c r="V74" i="49" s="1"/>
  <c r="W74" i="49" s="1"/>
  <c r="X74" i="49" s="1"/>
  <c r="Y74" i="49" s="1"/>
  <c r="Z74" i="49" s="1"/>
  <c r="AA74" i="49" s="1"/>
  <c r="G525" i="42"/>
  <c r="E75" i="49"/>
  <c r="F75" i="49" s="1"/>
  <c r="G75" i="49" s="1"/>
  <c r="H75" i="49" s="1"/>
  <c r="I75" i="49" s="1"/>
  <c r="J75" i="49" s="1"/>
  <c r="K75" i="49" s="1"/>
  <c r="L75" i="49" s="1"/>
  <c r="M75" i="49" s="1"/>
  <c r="N75" i="49" s="1"/>
  <c r="O75" i="49" s="1"/>
  <c r="P75" i="49" s="1"/>
  <c r="Q75" i="49" s="1"/>
  <c r="R75" i="49" s="1"/>
  <c r="S75" i="49" s="1"/>
  <c r="T75" i="49" s="1"/>
  <c r="U75" i="49" s="1"/>
  <c r="V75" i="49" s="1"/>
  <c r="W75" i="49" s="1"/>
  <c r="X75" i="49" s="1"/>
  <c r="Y75" i="49" s="1"/>
  <c r="Z75" i="49" s="1"/>
  <c r="G526" i="42"/>
  <c r="D77" i="49"/>
  <c r="E77" i="49" s="1"/>
  <c r="F77" i="49" s="1"/>
  <c r="G77" i="49" s="1"/>
  <c r="H77" i="49" s="1"/>
  <c r="I77" i="49" s="1"/>
  <c r="J77" i="49" s="1"/>
  <c r="K77" i="49" s="1"/>
  <c r="L77" i="49" s="1"/>
  <c r="M77" i="49" s="1"/>
  <c r="N77" i="49" s="1"/>
  <c r="O77" i="49" s="1"/>
  <c r="P77" i="49" s="1"/>
  <c r="Q77" i="49" s="1"/>
  <c r="R77" i="49" s="1"/>
  <c r="S77" i="49" s="1"/>
  <c r="T77" i="49" s="1"/>
  <c r="U77" i="49" s="1"/>
  <c r="V77" i="49" s="1"/>
  <c r="W77" i="49" s="1"/>
  <c r="X77" i="49" s="1"/>
  <c r="Y77" i="49" s="1"/>
  <c r="Z77" i="49" s="1"/>
  <c r="AA77" i="49" s="1"/>
  <c r="AB77" i="49" s="1"/>
  <c r="AC77" i="49" s="1"/>
  <c r="AD77" i="49" s="1"/>
  <c r="AE77" i="49" s="1"/>
  <c r="AF77" i="49" s="1"/>
  <c r="AG77" i="49" s="1"/>
  <c r="AH77" i="49" s="1"/>
  <c r="AI77" i="49" s="1"/>
  <c r="AJ77" i="49" s="1"/>
  <c r="AK77" i="49" s="1"/>
  <c r="AL77" i="49" s="1"/>
  <c r="G527" i="42"/>
  <c r="D78" i="49"/>
  <c r="E78" i="49" s="1"/>
  <c r="F78" i="49" s="1"/>
  <c r="G78" i="49" s="1"/>
  <c r="H78" i="49" s="1"/>
  <c r="I78" i="49" s="1"/>
  <c r="J78" i="49" s="1"/>
  <c r="K78" i="49" s="1"/>
  <c r="L78" i="49" s="1"/>
  <c r="M78" i="49" s="1"/>
  <c r="N78" i="49" s="1"/>
  <c r="O78" i="49" s="1"/>
  <c r="P78" i="49" s="1"/>
  <c r="Q78" i="49" s="1"/>
  <c r="R78" i="49" s="1"/>
  <c r="S78" i="49" s="1"/>
  <c r="T78" i="49" s="1"/>
  <c r="U78" i="49" s="1"/>
  <c r="V78" i="49" s="1"/>
  <c r="W78" i="49" s="1"/>
  <c r="X78" i="49" s="1"/>
  <c r="Y78" i="49" s="1"/>
  <c r="Z78" i="49" s="1"/>
  <c r="AA78" i="49" s="1"/>
  <c r="AB78" i="49" s="1"/>
  <c r="AC78" i="49" s="1"/>
  <c r="AD78" i="49" s="1"/>
  <c r="AE78" i="49" s="1"/>
  <c r="AF78" i="49" s="1"/>
  <c r="AG78" i="49" s="1"/>
  <c r="AH78" i="49" s="1"/>
  <c r="AI78" i="49" s="1"/>
  <c r="AJ78" i="49" s="1"/>
  <c r="AK78" i="49" s="1"/>
  <c r="AL78" i="49" s="1"/>
  <c r="AD56" i="52"/>
  <c r="G146" i="52"/>
  <c r="N60" i="52"/>
  <c r="U60" i="52"/>
  <c r="P60" i="52"/>
  <c r="F37" i="52"/>
  <c r="O229" i="52"/>
  <c r="F120" i="52"/>
  <c r="F137" i="52"/>
  <c r="AE56" i="52"/>
  <c r="J60" i="52"/>
  <c r="R60" i="52"/>
  <c r="AF56" i="52"/>
  <c r="H60" i="52"/>
  <c r="AG146" i="52"/>
  <c r="F19" i="52"/>
  <c r="AG56" i="52"/>
  <c r="T60" i="52"/>
  <c r="F47" i="52"/>
  <c r="Z56" i="52"/>
  <c r="AH56" i="52"/>
  <c r="AE146" i="52"/>
  <c r="K146" i="52"/>
  <c r="S146" i="52"/>
  <c r="X229" i="52"/>
  <c r="AA56" i="52"/>
  <c r="AI56" i="52"/>
  <c r="L60" i="52"/>
  <c r="F114" i="52"/>
  <c r="L146" i="52"/>
  <c r="AB56" i="52"/>
  <c r="F107" i="52"/>
  <c r="AJ56" i="52"/>
  <c r="AC56" i="52"/>
  <c r="N146" i="52"/>
  <c r="AD146" i="52"/>
  <c r="G529" i="42"/>
  <c r="C602" i="42"/>
  <c r="D602" i="42" s="1"/>
  <c r="Q11" i="46"/>
  <c r="AG229" i="52"/>
  <c r="I50" i="52"/>
  <c r="U50" i="52"/>
  <c r="H49" i="52"/>
  <c r="L49" i="52"/>
  <c r="P49" i="52"/>
  <c r="T49" i="52"/>
  <c r="J50" i="52"/>
  <c r="N50" i="52"/>
  <c r="R50" i="52"/>
  <c r="V50" i="52"/>
  <c r="G51" i="52"/>
  <c r="K51" i="52"/>
  <c r="O51" i="52"/>
  <c r="S51" i="52"/>
  <c r="W51" i="52"/>
  <c r="H52" i="52"/>
  <c r="L52" i="52"/>
  <c r="P52" i="52"/>
  <c r="T52" i="52"/>
  <c r="H54" i="52"/>
  <c r="L54" i="52"/>
  <c r="P54" i="52"/>
  <c r="T54" i="52"/>
  <c r="X54" i="52"/>
  <c r="G58" i="52"/>
  <c r="K58" i="52"/>
  <c r="K60" i="52" s="1"/>
  <c r="O58" i="52"/>
  <c r="O60" i="52" s="1"/>
  <c r="S58" i="52"/>
  <c r="S60" i="52" s="1"/>
  <c r="I59" i="52"/>
  <c r="M59" i="52"/>
  <c r="Q59" i="52"/>
  <c r="Q229" i="52"/>
  <c r="I49" i="52"/>
  <c r="M49" i="52"/>
  <c r="Q49" i="52"/>
  <c r="U49" i="52"/>
  <c r="G50" i="52"/>
  <c r="K50" i="52"/>
  <c r="K55" i="52" s="1"/>
  <c r="O50" i="52"/>
  <c r="S50" i="52"/>
  <c r="W50" i="52"/>
  <c r="I52" i="52"/>
  <c r="M52" i="52"/>
  <c r="Q52" i="52"/>
  <c r="U52" i="52"/>
  <c r="I54" i="52"/>
  <c r="M54" i="52"/>
  <c r="Q54" i="52"/>
  <c r="U54" i="52"/>
  <c r="Y54" i="52"/>
  <c r="V60" i="52"/>
  <c r="F95" i="52"/>
  <c r="I229" i="52"/>
  <c r="M229" i="52"/>
  <c r="U229" i="52"/>
  <c r="Y229" i="52"/>
  <c r="K229" i="52"/>
  <c r="AA229" i="52"/>
  <c r="M50" i="52"/>
  <c r="Q50" i="52"/>
  <c r="J49" i="52"/>
  <c r="N49" i="52"/>
  <c r="R49" i="52"/>
  <c r="H50" i="52"/>
  <c r="L50" i="52"/>
  <c r="P50" i="52"/>
  <c r="I51" i="52"/>
  <c r="M51" i="52"/>
  <c r="Q51" i="52"/>
  <c r="J52" i="52"/>
  <c r="N52" i="52"/>
  <c r="R52" i="52"/>
  <c r="J54" i="52"/>
  <c r="N54" i="52"/>
  <c r="R54" i="52"/>
  <c r="I58" i="52"/>
  <c r="M58" i="52"/>
  <c r="Q58" i="52"/>
  <c r="F70" i="52"/>
  <c r="G96" i="52"/>
  <c r="F130" i="52"/>
  <c r="F145" i="52"/>
  <c r="U146" i="52"/>
  <c r="Y146" i="52"/>
  <c r="AC146" i="52"/>
  <c r="J229" i="52"/>
  <c r="N229" i="52"/>
  <c r="R229" i="52"/>
  <c r="Z229" i="52"/>
  <c r="AD229" i="52"/>
  <c r="AH229" i="52"/>
  <c r="AE229" i="52"/>
  <c r="F200" i="52"/>
  <c r="S229" i="52"/>
  <c r="AI146" i="52"/>
  <c r="F170" i="52"/>
  <c r="AI229" i="52"/>
  <c r="L229" i="52"/>
  <c r="G229" i="52"/>
  <c r="T146" i="52"/>
  <c r="X146" i="52"/>
  <c r="AB146" i="52"/>
  <c r="AF146" i="52"/>
  <c r="AJ146" i="52"/>
  <c r="F161" i="52"/>
  <c r="H229" i="52"/>
  <c r="P229" i="52"/>
  <c r="T229" i="52"/>
  <c r="AB229" i="52"/>
  <c r="AF229" i="52"/>
  <c r="AJ229" i="52"/>
  <c r="W229" i="52"/>
  <c r="G186" i="52"/>
  <c r="G228" i="52" s="1"/>
  <c r="G231" i="52" s="1"/>
  <c r="H231" i="52" s="1"/>
  <c r="I231" i="52" s="1"/>
  <c r="J231" i="52" s="1"/>
  <c r="K231" i="52" s="1"/>
  <c r="L186" i="52"/>
  <c r="L228" i="52" s="1"/>
  <c r="V229" i="52"/>
  <c r="D88" i="48"/>
  <c r="G84" i="108" s="1"/>
  <c r="F129" i="45"/>
  <c r="K113" i="45"/>
  <c r="J113" i="45"/>
  <c r="K112" i="45"/>
  <c r="J112" i="45"/>
  <c r="K111" i="45"/>
  <c r="J111" i="45"/>
  <c r="K110" i="45"/>
  <c r="J110" i="45"/>
  <c r="K109" i="45"/>
  <c r="J109" i="45"/>
  <c r="K108" i="45"/>
  <c r="J108" i="45"/>
  <c r="K107" i="45"/>
  <c r="J107" i="45"/>
  <c r="K106" i="45"/>
  <c r="J106" i="45"/>
  <c r="K105" i="45"/>
  <c r="J105" i="45"/>
  <c r="K104" i="45"/>
  <c r="J104" i="45"/>
  <c r="P98" i="45"/>
  <c r="O98" i="45"/>
  <c r="M98" i="45"/>
  <c r="P97" i="45"/>
  <c r="O97" i="45"/>
  <c r="M97" i="45"/>
  <c r="P96" i="45"/>
  <c r="O96" i="45"/>
  <c r="M96" i="45"/>
  <c r="BE65" i="45"/>
  <c r="AY65" i="45"/>
  <c r="AZ65" i="45" s="1"/>
  <c r="BA65" i="45" s="1"/>
  <c r="AV65" i="45"/>
  <c r="AW65" i="45" s="1"/>
  <c r="AS65" i="45"/>
  <c r="AE65" i="45"/>
  <c r="AD65" i="45"/>
  <c r="BB65" i="45" s="1"/>
  <c r="S65" i="45"/>
  <c r="P65" i="45"/>
  <c r="L65" i="45"/>
  <c r="BE64" i="45"/>
  <c r="AY64" i="45"/>
  <c r="AZ64" i="45" s="1"/>
  <c r="BA64" i="45" s="1"/>
  <c r="AV64" i="45"/>
  <c r="AW64" i="45" s="1"/>
  <c r="AS64" i="45"/>
  <c r="AE64" i="45"/>
  <c r="AD64" i="45"/>
  <c r="BB64" i="45" s="1"/>
  <c r="S64" i="45"/>
  <c r="P64" i="45"/>
  <c r="L64" i="45"/>
  <c r="BE63" i="45"/>
  <c r="AY63" i="45"/>
  <c r="AZ63" i="45" s="1"/>
  <c r="BA63" i="45" s="1"/>
  <c r="AV63" i="45"/>
  <c r="AW63" i="45" s="1"/>
  <c r="AS63" i="45"/>
  <c r="AE63" i="45"/>
  <c r="AD63" i="45"/>
  <c r="BB63" i="45" s="1"/>
  <c r="S63" i="45"/>
  <c r="P63" i="45"/>
  <c r="L63" i="45"/>
  <c r="BE62" i="45"/>
  <c r="AY62" i="45"/>
  <c r="AZ62" i="45" s="1"/>
  <c r="BA62" i="45" s="1"/>
  <c r="AV62" i="45"/>
  <c r="AW62" i="45" s="1"/>
  <c r="AS62" i="45"/>
  <c r="AE62" i="45"/>
  <c r="AD62" i="45"/>
  <c r="BB62" i="45" s="1"/>
  <c r="S62" i="45"/>
  <c r="P62" i="45"/>
  <c r="L62" i="45"/>
  <c r="BE61" i="45"/>
  <c r="AY61" i="45"/>
  <c r="AZ61" i="45" s="1"/>
  <c r="BA61" i="45" s="1"/>
  <c r="AV61" i="45"/>
  <c r="AW61" i="45" s="1"/>
  <c r="AS61" i="45"/>
  <c r="AE61" i="45"/>
  <c r="AD61" i="45"/>
  <c r="BB61" i="45" s="1"/>
  <c r="S61" i="45"/>
  <c r="P61" i="45"/>
  <c r="L61" i="45"/>
  <c r="BE60" i="45"/>
  <c r="AY60" i="45"/>
  <c r="AZ60" i="45" s="1"/>
  <c r="BA60" i="45" s="1"/>
  <c r="AV60" i="45"/>
  <c r="AW60" i="45" s="1"/>
  <c r="AS60" i="45"/>
  <c r="AE60" i="45"/>
  <c r="AD60" i="45"/>
  <c r="BB60" i="45" s="1"/>
  <c r="S60" i="45"/>
  <c r="P60" i="45"/>
  <c r="L60" i="45"/>
  <c r="BE59" i="45"/>
  <c r="AY59" i="45"/>
  <c r="AZ59" i="45" s="1"/>
  <c r="BA59" i="45" s="1"/>
  <c r="AV59" i="45"/>
  <c r="AW59" i="45" s="1"/>
  <c r="AS59" i="45"/>
  <c r="AE59" i="45"/>
  <c r="AD59" i="45"/>
  <c r="BB59" i="45" s="1"/>
  <c r="S59" i="45"/>
  <c r="P59" i="45"/>
  <c r="L59" i="45"/>
  <c r="BE58" i="45"/>
  <c r="AY58" i="45"/>
  <c r="AZ58" i="45" s="1"/>
  <c r="BA58" i="45" s="1"/>
  <c r="AV58" i="45"/>
  <c r="AW58" i="45" s="1"/>
  <c r="AS58" i="45"/>
  <c r="AE58" i="45"/>
  <c r="AD58" i="45"/>
  <c r="BB58" i="45" s="1"/>
  <c r="S58" i="45"/>
  <c r="P58" i="45"/>
  <c r="L58" i="45"/>
  <c r="BE57" i="45"/>
  <c r="AY57" i="45"/>
  <c r="AZ57" i="45" s="1"/>
  <c r="BA57" i="45" s="1"/>
  <c r="AV57" i="45"/>
  <c r="AW57" i="45" s="1"/>
  <c r="AS57" i="45"/>
  <c r="AE57" i="45"/>
  <c r="AD57" i="45"/>
  <c r="BB57" i="45" s="1"/>
  <c r="S57" i="45"/>
  <c r="P57" i="45"/>
  <c r="L57" i="45"/>
  <c r="BE56" i="45"/>
  <c r="AY56" i="45"/>
  <c r="AZ56" i="45" s="1"/>
  <c r="BA56" i="45" s="1"/>
  <c r="AV56" i="45"/>
  <c r="AW56" i="45" s="1"/>
  <c r="AS56" i="45"/>
  <c r="AE56" i="45"/>
  <c r="AD56" i="45"/>
  <c r="BB56" i="45" s="1"/>
  <c r="S56" i="45"/>
  <c r="P56" i="45"/>
  <c r="L56" i="45"/>
  <c r="BE55" i="45"/>
  <c r="AY55" i="45"/>
  <c r="AZ55" i="45" s="1"/>
  <c r="BA55" i="45" s="1"/>
  <c r="AV55" i="45"/>
  <c r="AW55" i="45" s="1"/>
  <c r="AS55" i="45"/>
  <c r="AE55" i="45"/>
  <c r="AD55" i="45"/>
  <c r="BB55" i="45" s="1"/>
  <c r="S55" i="45"/>
  <c r="P55" i="45"/>
  <c r="L55" i="45"/>
  <c r="BE54" i="45"/>
  <c r="AY54" i="45"/>
  <c r="AZ54" i="45" s="1"/>
  <c r="BA54" i="45" s="1"/>
  <c r="AV54" i="45"/>
  <c r="AW54" i="45" s="1"/>
  <c r="AS54" i="45"/>
  <c r="AE54" i="45"/>
  <c r="AD54" i="45"/>
  <c r="BB54" i="45" s="1"/>
  <c r="S54" i="45"/>
  <c r="P54" i="45"/>
  <c r="L54" i="45"/>
  <c r="BE53" i="45"/>
  <c r="AY53" i="45"/>
  <c r="AZ53" i="45" s="1"/>
  <c r="BA53" i="45" s="1"/>
  <c r="AV53" i="45"/>
  <c r="AW53" i="45" s="1"/>
  <c r="AS53" i="45"/>
  <c r="AE53" i="45"/>
  <c r="AD53" i="45"/>
  <c r="BB53" i="45" s="1"/>
  <c r="S53" i="45"/>
  <c r="P53" i="45"/>
  <c r="L53" i="45"/>
  <c r="BE52" i="45"/>
  <c r="AY52" i="45"/>
  <c r="AZ52" i="45" s="1"/>
  <c r="BA52" i="45" s="1"/>
  <c r="AV52" i="45"/>
  <c r="AW52" i="45" s="1"/>
  <c r="AS52" i="45"/>
  <c r="BF52" i="45" s="1"/>
  <c r="BG52" i="45" s="1"/>
  <c r="AE52" i="45"/>
  <c r="AD52" i="45"/>
  <c r="BB52" i="45" s="1"/>
  <c r="S52" i="45"/>
  <c r="P52" i="45"/>
  <c r="L52" i="45"/>
  <c r="BE51" i="45"/>
  <c r="AY51" i="45"/>
  <c r="AZ51" i="45" s="1"/>
  <c r="BA51" i="45" s="1"/>
  <c r="AV51" i="45"/>
  <c r="AW51" i="45" s="1"/>
  <c r="AS51" i="45"/>
  <c r="AE51" i="45"/>
  <c r="AD51" i="45"/>
  <c r="BB51" i="45" s="1"/>
  <c r="S51" i="45"/>
  <c r="P51" i="45"/>
  <c r="L51" i="45"/>
  <c r="BE50" i="45"/>
  <c r="AY50" i="45"/>
  <c r="AZ50" i="45" s="1"/>
  <c r="BA50" i="45" s="1"/>
  <c r="AV50" i="45"/>
  <c r="AW50" i="45" s="1"/>
  <c r="AS50" i="45"/>
  <c r="AE50" i="45"/>
  <c r="AD50" i="45"/>
  <c r="BB50" i="45" s="1"/>
  <c r="S50" i="45"/>
  <c r="P50" i="45"/>
  <c r="L50" i="45"/>
  <c r="BE49" i="45"/>
  <c r="AY49" i="45"/>
  <c r="AZ49" i="45" s="1"/>
  <c r="BA49" i="45" s="1"/>
  <c r="AV49" i="45"/>
  <c r="AW49" i="45" s="1"/>
  <c r="AS49" i="45"/>
  <c r="AE49" i="45"/>
  <c r="AD49" i="45"/>
  <c r="BB49" i="45" s="1"/>
  <c r="S49" i="45"/>
  <c r="P49" i="45"/>
  <c r="L49" i="45"/>
  <c r="BE48" i="45"/>
  <c r="AY48" i="45"/>
  <c r="AZ48" i="45" s="1"/>
  <c r="BA48" i="45" s="1"/>
  <c r="AV48" i="45"/>
  <c r="AW48" i="45" s="1"/>
  <c r="AS48" i="45"/>
  <c r="AE48" i="45"/>
  <c r="AD48" i="45"/>
  <c r="BB48" i="45" s="1"/>
  <c r="S48" i="45"/>
  <c r="P48" i="45"/>
  <c r="L48" i="45"/>
  <c r="BE47" i="45"/>
  <c r="AY47" i="45"/>
  <c r="AZ47" i="45" s="1"/>
  <c r="BA47" i="45" s="1"/>
  <c r="AV47" i="45"/>
  <c r="AW47" i="45" s="1"/>
  <c r="AS47" i="45"/>
  <c r="AE47" i="45"/>
  <c r="AD47" i="45"/>
  <c r="BB47" i="45" s="1"/>
  <c r="S47" i="45"/>
  <c r="P47" i="45"/>
  <c r="L47" i="45"/>
  <c r="BE46" i="45"/>
  <c r="AY46" i="45"/>
  <c r="AZ46" i="45" s="1"/>
  <c r="BA46" i="45" s="1"/>
  <c r="AV46" i="45"/>
  <c r="AW46" i="45" s="1"/>
  <c r="AS46" i="45"/>
  <c r="AE46" i="45"/>
  <c r="AD46" i="45"/>
  <c r="BB46" i="45" s="1"/>
  <c r="S46" i="45"/>
  <c r="P46" i="45"/>
  <c r="L46" i="45"/>
  <c r="BE45" i="45"/>
  <c r="AY45" i="45"/>
  <c r="AZ45" i="45" s="1"/>
  <c r="BA45" i="45" s="1"/>
  <c r="AV45" i="45"/>
  <c r="AW45" i="45" s="1"/>
  <c r="AS45" i="45"/>
  <c r="AE45" i="45"/>
  <c r="AD45" i="45"/>
  <c r="BB45" i="45" s="1"/>
  <c r="S45" i="45"/>
  <c r="P45" i="45"/>
  <c r="L45" i="45"/>
  <c r="BE44" i="45"/>
  <c r="AY44" i="45"/>
  <c r="AZ44" i="45" s="1"/>
  <c r="BA44" i="45" s="1"/>
  <c r="AV44" i="45"/>
  <c r="AW44" i="45" s="1"/>
  <c r="AS44" i="45"/>
  <c r="AE44" i="45"/>
  <c r="AD44" i="45"/>
  <c r="BB44" i="45" s="1"/>
  <c r="S44" i="45"/>
  <c r="P44" i="45"/>
  <c r="L44" i="45"/>
  <c r="BE43" i="45"/>
  <c r="AY43" i="45"/>
  <c r="AZ43" i="45" s="1"/>
  <c r="BA43" i="45" s="1"/>
  <c r="AV43" i="45"/>
  <c r="AW43" i="45" s="1"/>
  <c r="AS43" i="45"/>
  <c r="AE43" i="45"/>
  <c r="AD43" i="45"/>
  <c r="BB43" i="45" s="1"/>
  <c r="S43" i="45"/>
  <c r="P43" i="45"/>
  <c r="L43" i="45"/>
  <c r="BE42" i="45"/>
  <c r="AY42" i="45"/>
  <c r="AZ42" i="45" s="1"/>
  <c r="BA42" i="45" s="1"/>
  <c r="AV42" i="45"/>
  <c r="AW42" i="45" s="1"/>
  <c r="AS42" i="45"/>
  <c r="AE42" i="45"/>
  <c r="AD42" i="45"/>
  <c r="BB42" i="45" s="1"/>
  <c r="S42" i="45"/>
  <c r="P42" i="45"/>
  <c r="L42" i="45"/>
  <c r="BE41" i="45"/>
  <c r="AY41" i="45"/>
  <c r="AZ41" i="45" s="1"/>
  <c r="BA41" i="45" s="1"/>
  <c r="AV41" i="45"/>
  <c r="AW41" i="45" s="1"/>
  <c r="AS41" i="45"/>
  <c r="AE41" i="45"/>
  <c r="AD41" i="45"/>
  <c r="BB41" i="45" s="1"/>
  <c r="S41" i="45"/>
  <c r="P41" i="45"/>
  <c r="L41" i="45"/>
  <c r="BE40" i="45"/>
  <c r="AY40" i="45"/>
  <c r="AZ40" i="45" s="1"/>
  <c r="BA40" i="45" s="1"/>
  <c r="AV40" i="45"/>
  <c r="AW40" i="45" s="1"/>
  <c r="AS40" i="45"/>
  <c r="AE40" i="45"/>
  <c r="AD40" i="45"/>
  <c r="BB40" i="45" s="1"/>
  <c r="S40" i="45"/>
  <c r="P40" i="45"/>
  <c r="L40" i="45"/>
  <c r="BE39" i="45"/>
  <c r="AY39" i="45"/>
  <c r="AZ39" i="45" s="1"/>
  <c r="BA39" i="45" s="1"/>
  <c r="AV39" i="45"/>
  <c r="AW39" i="45" s="1"/>
  <c r="AS39" i="45"/>
  <c r="AE39" i="45"/>
  <c r="AD39" i="45"/>
  <c r="BB39" i="45" s="1"/>
  <c r="S39" i="45"/>
  <c r="P39" i="45"/>
  <c r="L39" i="45"/>
  <c r="BE38" i="45"/>
  <c r="AY38" i="45"/>
  <c r="AZ38" i="45" s="1"/>
  <c r="BA38" i="45" s="1"/>
  <c r="AV38" i="45"/>
  <c r="AW38" i="45" s="1"/>
  <c r="AS38" i="45"/>
  <c r="AE38" i="45"/>
  <c r="AD38" i="45"/>
  <c r="BB38" i="45" s="1"/>
  <c r="S38" i="45"/>
  <c r="P38" i="45"/>
  <c r="L38" i="45"/>
  <c r="BE37" i="45"/>
  <c r="AY37" i="45"/>
  <c r="AZ37" i="45" s="1"/>
  <c r="BA37" i="45" s="1"/>
  <c r="AV37" i="45"/>
  <c r="AW37" i="45" s="1"/>
  <c r="AS37" i="45"/>
  <c r="AE37" i="45"/>
  <c r="AD37" i="45"/>
  <c r="BB37" i="45" s="1"/>
  <c r="S37" i="45"/>
  <c r="P37" i="45"/>
  <c r="L37" i="45"/>
  <c r="BE36" i="45"/>
  <c r="AY36" i="45"/>
  <c r="AZ36" i="45" s="1"/>
  <c r="BA36" i="45" s="1"/>
  <c r="AV36" i="45"/>
  <c r="AW36" i="45" s="1"/>
  <c r="AS36" i="45"/>
  <c r="AE36" i="45"/>
  <c r="AD36" i="45"/>
  <c r="BB36" i="45" s="1"/>
  <c r="S36" i="45"/>
  <c r="P36" i="45"/>
  <c r="L36" i="45"/>
  <c r="BE35" i="45"/>
  <c r="AY35" i="45"/>
  <c r="AZ35" i="45" s="1"/>
  <c r="BA35" i="45" s="1"/>
  <c r="AV35" i="45"/>
  <c r="AW35" i="45" s="1"/>
  <c r="AS35" i="45"/>
  <c r="AE35" i="45"/>
  <c r="AD35" i="45"/>
  <c r="BB35" i="45" s="1"/>
  <c r="S35" i="45"/>
  <c r="P35" i="45"/>
  <c r="L35" i="45"/>
  <c r="BE34" i="45"/>
  <c r="AY34" i="45"/>
  <c r="AZ34" i="45" s="1"/>
  <c r="BA34" i="45" s="1"/>
  <c r="AV34" i="45"/>
  <c r="AW34" i="45" s="1"/>
  <c r="AS34" i="45"/>
  <c r="AE34" i="45"/>
  <c r="AD34" i="45"/>
  <c r="BB34" i="45" s="1"/>
  <c r="S34" i="45"/>
  <c r="P34" i="45"/>
  <c r="L34" i="45"/>
  <c r="BE33" i="45"/>
  <c r="AY33" i="45"/>
  <c r="AZ33" i="45" s="1"/>
  <c r="BA33" i="45" s="1"/>
  <c r="AV33" i="45"/>
  <c r="AW33" i="45" s="1"/>
  <c r="AS33" i="45"/>
  <c r="AE33" i="45"/>
  <c r="AD33" i="45"/>
  <c r="BB33" i="45" s="1"/>
  <c r="S33" i="45"/>
  <c r="P33" i="45"/>
  <c r="L33" i="45"/>
  <c r="BE32" i="45"/>
  <c r="AY32" i="45"/>
  <c r="AZ32" i="45" s="1"/>
  <c r="BA32" i="45" s="1"/>
  <c r="AV32" i="45"/>
  <c r="AW32" i="45" s="1"/>
  <c r="AS32" i="45"/>
  <c r="AE32" i="45"/>
  <c r="AD32" i="45"/>
  <c r="BB32" i="45" s="1"/>
  <c r="S32" i="45"/>
  <c r="P32" i="45"/>
  <c r="L32" i="45"/>
  <c r="BE31" i="45"/>
  <c r="AY31" i="45"/>
  <c r="AZ31" i="45" s="1"/>
  <c r="BA31" i="45" s="1"/>
  <c r="AV31" i="45"/>
  <c r="AW31" i="45" s="1"/>
  <c r="AS31" i="45"/>
  <c r="AE31" i="45"/>
  <c r="AD31" i="45"/>
  <c r="BB31" i="45" s="1"/>
  <c r="S31" i="45"/>
  <c r="P31" i="45"/>
  <c r="L31" i="45"/>
  <c r="BE30" i="45"/>
  <c r="AY30" i="45"/>
  <c r="AZ30" i="45" s="1"/>
  <c r="BA30" i="45" s="1"/>
  <c r="AV30" i="45"/>
  <c r="AW30" i="45" s="1"/>
  <c r="AS30" i="45"/>
  <c r="AE30" i="45"/>
  <c r="AD30" i="45"/>
  <c r="BB30" i="45" s="1"/>
  <c r="S30" i="45"/>
  <c r="P30" i="45"/>
  <c r="L30" i="45"/>
  <c r="BE29" i="45"/>
  <c r="AY29" i="45"/>
  <c r="AZ29" i="45" s="1"/>
  <c r="BA29" i="45" s="1"/>
  <c r="AV29" i="45"/>
  <c r="AW29" i="45" s="1"/>
  <c r="AS29" i="45"/>
  <c r="AE29" i="45"/>
  <c r="AD29" i="45"/>
  <c r="BB29" i="45" s="1"/>
  <c r="P29" i="45"/>
  <c r="L29" i="45"/>
  <c r="BE28" i="45"/>
  <c r="AY28" i="45"/>
  <c r="AZ28" i="45" s="1"/>
  <c r="BA28" i="45" s="1"/>
  <c r="AV28" i="45"/>
  <c r="AW28" i="45" s="1"/>
  <c r="AS28" i="45"/>
  <c r="AE28" i="45"/>
  <c r="AD28" i="45"/>
  <c r="P28" i="45"/>
  <c r="L28" i="45"/>
  <c r="BE27" i="45"/>
  <c r="AY27" i="45"/>
  <c r="AZ27" i="45" s="1"/>
  <c r="BA27" i="45" s="1"/>
  <c r="AV27" i="45"/>
  <c r="AW27" i="45" s="1"/>
  <c r="AS27" i="45"/>
  <c r="AE27" i="45"/>
  <c r="AD27" i="45"/>
  <c r="P27" i="45"/>
  <c r="L27" i="45"/>
  <c r="BE26" i="45"/>
  <c r="AY26" i="45"/>
  <c r="AZ26" i="45" s="1"/>
  <c r="BA26" i="45" s="1"/>
  <c r="AV26" i="45"/>
  <c r="AW26" i="45" s="1"/>
  <c r="AS26" i="45"/>
  <c r="AE26" i="45"/>
  <c r="AD26" i="45"/>
  <c r="BB26" i="45" s="1"/>
  <c r="S26" i="45"/>
  <c r="P26" i="45"/>
  <c r="L26" i="45"/>
  <c r="BE25" i="45"/>
  <c r="AY25" i="45"/>
  <c r="AZ25" i="45" s="1"/>
  <c r="BA25" i="45" s="1"/>
  <c r="AV25" i="45"/>
  <c r="AW25" i="45" s="1"/>
  <c r="AS25" i="45"/>
  <c r="AE25" i="45"/>
  <c r="AD25" i="45"/>
  <c r="BB25" i="45" s="1"/>
  <c r="S25" i="45"/>
  <c r="P25" i="45"/>
  <c r="L25" i="45"/>
  <c r="BE24" i="45"/>
  <c r="AY24" i="45"/>
  <c r="AZ24" i="45" s="1"/>
  <c r="BA24" i="45" s="1"/>
  <c r="AV24" i="45"/>
  <c r="AW24" i="45" s="1"/>
  <c r="AS24" i="45"/>
  <c r="AE24" i="45"/>
  <c r="AD24" i="45"/>
  <c r="S24" i="45"/>
  <c r="L24" i="45"/>
  <c r="BE23" i="45"/>
  <c r="AY23" i="45"/>
  <c r="AZ23" i="45" s="1"/>
  <c r="BA23" i="45" s="1"/>
  <c r="AV23" i="45"/>
  <c r="AW23" i="45" s="1"/>
  <c r="AS23" i="45"/>
  <c r="AE23" i="45"/>
  <c r="AD23" i="45"/>
  <c r="BB23" i="45" s="1"/>
  <c r="S23" i="45"/>
  <c r="P23" i="45"/>
  <c r="L23" i="45"/>
  <c r="BE22" i="45"/>
  <c r="AY22" i="45"/>
  <c r="AZ22" i="45" s="1"/>
  <c r="BA22" i="45" s="1"/>
  <c r="AV22" i="45"/>
  <c r="AW22" i="45" s="1"/>
  <c r="AS22" i="45"/>
  <c r="AE22" i="45"/>
  <c r="AD22" i="45"/>
  <c r="S22" i="45"/>
  <c r="L22" i="45"/>
  <c r="BE21" i="45"/>
  <c r="AY21" i="45"/>
  <c r="AZ21" i="45" s="1"/>
  <c r="BA21" i="45" s="1"/>
  <c r="AV21" i="45"/>
  <c r="AW21" i="45" s="1"/>
  <c r="AS21" i="45"/>
  <c r="AE21" i="45"/>
  <c r="AD21" i="45"/>
  <c r="S21" i="45"/>
  <c r="P21" i="45"/>
  <c r="L21" i="45"/>
  <c r="BE20" i="45"/>
  <c r="AY20" i="45"/>
  <c r="AZ20" i="45" s="1"/>
  <c r="BA20" i="45" s="1"/>
  <c r="AV20" i="45"/>
  <c r="AW20" i="45" s="1"/>
  <c r="AS20" i="45"/>
  <c r="AE20" i="45"/>
  <c r="AD20" i="45"/>
  <c r="S20" i="45"/>
  <c r="P20" i="45"/>
  <c r="L20" i="45"/>
  <c r="BE19" i="45"/>
  <c r="AY19" i="45"/>
  <c r="AZ19" i="45" s="1"/>
  <c r="BA19" i="45" s="1"/>
  <c r="AV19" i="45"/>
  <c r="AW19" i="45" s="1"/>
  <c r="AS19" i="45"/>
  <c r="AE19" i="45"/>
  <c r="AD19" i="45"/>
  <c r="S19" i="45"/>
  <c r="L19" i="45"/>
  <c r="BE18" i="45"/>
  <c r="AY18" i="45"/>
  <c r="AZ18" i="45" s="1"/>
  <c r="BA18" i="45" s="1"/>
  <c r="AV18" i="45"/>
  <c r="AW18" i="45" s="1"/>
  <c r="AS18" i="45"/>
  <c r="AE18" i="45"/>
  <c r="AD18" i="45"/>
  <c r="BB18" i="45" s="1"/>
  <c r="S18" i="45"/>
  <c r="L18" i="45"/>
  <c r="BE17" i="45"/>
  <c r="AY17" i="45"/>
  <c r="AZ17" i="45" s="1"/>
  <c r="BA17" i="45" s="1"/>
  <c r="AV17" i="45"/>
  <c r="AW17" i="45" s="1"/>
  <c r="AS17" i="45"/>
  <c r="AE17" i="45"/>
  <c r="AD17" i="45"/>
  <c r="BB17" i="45" s="1"/>
  <c r="S17" i="45"/>
  <c r="L17" i="45"/>
  <c r="BE16" i="45"/>
  <c r="AY16" i="45"/>
  <c r="AZ16" i="45" s="1"/>
  <c r="BA16" i="45" s="1"/>
  <c r="AV16" i="45"/>
  <c r="AW16" i="45" s="1"/>
  <c r="AS16" i="45"/>
  <c r="BF16" i="45" s="1"/>
  <c r="AL16" i="45"/>
  <c r="AD16" i="45"/>
  <c r="BB16" i="45" s="1"/>
  <c r="S16" i="45"/>
  <c r="AM15" i="45"/>
  <c r="AN15" i="45" s="1"/>
  <c r="AO15" i="45" s="1"/>
  <c r="AP15" i="45" s="1"/>
  <c r="AQ15" i="45" s="1"/>
  <c r="AR15" i="45" s="1"/>
  <c r="AF15" i="45"/>
  <c r="J6" i="93" a="1"/>
  <c r="BB28" i="45" l="1"/>
  <c r="BB21" i="45"/>
  <c r="BB20" i="45"/>
  <c r="BB27" i="45"/>
  <c r="BB19" i="45"/>
  <c r="BB24" i="45"/>
  <c r="BB22" i="45"/>
  <c r="F49" i="52"/>
  <c r="O55" i="52"/>
  <c r="J6" i="93"/>
  <c r="N198" i="42" s="1"/>
  <c r="AD198" i="42" s="1"/>
  <c r="AB74" i="49"/>
  <c r="Z83" i="49"/>
  <c r="AA75" i="49"/>
  <c r="AB75" i="49" s="1"/>
  <c r="AC75" i="49" s="1"/>
  <c r="AD75" i="49" s="1"/>
  <c r="AE75" i="49" s="1"/>
  <c r="AF75" i="49" s="1"/>
  <c r="AG75" i="49" s="1"/>
  <c r="AH75" i="49" s="1"/>
  <c r="AI75" i="49" s="1"/>
  <c r="AJ75" i="49" s="1"/>
  <c r="AK75" i="49" s="1"/>
  <c r="AL75" i="49" s="1"/>
  <c r="G55" i="52"/>
  <c r="W55" i="52"/>
  <c r="W56" i="52" s="1"/>
  <c r="S55" i="52"/>
  <c r="R55" i="52"/>
  <c r="R56" i="52" s="1"/>
  <c r="N55" i="52"/>
  <c r="N56" i="52" s="1"/>
  <c r="J55" i="52"/>
  <c r="J56" i="52" s="1"/>
  <c r="Y55" i="52"/>
  <c r="Y56" i="52" s="1"/>
  <c r="U55" i="52"/>
  <c r="U56" i="52" s="1"/>
  <c r="Q55" i="52"/>
  <c r="M55" i="52"/>
  <c r="I55" i="52"/>
  <c r="X55" i="52"/>
  <c r="X56" i="52" s="1"/>
  <c r="V55" i="52"/>
  <c r="V56" i="52" s="1"/>
  <c r="T55" i="52"/>
  <c r="T56" i="52" s="1"/>
  <c r="P55" i="52"/>
  <c r="P56" i="52" s="1"/>
  <c r="L55" i="52"/>
  <c r="L56" i="52" s="1"/>
  <c r="H55" i="52"/>
  <c r="H56" i="52" s="1"/>
  <c r="P22" i="45"/>
  <c r="P24" i="45"/>
  <c r="F167" i="49"/>
  <c r="E189" i="52"/>
  <c r="E190" i="52"/>
  <c r="E191" i="52"/>
  <c r="E192" i="52"/>
  <c r="L231" i="52"/>
  <c r="M231" i="52" s="1"/>
  <c r="N231" i="52" s="1"/>
  <c r="O231" i="52" s="1"/>
  <c r="P231" i="52" s="1"/>
  <c r="Q231" i="52" s="1"/>
  <c r="R231" i="52" s="1"/>
  <c r="S231" i="52" s="1"/>
  <c r="T231" i="52" s="1"/>
  <c r="U231" i="52" s="1"/>
  <c r="V231" i="52" s="1"/>
  <c r="W231" i="52" s="1"/>
  <c r="X231" i="52" s="1"/>
  <c r="Y231" i="52" s="1"/>
  <c r="Z231" i="52" s="1"/>
  <c r="AA231" i="52" s="1"/>
  <c r="AB231" i="52" s="1"/>
  <c r="AC231" i="52" s="1"/>
  <c r="AD231" i="52" s="1"/>
  <c r="AE231" i="52" s="1"/>
  <c r="AF231" i="52" s="1"/>
  <c r="AG231" i="52" s="1"/>
  <c r="AH231" i="52" s="1"/>
  <c r="AI231" i="52" s="1"/>
  <c r="AJ231" i="52" s="1"/>
  <c r="AL28" i="45"/>
  <c r="AL34" i="45"/>
  <c r="AL40" i="45"/>
  <c r="AL46" i="45"/>
  <c r="AL52" i="45"/>
  <c r="AL58" i="45"/>
  <c r="AL64" i="45"/>
  <c r="AL22" i="45"/>
  <c r="AL33" i="45"/>
  <c r="AL39" i="45"/>
  <c r="AL45" i="45"/>
  <c r="AL51" i="45"/>
  <c r="AL57" i="45"/>
  <c r="AL63" i="45"/>
  <c r="AL21" i="45"/>
  <c r="AL27" i="45"/>
  <c r="AL32" i="45"/>
  <c r="AL38" i="45"/>
  <c r="AL44" i="45"/>
  <c r="AL50" i="45"/>
  <c r="AL56" i="45"/>
  <c r="AL62" i="45"/>
  <c r="AL20" i="45"/>
  <c r="AL26" i="45"/>
  <c r="AL31" i="45"/>
  <c r="AL37" i="45"/>
  <c r="AL43" i="45"/>
  <c r="AL49" i="45"/>
  <c r="AL55" i="45"/>
  <c r="AL61" i="45"/>
  <c r="AL19" i="45"/>
  <c r="AL25" i="45"/>
  <c r="AL30" i="45"/>
  <c r="AL36" i="45"/>
  <c r="AL42" i="45"/>
  <c r="AL48" i="45"/>
  <c r="AL54" i="45"/>
  <c r="AL60" i="45"/>
  <c r="AL24" i="45"/>
  <c r="AL18" i="45"/>
  <c r="AL29" i="45"/>
  <c r="AL35" i="45"/>
  <c r="AL41" i="45"/>
  <c r="AL47" i="45"/>
  <c r="AL53" i="45"/>
  <c r="AL59" i="45"/>
  <c r="AL65" i="45"/>
  <c r="AL23" i="45"/>
  <c r="AL17" i="45"/>
  <c r="P19" i="45"/>
  <c r="P17" i="45"/>
  <c r="P18" i="45"/>
  <c r="AT22" i="45"/>
  <c r="AU22" i="45" s="1"/>
  <c r="BF22" i="45"/>
  <c r="BG22" i="45" s="1"/>
  <c r="AT37" i="45"/>
  <c r="AU37" i="45" s="1"/>
  <c r="BF37" i="45"/>
  <c r="BG37" i="45" s="1"/>
  <c r="AT45" i="45"/>
  <c r="AU45" i="45" s="1"/>
  <c r="BF45" i="45"/>
  <c r="BG45" i="45" s="1"/>
  <c r="AT49" i="45"/>
  <c r="AU49" i="45" s="1"/>
  <c r="BF49" i="45"/>
  <c r="BG49" i="45" s="1"/>
  <c r="AT57" i="45"/>
  <c r="AU57" i="45" s="1"/>
  <c r="BF57" i="45"/>
  <c r="BG57" i="45" s="1"/>
  <c r="AT61" i="45"/>
  <c r="AU61" i="45" s="1"/>
  <c r="BF61" i="45"/>
  <c r="BG61" i="45" s="1"/>
  <c r="AT18" i="45"/>
  <c r="AU18" i="45" s="1"/>
  <c r="BF18" i="45"/>
  <c r="BG18" i="45" s="1"/>
  <c r="AT21" i="45"/>
  <c r="AU21" i="45" s="1"/>
  <c r="BF21" i="45"/>
  <c r="BG21" i="45" s="1"/>
  <c r="AT25" i="45"/>
  <c r="AU25" i="45" s="1"/>
  <c r="BF25" i="45"/>
  <c r="BG25" i="45" s="1"/>
  <c r="AT28" i="45"/>
  <c r="AU28" i="45" s="1"/>
  <c r="BF28" i="45"/>
  <c r="BG28" i="45" s="1"/>
  <c r="AT32" i="45"/>
  <c r="AU32" i="45" s="1"/>
  <c r="BF32" i="45"/>
  <c r="BG32" i="45" s="1"/>
  <c r="AT36" i="45"/>
  <c r="AU36" i="45" s="1"/>
  <c r="BF36" i="45"/>
  <c r="BG36" i="45" s="1"/>
  <c r="AT40" i="45"/>
  <c r="AU40" i="45" s="1"/>
  <c r="BF40" i="45"/>
  <c r="BG40" i="45" s="1"/>
  <c r="AT44" i="45"/>
  <c r="AU44" i="45" s="1"/>
  <c r="BF44" i="45"/>
  <c r="BG44" i="45" s="1"/>
  <c r="AT48" i="45"/>
  <c r="AU48" i="45" s="1"/>
  <c r="BF48" i="45"/>
  <c r="BG48" i="45" s="1"/>
  <c r="AT56" i="45"/>
  <c r="AU56" i="45" s="1"/>
  <c r="BF56" i="45"/>
  <c r="BG56" i="45" s="1"/>
  <c r="AT60" i="45"/>
  <c r="AU60" i="45" s="1"/>
  <c r="BF60" i="45"/>
  <c r="BG60" i="45" s="1"/>
  <c r="AT64" i="45"/>
  <c r="AU64" i="45" s="1"/>
  <c r="BF64" i="45"/>
  <c r="BG64" i="45" s="1"/>
  <c r="AT41" i="45"/>
  <c r="AU41" i="45" s="1"/>
  <c r="BF41" i="45"/>
  <c r="BG41" i="45" s="1"/>
  <c r="AT53" i="45"/>
  <c r="AU53" i="45" s="1"/>
  <c r="BF53" i="45"/>
  <c r="BG53" i="45" s="1"/>
  <c r="AT20" i="45"/>
  <c r="AU20" i="45" s="1"/>
  <c r="BF20" i="45"/>
  <c r="BG20" i="45" s="1"/>
  <c r="AT24" i="45"/>
  <c r="AU24" i="45" s="1"/>
  <c r="BF24" i="45"/>
  <c r="BG24" i="45" s="1"/>
  <c r="AT31" i="45"/>
  <c r="AU31" i="45" s="1"/>
  <c r="BF31" i="45"/>
  <c r="BG31" i="45" s="1"/>
  <c r="AT35" i="45"/>
  <c r="AU35" i="45" s="1"/>
  <c r="BF35" i="45"/>
  <c r="BG35" i="45" s="1"/>
  <c r="AT39" i="45"/>
  <c r="AU39" i="45" s="1"/>
  <c r="BF39" i="45"/>
  <c r="BG39" i="45" s="1"/>
  <c r="AT43" i="45"/>
  <c r="AU43" i="45" s="1"/>
  <c r="BF43" i="45"/>
  <c r="BG43" i="45" s="1"/>
  <c r="AT47" i="45"/>
  <c r="AU47" i="45" s="1"/>
  <c r="BF47" i="45"/>
  <c r="BG47" i="45" s="1"/>
  <c r="AT51" i="45"/>
  <c r="AU51" i="45" s="1"/>
  <c r="BF51" i="45"/>
  <c r="BG51" i="45" s="1"/>
  <c r="AT55" i="45"/>
  <c r="AU55" i="45" s="1"/>
  <c r="BF55" i="45"/>
  <c r="BG55" i="45" s="1"/>
  <c r="AT59" i="45"/>
  <c r="AU59" i="45" s="1"/>
  <c r="BF59" i="45"/>
  <c r="BG59" i="45" s="1"/>
  <c r="AT63" i="45"/>
  <c r="AU63" i="45" s="1"/>
  <c r="BF63" i="45"/>
  <c r="BG63" i="45" s="1"/>
  <c r="AT26" i="45"/>
  <c r="AU26" i="45" s="1"/>
  <c r="BF26" i="45"/>
  <c r="BG26" i="45" s="1"/>
  <c r="AT29" i="45"/>
  <c r="AU29" i="45" s="1"/>
  <c r="BF29" i="45"/>
  <c r="BG29" i="45" s="1"/>
  <c r="AT33" i="45"/>
  <c r="AU33" i="45" s="1"/>
  <c r="BF33" i="45"/>
  <c r="BG33" i="45" s="1"/>
  <c r="AT65" i="45"/>
  <c r="AU65" i="45" s="1"/>
  <c r="BF65" i="45"/>
  <c r="BG65" i="45" s="1"/>
  <c r="AT17" i="45"/>
  <c r="AU17" i="45" s="1"/>
  <c r="BF17" i="45"/>
  <c r="BG17" i="45" s="1"/>
  <c r="AT19" i="45"/>
  <c r="AU19" i="45" s="1"/>
  <c r="BF19" i="45"/>
  <c r="BG19" i="45" s="1"/>
  <c r="AT23" i="45"/>
  <c r="AU23" i="45" s="1"/>
  <c r="BF23" i="45"/>
  <c r="BG23" i="45" s="1"/>
  <c r="AT27" i="45"/>
  <c r="AU27" i="45" s="1"/>
  <c r="BF27" i="45"/>
  <c r="BG27" i="45" s="1"/>
  <c r="AT30" i="45"/>
  <c r="AU30" i="45" s="1"/>
  <c r="BF30" i="45"/>
  <c r="BG30" i="45" s="1"/>
  <c r="AT34" i="45"/>
  <c r="AU34" i="45" s="1"/>
  <c r="BF34" i="45"/>
  <c r="BG34" i="45" s="1"/>
  <c r="AT38" i="45"/>
  <c r="AU38" i="45" s="1"/>
  <c r="BF38" i="45"/>
  <c r="BG38" i="45" s="1"/>
  <c r="AT42" i="45"/>
  <c r="AU42" i="45" s="1"/>
  <c r="BF42" i="45"/>
  <c r="BG42" i="45" s="1"/>
  <c r="AT46" i="45"/>
  <c r="AU46" i="45" s="1"/>
  <c r="BF46" i="45"/>
  <c r="BG46" i="45" s="1"/>
  <c r="AT50" i="45"/>
  <c r="AU50" i="45" s="1"/>
  <c r="BF50" i="45"/>
  <c r="BG50" i="45" s="1"/>
  <c r="AT54" i="45"/>
  <c r="AU54" i="45" s="1"/>
  <c r="BF54" i="45"/>
  <c r="BG54" i="45" s="1"/>
  <c r="AT58" i="45"/>
  <c r="AU58" i="45" s="1"/>
  <c r="BF58" i="45"/>
  <c r="BG58" i="45" s="1"/>
  <c r="AT62" i="45"/>
  <c r="AU62" i="45" s="1"/>
  <c r="BF62" i="45"/>
  <c r="BG62" i="45" s="1"/>
  <c r="AT16" i="45"/>
  <c r="AU16" i="45" s="1"/>
  <c r="BG16" i="45"/>
  <c r="E83" i="49"/>
  <c r="AX25" i="45"/>
  <c r="F146" i="52"/>
  <c r="D83" i="49"/>
  <c r="G530" i="42"/>
  <c r="I23" i="49"/>
  <c r="D23" i="49" s="1"/>
  <c r="F54" i="52"/>
  <c r="F50" i="52"/>
  <c r="F52" i="52"/>
  <c r="F59" i="52"/>
  <c r="F186" i="52"/>
  <c r="AF23" i="45"/>
  <c r="AM23" i="45" s="1"/>
  <c r="AG15" i="45"/>
  <c r="AG48" i="45" s="1"/>
  <c r="AN48" i="45" s="1"/>
  <c r="AX44" i="45"/>
  <c r="AX51" i="45"/>
  <c r="AX57" i="45"/>
  <c r="AX58" i="45"/>
  <c r="AX61" i="45"/>
  <c r="AX62" i="45"/>
  <c r="AX37" i="45"/>
  <c r="AX17" i="45"/>
  <c r="AX20" i="45"/>
  <c r="AX35" i="45"/>
  <c r="AX45" i="45"/>
  <c r="AX21" i="45"/>
  <c r="AX24" i="45"/>
  <c r="AX48" i="45"/>
  <c r="AX49" i="45"/>
  <c r="AX54" i="45"/>
  <c r="AX29" i="45"/>
  <c r="AX33" i="45"/>
  <c r="AX36" i="45"/>
  <c r="AX40" i="45"/>
  <c r="AX52" i="45"/>
  <c r="AX59" i="45"/>
  <c r="AX32" i="45"/>
  <c r="AX43" i="45"/>
  <c r="AF19" i="45"/>
  <c r="AM19" i="45" s="1"/>
  <c r="AX19" i="45"/>
  <c r="AF22" i="45"/>
  <c r="AM22" i="45" s="1"/>
  <c r="AF34" i="45"/>
  <c r="AM34" i="45" s="1"/>
  <c r="AF38" i="45"/>
  <c r="AM38" i="45" s="1"/>
  <c r="AF39" i="45"/>
  <c r="AM39" i="45" s="1"/>
  <c r="AX39" i="45"/>
  <c r="AF42" i="45"/>
  <c r="AM42" i="45" s="1"/>
  <c r="AX42" i="45"/>
  <c r="AF18" i="45"/>
  <c r="AM18" i="45" s="1"/>
  <c r="AF26" i="45"/>
  <c r="AM26" i="45" s="1"/>
  <c r="AF27" i="45"/>
  <c r="AM27" i="45" s="1"/>
  <c r="AF30" i="45"/>
  <c r="AM30" i="45" s="1"/>
  <c r="AF31" i="45"/>
  <c r="AM31" i="45" s="1"/>
  <c r="AX63" i="45"/>
  <c r="AX65" i="45"/>
  <c r="AX28" i="45"/>
  <c r="AX30" i="45"/>
  <c r="AX23" i="45"/>
  <c r="AX41" i="45"/>
  <c r="AX53" i="45"/>
  <c r="AX55" i="45"/>
  <c r="I60" i="52"/>
  <c r="F58" i="52"/>
  <c r="G60" i="52"/>
  <c r="M60" i="52"/>
  <c r="F22" i="52"/>
  <c r="Q60" i="52"/>
  <c r="F51" i="52"/>
  <c r="F83" i="49"/>
  <c r="BE66" i="45"/>
  <c r="S187" i="68" s="1"/>
  <c r="AW66" i="45"/>
  <c r="AT52" i="45"/>
  <c r="AU52" i="45" s="1"/>
  <c r="AX22" i="45"/>
  <c r="AX31" i="45"/>
  <c r="AX18" i="45"/>
  <c r="BA66" i="45"/>
  <c r="H128" i="45" s="1"/>
  <c r="AX26" i="45"/>
  <c r="AX27" i="45"/>
  <c r="AX34" i="45"/>
  <c r="AF65" i="45"/>
  <c r="AM65" i="45" s="1"/>
  <c r="AF61" i="45"/>
  <c r="AM61" i="45" s="1"/>
  <c r="AF57" i="45"/>
  <c r="AM57" i="45" s="1"/>
  <c r="AF62" i="45"/>
  <c r="AM62" i="45" s="1"/>
  <c r="AF58" i="45"/>
  <c r="AM58" i="45" s="1"/>
  <c r="AF54" i="45"/>
  <c r="AM54" i="45" s="1"/>
  <c r="AF63" i="45"/>
  <c r="AM63" i="45" s="1"/>
  <c r="AF59" i="45"/>
  <c r="AM59" i="45" s="1"/>
  <c r="AF55" i="45"/>
  <c r="AM55" i="45" s="1"/>
  <c r="AF64" i="45"/>
  <c r="AM64" i="45" s="1"/>
  <c r="AF52" i="45"/>
  <c r="AM52" i="45" s="1"/>
  <c r="AF48" i="45"/>
  <c r="AM48" i="45" s="1"/>
  <c r="AF44" i="45"/>
  <c r="AM44" i="45" s="1"/>
  <c r="AF60" i="45"/>
  <c r="AM60" i="45" s="1"/>
  <c r="AF53" i="45"/>
  <c r="AM53" i="45" s="1"/>
  <c r="AF49" i="45"/>
  <c r="AM49" i="45" s="1"/>
  <c r="AF45" i="45"/>
  <c r="AM45" i="45" s="1"/>
  <c r="AF56" i="45"/>
  <c r="AM56" i="45" s="1"/>
  <c r="AF51" i="45"/>
  <c r="AM51" i="45" s="1"/>
  <c r="AF50" i="45"/>
  <c r="AM50" i="45" s="1"/>
  <c r="AF43" i="45"/>
  <c r="AM43" i="45" s="1"/>
  <c r="AF40" i="45"/>
  <c r="AM40" i="45" s="1"/>
  <c r="AF36" i="45"/>
  <c r="AM36" i="45" s="1"/>
  <c r="AF46" i="45"/>
  <c r="AM46" i="45" s="1"/>
  <c r="AF41" i="45"/>
  <c r="AM41" i="45" s="1"/>
  <c r="AF37" i="45"/>
  <c r="AM37" i="45" s="1"/>
  <c r="AE66" i="45"/>
  <c r="AF17" i="45"/>
  <c r="AM17" i="45" s="1"/>
  <c r="AF21" i="45"/>
  <c r="AM21" i="45" s="1"/>
  <c r="AF25" i="45"/>
  <c r="AM25" i="45" s="1"/>
  <c r="AF29" i="45"/>
  <c r="AM29" i="45" s="1"/>
  <c r="AF33" i="45"/>
  <c r="AM33" i="45" s="1"/>
  <c r="AX38" i="45"/>
  <c r="AF16" i="45"/>
  <c r="AZ66" i="45"/>
  <c r="AF20" i="45"/>
  <c r="AM20" i="45" s="1"/>
  <c r="AF24" i="45"/>
  <c r="AM24" i="45" s="1"/>
  <c r="AF28" i="45"/>
  <c r="AM28" i="45" s="1"/>
  <c r="AF32" i="45"/>
  <c r="AM32" i="45" s="1"/>
  <c r="AF35" i="45"/>
  <c r="AM35" i="45" s="1"/>
  <c r="AF47" i="45"/>
  <c r="AM47" i="45" s="1"/>
  <c r="AX47" i="45"/>
  <c r="AX50" i="45"/>
  <c r="AX46" i="45"/>
  <c r="AX56" i="45"/>
  <c r="H129" i="45"/>
  <c r="AX60" i="45"/>
  <c r="AX64" i="45"/>
  <c r="F119" i="45" l="1"/>
  <c r="AA83" i="49"/>
  <c r="AB83" i="49"/>
  <c r="AC74" i="49"/>
  <c r="L118" i="108"/>
  <c r="G167" i="49"/>
  <c r="AL66" i="45"/>
  <c r="H119" i="45" s="1"/>
  <c r="F60" i="52"/>
  <c r="BG66" i="45"/>
  <c r="I56" i="52"/>
  <c r="F29" i="52"/>
  <c r="M56" i="52"/>
  <c r="Q56" i="52"/>
  <c r="O56" i="52"/>
  <c r="S56" i="52"/>
  <c r="K56" i="52"/>
  <c r="G56" i="52"/>
  <c r="G162" i="52" s="1"/>
  <c r="G171" i="52" s="1"/>
  <c r="G246" i="52" s="1"/>
  <c r="AG43" i="45"/>
  <c r="AN43" i="45" s="1"/>
  <c r="AG40" i="45"/>
  <c r="AN40" i="45" s="1"/>
  <c r="AG19" i="45"/>
  <c r="AN19" i="45" s="1"/>
  <c r="AG39" i="45"/>
  <c r="AN39" i="45" s="1"/>
  <c r="AG37" i="45"/>
  <c r="AN37" i="45" s="1"/>
  <c r="AG27" i="45"/>
  <c r="AN27" i="45" s="1"/>
  <c r="AG50" i="45"/>
  <c r="AN50" i="45" s="1"/>
  <c r="AG61" i="45"/>
  <c r="AN61" i="45" s="1"/>
  <c r="AG45" i="45"/>
  <c r="AN45" i="45" s="1"/>
  <c r="AG21" i="45"/>
  <c r="AN21" i="45" s="1"/>
  <c r="AG64" i="45"/>
  <c r="AN64" i="45" s="1"/>
  <c r="AG55" i="45"/>
  <c r="AN55" i="45" s="1"/>
  <c r="AG23" i="45"/>
  <c r="AN23" i="45" s="1"/>
  <c r="AG17" i="45"/>
  <c r="AN17" i="45" s="1"/>
  <c r="AG41" i="45"/>
  <c r="AN41" i="45" s="1"/>
  <c r="AG59" i="45"/>
  <c r="AN59" i="45" s="1"/>
  <c r="AG35" i="45"/>
  <c r="AN35" i="45" s="1"/>
  <c r="AG53" i="45"/>
  <c r="AN53" i="45" s="1"/>
  <c r="AG29" i="45"/>
  <c r="AN29" i="45" s="1"/>
  <c r="AG52" i="45"/>
  <c r="AN52" i="45" s="1"/>
  <c r="AG54" i="45"/>
  <c r="AN54" i="45" s="1"/>
  <c r="AG58" i="45"/>
  <c r="AN58" i="45" s="1"/>
  <c r="AG31" i="45"/>
  <c r="AN31" i="45" s="1"/>
  <c r="AG49" i="45"/>
  <c r="AN49" i="45" s="1"/>
  <c r="AG44" i="45"/>
  <c r="AN44" i="45" s="1"/>
  <c r="AG26" i="45"/>
  <c r="AN26" i="45" s="1"/>
  <c r="AG34" i="45"/>
  <c r="AN34" i="45" s="1"/>
  <c r="AG57" i="45"/>
  <c r="AN57" i="45" s="1"/>
  <c r="AG62" i="45"/>
  <c r="AN62" i="45" s="1"/>
  <c r="AG22" i="45"/>
  <c r="AN22" i="45" s="1"/>
  <c r="AG33" i="45"/>
  <c r="AN33" i="45" s="1"/>
  <c r="AG63" i="45"/>
  <c r="AN63" i="45" s="1"/>
  <c r="AG32" i="45"/>
  <c r="AN32" i="45" s="1"/>
  <c r="AG65" i="45"/>
  <c r="AN65" i="45" s="1"/>
  <c r="AG25" i="45"/>
  <c r="AN25" i="45" s="1"/>
  <c r="AG38" i="45"/>
  <c r="AN38" i="45" s="1"/>
  <c r="AG42" i="45"/>
  <c r="AN42" i="45" s="1"/>
  <c r="AG56" i="45"/>
  <c r="AN56" i="45" s="1"/>
  <c r="AG51" i="45"/>
  <c r="AN51" i="45" s="1"/>
  <c r="AG24" i="45"/>
  <c r="AN24" i="45" s="1"/>
  <c r="AG36" i="45"/>
  <c r="AN36" i="45" s="1"/>
  <c r="AG47" i="45"/>
  <c r="AN47" i="45" s="1"/>
  <c r="AG46" i="45"/>
  <c r="AN46" i="45" s="1"/>
  <c r="AG60" i="45"/>
  <c r="AN60" i="45" s="1"/>
  <c r="AG18" i="45"/>
  <c r="AN18" i="45" s="1"/>
  <c r="AG28" i="45"/>
  <c r="AN28" i="45" s="1"/>
  <c r="AG20" i="45"/>
  <c r="AN20" i="45" s="1"/>
  <c r="AG30" i="45"/>
  <c r="AN30" i="45" s="1"/>
  <c r="AG16" i="45"/>
  <c r="AN16" i="45" s="1"/>
  <c r="AH15" i="45"/>
  <c r="F55" i="52"/>
  <c r="G83" i="49"/>
  <c r="AF66" i="45"/>
  <c r="AM16" i="45"/>
  <c r="AU66" i="45"/>
  <c r="AT66" i="45"/>
  <c r="AC83" i="49" l="1"/>
  <c r="AD74" i="49"/>
  <c r="H167" i="49"/>
  <c r="G230" i="52"/>
  <c r="R224" i="42"/>
  <c r="AM66" i="45"/>
  <c r="H120" i="45" s="1"/>
  <c r="AN66" i="45"/>
  <c r="H121" i="45" s="1"/>
  <c r="F56" i="52"/>
  <c r="F120" i="45"/>
  <c r="E56" i="59" s="1"/>
  <c r="E83" i="52"/>
  <c r="E96" i="52" s="1"/>
  <c r="E162" i="52" s="1"/>
  <c r="E171" i="52" s="1"/>
  <c r="AG66" i="45"/>
  <c r="AH41" i="45"/>
  <c r="AO41" i="45" s="1"/>
  <c r="AH33" i="45"/>
  <c r="AO33" i="45" s="1"/>
  <c r="AH24" i="45"/>
  <c r="AO24" i="45" s="1"/>
  <c r="AH29" i="45"/>
  <c r="AO29" i="45" s="1"/>
  <c r="AH25" i="45"/>
  <c r="AH36" i="45"/>
  <c r="AO36" i="45" s="1"/>
  <c r="AH63" i="45"/>
  <c r="AO63" i="45" s="1"/>
  <c r="AH59" i="45"/>
  <c r="AO59" i="45" s="1"/>
  <c r="AH55" i="45"/>
  <c r="AH64" i="45"/>
  <c r="AH60" i="45"/>
  <c r="AO60" i="45" s="1"/>
  <c r="AH56" i="45"/>
  <c r="AO56" i="45" s="1"/>
  <c r="AH65" i="45"/>
  <c r="AO65" i="45" s="1"/>
  <c r="AH61" i="45"/>
  <c r="AO61" i="45" s="1"/>
  <c r="AH57" i="45"/>
  <c r="AO57" i="45" s="1"/>
  <c r="AH50" i="45"/>
  <c r="AO50" i="45" s="1"/>
  <c r="AH46" i="45"/>
  <c r="AO46" i="45" s="1"/>
  <c r="AH51" i="45"/>
  <c r="AO51" i="45" s="1"/>
  <c r="AH47" i="45"/>
  <c r="AO47" i="45" s="1"/>
  <c r="AH43" i="45"/>
  <c r="AO43" i="45" s="1"/>
  <c r="AH53" i="45"/>
  <c r="AO53" i="45" s="1"/>
  <c r="AH45" i="45"/>
  <c r="AO45" i="45" s="1"/>
  <c r="AH38" i="45"/>
  <c r="AO38" i="45" s="1"/>
  <c r="AH62" i="45"/>
  <c r="AO62" i="45" s="1"/>
  <c r="AH58" i="45"/>
  <c r="AO58" i="45" s="1"/>
  <c r="AH49" i="45"/>
  <c r="AH48" i="45"/>
  <c r="AH42" i="45"/>
  <c r="AO42" i="45" s="1"/>
  <c r="AH39" i="45"/>
  <c r="AO39" i="45" s="1"/>
  <c r="AH35" i="45"/>
  <c r="AO35" i="45" s="1"/>
  <c r="AH37" i="45"/>
  <c r="AO37" i="45" s="1"/>
  <c r="AH30" i="45"/>
  <c r="AO30" i="45" s="1"/>
  <c r="AH26" i="45"/>
  <c r="AO26" i="45" s="1"/>
  <c r="AH22" i="45"/>
  <c r="AO22" i="45" s="1"/>
  <c r="AH18" i="45"/>
  <c r="AH54" i="45"/>
  <c r="AH34" i="45"/>
  <c r="AO34" i="45" s="1"/>
  <c r="AH31" i="45"/>
  <c r="AH27" i="45"/>
  <c r="AO27" i="45" s="1"/>
  <c r="AH23" i="45"/>
  <c r="AO23" i="45" s="1"/>
  <c r="AH19" i="45"/>
  <c r="AO19" i="45" s="1"/>
  <c r="AH44" i="45"/>
  <c r="AO44" i="45" s="1"/>
  <c r="AH40" i="45"/>
  <c r="AO40" i="45" s="1"/>
  <c r="AH28" i="45"/>
  <c r="AO28" i="45" s="1"/>
  <c r="AH32" i="45"/>
  <c r="AO32" i="45" s="1"/>
  <c r="AH16" i="45"/>
  <c r="AI15" i="45"/>
  <c r="AI16" i="45" s="1"/>
  <c r="AH17" i="45"/>
  <c r="AO17" i="45" s="1"/>
  <c r="AH21" i="45"/>
  <c r="AH20" i="45"/>
  <c r="AO20" i="45" s="1"/>
  <c r="AH52" i="45"/>
  <c r="AO52" i="45" s="1"/>
  <c r="G173" i="52"/>
  <c r="H83" i="49"/>
  <c r="AE74" i="49" l="1"/>
  <c r="AD83" i="49"/>
  <c r="I167" i="49"/>
  <c r="H78" i="52"/>
  <c r="BC16" i="45"/>
  <c r="AO49" i="45"/>
  <c r="AO18" i="45"/>
  <c r="AO64" i="45"/>
  <c r="AO54" i="45"/>
  <c r="AO55" i="45"/>
  <c r="AO48" i="45"/>
  <c r="AO25" i="45"/>
  <c r="AO31" i="45"/>
  <c r="AO21" i="45"/>
  <c r="F121" i="45"/>
  <c r="E55" i="59" s="1"/>
  <c r="AI64" i="45"/>
  <c r="AP64" i="45" s="1"/>
  <c r="AI60" i="45"/>
  <c r="AP60" i="45" s="1"/>
  <c r="AI56" i="45"/>
  <c r="AP56" i="45" s="1"/>
  <c r="AI65" i="45"/>
  <c r="AP65" i="45" s="1"/>
  <c r="AI61" i="45"/>
  <c r="AP61" i="45" s="1"/>
  <c r="AI57" i="45"/>
  <c r="AP57" i="45" s="1"/>
  <c r="AI62" i="45"/>
  <c r="AP62" i="45" s="1"/>
  <c r="AI58" i="45"/>
  <c r="AP58" i="45" s="1"/>
  <c r="AI54" i="45"/>
  <c r="AI55" i="45"/>
  <c r="AP55" i="45" s="1"/>
  <c r="AI51" i="45"/>
  <c r="AI47" i="45"/>
  <c r="AP47" i="45" s="1"/>
  <c r="AI43" i="45"/>
  <c r="AP43" i="45" s="1"/>
  <c r="AI52" i="45"/>
  <c r="AP52" i="45" s="1"/>
  <c r="AI48" i="45"/>
  <c r="AP48" i="45" s="1"/>
  <c r="AI44" i="45"/>
  <c r="AP44" i="45" s="1"/>
  <c r="AI49" i="45"/>
  <c r="AP49" i="45" s="1"/>
  <c r="AI46" i="45"/>
  <c r="AP46" i="45" s="1"/>
  <c r="AI42" i="45"/>
  <c r="AI39" i="45"/>
  <c r="AP39" i="45" s="1"/>
  <c r="AI35" i="45"/>
  <c r="AI40" i="45"/>
  <c r="AP40" i="45" s="1"/>
  <c r="AI36" i="45"/>
  <c r="AP36" i="45" s="1"/>
  <c r="AI59" i="45"/>
  <c r="AP59" i="45" s="1"/>
  <c r="AI34" i="45"/>
  <c r="AP34" i="45" s="1"/>
  <c r="AI31" i="45"/>
  <c r="AP31" i="45" s="1"/>
  <c r="AI27" i="45"/>
  <c r="AP27" i="45" s="1"/>
  <c r="AI23" i="45"/>
  <c r="AP23" i="45" s="1"/>
  <c r="AI19" i="45"/>
  <c r="AI32" i="45"/>
  <c r="AP32" i="45" s="1"/>
  <c r="AI28" i="45"/>
  <c r="AP28" i="45" s="1"/>
  <c r="AI24" i="45"/>
  <c r="AP24" i="45" s="1"/>
  <c r="AI20" i="45"/>
  <c r="AP20" i="45" s="1"/>
  <c r="AJ15" i="45"/>
  <c r="AI41" i="45"/>
  <c r="AP41" i="45" s="1"/>
  <c r="AI38" i="45"/>
  <c r="AP38" i="45" s="1"/>
  <c r="AI29" i="45"/>
  <c r="AI45" i="45"/>
  <c r="AP45" i="45" s="1"/>
  <c r="AI33" i="45"/>
  <c r="AP33" i="45" s="1"/>
  <c r="AI50" i="45"/>
  <c r="AI25" i="45"/>
  <c r="AP25" i="45" s="1"/>
  <c r="AI21" i="45"/>
  <c r="AP21" i="45" s="1"/>
  <c r="AI18" i="45"/>
  <c r="AP18" i="45" s="1"/>
  <c r="AI17" i="45"/>
  <c r="AP17" i="45" s="1"/>
  <c r="AI63" i="45"/>
  <c r="AP63" i="45" s="1"/>
  <c r="AI37" i="45"/>
  <c r="AI53" i="45"/>
  <c r="AP53" i="45" s="1"/>
  <c r="AI26" i="45"/>
  <c r="AI30" i="45"/>
  <c r="AI22" i="45"/>
  <c r="AP22" i="45" s="1"/>
  <c r="AH66" i="45"/>
  <c r="AO16" i="45"/>
  <c r="I83" i="49"/>
  <c r="AP54" i="45" l="1"/>
  <c r="BC54" i="45"/>
  <c r="AE83" i="49"/>
  <c r="AF74" i="49"/>
  <c r="H83" i="52"/>
  <c r="H96" i="52" s="1"/>
  <c r="H162" i="52" s="1"/>
  <c r="H171" i="52" s="1"/>
  <c r="BC55" i="45"/>
  <c r="J167" i="49"/>
  <c r="BC25" i="45"/>
  <c r="BC48" i="45"/>
  <c r="BC18" i="45"/>
  <c r="BC60" i="45"/>
  <c r="BC58" i="45"/>
  <c r="BC62" i="45"/>
  <c r="BC63" i="45"/>
  <c r="BC34" i="45"/>
  <c r="BC39" i="45"/>
  <c r="BC45" i="45"/>
  <c r="BC40" i="45"/>
  <c r="BC33" i="45"/>
  <c r="BC44" i="45"/>
  <c r="BC52" i="45"/>
  <c r="BC59" i="45"/>
  <c r="AP19" i="45"/>
  <c r="BC19" i="45"/>
  <c r="BC32" i="45"/>
  <c r="AP50" i="45"/>
  <c r="BC50" i="45"/>
  <c r="BC21" i="45"/>
  <c r="AP30" i="45"/>
  <c r="BC30" i="45"/>
  <c r="BC43" i="45"/>
  <c r="BC31" i="45"/>
  <c r="BC36" i="45"/>
  <c r="BC41" i="45"/>
  <c r="BC53" i="45"/>
  <c r="BC28" i="45"/>
  <c r="BC46" i="45"/>
  <c r="AP29" i="45"/>
  <c r="BC29" i="45"/>
  <c r="AP51" i="45"/>
  <c r="BC51" i="45"/>
  <c r="BC23" i="45"/>
  <c r="BC65" i="45"/>
  <c r="BC27" i="45"/>
  <c r="BC38" i="45"/>
  <c r="BC61" i="45"/>
  <c r="BC24" i="45"/>
  <c r="BC64" i="45"/>
  <c r="BC49" i="45"/>
  <c r="AP26" i="45"/>
  <c r="BC26" i="45"/>
  <c r="BC47" i="45"/>
  <c r="AP37" i="45"/>
  <c r="BC37" i="45"/>
  <c r="BC57" i="45"/>
  <c r="BC22" i="45"/>
  <c r="AP35" i="45"/>
  <c r="BC35" i="45"/>
  <c r="AP42" i="45"/>
  <c r="BC42" i="45"/>
  <c r="BC20" i="45"/>
  <c r="BC56" i="45"/>
  <c r="BC17" i="45"/>
  <c r="AO66" i="45"/>
  <c r="H122" i="45" s="1"/>
  <c r="F122" i="45"/>
  <c r="AJ65" i="45"/>
  <c r="AQ65" i="45" s="1"/>
  <c r="AJ61" i="45"/>
  <c r="AQ61" i="45" s="1"/>
  <c r="AJ57" i="45"/>
  <c r="AQ57" i="45" s="1"/>
  <c r="AJ62" i="45"/>
  <c r="AQ62" i="45" s="1"/>
  <c r="AJ58" i="45"/>
  <c r="AQ58" i="45" s="1"/>
  <c r="AJ54" i="45"/>
  <c r="AQ54" i="45" s="1"/>
  <c r="AJ63" i="45"/>
  <c r="AQ63" i="45" s="1"/>
  <c r="AJ59" i="45"/>
  <c r="AQ59" i="45" s="1"/>
  <c r="AJ55" i="45"/>
  <c r="AQ55" i="45" s="1"/>
  <c r="AJ64" i="45"/>
  <c r="AQ64" i="45" s="1"/>
  <c r="AJ60" i="45"/>
  <c r="AQ60" i="45" s="1"/>
  <c r="AJ52" i="45"/>
  <c r="AQ52" i="45" s="1"/>
  <c r="AJ48" i="45"/>
  <c r="AQ48" i="45" s="1"/>
  <c r="AJ44" i="45"/>
  <c r="AQ44" i="45" s="1"/>
  <c r="AJ56" i="45"/>
  <c r="AQ56" i="45" s="1"/>
  <c r="AJ53" i="45"/>
  <c r="AQ53" i="45" s="1"/>
  <c r="AJ49" i="45"/>
  <c r="AQ49" i="45" s="1"/>
  <c r="AJ45" i="45"/>
  <c r="AQ45" i="45" s="1"/>
  <c r="AJ47" i="45"/>
  <c r="AQ47" i="45" s="1"/>
  <c r="AJ40" i="45"/>
  <c r="AQ40" i="45" s="1"/>
  <c r="AJ36" i="45"/>
  <c r="AQ36" i="45" s="1"/>
  <c r="AJ41" i="45"/>
  <c r="AQ41" i="45" s="1"/>
  <c r="AJ37" i="45"/>
  <c r="AQ37" i="45" s="1"/>
  <c r="AJ46" i="45"/>
  <c r="AQ46" i="45" s="1"/>
  <c r="AJ32" i="45"/>
  <c r="AQ32" i="45" s="1"/>
  <c r="AJ28" i="45"/>
  <c r="AQ28" i="45" s="1"/>
  <c r="AJ24" i="45"/>
  <c r="AQ24" i="45" s="1"/>
  <c r="AJ20" i="45"/>
  <c r="AQ20" i="45" s="1"/>
  <c r="AJ16" i="45"/>
  <c r="AK15" i="45"/>
  <c r="AJ43" i="45"/>
  <c r="AQ43" i="45" s="1"/>
  <c r="AJ39" i="45"/>
  <c r="AQ39" i="45" s="1"/>
  <c r="AJ38" i="45"/>
  <c r="AQ38" i="45" s="1"/>
  <c r="AJ33" i="45"/>
  <c r="AQ33" i="45" s="1"/>
  <c r="AJ29" i="45"/>
  <c r="AQ29" i="45" s="1"/>
  <c r="AJ25" i="45"/>
  <c r="AQ25" i="45" s="1"/>
  <c r="AJ21" i="45"/>
  <c r="AQ21" i="45" s="1"/>
  <c r="AJ17" i="45"/>
  <c r="AQ17" i="45" s="1"/>
  <c r="AJ51" i="45"/>
  <c r="AQ51" i="45" s="1"/>
  <c r="AJ50" i="45"/>
  <c r="AQ50" i="45" s="1"/>
  <c r="AJ42" i="45"/>
  <c r="AQ42" i="45" s="1"/>
  <c r="AJ30" i="45"/>
  <c r="AQ30" i="45" s="1"/>
  <c r="AJ35" i="45"/>
  <c r="AQ35" i="45" s="1"/>
  <c r="AJ27" i="45"/>
  <c r="AQ27" i="45" s="1"/>
  <c r="AJ22" i="45"/>
  <c r="AQ22" i="45" s="1"/>
  <c r="AJ19" i="45"/>
  <c r="AQ19" i="45" s="1"/>
  <c r="AJ31" i="45"/>
  <c r="AQ31" i="45" s="1"/>
  <c r="AJ23" i="45"/>
  <c r="AQ23" i="45" s="1"/>
  <c r="AJ34" i="45"/>
  <c r="AQ34" i="45" s="1"/>
  <c r="AJ26" i="45"/>
  <c r="AQ26" i="45" s="1"/>
  <c r="AJ18" i="45"/>
  <c r="AQ18" i="45" s="1"/>
  <c r="AI66" i="45"/>
  <c r="AP16" i="45"/>
  <c r="J83" i="49"/>
  <c r="E54" i="59" l="1"/>
  <c r="AF83" i="49"/>
  <c r="AG74" i="49"/>
  <c r="H246" i="52"/>
  <c r="H173" i="52"/>
  <c r="H230" i="52"/>
  <c r="K167" i="49"/>
  <c r="I78" i="52"/>
  <c r="BC66" i="45"/>
  <c r="Q18" i="59" s="1"/>
  <c r="C19" i="59" s="1"/>
  <c r="AP66" i="45"/>
  <c r="H123" i="45" s="1"/>
  <c r="F123" i="45"/>
  <c r="AK62" i="45"/>
  <c r="AR62" i="45" s="1"/>
  <c r="AK58" i="45"/>
  <c r="AR58" i="45" s="1"/>
  <c r="AK63" i="45"/>
  <c r="AR63" i="45" s="1"/>
  <c r="AK59" i="45"/>
  <c r="AR59" i="45" s="1"/>
  <c r="AK55" i="45"/>
  <c r="AR55" i="45" s="1"/>
  <c r="AK64" i="45"/>
  <c r="AR64" i="45" s="1"/>
  <c r="AK60" i="45"/>
  <c r="AR60" i="45" s="1"/>
  <c r="AK56" i="45"/>
  <c r="AR56" i="45" s="1"/>
  <c r="AK53" i="45"/>
  <c r="AR53" i="45" s="1"/>
  <c r="AK49" i="45"/>
  <c r="AR49" i="45" s="1"/>
  <c r="AK45" i="45"/>
  <c r="AR45" i="45" s="1"/>
  <c r="AK65" i="45"/>
  <c r="AR65" i="45" s="1"/>
  <c r="AK50" i="45"/>
  <c r="AR50" i="45" s="1"/>
  <c r="AK46" i="45"/>
  <c r="AR46" i="45" s="1"/>
  <c r="AK42" i="45"/>
  <c r="AR42" i="45" s="1"/>
  <c r="AK61" i="45"/>
  <c r="AR61" i="45" s="1"/>
  <c r="AK57" i="45"/>
  <c r="AR57" i="45" s="1"/>
  <c r="AK48" i="45"/>
  <c r="AR48" i="45" s="1"/>
  <c r="AK41" i="45"/>
  <c r="AR41" i="45" s="1"/>
  <c r="AK37" i="45"/>
  <c r="AR37" i="45" s="1"/>
  <c r="AK54" i="45"/>
  <c r="AR54" i="45" s="1"/>
  <c r="AK51" i="45"/>
  <c r="AR51" i="45" s="1"/>
  <c r="AK43" i="45"/>
  <c r="AR43" i="45" s="1"/>
  <c r="AK38" i="45"/>
  <c r="AR38" i="45" s="1"/>
  <c r="AK34" i="45"/>
  <c r="AR34" i="45" s="1"/>
  <c r="AK39" i="45"/>
  <c r="AR39" i="45" s="1"/>
  <c r="AK33" i="45"/>
  <c r="AR33" i="45" s="1"/>
  <c r="AK29" i="45"/>
  <c r="AR29" i="45" s="1"/>
  <c r="AK25" i="45"/>
  <c r="AR25" i="45" s="1"/>
  <c r="AK21" i="45"/>
  <c r="AR21" i="45" s="1"/>
  <c r="AK17" i="45"/>
  <c r="AR17" i="45" s="1"/>
  <c r="AK44" i="45"/>
  <c r="AR44" i="45" s="1"/>
  <c r="AK40" i="45"/>
  <c r="AR40" i="45" s="1"/>
  <c r="AK35" i="45"/>
  <c r="AR35" i="45" s="1"/>
  <c r="AK30" i="45"/>
  <c r="AR30" i="45" s="1"/>
  <c r="AK26" i="45"/>
  <c r="AR26" i="45" s="1"/>
  <c r="AK22" i="45"/>
  <c r="AR22" i="45" s="1"/>
  <c r="AK18" i="45"/>
  <c r="AR18" i="45" s="1"/>
  <c r="AK52" i="45"/>
  <c r="AR52" i="45" s="1"/>
  <c r="AK36" i="45"/>
  <c r="AR36" i="45" s="1"/>
  <c r="AK27" i="45"/>
  <c r="AR27" i="45" s="1"/>
  <c r="AK31" i="45"/>
  <c r="AR31" i="45" s="1"/>
  <c r="AK23" i="45"/>
  <c r="AR23" i="45" s="1"/>
  <c r="AK16" i="45"/>
  <c r="AK19" i="45"/>
  <c r="AR19" i="45" s="1"/>
  <c r="AK47" i="45"/>
  <c r="AR47" i="45" s="1"/>
  <c r="AK32" i="45"/>
  <c r="AR32" i="45" s="1"/>
  <c r="AK24" i="45"/>
  <c r="AR24" i="45" s="1"/>
  <c r="AK28" i="45"/>
  <c r="AR28" i="45" s="1"/>
  <c r="AK20" i="45"/>
  <c r="AR20" i="45" s="1"/>
  <c r="AJ66" i="45"/>
  <c r="AQ16" i="45"/>
  <c r="K83" i="49"/>
  <c r="C115" i="42"/>
  <c r="C114" i="42"/>
  <c r="C111" i="42"/>
  <c r="C110" i="42"/>
  <c r="C108" i="42"/>
  <c r="C107" i="42"/>
  <c r="C106" i="42"/>
  <c r="AG83" i="49" l="1"/>
  <c r="AH74" i="49"/>
  <c r="I83" i="52"/>
  <c r="I96" i="52" s="1"/>
  <c r="I162" i="52" s="1"/>
  <c r="I171" i="52" s="1"/>
  <c r="L167" i="49"/>
  <c r="AQ66" i="45"/>
  <c r="H124" i="45" s="1"/>
  <c r="F124" i="45"/>
  <c r="C134" i="42"/>
  <c r="E134" i="42" s="1"/>
  <c r="AK66" i="45"/>
  <c r="F125" i="45" s="1"/>
  <c r="AR16" i="45"/>
  <c r="L83" i="49"/>
  <c r="C130" i="42"/>
  <c r="C129" i="42"/>
  <c r="C145" i="42" s="1"/>
  <c r="C128" i="42"/>
  <c r="D128" i="42" s="1"/>
  <c r="C127" i="42"/>
  <c r="C142" i="42" s="1"/>
  <c r="C126" i="42"/>
  <c r="C141" i="42" s="1"/>
  <c r="E141" i="42" s="1"/>
  <c r="C125" i="42"/>
  <c r="D125" i="42" s="1"/>
  <c r="C124" i="42"/>
  <c r="C123" i="42"/>
  <c r="C122" i="42"/>
  <c r="C139" i="42" s="1"/>
  <c r="E139" i="42" s="1"/>
  <c r="C121" i="42"/>
  <c r="C120" i="42"/>
  <c r="C138" i="42" s="1"/>
  <c r="AI74" i="49" l="1"/>
  <c r="AH83" i="49"/>
  <c r="I246" i="52"/>
  <c r="I230" i="52"/>
  <c r="I173" i="52"/>
  <c r="M167" i="49"/>
  <c r="J78" i="52"/>
  <c r="F126" i="45"/>
  <c r="AR66" i="45"/>
  <c r="H125" i="45" s="1"/>
  <c r="H126" i="45" s="1"/>
  <c r="H130" i="45" s="1"/>
  <c r="D139" i="42"/>
  <c r="D134" i="42"/>
  <c r="C140" i="42"/>
  <c r="E140" i="42" s="1"/>
  <c r="D124" i="42"/>
  <c r="E31" i="42"/>
  <c r="E138" i="42"/>
  <c r="D138" i="42"/>
  <c r="D141" i="42"/>
  <c r="D142" i="42"/>
  <c r="E142" i="42"/>
  <c r="E145" i="42"/>
  <c r="D145" i="42"/>
  <c r="F31" i="42"/>
  <c r="M83" i="49"/>
  <c r="G17" i="65" l="1"/>
  <c r="Q19" i="59"/>
  <c r="E19" i="59" s="1"/>
  <c r="AJ74" i="49"/>
  <c r="AI83" i="49"/>
  <c r="J83" i="52"/>
  <c r="J96" i="52" s="1"/>
  <c r="J162" i="52" s="1"/>
  <c r="J171" i="52" s="1"/>
  <c r="N167" i="49"/>
  <c r="F130" i="45"/>
  <c r="D140" i="42"/>
  <c r="L149" i="42" a="1"/>
  <c r="L149" i="42" s="1"/>
  <c r="W149" i="42" s="1" a="1"/>
  <c r="W149" i="42" s="1"/>
  <c r="AK149" i="42" s="1"/>
  <c r="L159" i="42" a="1"/>
  <c r="L159" i="42" s="1"/>
  <c r="W159" i="42" s="1" a="1"/>
  <c r="W159" i="42" s="1"/>
  <c r="AK159" i="42" s="1"/>
  <c r="L133" i="42" a="1"/>
  <c r="L133" i="42" s="1"/>
  <c r="L153" i="42" a="1"/>
  <c r="L153" i="42" s="1"/>
  <c r="W153" i="42" s="1" a="1"/>
  <c r="W153" i="42" s="1"/>
  <c r="AK153" i="42" s="1"/>
  <c r="L162" i="42" a="1"/>
  <c r="L162" i="42" s="1"/>
  <c r="W162" i="42" s="1" a="1"/>
  <c r="W162" i="42" s="1"/>
  <c r="AK162" i="42" s="1"/>
  <c r="L152" i="42" a="1"/>
  <c r="L152" i="42" s="1"/>
  <c r="W152" i="42" s="1" a="1"/>
  <c r="W152" i="42" s="1"/>
  <c r="AK152" i="42" s="1"/>
  <c r="L139" i="42" a="1"/>
  <c r="L139" i="42" s="1"/>
  <c r="W139" i="42" s="1" a="1"/>
  <c r="W139" i="42" s="1"/>
  <c r="AK139" i="42" s="1"/>
  <c r="L154" i="42" a="1"/>
  <c r="L154" i="42" s="1"/>
  <c r="W154" i="42" s="1" a="1"/>
  <c r="W154" i="42" s="1"/>
  <c r="AK154" i="42" s="1"/>
  <c r="L141" i="42" a="1"/>
  <c r="L141" i="42" s="1"/>
  <c r="W141" i="42" s="1" a="1"/>
  <c r="W141" i="42" s="1"/>
  <c r="AK141" i="42" s="1"/>
  <c r="L146" i="42" a="1"/>
  <c r="L146" i="42" s="1"/>
  <c r="W146" i="42" s="1" a="1"/>
  <c r="W146" i="42" s="1"/>
  <c r="AK146" i="42" s="1"/>
  <c r="L156" i="42" a="1"/>
  <c r="L156" i="42" s="1"/>
  <c r="W156" i="42" s="1" a="1"/>
  <c r="W156" i="42" s="1"/>
  <c r="AK156" i="42" s="1"/>
  <c r="L134" i="42" a="1"/>
  <c r="L134" i="42" s="1"/>
  <c r="W134" i="42" s="1" a="1"/>
  <c r="W134" i="42" s="1"/>
  <c r="AK134" i="42" s="1"/>
  <c r="L147" i="42" a="1"/>
  <c r="L147" i="42" s="1"/>
  <c r="W147" i="42" s="1" a="1"/>
  <c r="W147" i="42" s="1"/>
  <c r="AK147" i="42" s="1"/>
  <c r="L144" i="42" a="1"/>
  <c r="L144" i="42" s="1"/>
  <c r="W144" i="42" s="1" a="1"/>
  <c r="W144" i="42" s="1"/>
  <c r="AK144" i="42" s="1"/>
  <c r="L158" i="42" a="1"/>
  <c r="L158" i="42" s="1"/>
  <c r="W158" i="42" s="1" a="1"/>
  <c r="W158" i="42" s="1"/>
  <c r="AK158" i="42" s="1"/>
  <c r="L151" i="42" a="1"/>
  <c r="L151" i="42" s="1"/>
  <c r="W151" i="42" s="1" a="1"/>
  <c r="W151" i="42" s="1"/>
  <c r="AK151" i="42" s="1"/>
  <c r="L150" i="42" a="1"/>
  <c r="L150" i="42" s="1"/>
  <c r="W150" i="42" s="1" a="1"/>
  <c r="W150" i="42" s="1"/>
  <c r="AK150" i="42" s="1"/>
  <c r="L135" i="42" a="1"/>
  <c r="L135" i="42" s="1"/>
  <c r="W135" i="42" s="1" a="1"/>
  <c r="W135" i="42" s="1"/>
  <c r="AK135" i="42" s="1"/>
  <c r="L155" i="42" a="1"/>
  <c r="L155" i="42" s="1"/>
  <c r="W155" i="42" s="1" a="1"/>
  <c r="W155" i="42" s="1"/>
  <c r="AK155" i="42" s="1"/>
  <c r="L160" i="42" a="1"/>
  <c r="L160" i="42" s="1"/>
  <c r="W160" i="42" s="1" a="1"/>
  <c r="W160" i="42" s="1"/>
  <c r="AK160" i="42" s="1"/>
  <c r="L137" i="42" a="1"/>
  <c r="L137" i="42" s="1"/>
  <c r="W137" i="42" s="1" a="1"/>
  <c r="W137" i="42" s="1"/>
  <c r="AK137" i="42" s="1"/>
  <c r="L136" i="42" a="1"/>
  <c r="L136" i="42" s="1"/>
  <c r="W136" i="42" s="1" a="1"/>
  <c r="W136" i="42" s="1"/>
  <c r="AK136" i="42" s="1"/>
  <c r="L157" i="42" a="1"/>
  <c r="L157" i="42" s="1"/>
  <c r="W157" i="42" s="1" a="1"/>
  <c r="W157" i="42" s="1"/>
  <c r="AK157" i="42" s="1"/>
  <c r="L138" i="42" a="1"/>
  <c r="L138" i="42" s="1"/>
  <c r="W138" i="42" s="1" a="1"/>
  <c r="W138" i="42" s="1"/>
  <c r="AK138" i="42" s="1"/>
  <c r="L143" i="42" a="1"/>
  <c r="L143" i="42" s="1"/>
  <c r="W143" i="42" s="1" a="1"/>
  <c r="W143" i="42" s="1"/>
  <c r="AK143" i="42" s="1"/>
  <c r="L140" i="42" a="1"/>
  <c r="L140" i="42" s="1"/>
  <c r="W140" i="42" s="1" a="1"/>
  <c r="W140" i="42" s="1"/>
  <c r="AK140" i="42" s="1"/>
  <c r="L145" i="42" a="1"/>
  <c r="L145" i="42" s="1"/>
  <c r="W145" i="42" s="1" a="1"/>
  <c r="W145" i="42" s="1"/>
  <c r="AK145" i="42" s="1"/>
  <c r="L161" i="42" a="1"/>
  <c r="L161" i="42" s="1"/>
  <c r="W161" i="42" s="1" a="1"/>
  <c r="W161" i="42" s="1"/>
  <c r="AK161" i="42" s="1"/>
  <c r="L148" i="42" a="1"/>
  <c r="L148" i="42" s="1"/>
  <c r="W148" i="42" s="1" a="1"/>
  <c r="W148" i="42" s="1"/>
  <c r="AK148" i="42" s="1"/>
  <c r="L142" i="42" a="1"/>
  <c r="L142" i="42" s="1"/>
  <c r="W142" i="42" s="1" a="1"/>
  <c r="W142" i="42" s="1"/>
  <c r="AK142" i="42" s="1"/>
  <c r="N83" i="49"/>
  <c r="K319" i="42"/>
  <c r="K318" i="42"/>
  <c r="K317" i="42"/>
  <c r="K316" i="42"/>
  <c r="K315" i="42"/>
  <c r="K314" i="42"/>
  <c r="K313" i="42"/>
  <c r="K312" i="42"/>
  <c r="K311" i="42"/>
  <c r="K310" i="42"/>
  <c r="K309" i="42"/>
  <c r="K308" i="42"/>
  <c r="I315" i="42"/>
  <c r="I319" i="42"/>
  <c r="I318" i="42"/>
  <c r="I317" i="42"/>
  <c r="I316" i="42"/>
  <c r="I314" i="42"/>
  <c r="I313" i="42"/>
  <c r="I312" i="42"/>
  <c r="I311" i="42"/>
  <c r="I310" i="42"/>
  <c r="I309" i="42"/>
  <c r="I308" i="42"/>
  <c r="G319" i="42"/>
  <c r="G318" i="42"/>
  <c r="G317" i="42"/>
  <c r="G316" i="42"/>
  <c r="G315" i="42"/>
  <c r="G314" i="42"/>
  <c r="G313" i="42"/>
  <c r="G312" i="42"/>
  <c r="G311" i="42"/>
  <c r="G310" i="42"/>
  <c r="G309" i="42"/>
  <c r="G308" i="42"/>
  <c r="G56" i="59" l="1"/>
  <c r="K56" i="59" s="1"/>
  <c r="E24" i="59"/>
  <c r="C24" i="59" s="1"/>
  <c r="C50" i="68" s="1"/>
  <c r="E93" i="59"/>
  <c r="F93" i="59" s="1"/>
  <c r="F123" i="59"/>
  <c r="I123" i="59" s="1"/>
  <c r="S186" i="68"/>
  <c r="S188" i="68" s="1"/>
  <c r="S190" i="68"/>
  <c r="S191" i="68" s="1"/>
  <c r="S163" i="68"/>
  <c r="S164" i="68" s="1"/>
  <c r="S170" i="68"/>
  <c r="S172" i="68" s="1"/>
  <c r="S173" i="68" s="1"/>
  <c r="G55" i="59"/>
  <c r="K55" i="59" s="1"/>
  <c r="G54" i="59"/>
  <c r="K54" i="59" s="1"/>
  <c r="AK74" i="49"/>
  <c r="AJ83" i="49"/>
  <c r="N133" i="42" a="1"/>
  <c r="N133" i="42" s="1"/>
  <c r="M133" i="42" a="1"/>
  <c r="M133" i="42" s="1"/>
  <c r="W133" i="42" a="1"/>
  <c r="W133" i="42" s="1"/>
  <c r="AK133" i="42" s="1"/>
  <c r="L123" i="108"/>
  <c r="D113" i="47"/>
  <c r="C110" i="52" s="1" a="1"/>
  <c r="C110" i="52" s="1"/>
  <c r="J230" i="52"/>
  <c r="J246" i="52"/>
  <c r="J173" i="52"/>
  <c r="I82" i="108"/>
  <c r="I77" i="108"/>
  <c r="I78" i="108"/>
  <c r="I80" i="108"/>
  <c r="I76" i="108"/>
  <c r="I79" i="108"/>
  <c r="I83" i="108"/>
  <c r="I81" i="108"/>
  <c r="B8" i="88"/>
  <c r="M50" i="109"/>
  <c r="M63" i="109" s="1"/>
  <c r="N26" i="47"/>
  <c r="N38" i="47"/>
  <c r="N52" i="47"/>
  <c r="N65" i="47"/>
  <c r="N79" i="47"/>
  <c r="N92" i="47"/>
  <c r="N106" i="47"/>
  <c r="N119" i="47"/>
  <c r="N132" i="47"/>
  <c r="N146" i="47"/>
  <c r="N159" i="47"/>
  <c r="F180" i="102" s="1"/>
  <c r="N19" i="47"/>
  <c r="N12" i="47"/>
  <c r="J39" i="105"/>
  <c r="J66" i="105"/>
  <c r="J80" i="105"/>
  <c r="J93" i="105"/>
  <c r="J106" i="105"/>
  <c r="J119" i="105"/>
  <c r="J145" i="105"/>
  <c r="J159" i="105"/>
  <c r="J186" i="105"/>
  <c r="J213" i="105"/>
  <c r="J19" i="105"/>
  <c r="N43" i="47"/>
  <c r="N110" i="47"/>
  <c r="N138" i="47"/>
  <c r="N163" i="47"/>
  <c r="J71" i="105"/>
  <c r="J110" i="105"/>
  <c r="J136" i="105"/>
  <c r="J177" i="105"/>
  <c r="J232" i="105"/>
  <c r="N84" i="47"/>
  <c r="J58" i="105"/>
  <c r="J125" i="105"/>
  <c r="J178" i="105"/>
  <c r="N27" i="47"/>
  <c r="N39" i="47"/>
  <c r="N53" i="47"/>
  <c r="N66" i="47"/>
  <c r="N80" i="47"/>
  <c r="N93" i="47"/>
  <c r="N107" i="47"/>
  <c r="N120" i="47"/>
  <c r="N133" i="47"/>
  <c r="N147" i="47"/>
  <c r="N160" i="47"/>
  <c r="J41" i="105"/>
  <c r="J54" i="105"/>
  <c r="J67" i="105"/>
  <c r="J81" i="105"/>
  <c r="J94" i="105"/>
  <c r="J107" i="105"/>
  <c r="J120" i="105"/>
  <c r="J133" i="105"/>
  <c r="J146" i="105"/>
  <c r="J160" i="105"/>
  <c r="J174" i="105"/>
  <c r="J187" i="105"/>
  <c r="J201" i="105"/>
  <c r="J215" i="105"/>
  <c r="J228" i="105"/>
  <c r="J243" i="105"/>
  <c r="J29" i="105"/>
  <c r="N30" i="47"/>
  <c r="N83" i="47"/>
  <c r="N123" i="47"/>
  <c r="N151" i="47"/>
  <c r="J44" i="105"/>
  <c r="J97" i="105"/>
  <c r="J124" i="105"/>
  <c r="J150" i="105"/>
  <c r="J204" i="105"/>
  <c r="J246" i="105"/>
  <c r="J10" i="105"/>
  <c r="N31" i="47"/>
  <c r="J111" i="105"/>
  <c r="J205" i="105"/>
  <c r="N28" i="47"/>
  <c r="N41" i="47"/>
  <c r="N54" i="47"/>
  <c r="N67" i="47"/>
  <c r="N81" i="47"/>
  <c r="N94" i="47"/>
  <c r="N108" i="47"/>
  <c r="N121" i="47"/>
  <c r="N136" i="47"/>
  <c r="N148" i="47"/>
  <c r="N161" i="47"/>
  <c r="J42" i="105"/>
  <c r="J55" i="105"/>
  <c r="J69" i="105"/>
  <c r="J82" i="105"/>
  <c r="J95" i="105"/>
  <c r="J108" i="105"/>
  <c r="J121" i="105"/>
  <c r="J134" i="105"/>
  <c r="J148" i="105"/>
  <c r="J161" i="105"/>
  <c r="J175" i="105"/>
  <c r="J188" i="105"/>
  <c r="J202" i="105"/>
  <c r="J216" i="105"/>
  <c r="J229" i="105"/>
  <c r="J244" i="105"/>
  <c r="N56" i="47"/>
  <c r="J57" i="105"/>
  <c r="J190" i="105"/>
  <c r="N44" i="47"/>
  <c r="J98" i="105"/>
  <c r="J192" i="105"/>
  <c r="N29" i="47"/>
  <c r="N42" i="47"/>
  <c r="N55" i="47"/>
  <c r="N68" i="47"/>
  <c r="N82" i="47"/>
  <c r="N95" i="47"/>
  <c r="N109" i="47"/>
  <c r="N122" i="47"/>
  <c r="N137" i="47"/>
  <c r="N149" i="47"/>
  <c r="N162" i="47"/>
  <c r="J43" i="105"/>
  <c r="J56" i="105"/>
  <c r="J70" i="105"/>
  <c r="J83" i="105"/>
  <c r="J96" i="105"/>
  <c r="J109" i="105"/>
  <c r="J122" i="105"/>
  <c r="J135" i="105"/>
  <c r="J149" i="105"/>
  <c r="J162" i="105"/>
  <c r="J176" i="105"/>
  <c r="J189" i="105"/>
  <c r="J203" i="105"/>
  <c r="J217" i="105"/>
  <c r="J230" i="105"/>
  <c r="J245" i="105"/>
  <c r="J9" i="105"/>
  <c r="N69" i="47"/>
  <c r="J84" i="105"/>
  <c r="J218" i="105"/>
  <c r="N70" i="47"/>
  <c r="J45" i="105"/>
  <c r="J138" i="105"/>
  <c r="J233" i="105"/>
  <c r="J72" i="105"/>
  <c r="N171" i="47"/>
  <c r="N97" i="47"/>
  <c r="N112" i="47"/>
  <c r="N125" i="47"/>
  <c r="N139" i="47"/>
  <c r="N152" i="47"/>
  <c r="N164" i="47"/>
  <c r="J240" i="105"/>
  <c r="J85" i="105"/>
  <c r="J164" i="105"/>
  <c r="J247" i="105"/>
  <c r="N20" i="47"/>
  <c r="N32" i="47"/>
  <c r="N45" i="47"/>
  <c r="N58" i="47"/>
  <c r="N71" i="47"/>
  <c r="N85" i="47"/>
  <c r="N113" i="47"/>
  <c r="N126" i="47"/>
  <c r="N140" i="47"/>
  <c r="N153" i="47"/>
  <c r="J33" i="105"/>
  <c r="J46" i="105"/>
  <c r="J60" i="105"/>
  <c r="J73" i="105"/>
  <c r="J86" i="105"/>
  <c r="J99" i="105"/>
  <c r="J112" i="105"/>
  <c r="J126" i="105"/>
  <c r="J139" i="105"/>
  <c r="J152" i="105"/>
  <c r="J166" i="105"/>
  <c r="J179" i="105"/>
  <c r="J193" i="105"/>
  <c r="N21" i="47"/>
  <c r="N33" i="47"/>
  <c r="N46" i="47"/>
  <c r="N59" i="47"/>
  <c r="N72" i="47"/>
  <c r="N87" i="47"/>
  <c r="N101" i="47"/>
  <c r="N114" i="47"/>
  <c r="N127" i="47"/>
  <c r="N141" i="47"/>
  <c r="N154" i="47"/>
  <c r="N167" i="47"/>
  <c r="J34" i="105"/>
  <c r="J47" i="105"/>
  <c r="J61" i="105"/>
  <c r="J74" i="105"/>
  <c r="J87" i="105"/>
  <c r="J100" i="105"/>
  <c r="J114" i="105"/>
  <c r="J127" i="105"/>
  <c r="J140" i="105"/>
  <c r="J153" i="105"/>
  <c r="J167" i="105"/>
  <c r="J181" i="105"/>
  <c r="J194" i="105"/>
  <c r="J208" i="105"/>
  <c r="J222" i="105"/>
  <c r="J235" i="105"/>
  <c r="N22" i="47"/>
  <c r="N34" i="47"/>
  <c r="N47" i="47"/>
  <c r="N60" i="47"/>
  <c r="N74" i="47"/>
  <c r="N88" i="47"/>
  <c r="N102" i="47"/>
  <c r="N115" i="47"/>
  <c r="N128" i="47"/>
  <c r="N142" i="47"/>
  <c r="N155" i="47"/>
  <c r="N168" i="47"/>
  <c r="J35" i="105"/>
  <c r="J48" i="105"/>
  <c r="J62" i="105"/>
  <c r="J75" i="105"/>
  <c r="J88" i="105"/>
  <c r="J101" i="105"/>
  <c r="J115" i="105"/>
  <c r="J128" i="105"/>
  <c r="J141" i="105"/>
  <c r="J154" i="105"/>
  <c r="J168" i="105"/>
  <c r="J182" i="105"/>
  <c r="J195" i="105"/>
  <c r="N23" i="47"/>
  <c r="N35" i="47"/>
  <c r="N48" i="47"/>
  <c r="N61" i="47"/>
  <c r="N75" i="47"/>
  <c r="N89" i="47"/>
  <c r="N103" i="47"/>
  <c r="N116" i="47"/>
  <c r="N129" i="47"/>
  <c r="N143" i="47"/>
  <c r="N156" i="47"/>
  <c r="N169" i="47"/>
  <c r="N16" i="47"/>
  <c r="J36" i="105"/>
  <c r="J49" i="105"/>
  <c r="J63" i="105"/>
  <c r="J76" i="105"/>
  <c r="J89" i="105"/>
  <c r="J103" i="105"/>
  <c r="J116" i="105"/>
  <c r="J129" i="105"/>
  <c r="J142" i="105"/>
  <c r="J156" i="105"/>
  <c r="J169" i="105"/>
  <c r="J183" i="105"/>
  <c r="J196" i="105"/>
  <c r="J210" i="105"/>
  <c r="J224" i="105"/>
  <c r="J237" i="105"/>
  <c r="N24" i="47"/>
  <c r="N36" i="47"/>
  <c r="N49" i="47"/>
  <c r="N62" i="47"/>
  <c r="N77" i="47"/>
  <c r="N90" i="47"/>
  <c r="N104" i="47"/>
  <c r="N117" i="47"/>
  <c r="N130" i="47"/>
  <c r="N144" i="47"/>
  <c r="N157" i="47"/>
  <c r="N170" i="47"/>
  <c r="N13" i="47"/>
  <c r="J37" i="105"/>
  <c r="J50" i="105"/>
  <c r="J64" i="105"/>
  <c r="J77" i="105"/>
  <c r="J90" i="105"/>
  <c r="J104" i="105"/>
  <c r="J117" i="105"/>
  <c r="J130" i="105"/>
  <c r="J143" i="105"/>
  <c r="J157" i="105"/>
  <c r="J170" i="105"/>
  <c r="J184" i="105"/>
  <c r="J197" i="105"/>
  <c r="J211" i="105"/>
  <c r="J225" i="105"/>
  <c r="J238" i="105"/>
  <c r="J31" i="105"/>
  <c r="J26" i="105"/>
  <c r="J16" i="105"/>
  <c r="N25" i="47"/>
  <c r="N37" i="47"/>
  <c r="N51" i="47"/>
  <c r="N63" i="47"/>
  <c r="N78" i="47"/>
  <c r="N91" i="47"/>
  <c r="N105" i="47"/>
  <c r="N118" i="47"/>
  <c r="N131" i="47"/>
  <c r="N145" i="47"/>
  <c r="N158" i="47"/>
  <c r="N172" i="47"/>
  <c r="N14" i="47"/>
  <c r="J38" i="105"/>
  <c r="J52" i="105"/>
  <c r="J65" i="105"/>
  <c r="J79" i="105"/>
  <c r="J92" i="105"/>
  <c r="J105" i="105"/>
  <c r="J118" i="105"/>
  <c r="J131" i="105"/>
  <c r="J144" i="105"/>
  <c r="J158" i="105"/>
  <c r="J171" i="105"/>
  <c r="J185" i="105"/>
  <c r="J199" i="105"/>
  <c r="J212" i="105"/>
  <c r="J226" i="105"/>
  <c r="J241" i="105"/>
  <c r="J27" i="105"/>
  <c r="J20" i="105"/>
  <c r="J8" i="105"/>
  <c r="J7" i="105"/>
  <c r="J53" i="105"/>
  <c r="J132" i="105"/>
  <c r="J173" i="105"/>
  <c r="J200" i="105"/>
  <c r="J227" i="105"/>
  <c r="J242" i="105"/>
  <c r="J28" i="105"/>
  <c r="J17" i="105"/>
  <c r="N96" i="47"/>
  <c r="J163" i="105"/>
  <c r="N57" i="47"/>
  <c r="J151" i="105"/>
  <c r="J249" i="105"/>
  <c r="J24" i="105"/>
  <c r="J250" i="105"/>
  <c r="J25" i="105"/>
  <c r="J11" i="105"/>
  <c r="J32" i="105"/>
  <c r="J12" i="105"/>
  <c r="J13" i="105"/>
  <c r="J207" i="105"/>
  <c r="J14" i="105"/>
  <c r="J209" i="105"/>
  <c r="J15" i="105"/>
  <c r="J219" i="105"/>
  <c r="J234" i="105"/>
  <c r="J236" i="105"/>
  <c r="J22" i="105"/>
  <c r="J248" i="105"/>
  <c r="J23" i="105"/>
  <c r="J220" i="105"/>
  <c r="J223" i="105"/>
  <c r="J21" i="105"/>
  <c r="O167" i="49"/>
  <c r="N15" i="47"/>
  <c r="G128" i="45"/>
  <c r="G129" i="45"/>
  <c r="G119" i="45"/>
  <c r="G120" i="45"/>
  <c r="G121" i="45"/>
  <c r="G122" i="45"/>
  <c r="G123" i="45"/>
  <c r="G125" i="45"/>
  <c r="G124" i="45"/>
  <c r="G126" i="45"/>
  <c r="AR321" i="105"/>
  <c r="AR360" i="105"/>
  <c r="AR368" i="105"/>
  <c r="AR340" i="105"/>
  <c r="AR295" i="105"/>
  <c r="AR359" i="105"/>
  <c r="AR272" i="105"/>
  <c r="AR351" i="105"/>
  <c r="AR286" i="105"/>
  <c r="AR344" i="105"/>
  <c r="AR259" i="105"/>
  <c r="AR355" i="105"/>
  <c r="AR353" i="105"/>
  <c r="AR382" i="105"/>
  <c r="AR298" i="105"/>
  <c r="AR258" i="105"/>
  <c r="AR348" i="105"/>
  <c r="AR310" i="105"/>
  <c r="AR314" i="105"/>
  <c r="AR335" i="105"/>
  <c r="AR384" i="105"/>
  <c r="AR287" i="105"/>
  <c r="AR345" i="105"/>
  <c r="AR280" i="105"/>
  <c r="AR388" i="105"/>
  <c r="AR270" i="105"/>
  <c r="AR349" i="105"/>
  <c r="AR341" i="105"/>
  <c r="AR275" i="105"/>
  <c r="AR284" i="105"/>
  <c r="AR337" i="105"/>
  <c r="AR347" i="105"/>
  <c r="AR281" i="105"/>
  <c r="AR389" i="105"/>
  <c r="AR379" i="105"/>
  <c r="AR372" i="105"/>
  <c r="AR279" i="105"/>
  <c r="AR296" i="105"/>
  <c r="AR401" i="105"/>
  <c r="AR342" i="105"/>
  <c r="AR393" i="105"/>
  <c r="AR300" i="105"/>
  <c r="AR299" i="105"/>
  <c r="AR377" i="105"/>
  <c r="AR292" i="105"/>
  <c r="AR370" i="105"/>
  <c r="AR303" i="105"/>
  <c r="AR381" i="105"/>
  <c r="AR400" i="105"/>
  <c r="AR311" i="105"/>
  <c r="AR357" i="105"/>
  <c r="AR304" i="105"/>
  <c r="AR386" i="105"/>
  <c r="AR395" i="105"/>
  <c r="AR399" i="105"/>
  <c r="AR405" i="105"/>
  <c r="AR307" i="105"/>
  <c r="AR293" i="105"/>
  <c r="AR371" i="105"/>
  <c r="AR312" i="105"/>
  <c r="AR409" i="105"/>
  <c r="AR297" i="105"/>
  <c r="AR375" i="105"/>
  <c r="AR326" i="105"/>
  <c r="AR319" i="105"/>
  <c r="AR408" i="105"/>
  <c r="AR261" i="105"/>
  <c r="AR383" i="105"/>
  <c r="AR367" i="105"/>
  <c r="AR374" i="105"/>
  <c r="AR306" i="105"/>
  <c r="AR273" i="105"/>
  <c r="AR336" i="105"/>
  <c r="AR313" i="105"/>
  <c r="AR410" i="105"/>
  <c r="AR325" i="105"/>
  <c r="AR403" i="105"/>
  <c r="AR291" i="105"/>
  <c r="AR369" i="105"/>
  <c r="AR263" i="105"/>
  <c r="AR404" i="105"/>
  <c r="AR397" i="105"/>
  <c r="AR262" i="105"/>
  <c r="AR361" i="105"/>
  <c r="AR343" i="105"/>
  <c r="AR387" i="105"/>
  <c r="AR406" i="105"/>
  <c r="AR264" i="105"/>
  <c r="AR331" i="105"/>
  <c r="AR267" i="105"/>
  <c r="AR346" i="105"/>
  <c r="AR394" i="105"/>
  <c r="AR269" i="105"/>
  <c r="AR378" i="105"/>
  <c r="AR385" i="105"/>
  <c r="AR315" i="105"/>
  <c r="AR320" i="105"/>
  <c r="AR398" i="105"/>
  <c r="AR333" i="105"/>
  <c r="AR322" i="105"/>
  <c r="AR324" i="105"/>
  <c r="AR402" i="105"/>
  <c r="AR330" i="105"/>
  <c r="AR282" i="105"/>
  <c r="AR278" i="105"/>
  <c r="AR376" i="105"/>
  <c r="AR329" i="105"/>
  <c r="AR302" i="105"/>
  <c r="AR366" i="105"/>
  <c r="AR373" i="105"/>
  <c r="AR358" i="105"/>
  <c r="AR334" i="105"/>
  <c r="AR392" i="105"/>
  <c r="AR362" i="105"/>
  <c r="AR283" i="105"/>
  <c r="AR318" i="105"/>
  <c r="AR396" i="105"/>
  <c r="AR332" i="105"/>
  <c r="AR380" i="105"/>
  <c r="AR271" i="105"/>
  <c r="AR309" i="105"/>
  <c r="AR285" i="105"/>
  <c r="AR354" i="105"/>
  <c r="AR305" i="105"/>
  <c r="AR407" i="105"/>
  <c r="AR290" i="105"/>
  <c r="AR323" i="105"/>
  <c r="AR268" i="105"/>
  <c r="AR363" i="105"/>
  <c r="AR260" i="105"/>
  <c r="AR356" i="105"/>
  <c r="AR274" i="105"/>
  <c r="AR352" i="105"/>
  <c r="AR301" i="105"/>
  <c r="AR294" i="105"/>
  <c r="AR350" i="105"/>
  <c r="AR308" i="105"/>
  <c r="K78" i="52"/>
  <c r="K187" i="47"/>
  <c r="K185" i="47" s="1"/>
  <c r="F186" i="47" s="1"/>
  <c r="F187" i="47" s="1"/>
  <c r="F190" i="47" s="1"/>
  <c r="F192" i="47" s="1"/>
  <c r="V157" i="42" a="1"/>
  <c r="V157" i="42" s="1"/>
  <c r="AJ157" i="42" s="1"/>
  <c r="T157" i="42" a="1"/>
  <c r="T157" i="42" s="1"/>
  <c r="AH157" i="42" s="1"/>
  <c r="R157" i="42" a="1"/>
  <c r="R157" i="42" s="1"/>
  <c r="AF157" i="42" s="1"/>
  <c r="M157" i="42" a="1"/>
  <c r="M157" i="42" s="1"/>
  <c r="U157" i="42" a="1"/>
  <c r="U157" i="42" s="1"/>
  <c r="AI157" i="42" s="1"/>
  <c r="S157" i="42" a="1"/>
  <c r="S157" i="42" s="1"/>
  <c r="AG157" i="42" s="1"/>
  <c r="N157" i="42" a="1"/>
  <c r="N157" i="42" s="1"/>
  <c r="AC157" i="42" s="1"/>
  <c r="U139" i="42" a="1"/>
  <c r="U139" i="42" s="1"/>
  <c r="AI139" i="42" s="1"/>
  <c r="S139" i="42" a="1"/>
  <c r="S139" i="42" s="1"/>
  <c r="AG139" i="42" s="1"/>
  <c r="M139" i="42" a="1"/>
  <c r="M139" i="42" s="1"/>
  <c r="V139" i="42" a="1"/>
  <c r="V139" i="42" s="1"/>
  <c r="AJ139" i="42" s="1"/>
  <c r="R139" i="42" a="1"/>
  <c r="R139" i="42" s="1"/>
  <c r="AF139" i="42" s="1"/>
  <c r="N139" i="42" a="1"/>
  <c r="N139" i="42" s="1"/>
  <c r="AC139" i="42" s="1"/>
  <c r="T139" i="42" a="1"/>
  <c r="T139" i="42" s="1"/>
  <c r="AH139" i="42" s="1"/>
  <c r="U133" i="42" a="1"/>
  <c r="U133" i="42" s="1"/>
  <c r="AI133" i="42" s="1"/>
  <c r="S133" i="42" a="1"/>
  <c r="S133" i="42" s="1"/>
  <c r="AG133" i="42" s="1"/>
  <c r="T133" i="42" a="1"/>
  <c r="T133" i="42" s="1"/>
  <c r="AH133" i="42" s="1"/>
  <c r="AC133" i="42"/>
  <c r="V133" i="42" a="1"/>
  <c r="V133" i="42" s="1"/>
  <c r="AJ133" i="42" s="1"/>
  <c r="R133" i="42" a="1"/>
  <c r="R133" i="42" s="1"/>
  <c r="AF133" i="42" s="1"/>
  <c r="V156" i="42" a="1"/>
  <c r="V156" i="42" s="1"/>
  <c r="AJ156" i="42" s="1"/>
  <c r="T156" i="42" a="1"/>
  <c r="T156" i="42" s="1"/>
  <c r="AH156" i="42" s="1"/>
  <c r="R156" i="42" a="1"/>
  <c r="R156" i="42" s="1"/>
  <c r="AF156" i="42" s="1"/>
  <c r="M156" i="42" a="1"/>
  <c r="M156" i="42" s="1"/>
  <c r="U156" i="42" a="1"/>
  <c r="U156" i="42" s="1"/>
  <c r="AI156" i="42" s="1"/>
  <c r="N156" i="42" a="1"/>
  <c r="N156" i="42" s="1"/>
  <c r="AC156" i="42" s="1"/>
  <c r="S156" i="42" a="1"/>
  <c r="S156" i="42" s="1"/>
  <c r="AG156" i="42" s="1"/>
  <c r="V142" i="42" a="1"/>
  <c r="V142" i="42" s="1"/>
  <c r="AJ142" i="42" s="1"/>
  <c r="U142" i="42" a="1"/>
  <c r="U142" i="42" s="1"/>
  <c r="AI142" i="42" s="1"/>
  <c r="S142" i="42" a="1"/>
  <c r="S142" i="42" s="1"/>
  <c r="AG142" i="42" s="1"/>
  <c r="N142" i="42" a="1"/>
  <c r="N142" i="42" s="1"/>
  <c r="AC142" i="42" s="1"/>
  <c r="T142" i="42" a="1"/>
  <c r="T142" i="42" s="1"/>
  <c r="AH142" i="42" s="1"/>
  <c r="R142" i="42" a="1"/>
  <c r="R142" i="42" s="1"/>
  <c r="AF142" i="42" s="1"/>
  <c r="M142" i="42" a="1"/>
  <c r="M142" i="42" s="1"/>
  <c r="V140" i="42" a="1"/>
  <c r="V140" i="42" s="1"/>
  <c r="AJ140" i="42" s="1"/>
  <c r="T140" i="42" a="1"/>
  <c r="T140" i="42" s="1"/>
  <c r="AH140" i="42" s="1"/>
  <c r="R140" i="42" a="1"/>
  <c r="R140" i="42" s="1"/>
  <c r="AF140" i="42" s="1"/>
  <c r="M140" i="42" a="1"/>
  <c r="M140" i="42" s="1"/>
  <c r="U140" i="42" a="1"/>
  <c r="U140" i="42" s="1"/>
  <c r="AI140" i="42" s="1"/>
  <c r="N140" i="42" a="1"/>
  <c r="N140" i="42" s="1"/>
  <c r="AC140" i="42" s="1"/>
  <c r="S140" i="42" a="1"/>
  <c r="S140" i="42" s="1"/>
  <c r="AG140" i="42" s="1"/>
  <c r="V136" i="42" a="1"/>
  <c r="V136" i="42" s="1"/>
  <c r="AJ136" i="42" s="1"/>
  <c r="T136" i="42" a="1"/>
  <c r="T136" i="42" s="1"/>
  <c r="AH136" i="42" s="1"/>
  <c r="R136" i="42" a="1"/>
  <c r="R136" i="42" s="1"/>
  <c r="AF136" i="42" s="1"/>
  <c r="M136" i="42" a="1"/>
  <c r="M136" i="42" s="1"/>
  <c r="S136" i="42" a="1"/>
  <c r="S136" i="42" s="1"/>
  <c r="AG136" i="42" s="1"/>
  <c r="U136" i="42" a="1"/>
  <c r="U136" i="42" s="1"/>
  <c r="AI136" i="42" s="1"/>
  <c r="N136" i="42" a="1"/>
  <c r="N136" i="42" s="1"/>
  <c r="AC136" i="42" s="1"/>
  <c r="U135" i="42" a="1"/>
  <c r="U135" i="42" s="1"/>
  <c r="AI135" i="42" s="1"/>
  <c r="S135" i="42" a="1"/>
  <c r="S135" i="42" s="1"/>
  <c r="AG135" i="42" s="1"/>
  <c r="V135" i="42" a="1"/>
  <c r="V135" i="42" s="1"/>
  <c r="AJ135" i="42" s="1"/>
  <c r="M135" i="42" a="1"/>
  <c r="M135" i="42" s="1"/>
  <c r="R135" i="42" a="1"/>
  <c r="R135" i="42" s="1"/>
  <c r="AF135" i="42" s="1"/>
  <c r="T135" i="42" a="1"/>
  <c r="T135" i="42" s="1"/>
  <c r="AH135" i="42" s="1"/>
  <c r="N135" i="42" a="1"/>
  <c r="N135" i="42" s="1"/>
  <c r="AC135" i="42" s="1"/>
  <c r="V144" i="42" a="1"/>
  <c r="V144" i="42" s="1"/>
  <c r="AJ144" i="42" s="1"/>
  <c r="T144" i="42" a="1"/>
  <c r="T144" i="42" s="1"/>
  <c r="AH144" i="42" s="1"/>
  <c r="R144" i="42" a="1"/>
  <c r="R144" i="42" s="1"/>
  <c r="AF144" i="42" s="1"/>
  <c r="M144" i="42" a="1"/>
  <c r="M144" i="42" s="1"/>
  <c r="S144" i="42" a="1"/>
  <c r="S144" i="42" s="1"/>
  <c r="AG144" i="42" s="1"/>
  <c r="U144" i="42" a="1"/>
  <c r="U144" i="42" s="1"/>
  <c r="AI144" i="42" s="1"/>
  <c r="N144" i="42" a="1"/>
  <c r="N144" i="42" s="1"/>
  <c r="AC144" i="42" s="1"/>
  <c r="V146" i="42" a="1"/>
  <c r="V146" i="42" s="1"/>
  <c r="AJ146" i="42" s="1"/>
  <c r="U146" i="42" a="1"/>
  <c r="U146" i="42" s="1"/>
  <c r="AI146" i="42" s="1"/>
  <c r="S146" i="42" a="1"/>
  <c r="S146" i="42" s="1"/>
  <c r="AG146" i="42" s="1"/>
  <c r="N146" i="42" a="1"/>
  <c r="N146" i="42" s="1"/>
  <c r="AC146" i="42" s="1"/>
  <c r="R146" i="42" a="1"/>
  <c r="R146" i="42" s="1"/>
  <c r="AF146" i="42" s="1"/>
  <c r="M146" i="42" a="1"/>
  <c r="M146" i="42" s="1"/>
  <c r="T146" i="42" a="1"/>
  <c r="T146" i="42" s="1"/>
  <c r="AH146" i="42" s="1"/>
  <c r="V152" i="42" a="1"/>
  <c r="V152" i="42" s="1"/>
  <c r="AJ152" i="42" s="1"/>
  <c r="T152" i="42" a="1"/>
  <c r="T152" i="42" s="1"/>
  <c r="AH152" i="42" s="1"/>
  <c r="R152" i="42" a="1"/>
  <c r="R152" i="42" s="1"/>
  <c r="AF152" i="42" s="1"/>
  <c r="M152" i="42" a="1"/>
  <c r="M152" i="42" s="1"/>
  <c r="S152" i="42" a="1"/>
  <c r="S152" i="42" s="1"/>
  <c r="AG152" i="42" s="1"/>
  <c r="N152" i="42" a="1"/>
  <c r="N152" i="42" s="1"/>
  <c r="AC152" i="42" s="1"/>
  <c r="U152" i="42" a="1"/>
  <c r="U152" i="42" s="1"/>
  <c r="AI152" i="42" s="1"/>
  <c r="U159" i="42" a="1"/>
  <c r="U159" i="42" s="1"/>
  <c r="AI159" i="42" s="1"/>
  <c r="S159" i="42" a="1"/>
  <c r="S159" i="42" s="1"/>
  <c r="AG159" i="42" s="1"/>
  <c r="N159" i="42" a="1"/>
  <c r="N159" i="42" s="1"/>
  <c r="AC159" i="42" s="1"/>
  <c r="R159" i="42" a="1"/>
  <c r="R159" i="42" s="1"/>
  <c r="AF159" i="42" s="1"/>
  <c r="M159" i="42" a="1"/>
  <c r="M159" i="42" s="1"/>
  <c r="T159" i="42" a="1"/>
  <c r="T159" i="42" s="1"/>
  <c r="AH159" i="42" s="1"/>
  <c r="V159" i="42" a="1"/>
  <c r="V159" i="42" s="1"/>
  <c r="AJ159" i="42" s="1"/>
  <c r="U155" i="42" a="1"/>
  <c r="U155" i="42" s="1"/>
  <c r="AI155" i="42" s="1"/>
  <c r="S155" i="42" a="1"/>
  <c r="S155" i="42" s="1"/>
  <c r="AG155" i="42" s="1"/>
  <c r="M155" i="42" a="1"/>
  <c r="M155" i="42" s="1"/>
  <c r="V155" i="42" a="1"/>
  <c r="V155" i="42" s="1"/>
  <c r="AJ155" i="42" s="1"/>
  <c r="N155" i="42" a="1"/>
  <c r="N155" i="42" s="1"/>
  <c r="AC155" i="42" s="1"/>
  <c r="T155" i="42" a="1"/>
  <c r="T155" i="42" s="1"/>
  <c r="AH155" i="42" s="1"/>
  <c r="R155" i="42" a="1"/>
  <c r="R155" i="42" s="1"/>
  <c r="AF155" i="42" s="1"/>
  <c r="V148" i="42" a="1"/>
  <c r="V148" i="42" s="1"/>
  <c r="AJ148" i="42" s="1"/>
  <c r="T148" i="42" a="1"/>
  <c r="T148" i="42" s="1"/>
  <c r="AH148" i="42" s="1"/>
  <c r="R148" i="42" a="1"/>
  <c r="R148" i="42" s="1"/>
  <c r="AF148" i="42" s="1"/>
  <c r="M148" i="42" a="1"/>
  <c r="M148" i="42" s="1"/>
  <c r="U148" i="42" a="1"/>
  <c r="U148" i="42" s="1"/>
  <c r="AI148" i="42" s="1"/>
  <c r="N148" i="42" a="1"/>
  <c r="N148" i="42" s="1"/>
  <c r="AC148" i="42" s="1"/>
  <c r="S148" i="42" a="1"/>
  <c r="S148" i="42" s="1"/>
  <c r="AG148" i="42" s="1"/>
  <c r="U143" i="42" a="1"/>
  <c r="U143" i="42" s="1"/>
  <c r="AI143" i="42" s="1"/>
  <c r="S143" i="42" a="1"/>
  <c r="S143" i="42" s="1"/>
  <c r="AG143" i="42" s="1"/>
  <c r="N143" i="42" a="1"/>
  <c r="N143" i="42" s="1"/>
  <c r="AC143" i="42" s="1"/>
  <c r="V143" i="42" a="1"/>
  <c r="V143" i="42" s="1"/>
  <c r="AJ143" i="42" s="1"/>
  <c r="T143" i="42" a="1"/>
  <c r="T143" i="42" s="1"/>
  <c r="AH143" i="42" s="1"/>
  <c r="R143" i="42" a="1"/>
  <c r="R143" i="42" s="1"/>
  <c r="AF143" i="42" s="1"/>
  <c r="M143" i="42" a="1"/>
  <c r="M143" i="42" s="1"/>
  <c r="V137" i="42" a="1"/>
  <c r="V137" i="42" s="1"/>
  <c r="AJ137" i="42" s="1"/>
  <c r="T137" i="42" a="1"/>
  <c r="T137" i="42" s="1"/>
  <c r="AH137" i="42" s="1"/>
  <c r="R137" i="42" a="1"/>
  <c r="R137" i="42" s="1"/>
  <c r="AF137" i="42" s="1"/>
  <c r="N137" i="42" a="1"/>
  <c r="N137" i="42" s="1"/>
  <c r="AC137" i="42" s="1"/>
  <c r="M137" i="42" a="1"/>
  <c r="M137" i="42" s="1"/>
  <c r="U137" i="42" a="1"/>
  <c r="U137" i="42" s="1"/>
  <c r="AI137" i="42" s="1"/>
  <c r="S137" i="42" a="1"/>
  <c r="S137" i="42" s="1"/>
  <c r="AG137" i="42" s="1"/>
  <c r="V150" i="42" a="1"/>
  <c r="V150" i="42" s="1"/>
  <c r="AJ150" i="42" s="1"/>
  <c r="U150" i="42" a="1"/>
  <c r="U150" i="42" s="1"/>
  <c r="AI150" i="42" s="1"/>
  <c r="S150" i="42" a="1"/>
  <c r="S150" i="42" s="1"/>
  <c r="AG150" i="42" s="1"/>
  <c r="N150" i="42" a="1"/>
  <c r="N150" i="42" s="1"/>
  <c r="AC150" i="42" s="1"/>
  <c r="T150" i="42" a="1"/>
  <c r="T150" i="42" s="1"/>
  <c r="AH150" i="42" s="1"/>
  <c r="M150" i="42" a="1"/>
  <c r="M150" i="42" s="1"/>
  <c r="R150" i="42" a="1"/>
  <c r="R150" i="42" s="1"/>
  <c r="AF150" i="42" s="1"/>
  <c r="U147" i="42" a="1"/>
  <c r="U147" i="42" s="1"/>
  <c r="AI147" i="42" s="1"/>
  <c r="S147" i="42" a="1"/>
  <c r="S147" i="42" s="1"/>
  <c r="AG147" i="42" s="1"/>
  <c r="M147" i="42" a="1"/>
  <c r="M147" i="42" s="1"/>
  <c r="V147" i="42" a="1"/>
  <c r="V147" i="42" s="1"/>
  <c r="AJ147" i="42" s="1"/>
  <c r="T147" i="42" a="1"/>
  <c r="T147" i="42" s="1"/>
  <c r="AH147" i="42" s="1"/>
  <c r="R147" i="42" a="1"/>
  <c r="R147" i="42" s="1"/>
  <c r="AF147" i="42" s="1"/>
  <c r="N147" i="42" a="1"/>
  <c r="N147" i="42" s="1"/>
  <c r="AC147" i="42" s="1"/>
  <c r="V141" i="42" a="1"/>
  <c r="V141" i="42" s="1"/>
  <c r="AJ141" i="42" s="1"/>
  <c r="T141" i="42" a="1"/>
  <c r="T141" i="42" s="1"/>
  <c r="AH141" i="42" s="1"/>
  <c r="R141" i="42" a="1"/>
  <c r="R141" i="42" s="1"/>
  <c r="AF141" i="42" s="1"/>
  <c r="N141" i="42" a="1"/>
  <c r="N141" i="42" s="1"/>
  <c r="AC141" i="42" s="1"/>
  <c r="U141" i="42" a="1"/>
  <c r="U141" i="42" s="1"/>
  <c r="AI141" i="42" s="1"/>
  <c r="M141" i="42" a="1"/>
  <c r="M141" i="42" s="1"/>
  <c r="S141" i="42" a="1"/>
  <c r="S141" i="42" s="1"/>
  <c r="AG141" i="42" s="1"/>
  <c r="U162" i="42" a="1"/>
  <c r="U162" i="42" s="1"/>
  <c r="AI162" i="42" s="1"/>
  <c r="S162" i="42" a="1"/>
  <c r="S162" i="42" s="1"/>
  <c r="AG162" i="42" s="1"/>
  <c r="N162" i="42" a="1"/>
  <c r="N162" i="42" s="1"/>
  <c r="AC162" i="42" s="1"/>
  <c r="V162" i="42" a="1"/>
  <c r="V162" i="42" s="1"/>
  <c r="AJ162" i="42" s="1"/>
  <c r="R162" i="42" a="1"/>
  <c r="R162" i="42" s="1"/>
  <c r="AF162" i="42" s="1"/>
  <c r="T162" i="42" a="1"/>
  <c r="T162" i="42" s="1"/>
  <c r="AH162" i="42" s="1"/>
  <c r="M162" i="42" a="1"/>
  <c r="M162" i="42" s="1"/>
  <c r="V149" i="42" a="1"/>
  <c r="V149" i="42" s="1"/>
  <c r="AJ149" i="42" s="1"/>
  <c r="T149" i="42" a="1"/>
  <c r="T149" i="42" s="1"/>
  <c r="AH149" i="42" s="1"/>
  <c r="R149" i="42" a="1"/>
  <c r="R149" i="42" s="1"/>
  <c r="AF149" i="42" s="1"/>
  <c r="S149" i="42" a="1"/>
  <c r="S149" i="42" s="1"/>
  <c r="AG149" i="42" s="1"/>
  <c r="M149" i="42" a="1"/>
  <c r="M149" i="42" s="1"/>
  <c r="U149" i="42" a="1"/>
  <c r="U149" i="42" s="1"/>
  <c r="AI149" i="42" s="1"/>
  <c r="N149" i="42" a="1"/>
  <c r="N149" i="42" s="1"/>
  <c r="AC149" i="42" s="1"/>
  <c r="V145" i="42" a="1"/>
  <c r="V145" i="42" s="1"/>
  <c r="AJ145" i="42" s="1"/>
  <c r="T145" i="42" a="1"/>
  <c r="T145" i="42" s="1"/>
  <c r="AH145" i="42" s="1"/>
  <c r="R145" i="42" a="1"/>
  <c r="R145" i="42" s="1"/>
  <c r="AF145" i="42" s="1"/>
  <c r="M145" i="42" a="1"/>
  <c r="M145" i="42" s="1"/>
  <c r="S145" i="42" a="1"/>
  <c r="S145" i="42" s="1"/>
  <c r="AG145" i="42" s="1"/>
  <c r="N145" i="42" a="1"/>
  <c r="N145" i="42" s="1"/>
  <c r="AC145" i="42" s="1"/>
  <c r="U145" i="42" a="1"/>
  <c r="U145" i="42" s="1"/>
  <c r="AI145" i="42" s="1"/>
  <c r="U158" i="42" a="1"/>
  <c r="U158" i="42" s="1"/>
  <c r="AI158" i="42" s="1"/>
  <c r="S158" i="42" a="1"/>
  <c r="S158" i="42" s="1"/>
  <c r="AG158" i="42" s="1"/>
  <c r="N158" i="42" a="1"/>
  <c r="N158" i="42" s="1"/>
  <c r="AC158" i="42" s="1"/>
  <c r="T158" i="42" a="1"/>
  <c r="T158" i="42" s="1"/>
  <c r="AH158" i="42" s="1"/>
  <c r="M158" i="42" a="1"/>
  <c r="M158" i="42" s="1"/>
  <c r="R158" i="42" a="1"/>
  <c r="R158" i="42" s="1"/>
  <c r="AF158" i="42" s="1"/>
  <c r="V158" i="42" a="1"/>
  <c r="V158" i="42" s="1"/>
  <c r="AJ158" i="42" s="1"/>
  <c r="V161" i="42" a="1"/>
  <c r="V161" i="42" s="1"/>
  <c r="AJ161" i="42" s="1"/>
  <c r="T161" i="42" a="1"/>
  <c r="T161" i="42" s="1"/>
  <c r="AH161" i="42" s="1"/>
  <c r="M161" i="42" a="1"/>
  <c r="M161" i="42" s="1"/>
  <c r="U161" i="42" a="1"/>
  <c r="U161" i="42" s="1"/>
  <c r="AI161" i="42" s="1"/>
  <c r="R161" i="42" a="1"/>
  <c r="R161" i="42" s="1"/>
  <c r="AF161" i="42" s="1"/>
  <c r="S161" i="42" a="1"/>
  <c r="S161" i="42" s="1"/>
  <c r="AG161" i="42" s="1"/>
  <c r="N161" i="42" a="1"/>
  <c r="N161" i="42" s="1"/>
  <c r="AC161" i="42" s="1"/>
  <c r="V138" i="42" a="1"/>
  <c r="V138" i="42" s="1"/>
  <c r="AJ138" i="42" s="1"/>
  <c r="U138" i="42" a="1"/>
  <c r="U138" i="42" s="1"/>
  <c r="AI138" i="42" s="1"/>
  <c r="S138" i="42" a="1"/>
  <c r="S138" i="42" s="1"/>
  <c r="AG138" i="42" s="1"/>
  <c r="N138" i="42" a="1"/>
  <c r="N138" i="42" s="1"/>
  <c r="AC138" i="42" s="1"/>
  <c r="R138" i="42" a="1"/>
  <c r="R138" i="42" s="1"/>
  <c r="AF138" i="42" s="1"/>
  <c r="M138" i="42" a="1"/>
  <c r="M138" i="42" s="1"/>
  <c r="T138" i="42" a="1"/>
  <c r="T138" i="42" s="1"/>
  <c r="AH138" i="42" s="1"/>
  <c r="V160" i="42" a="1"/>
  <c r="V160" i="42" s="1"/>
  <c r="AJ160" i="42" s="1"/>
  <c r="T160" i="42" a="1"/>
  <c r="T160" i="42" s="1"/>
  <c r="AH160" i="42" s="1"/>
  <c r="R160" i="42" a="1"/>
  <c r="R160" i="42" s="1"/>
  <c r="AF160" i="42" s="1"/>
  <c r="M160" i="42" a="1"/>
  <c r="M160" i="42" s="1"/>
  <c r="S160" i="42" a="1"/>
  <c r="S160" i="42" s="1"/>
  <c r="AG160" i="42" s="1"/>
  <c r="U160" i="42" a="1"/>
  <c r="U160" i="42" s="1"/>
  <c r="AI160" i="42" s="1"/>
  <c r="N160" i="42" a="1"/>
  <c r="N160" i="42" s="1"/>
  <c r="AC160" i="42" s="1"/>
  <c r="U151" i="42" a="1"/>
  <c r="U151" i="42" s="1"/>
  <c r="AI151" i="42" s="1"/>
  <c r="S151" i="42" a="1"/>
  <c r="S151" i="42" s="1"/>
  <c r="AG151" i="42" s="1"/>
  <c r="V151" i="42" a="1"/>
  <c r="V151" i="42" s="1"/>
  <c r="AJ151" i="42" s="1"/>
  <c r="R151" i="42" a="1"/>
  <c r="R151" i="42" s="1"/>
  <c r="AF151" i="42" s="1"/>
  <c r="N151" i="42" a="1"/>
  <c r="N151" i="42" s="1"/>
  <c r="AC151" i="42" s="1"/>
  <c r="T151" i="42" a="1"/>
  <c r="T151" i="42" s="1"/>
  <c r="AH151" i="42" s="1"/>
  <c r="M151" i="42" a="1"/>
  <c r="M151" i="42" s="1"/>
  <c r="V134" i="42" a="1"/>
  <c r="V134" i="42" s="1"/>
  <c r="AJ134" i="42" s="1"/>
  <c r="U134" i="42" a="1"/>
  <c r="U134" i="42" s="1"/>
  <c r="AI134" i="42" s="1"/>
  <c r="S134" i="42" a="1"/>
  <c r="S134" i="42" s="1"/>
  <c r="AG134" i="42" s="1"/>
  <c r="N134" i="42" a="1"/>
  <c r="N134" i="42" s="1"/>
  <c r="AC134" i="42" s="1"/>
  <c r="T134" i="42" a="1"/>
  <c r="T134" i="42" s="1"/>
  <c r="AH134" i="42" s="1"/>
  <c r="M134" i="42" a="1"/>
  <c r="M134" i="42" s="1"/>
  <c r="R134" i="42" a="1"/>
  <c r="R134" i="42" s="1"/>
  <c r="AF134" i="42" s="1"/>
  <c r="V154" i="42" a="1"/>
  <c r="V154" i="42" s="1"/>
  <c r="AJ154" i="42" s="1"/>
  <c r="U154" i="42" a="1"/>
  <c r="U154" i="42" s="1"/>
  <c r="AI154" i="42" s="1"/>
  <c r="S154" i="42" a="1"/>
  <c r="S154" i="42" s="1"/>
  <c r="AG154" i="42" s="1"/>
  <c r="N154" i="42" a="1"/>
  <c r="N154" i="42" s="1"/>
  <c r="AC154" i="42" s="1"/>
  <c r="T154" i="42" a="1"/>
  <c r="T154" i="42" s="1"/>
  <c r="AH154" i="42" s="1"/>
  <c r="R154" i="42" a="1"/>
  <c r="R154" i="42" s="1"/>
  <c r="AF154" i="42" s="1"/>
  <c r="M154" i="42" a="1"/>
  <c r="M154" i="42" s="1"/>
  <c r="V153" i="42" a="1"/>
  <c r="V153" i="42" s="1"/>
  <c r="AJ153" i="42" s="1"/>
  <c r="T153" i="42" a="1"/>
  <c r="T153" i="42" s="1"/>
  <c r="AH153" i="42" s="1"/>
  <c r="N153" i="42" a="1"/>
  <c r="N153" i="42" s="1"/>
  <c r="AC153" i="42" s="1"/>
  <c r="U153" i="42" a="1"/>
  <c r="U153" i="42" s="1"/>
  <c r="AI153" i="42" s="1"/>
  <c r="S153" i="42" a="1"/>
  <c r="S153" i="42" s="1"/>
  <c r="AG153" i="42" s="1"/>
  <c r="R153" i="42" a="1"/>
  <c r="R153" i="42" s="1"/>
  <c r="AF153" i="42" s="1"/>
  <c r="M153" i="42" a="1"/>
  <c r="M153" i="42" s="1"/>
  <c r="O83" i="49"/>
  <c r="D59" i="59" l="1"/>
  <c r="C51" i="68"/>
  <c r="F465" i="102" s="1"/>
  <c r="G24" i="59"/>
  <c r="S201" i="68"/>
  <c r="D200" i="68" s="1"/>
  <c r="Q129" i="59"/>
  <c r="Q128" i="59"/>
  <c r="Q127" i="59"/>
  <c r="Q114" i="59"/>
  <c r="H93" i="59"/>
  <c r="D96" i="59" s="1"/>
  <c r="AL74" i="49"/>
  <c r="AL83" i="49" s="1"/>
  <c r="AK83" i="49"/>
  <c r="K83" i="52"/>
  <c r="K96" i="52" s="1"/>
  <c r="K162" i="52" s="1"/>
  <c r="K171" i="52" s="1"/>
  <c r="P167" i="49"/>
  <c r="I186" i="47"/>
  <c r="I187" i="47" s="1"/>
  <c r="I190" i="47" s="1"/>
  <c r="I192" i="47" s="1"/>
  <c r="G186" i="47"/>
  <c r="AB148" i="42"/>
  <c r="Q148" i="42"/>
  <c r="AB150" i="42"/>
  <c r="Q150" i="42"/>
  <c r="AB137" i="42"/>
  <c r="Q137" i="42"/>
  <c r="AB136" i="42"/>
  <c r="Q136" i="42"/>
  <c r="AB151" i="42"/>
  <c r="Q151" i="42"/>
  <c r="AB146" i="42"/>
  <c r="Q146" i="42"/>
  <c r="AE146" i="42" s="1"/>
  <c r="AB135" i="42"/>
  <c r="Q135" i="42"/>
  <c r="AB158" i="42"/>
  <c r="Q158" i="42"/>
  <c r="AB140" i="42"/>
  <c r="Q140" i="42"/>
  <c r="AB138" i="42"/>
  <c r="Q138" i="42"/>
  <c r="AB161" i="42"/>
  <c r="Q161" i="42"/>
  <c r="AE161" i="42" s="1"/>
  <c r="AB162" i="42"/>
  <c r="Q162" i="42"/>
  <c r="AE162" i="42" s="1"/>
  <c r="AB141" i="42"/>
  <c r="Q141" i="42"/>
  <c r="AB144" i="42"/>
  <c r="Q144" i="42"/>
  <c r="AB157" i="42"/>
  <c r="Q157" i="42"/>
  <c r="AB145" i="42"/>
  <c r="Q145" i="42"/>
  <c r="AB154" i="42"/>
  <c r="Q154" i="42"/>
  <c r="AB134" i="42"/>
  <c r="Q134" i="42"/>
  <c r="AE134" i="42" s="1"/>
  <c r="AB160" i="42"/>
  <c r="Q160" i="42"/>
  <c r="AB142" i="42"/>
  <c r="Q142" i="42"/>
  <c r="AB153" i="42"/>
  <c r="Q153" i="42"/>
  <c r="AB147" i="42"/>
  <c r="Q147" i="42"/>
  <c r="AE147" i="42" s="1"/>
  <c r="AB159" i="42"/>
  <c r="Q159" i="42"/>
  <c r="AB152" i="42"/>
  <c r="Q152" i="42"/>
  <c r="AE152" i="42" s="1"/>
  <c r="AB139" i="42"/>
  <c r="Q139" i="42"/>
  <c r="AB155" i="42"/>
  <c r="Q155" i="42"/>
  <c r="AB149" i="42"/>
  <c r="Q149" i="42"/>
  <c r="AB143" i="42"/>
  <c r="Q143" i="42"/>
  <c r="AB156" i="42"/>
  <c r="Q156" i="42"/>
  <c r="AB133" i="42"/>
  <c r="Q133" i="42"/>
  <c r="AE133" i="42" s="1"/>
  <c r="P161" i="42"/>
  <c r="AD161" i="42" s="1"/>
  <c r="O161" i="42"/>
  <c r="AA161" i="42" s="1"/>
  <c r="P162" i="42"/>
  <c r="AD162" i="42" s="1"/>
  <c r="O162" i="42"/>
  <c r="AA162" i="42" s="1"/>
  <c r="O160" i="42"/>
  <c r="AA160" i="42" s="1"/>
  <c r="P160" i="42"/>
  <c r="AD160" i="42" s="1"/>
  <c r="AE160" i="42"/>
  <c r="O145" i="42"/>
  <c r="AA145" i="42" s="1"/>
  <c r="AE145" i="42"/>
  <c r="P145" i="42"/>
  <c r="AD145" i="42" s="1"/>
  <c r="O139" i="42"/>
  <c r="AA139" i="42" s="1"/>
  <c r="AE139" i="42"/>
  <c r="P139" i="42"/>
  <c r="AD139" i="42" s="1"/>
  <c r="O147" i="42"/>
  <c r="AA147" i="42" s="1"/>
  <c r="P147" i="42"/>
  <c r="AD147" i="42" s="1"/>
  <c r="P141" i="42"/>
  <c r="AD141" i="42" s="1"/>
  <c r="AE141" i="42"/>
  <c r="O141" i="42"/>
  <c r="AA141" i="42" s="1"/>
  <c r="O144" i="42"/>
  <c r="AA144" i="42" s="1"/>
  <c r="AE144" i="42"/>
  <c r="P144" i="42"/>
  <c r="AD144" i="42" s="1"/>
  <c r="O153" i="42"/>
  <c r="AA153" i="42" s="1"/>
  <c r="AE153" i="42"/>
  <c r="P153" i="42"/>
  <c r="AD153" i="42" s="1"/>
  <c r="P148" i="42"/>
  <c r="AD148" i="42" s="1"/>
  <c r="O148" i="42"/>
  <c r="AA148" i="42" s="1"/>
  <c r="AE148" i="42"/>
  <c r="P152" i="42"/>
  <c r="AD152" i="42" s="1"/>
  <c r="O152" i="42"/>
  <c r="AA152" i="42" s="1"/>
  <c r="AE149" i="42"/>
  <c r="P149" i="42"/>
  <c r="AD149" i="42" s="1"/>
  <c r="O149" i="42"/>
  <c r="AA149" i="42" s="1"/>
  <c r="O150" i="42"/>
  <c r="AA150" i="42" s="1"/>
  <c r="AE150" i="42"/>
  <c r="P150" i="42"/>
  <c r="AD150" i="42" s="1"/>
  <c r="AE159" i="42"/>
  <c r="O159" i="42"/>
  <c r="AA159" i="42" s="1"/>
  <c r="P159" i="42"/>
  <c r="AD159" i="42" s="1"/>
  <c r="AE137" i="42"/>
  <c r="P137" i="42"/>
  <c r="AD137" i="42" s="1"/>
  <c r="O137" i="42"/>
  <c r="AA137" i="42" s="1"/>
  <c r="AE157" i="42"/>
  <c r="O157" i="42"/>
  <c r="AA157" i="42" s="1"/>
  <c r="P157" i="42"/>
  <c r="AD157" i="42" s="1"/>
  <c r="O151" i="42"/>
  <c r="AA151" i="42" s="1"/>
  <c r="P151" i="42"/>
  <c r="AD151" i="42" s="1"/>
  <c r="AE151" i="42"/>
  <c r="AE158" i="42"/>
  <c r="P158" i="42"/>
  <c r="AD158" i="42" s="1"/>
  <c r="O158" i="42"/>
  <c r="AA158" i="42" s="1"/>
  <c r="P138" i="42"/>
  <c r="AD138" i="42" s="1"/>
  <c r="O138" i="42"/>
  <c r="AA138" i="42" s="1"/>
  <c r="AE138" i="42"/>
  <c r="O142" i="42"/>
  <c r="AA142" i="42" s="1"/>
  <c r="AE142" i="42"/>
  <c r="P142" i="42"/>
  <c r="AD142" i="42" s="1"/>
  <c r="AE155" i="42"/>
  <c r="P155" i="42"/>
  <c r="AD155" i="42" s="1"/>
  <c r="O155" i="42"/>
  <c r="AA155" i="42" s="1"/>
  <c r="O135" i="42"/>
  <c r="AA135" i="42" s="1"/>
  <c r="P135" i="42"/>
  <c r="AD135" i="42" s="1"/>
  <c r="AE135" i="42"/>
  <c r="AE143" i="42"/>
  <c r="O143" i="42"/>
  <c r="AA143" i="42" s="1"/>
  <c r="P143" i="42"/>
  <c r="AD143" i="42" s="1"/>
  <c r="P136" i="42"/>
  <c r="AD136" i="42" s="1"/>
  <c r="O136" i="42"/>
  <c r="AA136" i="42" s="1"/>
  <c r="AE136" i="42"/>
  <c r="P154" i="42"/>
  <c r="AD154" i="42" s="1"/>
  <c r="AE154" i="42"/>
  <c r="O154" i="42"/>
  <c r="AA154" i="42" s="1"/>
  <c r="P156" i="42"/>
  <c r="AD156" i="42" s="1"/>
  <c r="O156" i="42"/>
  <c r="AA156" i="42" s="1"/>
  <c r="AE156" i="42"/>
  <c r="P134" i="42"/>
  <c r="AD134" i="42" s="1"/>
  <c r="O134" i="42"/>
  <c r="AA134" i="42" s="1"/>
  <c r="P146" i="42"/>
  <c r="AD146" i="42" s="1"/>
  <c r="O146" i="42"/>
  <c r="AA146" i="42" s="1"/>
  <c r="P140" i="42"/>
  <c r="AD140" i="42" s="1"/>
  <c r="O140" i="42"/>
  <c r="AA140" i="42" s="1"/>
  <c r="AE140" i="42"/>
  <c r="O133" i="42"/>
  <c r="AA133" i="42" s="1"/>
  <c r="P133" i="42"/>
  <c r="AD133" i="42" s="1"/>
  <c r="P83" i="49"/>
  <c r="G300" i="42"/>
  <c r="G299" i="42"/>
  <c r="G298" i="42"/>
  <c r="G297" i="42"/>
  <c r="G296" i="42"/>
  <c r="G295" i="42"/>
  <c r="AR289" i="42"/>
  <c r="M288" i="42"/>
  <c r="AR288" i="42" s="1"/>
  <c r="M287" i="42"/>
  <c r="AR287" i="42" s="1"/>
  <c r="M286" i="42"/>
  <c r="AR286" i="42" s="1"/>
  <c r="M285" i="42"/>
  <c r="AR285" i="42" s="1"/>
  <c r="M284" i="42"/>
  <c r="M283" i="42"/>
  <c r="M282" i="42"/>
  <c r="M281" i="42"/>
  <c r="M280" i="42"/>
  <c r="AL289" i="42"/>
  <c r="K288" i="42"/>
  <c r="AL288" i="42" s="1"/>
  <c r="K287" i="42"/>
  <c r="AL287" i="42" s="1"/>
  <c r="K286" i="42"/>
  <c r="AL286" i="42" s="1"/>
  <c r="K285" i="42"/>
  <c r="AL285" i="42" s="1"/>
  <c r="K284" i="42"/>
  <c r="K283" i="42"/>
  <c r="K282" i="42"/>
  <c r="K281" i="42"/>
  <c r="K280" i="42"/>
  <c r="I289" i="42"/>
  <c r="AP289" i="42" s="1"/>
  <c r="I288" i="42"/>
  <c r="AP288" i="42" s="1"/>
  <c r="I287" i="42"/>
  <c r="AP287" i="42" s="1"/>
  <c r="I286" i="42"/>
  <c r="AP286" i="42" s="1"/>
  <c r="I285" i="42"/>
  <c r="AP285" i="42" s="1"/>
  <c r="I284" i="42"/>
  <c r="I283" i="42"/>
  <c r="I282" i="42"/>
  <c r="I281" i="42"/>
  <c r="I280" i="42"/>
  <c r="AN289" i="42"/>
  <c r="G288" i="42"/>
  <c r="AN288" i="42" s="1"/>
  <c r="G287" i="42"/>
  <c r="AN287" i="42" s="1"/>
  <c r="G286" i="42"/>
  <c r="AN286" i="42" s="1"/>
  <c r="G285" i="42"/>
  <c r="AN285" i="42" s="1"/>
  <c r="G284" i="42"/>
  <c r="G283" i="42"/>
  <c r="G282" i="42"/>
  <c r="G281" i="42"/>
  <c r="G280" i="42"/>
  <c r="C51" i="42"/>
  <c r="F464" i="102" l="1"/>
  <c r="D63" i="68"/>
  <c r="F24" i="20" s="1"/>
  <c r="F369" i="102"/>
  <c r="Q130" i="59"/>
  <c r="F355" i="102"/>
  <c r="K173" i="52"/>
  <c r="K246" i="52"/>
  <c r="K230" i="52"/>
  <c r="G46" i="101"/>
  <c r="I210" i="47"/>
  <c r="Q167" i="49"/>
  <c r="G187" i="47"/>
  <c r="G190" i="47" s="1"/>
  <c r="G192" i="47" s="1"/>
  <c r="M78" i="52"/>
  <c r="M83" i="52" s="1"/>
  <c r="Q83" i="49"/>
  <c r="F348" i="102" l="1"/>
  <c r="D9" i="68"/>
  <c r="F458" i="102"/>
  <c r="F349" i="102"/>
  <c r="Q132" i="59"/>
  <c r="L78" i="52"/>
  <c r="F193" i="47"/>
  <c r="G210" i="47"/>
  <c r="C46" i="101"/>
  <c r="R167" i="49"/>
  <c r="M96" i="52"/>
  <c r="M162" i="52" s="1"/>
  <c r="M171" i="52" s="1"/>
  <c r="R83" i="49"/>
  <c r="D132" i="59" l="1"/>
  <c r="F362" i="102" s="1"/>
  <c r="F302" i="102"/>
  <c r="L83" i="52"/>
  <c r="L96" i="52" s="1"/>
  <c r="L162" i="52" s="1"/>
  <c r="L171" i="52" s="1"/>
  <c r="G196" i="47"/>
  <c r="D504" i="42" s="1"/>
  <c r="G205" i="47"/>
  <c r="G201" i="47"/>
  <c r="G199" i="47"/>
  <c r="D507" i="42" s="1"/>
  <c r="AF171" i="47"/>
  <c r="G195" i="47"/>
  <c r="G200" i="47"/>
  <c r="G207" i="47"/>
  <c r="G197" i="47"/>
  <c r="D505" i="42" s="1"/>
  <c r="G206" i="47"/>
  <c r="G202" i="47"/>
  <c r="G208" i="47"/>
  <c r="G203" i="47"/>
  <c r="G212" i="47"/>
  <c r="G214" i="47" s="1"/>
  <c r="G198" i="47"/>
  <c r="D506" i="42" s="1"/>
  <c r="M246" i="52"/>
  <c r="M230" i="52"/>
  <c r="S83" i="49"/>
  <c r="L176" i="42"/>
  <c r="E188" i="42"/>
  <c r="E185" i="42"/>
  <c r="E180" i="42"/>
  <c r="E177" i="42"/>
  <c r="C187" i="42"/>
  <c r="C177" i="42"/>
  <c r="C181" i="42"/>
  <c r="C180" i="42"/>
  <c r="L179" i="42"/>
  <c r="C176" i="42"/>
  <c r="C175" i="42"/>
  <c r="G204" i="47" l="1"/>
  <c r="L230" i="52"/>
  <c r="L246" i="52"/>
  <c r="L173" i="52"/>
  <c r="M173" i="52" s="1"/>
  <c r="X198" i="47"/>
  <c r="AF169" i="47"/>
  <c r="AE172" i="47" s="1"/>
  <c r="AF168" i="47"/>
  <c r="T29" i="46"/>
  <c r="R29" i="46"/>
  <c r="C47" i="101"/>
  <c r="C48" i="101" s="1"/>
  <c r="G211" i="47"/>
  <c r="B509" i="42" s="1"/>
  <c r="S167" i="49"/>
  <c r="N78" i="52"/>
  <c r="N83" i="52" s="1"/>
  <c r="Z265" i="42"/>
  <c r="T83" i="49"/>
  <c r="Q30" i="46" l="1"/>
  <c r="T30" i="46"/>
  <c r="R30" i="46"/>
  <c r="X202" i="47"/>
  <c r="AA182" i="47"/>
  <c r="AA186" i="47" s="1"/>
  <c r="AA187" i="47" s="1"/>
  <c r="I208" i="47"/>
  <c r="T167" i="49"/>
  <c r="N96" i="52"/>
  <c r="N162" i="52" s="1"/>
  <c r="N171" i="52" s="1"/>
  <c r="U83" i="49"/>
  <c r="I211" i="47" l="1"/>
  <c r="I212" i="47" s="1"/>
  <c r="I214" i="47" s="1"/>
  <c r="G47" i="101"/>
  <c r="G48" i="101" s="1"/>
  <c r="U167" i="49"/>
  <c r="N246" i="52"/>
  <c r="N230" i="52"/>
  <c r="N173" i="52"/>
  <c r="V83" i="49"/>
  <c r="Q45" i="46" l="1"/>
  <c r="C516" i="42"/>
  <c r="V167" i="49"/>
  <c r="O78" i="52"/>
  <c r="W83" i="49"/>
  <c r="O83" i="52" l="1"/>
  <c r="O96" i="52" s="1"/>
  <c r="O162" i="52" s="1"/>
  <c r="O171" i="52" s="1"/>
  <c r="W167" i="49"/>
  <c r="X83" i="49"/>
  <c r="Y83" i="49"/>
  <c r="O173" i="52" l="1"/>
  <c r="O246" i="52"/>
  <c r="O230" i="52"/>
  <c r="Y167" i="49"/>
  <c r="X167" i="49"/>
  <c r="P78" i="52"/>
  <c r="P83" i="52" l="1"/>
  <c r="P96" i="52" s="1"/>
  <c r="P162" i="52" s="1"/>
  <c r="P171" i="52" s="1"/>
  <c r="P230" i="52" l="1"/>
  <c r="P173" i="52"/>
  <c r="P246" i="52"/>
  <c r="Q78" i="52"/>
  <c r="Q83" i="52" l="1"/>
  <c r="Q96" i="52" s="1"/>
  <c r="Q162" i="52" s="1"/>
  <c r="Q171" i="52" s="1"/>
  <c r="Q230" i="52" l="1"/>
  <c r="Q173" i="52"/>
  <c r="Q246" i="52"/>
  <c r="R78" i="52"/>
  <c r="R83" i="52" l="1"/>
  <c r="R96" i="52" s="1"/>
  <c r="R162" i="52" s="1"/>
  <c r="R171" i="52" s="1"/>
  <c r="R246" i="52" l="1"/>
  <c r="R173" i="52"/>
  <c r="R230" i="52"/>
  <c r="S78" i="52"/>
  <c r="S83" i="52" l="1"/>
  <c r="S96" i="52" s="1"/>
  <c r="S162" i="52" s="1"/>
  <c r="S171" i="52" s="1"/>
  <c r="S230" i="52" l="1"/>
  <c r="S246" i="52"/>
  <c r="S173" i="52"/>
  <c r="T78" i="52"/>
  <c r="AH97" i="49" l="1"/>
  <c r="T83" i="52"/>
  <c r="T96" i="52" s="1"/>
  <c r="T162" i="52" s="1"/>
  <c r="T171" i="52" s="1"/>
  <c r="AI97" i="49" l="1"/>
  <c r="T230" i="52"/>
  <c r="T173" i="52"/>
  <c r="T246" i="52"/>
  <c r="U78" i="52"/>
  <c r="E22" i="1"/>
  <c r="G25" i="6"/>
  <c r="G39" i="6" s="1"/>
  <c r="G53" i="6" s="1"/>
  <c r="AJ97" i="49" l="1"/>
  <c r="U83" i="52"/>
  <c r="U96" i="52" s="1"/>
  <c r="U162" i="52" s="1"/>
  <c r="U171" i="52" s="1"/>
  <c r="P26" i="1"/>
  <c r="AL97" i="49" l="1"/>
  <c r="AK97" i="49"/>
  <c r="U246" i="52"/>
  <c r="U230" i="52"/>
  <c r="U173" i="52"/>
  <c r="V78" i="52"/>
  <c r="P35" i="1"/>
  <c r="P34" i="1"/>
  <c r="P33" i="1"/>
  <c r="P32" i="1"/>
  <c r="P31" i="1"/>
  <c r="P30" i="1"/>
  <c r="P29" i="1"/>
  <c r="P28" i="1"/>
  <c r="P25" i="1"/>
  <c r="P21" i="1"/>
  <c r="P20" i="1"/>
  <c r="P19" i="1"/>
  <c r="P18" i="1"/>
  <c r="V83" i="52" l="1"/>
  <c r="V96" i="52" s="1"/>
  <c r="V162" i="52" s="1"/>
  <c r="V171" i="52" s="1"/>
  <c r="P36" i="1"/>
  <c r="Q20" i="59"/>
  <c r="G19" i="59" l="1"/>
  <c r="V246" i="52"/>
  <c r="V230" i="52"/>
  <c r="V173" i="52"/>
  <c r="F282" i="102"/>
  <c r="W78" i="52"/>
  <c r="F89" i="48"/>
  <c r="F90" i="48" s="1"/>
  <c r="L186" i="47"/>
  <c r="J186" i="47" s="1"/>
  <c r="I19" i="59" l="1"/>
  <c r="Q26" i="59" s="1"/>
  <c r="D28" i="59" s="1"/>
  <c r="W83" i="52"/>
  <c r="W96" i="52" s="1"/>
  <c r="W162" i="52" s="1"/>
  <c r="W171" i="52" s="1"/>
  <c r="D89" i="48"/>
  <c r="D90" i="48"/>
  <c r="L105" i="108" s="1"/>
  <c r="F342" i="102" l="1"/>
  <c r="D9" i="59"/>
  <c r="I84" i="108"/>
  <c r="W230" i="52"/>
  <c r="W173" i="52"/>
  <c r="W246" i="52"/>
  <c r="X78" i="52"/>
  <c r="G531" i="42"/>
  <c r="X83" i="52" l="1"/>
  <c r="X96" i="52" s="1"/>
  <c r="X162" i="52" s="1"/>
  <c r="X171" i="52" s="1"/>
  <c r="F32" i="20"/>
  <c r="F290" i="102" s="1"/>
  <c r="F363" i="102"/>
  <c r="F356" i="102"/>
  <c r="F31" i="20"/>
  <c r="F288" i="102" s="1"/>
  <c r="I10" i="49"/>
  <c r="D10" i="49" s="1"/>
  <c r="D45" i="49" s="1"/>
  <c r="F29" i="20" l="1"/>
  <c r="F343" i="102"/>
  <c r="X246" i="52"/>
  <c r="X230" i="52"/>
  <c r="X173" i="52"/>
  <c r="Y78" i="52"/>
  <c r="L268" i="42"/>
  <c r="C276" i="42"/>
  <c r="C273" i="42"/>
  <c r="C274" i="42"/>
  <c r="R225" i="42"/>
  <c r="F263" i="42" s="1"/>
  <c r="F274" i="42"/>
  <c r="F271" i="42"/>
  <c r="D64" i="49" l="1"/>
  <c r="I19" i="49"/>
  <c r="D19" i="49" s="1"/>
  <c r="G71" i="108"/>
  <c r="I71" i="108" s="1"/>
  <c r="F284" i="102"/>
  <c r="D18" i="49"/>
  <c r="D62" i="49" s="1"/>
  <c r="E62" i="49" s="1"/>
  <c r="I18" i="49"/>
  <c r="I72" i="108"/>
  <c r="Y83" i="52"/>
  <c r="Y96" i="52" s="1"/>
  <c r="Y162" i="52" s="1"/>
  <c r="Y171" i="52" s="1"/>
  <c r="L266" i="42"/>
  <c r="L267" i="42"/>
  <c r="L264" i="42"/>
  <c r="L265" i="42"/>
  <c r="L263" i="42"/>
  <c r="F27" i="20"/>
  <c r="F23" i="20" s="1"/>
  <c r="D70" i="49"/>
  <c r="G73" i="108" s="1"/>
  <c r="E64" i="49"/>
  <c r="F292" i="102" l="1"/>
  <c r="I22" i="49"/>
  <c r="D22" i="49" s="1"/>
  <c r="I24" i="49" s="1"/>
  <c r="G74" i="108"/>
  <c r="I74" i="108" s="1"/>
  <c r="I73" i="108"/>
  <c r="Y173" i="52"/>
  <c r="Y230" i="52"/>
  <c r="Y246" i="52"/>
  <c r="D71" i="49"/>
  <c r="D86" i="49" s="1"/>
  <c r="Z78" i="52"/>
  <c r="E70" i="49"/>
  <c r="E71" i="49" s="1"/>
  <c r="E86" i="49" s="1"/>
  <c r="F64" i="49"/>
  <c r="F62" i="49"/>
  <c r="I27" i="49" l="1"/>
  <c r="D27" i="49" s="1"/>
  <c r="L112" i="108" s="1"/>
  <c r="F274" i="102"/>
  <c r="D24" i="49"/>
  <c r="I26" i="49"/>
  <c r="D26" i="49" s="1"/>
  <c r="G85" i="108" s="1"/>
  <c r="I85" i="108" s="1"/>
  <c r="Z83" i="52"/>
  <c r="Z96" i="52" s="1"/>
  <c r="Z162" i="52" s="1"/>
  <c r="Z171" i="52" s="1"/>
  <c r="F30" i="20"/>
  <c r="G64" i="49"/>
  <c r="F70" i="49"/>
  <c r="F71" i="49" s="1"/>
  <c r="G62" i="49"/>
  <c r="D91" i="49" l="1"/>
  <c r="D97" i="49" s="1"/>
  <c r="D101" i="49" s="1"/>
  <c r="D105" i="49" s="1"/>
  <c r="D109" i="49" s="1"/>
  <c r="F286" i="102"/>
  <c r="F28" i="20"/>
  <c r="Z230" i="52"/>
  <c r="Z173" i="52"/>
  <c r="Z246" i="52"/>
  <c r="AA78" i="52"/>
  <c r="G70" i="49"/>
  <c r="G71" i="49" s="1"/>
  <c r="H64" i="49"/>
  <c r="H62" i="49"/>
  <c r="D113" i="49" l="1"/>
  <c r="D117" i="49" s="1"/>
  <c r="D123" i="49" s="1"/>
  <c r="D128" i="49" s="1"/>
  <c r="D133" i="49" s="1"/>
  <c r="AA83" i="52"/>
  <c r="AA96" i="52" s="1"/>
  <c r="AA162" i="52" s="1"/>
  <c r="AA171" i="52" s="1"/>
  <c r="I64" i="49"/>
  <c r="H70" i="49"/>
  <c r="H71" i="49" s="1"/>
  <c r="I62" i="49"/>
  <c r="AA246" i="52" l="1"/>
  <c r="AA230" i="52"/>
  <c r="AA173" i="52"/>
  <c r="AB78" i="52"/>
  <c r="J64" i="49"/>
  <c r="I70" i="49"/>
  <c r="I71" i="49" s="1"/>
  <c r="J62" i="49"/>
  <c r="AB83" i="52" l="1"/>
  <c r="AB96" i="52" s="1"/>
  <c r="AB162" i="52" s="1"/>
  <c r="AB171" i="52" s="1"/>
  <c r="J70" i="49"/>
  <c r="J71" i="49" s="1"/>
  <c r="K64" i="49"/>
  <c r="K62" i="49"/>
  <c r="AB230" i="52" l="1"/>
  <c r="AB173" i="52"/>
  <c r="AB246" i="52"/>
  <c r="AC78" i="52"/>
  <c r="K70" i="49"/>
  <c r="K71" i="49" s="1"/>
  <c r="L64" i="49"/>
  <c r="L62" i="49"/>
  <c r="AC83" i="52" l="1"/>
  <c r="AC96" i="52" s="1"/>
  <c r="AC162" i="52" s="1"/>
  <c r="AC171" i="52" s="1"/>
  <c r="L70" i="49"/>
  <c r="L71" i="49" s="1"/>
  <c r="M64" i="49"/>
  <c r="M62" i="49"/>
  <c r="AC246" i="52" l="1"/>
  <c r="E246" i="52" s="1"/>
  <c r="E248" i="52" s="1"/>
  <c r="AC173" i="52"/>
  <c r="AC230" i="52"/>
  <c r="AD78" i="52"/>
  <c r="M70" i="49"/>
  <c r="M71" i="49" s="1"/>
  <c r="N64" i="49"/>
  <c r="N62" i="49"/>
  <c r="AD83" i="52" l="1"/>
  <c r="AD96" i="52" s="1"/>
  <c r="AD162" i="52" s="1"/>
  <c r="AD171" i="52" s="1"/>
  <c r="O64" i="49"/>
  <c r="N70" i="49"/>
  <c r="N71" i="49" s="1"/>
  <c r="O62" i="49"/>
  <c r="AD246" i="52" l="1"/>
  <c r="AD230" i="52"/>
  <c r="AD173" i="52"/>
  <c r="AE78" i="52"/>
  <c r="O70" i="49"/>
  <c r="O71" i="49" s="1"/>
  <c r="P64" i="49"/>
  <c r="P62" i="49"/>
  <c r="AE83" i="52" l="1"/>
  <c r="AE96" i="52" s="1"/>
  <c r="AE162" i="52" s="1"/>
  <c r="AE171" i="52" s="1"/>
  <c r="P70" i="49"/>
  <c r="P71" i="49" s="1"/>
  <c r="Q64" i="49"/>
  <c r="Q62" i="49"/>
  <c r="AE230" i="52" l="1"/>
  <c r="AE246" i="52"/>
  <c r="AE173" i="52"/>
  <c r="AF78" i="52"/>
  <c r="Q70" i="49"/>
  <c r="Q71" i="49" s="1"/>
  <c r="R64" i="49"/>
  <c r="R62" i="49"/>
  <c r="AF83" i="52" l="1"/>
  <c r="AF96" i="52" s="1"/>
  <c r="AF162" i="52" s="1"/>
  <c r="AF171" i="52" s="1"/>
  <c r="S64" i="49"/>
  <c r="R70" i="49"/>
  <c r="R71" i="49" s="1"/>
  <c r="S62" i="49"/>
  <c r="AF246" i="52" l="1"/>
  <c r="AF230" i="52"/>
  <c r="AF173" i="52"/>
  <c r="AG78" i="52"/>
  <c r="T64" i="49"/>
  <c r="S70" i="49"/>
  <c r="S71" i="49" s="1"/>
  <c r="T62" i="49"/>
  <c r="AG83" i="52" l="1"/>
  <c r="AG96" i="52" s="1"/>
  <c r="AG162" i="52" s="1"/>
  <c r="AG171" i="52" s="1"/>
  <c r="U64" i="49"/>
  <c r="T70" i="49"/>
  <c r="T71" i="49" s="1"/>
  <c r="U62" i="49"/>
  <c r="AG246" i="52" l="1"/>
  <c r="AG230" i="52"/>
  <c r="AG173" i="52"/>
  <c r="AH78" i="52"/>
  <c r="U70" i="49"/>
  <c r="U71" i="49" s="1"/>
  <c r="V64" i="49"/>
  <c r="V62" i="49"/>
  <c r="AH83" i="52" l="1"/>
  <c r="AH96" i="52" s="1"/>
  <c r="AH162" i="52" s="1"/>
  <c r="AH171" i="52" s="1"/>
  <c r="V70" i="49"/>
  <c r="V71" i="49" s="1"/>
  <c r="W64" i="49"/>
  <c r="W62" i="49"/>
  <c r="AH246" i="52" l="1"/>
  <c r="AH230" i="52"/>
  <c r="AH173" i="52"/>
  <c r="AI78" i="52"/>
  <c r="X64" i="49"/>
  <c r="W70" i="49"/>
  <c r="W71" i="49" s="1"/>
  <c r="X62" i="49"/>
  <c r="AI83" i="52" l="1"/>
  <c r="AI96" i="52" s="1"/>
  <c r="AI162" i="52" s="1"/>
  <c r="AI171" i="52" s="1"/>
  <c r="X70" i="49"/>
  <c r="X71" i="49" s="1"/>
  <c r="Y64" i="49"/>
  <c r="Y62" i="49"/>
  <c r="Z62" i="49" s="1"/>
  <c r="AA62" i="49" s="1"/>
  <c r="AB62" i="49" s="1"/>
  <c r="AC62" i="49" s="1"/>
  <c r="AD62" i="49" s="1"/>
  <c r="AE62" i="49" s="1"/>
  <c r="AF62" i="49" s="1"/>
  <c r="AG62" i="49" s="1"/>
  <c r="AH62" i="49" s="1"/>
  <c r="AI62" i="49" s="1"/>
  <c r="AJ62" i="49" s="1"/>
  <c r="AK62" i="49" s="1"/>
  <c r="AL62" i="49" s="1"/>
  <c r="Y70" i="49" l="1"/>
  <c r="Y71" i="49" s="1"/>
  <c r="Z64" i="49"/>
  <c r="AI246" i="52"/>
  <c r="AI230" i="52"/>
  <c r="AI173" i="52"/>
  <c r="E80" i="47"/>
  <c r="AJ78" i="52"/>
  <c r="AJ83" i="52" s="1"/>
  <c r="AA64" i="49" l="1"/>
  <c r="Z70" i="49"/>
  <c r="Z71" i="49" s="1"/>
  <c r="Z86" i="49" s="1"/>
  <c r="AJ96" i="52"/>
  <c r="AJ162" i="52" s="1"/>
  <c r="AJ171" i="52" s="1"/>
  <c r="F78" i="52"/>
  <c r="F83" i="52" s="1"/>
  <c r="F96" i="52" s="1"/>
  <c r="F162" i="52" s="1"/>
  <c r="F171" i="52" s="1"/>
  <c r="Z101" i="49" l="1"/>
  <c r="Z105" i="49"/>
  <c r="Z91" i="49"/>
  <c r="Z97" i="49"/>
  <c r="Z92" i="49"/>
  <c r="Z94" i="49" s="1"/>
  <c r="Z98" i="49" s="1"/>
  <c r="Z102" i="49" s="1"/>
  <c r="Z106" i="49" s="1"/>
  <c r="Z110" i="49" s="1"/>
  <c r="Z114" i="49" s="1"/>
  <c r="Z118" i="49" s="1"/>
  <c r="AA70" i="49"/>
  <c r="AA71" i="49" s="1"/>
  <c r="AA86" i="49" s="1"/>
  <c r="AB64" i="49"/>
  <c r="AJ246" i="52"/>
  <c r="AJ230" i="52"/>
  <c r="AJ173" i="52"/>
  <c r="AA101" i="49" l="1"/>
  <c r="AA105" i="49"/>
  <c r="AA91" i="49"/>
  <c r="AA97" i="49"/>
  <c r="AA92" i="49"/>
  <c r="AA94" i="49" s="1"/>
  <c r="AA98" i="49" s="1"/>
  <c r="AA102" i="49" s="1"/>
  <c r="AA106" i="49" s="1"/>
  <c r="AA110" i="49" s="1"/>
  <c r="AA114" i="49" s="1"/>
  <c r="AA118" i="49" s="1"/>
  <c r="AB70" i="49"/>
  <c r="AB71" i="49" s="1"/>
  <c r="AB86" i="49" s="1"/>
  <c r="AC64" i="49"/>
  <c r="AB101" i="49" l="1"/>
  <c r="AB105" i="49"/>
  <c r="AB91" i="49"/>
  <c r="AB97" i="49"/>
  <c r="AB92" i="49"/>
  <c r="AB94" i="49" s="1"/>
  <c r="AB98" i="49" s="1"/>
  <c r="AB102" i="49" s="1"/>
  <c r="AB106" i="49" s="1"/>
  <c r="AB110" i="49" s="1"/>
  <c r="AB114" i="49" s="1"/>
  <c r="AB118" i="49" s="1"/>
  <c r="AC70" i="49"/>
  <c r="AC71" i="49" s="1"/>
  <c r="AC86" i="49" s="1"/>
  <c r="AD64" i="49"/>
  <c r="F98" i="47"/>
  <c r="N98" i="47" s="1"/>
  <c r="K469" i="42"/>
  <c r="K336" i="42"/>
  <c r="K325" i="42"/>
  <c r="O167" i="47"/>
  <c r="K458" i="42"/>
  <c r="AC91" i="49" l="1"/>
  <c r="AC101" i="49"/>
  <c r="AC105" i="49"/>
  <c r="AC97" i="49"/>
  <c r="AC92" i="49"/>
  <c r="AC94" i="49" s="1"/>
  <c r="AC98" i="49" s="1"/>
  <c r="AC102" i="49" s="1"/>
  <c r="AC106" i="49" s="1"/>
  <c r="AC110" i="49" s="1"/>
  <c r="AC114" i="49" s="1"/>
  <c r="AC118" i="49" s="1"/>
  <c r="AD70" i="49"/>
  <c r="AD71" i="49" s="1"/>
  <c r="AD86" i="49" s="1"/>
  <c r="AE64" i="49"/>
  <c r="F165" i="47"/>
  <c r="M165" i="47" s="1"/>
  <c r="AD91" i="49" l="1"/>
  <c r="AD101" i="49"/>
  <c r="AD105" i="49"/>
  <c r="AD97" i="49"/>
  <c r="AD92" i="49"/>
  <c r="AD94" i="49" s="1"/>
  <c r="AD98" i="49" s="1"/>
  <c r="AD102" i="49" s="1"/>
  <c r="AD106" i="49" s="1"/>
  <c r="AD110" i="49" s="1"/>
  <c r="AD114" i="49" s="1"/>
  <c r="AD118" i="49" s="1"/>
  <c r="AE70" i="49"/>
  <c r="AE71" i="49" s="1"/>
  <c r="AE86" i="49" s="1"/>
  <c r="AF64" i="49"/>
  <c r="N165" i="47"/>
  <c r="AA188" i="47"/>
  <c r="AA189" i="47" s="1"/>
  <c r="AA191" i="47" s="1"/>
  <c r="AA193" i="47" s="1"/>
  <c r="AA195" i="47" s="1"/>
  <c r="X200" i="47" s="1"/>
  <c r="S165" i="47"/>
  <c r="AE91" i="49" l="1"/>
  <c r="AE101" i="49"/>
  <c r="AE105" i="49"/>
  <c r="AE97" i="49"/>
  <c r="AE92" i="49"/>
  <c r="AE94" i="49" s="1"/>
  <c r="AE98" i="49" s="1"/>
  <c r="AE102" i="49" s="1"/>
  <c r="AE106" i="49" s="1"/>
  <c r="AE110" i="49" s="1"/>
  <c r="AE114" i="49" s="1"/>
  <c r="AE118" i="49" s="1"/>
  <c r="AF70" i="49"/>
  <c r="AF71" i="49" s="1"/>
  <c r="AF86" i="49" s="1"/>
  <c r="AG64" i="49"/>
  <c r="H40" i="103"/>
  <c r="F237" i="102"/>
  <c r="O170" i="47"/>
  <c r="C2" i="101"/>
  <c r="C33" i="101" s="1"/>
  <c r="G37" i="101" s="1"/>
  <c r="G39" i="101" s="1"/>
  <c r="G41" i="101" s="1"/>
  <c r="G43" i="101" s="1"/>
  <c r="G51" i="101" s="1"/>
  <c r="I195" i="47"/>
  <c r="I201" i="47" s="1"/>
  <c r="N173" i="47"/>
  <c r="AF91" i="49" l="1"/>
  <c r="AF101" i="49"/>
  <c r="AF105" i="49"/>
  <c r="AF97" i="49"/>
  <c r="AF92" i="49"/>
  <c r="AF94" i="49" s="1"/>
  <c r="AF98" i="49" s="1"/>
  <c r="AF102" i="49" s="1"/>
  <c r="AF106" i="49" s="1"/>
  <c r="AF110" i="49" s="1"/>
  <c r="AF114" i="49" s="1"/>
  <c r="AF118" i="49" s="1"/>
  <c r="AH64" i="49"/>
  <c r="AG70" i="49"/>
  <c r="AG71" i="49" s="1"/>
  <c r="AG86" i="49" s="1"/>
  <c r="C37" i="101"/>
  <c r="C39" i="101" s="1"/>
  <c r="C41" i="101" s="1"/>
  <c r="C43" i="101" s="1"/>
  <c r="C51" i="101" s="1"/>
  <c r="C53" i="101" s="1"/>
  <c r="H43" i="101"/>
  <c r="I43" i="101" s="1"/>
  <c r="H42" i="103"/>
  <c r="H44" i="103" s="1"/>
  <c r="H50" i="103" s="1"/>
  <c r="F243" i="102"/>
  <c r="F241" i="102"/>
  <c r="P25" i="103"/>
  <c r="P28" i="103" s="1"/>
  <c r="F268" i="102"/>
  <c r="I202" i="47"/>
  <c r="E509" i="42"/>
  <c r="AG91" i="49" l="1"/>
  <c r="AG101" i="49"/>
  <c r="AG105" i="49"/>
  <c r="AG97" i="49"/>
  <c r="AG92" i="49"/>
  <c r="AG94" i="49" s="1"/>
  <c r="AG98" i="49" s="1"/>
  <c r="AG102" i="49" s="1"/>
  <c r="AG106" i="49" s="1"/>
  <c r="AG110" i="49" s="1"/>
  <c r="AG114" i="49" s="1"/>
  <c r="AG118" i="49" s="1"/>
  <c r="AI64" i="49"/>
  <c r="AH70" i="49"/>
  <c r="AH71" i="49" s="1"/>
  <c r="AH86" i="49" s="1"/>
  <c r="F223" i="102"/>
  <c r="F217" i="102"/>
  <c r="F245" i="102"/>
  <c r="I204" i="47"/>
  <c r="E510" i="42"/>
  <c r="AH91" i="49" l="1"/>
  <c r="AH101" i="49"/>
  <c r="AH105" i="49"/>
  <c r="AH92" i="49"/>
  <c r="AH94" i="49" s="1"/>
  <c r="AH98" i="49" s="1"/>
  <c r="AH102" i="49" s="1"/>
  <c r="AH106" i="49" s="1"/>
  <c r="AH110" i="49" s="1"/>
  <c r="AH114" i="49" s="1"/>
  <c r="AH118" i="49" s="1"/>
  <c r="AJ64" i="49"/>
  <c r="AI70" i="49"/>
  <c r="AI71" i="49" s="1"/>
  <c r="AI86" i="49" s="1"/>
  <c r="AI91" i="49" s="1"/>
  <c r="F249" i="102"/>
  <c r="I206" i="47"/>
  <c r="E512" i="42"/>
  <c r="AI92" i="49" l="1"/>
  <c r="AI94" i="49" s="1"/>
  <c r="AI98" i="49" s="1"/>
  <c r="AI102" i="49" s="1"/>
  <c r="AI106" i="49" s="1"/>
  <c r="AI110" i="49" s="1"/>
  <c r="AI114" i="49" s="1"/>
  <c r="AI118" i="49" s="1"/>
  <c r="AJ70" i="49"/>
  <c r="AJ71" i="49" s="1"/>
  <c r="AJ86" i="49" s="1"/>
  <c r="AJ91" i="49" s="1"/>
  <c r="AK64" i="49"/>
  <c r="T34" i="108" l="1"/>
  <c r="AJ92" i="49"/>
  <c r="AJ94" i="49" s="1"/>
  <c r="AJ98" i="49" s="1"/>
  <c r="AJ102" i="49" s="1"/>
  <c r="AJ106" i="49" s="1"/>
  <c r="AJ110" i="49" s="1"/>
  <c r="AJ114" i="49" s="1"/>
  <c r="AJ118" i="49" s="1"/>
  <c r="AL64" i="49"/>
  <c r="AL70" i="49" s="1"/>
  <c r="AL71" i="49" s="1"/>
  <c r="AL86" i="49" s="1"/>
  <c r="AL91" i="49" s="1"/>
  <c r="AK70" i="49"/>
  <c r="AK71" i="49" s="1"/>
  <c r="AK86" i="49" s="1"/>
  <c r="AK91" i="49" s="1"/>
  <c r="AK92" i="49" l="1"/>
  <c r="AK94" i="49" s="1"/>
  <c r="AK98" i="49" s="1"/>
  <c r="AK102" i="49" s="1"/>
  <c r="AK106" i="49" s="1"/>
  <c r="AK110" i="49" s="1"/>
  <c r="AK114" i="49" s="1"/>
  <c r="AK118" i="49" s="1"/>
  <c r="AL92" i="49"/>
  <c r="AL94" i="49" s="1"/>
  <c r="AL98" i="49" s="1"/>
  <c r="AL102" i="49" s="1"/>
  <c r="AL106" i="49" s="1"/>
  <c r="AL110" i="49" s="1"/>
  <c r="AL114" i="49" s="1"/>
  <c r="AL118" i="49" s="1"/>
  <c r="F236" i="102" l="1"/>
  <c r="P40" i="103" l="1"/>
  <c r="P42" i="103" s="1"/>
  <c r="P44" i="103" s="1"/>
  <c r="P50" i="103" s="1"/>
  <c r="F238" i="102" l="1"/>
  <c r="F246" i="102"/>
  <c r="D92" i="49"/>
  <c r="D94" i="49" s="1"/>
  <c r="D98" i="49" s="1"/>
  <c r="D102" i="49" s="1"/>
  <c r="G86" i="108"/>
  <c r="F250" i="102" l="1"/>
  <c r="D106" i="49"/>
  <c r="D110" i="49" s="1"/>
  <c r="D114" i="49" s="1"/>
  <c r="H86" i="49"/>
  <c r="K86" i="49"/>
  <c r="N86" i="49"/>
  <c r="Q86" i="49"/>
  <c r="U86" i="49"/>
  <c r="X86" i="49"/>
  <c r="F86" i="49"/>
  <c r="G86" i="49"/>
  <c r="I86" i="49"/>
  <c r="L86" i="49"/>
  <c r="O86" i="49"/>
  <c r="R86" i="49"/>
  <c r="S86" i="49"/>
  <c r="V86" i="49"/>
  <c r="Y86" i="49"/>
  <c r="J86" i="49"/>
  <c r="M86" i="49"/>
  <c r="P86" i="49"/>
  <c r="T86" i="49"/>
  <c r="W86" i="49"/>
  <c r="X101" i="49" l="1"/>
  <c r="X105" i="49"/>
  <c r="L109" i="49"/>
  <c r="L113" i="49"/>
  <c r="L105" i="49"/>
  <c r="L117" i="49"/>
  <c r="L101" i="49"/>
  <c r="G97" i="49"/>
  <c r="G109" i="49"/>
  <c r="G117" i="49"/>
  <c r="G101" i="49"/>
  <c r="G113" i="49"/>
  <c r="G105" i="49"/>
  <c r="T109" i="49"/>
  <c r="T105" i="49"/>
  <c r="T117" i="49"/>
  <c r="T113" i="49"/>
  <c r="T101" i="49"/>
  <c r="P109" i="49"/>
  <c r="P113" i="49"/>
  <c r="P117" i="49"/>
  <c r="P105" i="49"/>
  <c r="P101" i="49"/>
  <c r="Q109" i="49"/>
  <c r="Q113" i="49"/>
  <c r="Q105" i="49"/>
  <c r="Q117" i="49"/>
  <c r="Q101" i="49"/>
  <c r="S109" i="49"/>
  <c r="S117" i="49"/>
  <c r="S105" i="49"/>
  <c r="S113" i="49"/>
  <c r="S101" i="49"/>
  <c r="I97" i="49"/>
  <c r="I109" i="49"/>
  <c r="I101" i="49"/>
  <c r="I113" i="49"/>
  <c r="I105" i="49"/>
  <c r="I117" i="49"/>
  <c r="W109" i="49"/>
  <c r="W113" i="49"/>
  <c r="W117" i="49"/>
  <c r="W105" i="49"/>
  <c r="W101" i="49"/>
  <c r="U109" i="49"/>
  <c r="U105" i="49"/>
  <c r="U117" i="49"/>
  <c r="U113" i="49"/>
  <c r="U101" i="49"/>
  <c r="Y105" i="49"/>
  <c r="Y101" i="49"/>
  <c r="K97" i="49"/>
  <c r="K109" i="49"/>
  <c r="K101" i="49"/>
  <c r="K117" i="49"/>
  <c r="K113" i="49"/>
  <c r="K105" i="49"/>
  <c r="R109" i="49"/>
  <c r="R105" i="49"/>
  <c r="R117" i="49"/>
  <c r="R113" i="49"/>
  <c r="R101" i="49"/>
  <c r="E109" i="49"/>
  <c r="E113" i="49"/>
  <c r="E117" i="49"/>
  <c r="E123" i="49" s="1"/>
  <c r="E128" i="49" s="1"/>
  <c r="E133" i="49" s="1"/>
  <c r="E105" i="49"/>
  <c r="E101" i="49"/>
  <c r="F105" i="49"/>
  <c r="F101" i="49"/>
  <c r="F109" i="49"/>
  <c r="F117" i="49"/>
  <c r="F123" i="49" s="1"/>
  <c r="F128" i="49" s="1"/>
  <c r="F133" i="49" s="1"/>
  <c r="F113" i="49"/>
  <c r="M97" i="49"/>
  <c r="M109" i="49"/>
  <c r="M101" i="49"/>
  <c r="M105" i="49"/>
  <c r="M113" i="49"/>
  <c r="M117" i="49"/>
  <c r="J97" i="49"/>
  <c r="J109" i="49"/>
  <c r="J117" i="49"/>
  <c r="J105" i="49"/>
  <c r="J101" i="49"/>
  <c r="J113" i="49"/>
  <c r="N109" i="49"/>
  <c r="N113" i="49"/>
  <c r="N117" i="49"/>
  <c r="N101" i="49"/>
  <c r="N105" i="49"/>
  <c r="V109" i="49"/>
  <c r="V113" i="49"/>
  <c r="V105" i="49"/>
  <c r="V117" i="49"/>
  <c r="V101" i="49"/>
  <c r="H97" i="49"/>
  <c r="H109" i="49"/>
  <c r="H101" i="49"/>
  <c r="H113" i="49"/>
  <c r="H117" i="49"/>
  <c r="H105" i="49"/>
  <c r="O109" i="49"/>
  <c r="O117" i="49"/>
  <c r="O105" i="49"/>
  <c r="O101" i="49"/>
  <c r="O113" i="49"/>
  <c r="F91" i="49"/>
  <c r="F97" i="49"/>
  <c r="D118" i="49"/>
  <c r="D124" i="49" s="1"/>
  <c r="D129" i="49" s="1"/>
  <c r="D134" i="49" s="1"/>
  <c r="E97" i="49"/>
  <c r="W97" i="49"/>
  <c r="T97" i="49"/>
  <c r="P97" i="49"/>
  <c r="X97" i="49"/>
  <c r="U97" i="49"/>
  <c r="Q97" i="49"/>
  <c r="Y97" i="49"/>
  <c r="N97" i="49"/>
  <c r="V97" i="49"/>
  <c r="S97" i="49"/>
  <c r="R97" i="49"/>
  <c r="O97" i="49"/>
  <c r="L97" i="49"/>
  <c r="R92" i="49"/>
  <c r="R94" i="49" s="1"/>
  <c r="R98" i="49" s="1"/>
  <c r="R102" i="49" s="1"/>
  <c r="R91" i="49"/>
  <c r="G87" i="108" s="1"/>
  <c r="X92" i="49"/>
  <c r="X94" i="49" s="1"/>
  <c r="X98" i="49" s="1"/>
  <c r="X102" i="49" s="1"/>
  <c r="X91" i="49"/>
  <c r="G92" i="49"/>
  <c r="G94" i="49" s="1"/>
  <c r="G98" i="49" s="1"/>
  <c r="G102" i="49" s="1"/>
  <c r="G91" i="49"/>
  <c r="P92" i="49"/>
  <c r="P94" i="49" s="1"/>
  <c r="P98" i="49" s="1"/>
  <c r="P102" i="49" s="1"/>
  <c r="P91" i="49"/>
  <c r="N92" i="49"/>
  <c r="N94" i="49" s="1"/>
  <c r="N98" i="49" s="1"/>
  <c r="N102" i="49" s="1"/>
  <c r="N91" i="49"/>
  <c r="L92" i="49"/>
  <c r="L94" i="49" s="1"/>
  <c r="L98" i="49" s="1"/>
  <c r="L102" i="49" s="1"/>
  <c r="L91" i="49"/>
  <c r="I92" i="49"/>
  <c r="I94" i="49" s="1"/>
  <c r="I98" i="49" s="1"/>
  <c r="I102" i="49" s="1"/>
  <c r="I91" i="49"/>
  <c r="F92" i="49"/>
  <c r="F94" i="49" s="1"/>
  <c r="F98" i="49" s="1"/>
  <c r="F102" i="49" s="1"/>
  <c r="U92" i="49"/>
  <c r="U94" i="49" s="1"/>
  <c r="U98" i="49" s="1"/>
  <c r="U102" i="49" s="1"/>
  <c r="U91" i="49"/>
  <c r="Y92" i="49"/>
  <c r="Y94" i="49" s="1"/>
  <c r="Y98" i="49" s="1"/>
  <c r="Y102" i="49" s="1"/>
  <c r="Y91" i="49"/>
  <c r="V92" i="49"/>
  <c r="V94" i="49" s="1"/>
  <c r="V98" i="49" s="1"/>
  <c r="V102" i="49" s="1"/>
  <c r="V91" i="49"/>
  <c r="K92" i="49"/>
  <c r="K94" i="49" s="1"/>
  <c r="K98" i="49" s="1"/>
  <c r="K102" i="49" s="1"/>
  <c r="K91" i="49"/>
  <c r="O92" i="49"/>
  <c r="O94" i="49" s="1"/>
  <c r="O98" i="49" s="1"/>
  <c r="O102" i="49" s="1"/>
  <c r="O91" i="49"/>
  <c r="E92" i="49"/>
  <c r="E94" i="49" s="1"/>
  <c r="E98" i="49" s="1"/>
  <c r="E102" i="49" s="1"/>
  <c r="E91" i="49"/>
  <c r="W92" i="49"/>
  <c r="W94" i="49" s="1"/>
  <c r="W98" i="49" s="1"/>
  <c r="W102" i="49" s="1"/>
  <c r="W91" i="49"/>
  <c r="T92" i="49"/>
  <c r="T94" i="49" s="1"/>
  <c r="T98" i="49" s="1"/>
  <c r="T102" i="49" s="1"/>
  <c r="T91" i="49"/>
  <c r="M92" i="49"/>
  <c r="M94" i="49" s="1"/>
  <c r="M98" i="49" s="1"/>
  <c r="M102" i="49" s="1"/>
  <c r="M91" i="49"/>
  <c r="J92" i="49"/>
  <c r="J94" i="49" s="1"/>
  <c r="J98" i="49" s="1"/>
  <c r="J102" i="49" s="1"/>
  <c r="J91" i="49"/>
  <c r="Q92" i="49"/>
  <c r="Q94" i="49" s="1"/>
  <c r="Q98" i="49" s="1"/>
  <c r="Q102" i="49" s="1"/>
  <c r="Q91" i="49"/>
  <c r="S92" i="49"/>
  <c r="S94" i="49" s="1"/>
  <c r="S98" i="49" s="1"/>
  <c r="S102" i="49" s="1"/>
  <c r="S91" i="49"/>
  <c r="H92" i="49"/>
  <c r="H94" i="49" s="1"/>
  <c r="H98" i="49" s="1"/>
  <c r="H102" i="49" s="1"/>
  <c r="H91" i="49"/>
  <c r="D149" i="49" l="1"/>
  <c r="D153" i="49" s="1"/>
  <c r="AR122" i="49"/>
  <c r="J46" i="46"/>
  <c r="L106" i="49"/>
  <c r="L110" i="49" s="1"/>
  <c r="L114" i="49" s="1"/>
  <c r="L118" i="49" s="1"/>
  <c r="L149" i="49" s="1"/>
  <c r="L153" i="49" s="1"/>
  <c r="V106" i="49"/>
  <c r="V110" i="49" s="1"/>
  <c r="V114" i="49" s="1"/>
  <c r="V118" i="49" s="1"/>
  <c r="V149" i="49" s="1"/>
  <c r="V153" i="49" s="1"/>
  <c r="K106" i="49"/>
  <c r="K110" i="49" s="1"/>
  <c r="K114" i="49" s="1"/>
  <c r="K118" i="49" s="1"/>
  <c r="K149" i="49" s="1"/>
  <c r="K153" i="49" s="1"/>
  <c r="P106" i="49"/>
  <c r="P110" i="49" s="1"/>
  <c r="P114" i="49" s="1"/>
  <c r="P118" i="49" s="1"/>
  <c r="P149" i="49" s="1"/>
  <c r="P153" i="49" s="1"/>
  <c r="M106" i="49"/>
  <c r="M110" i="49" s="1"/>
  <c r="M114" i="49" s="1"/>
  <c r="M118" i="49" s="1"/>
  <c r="M149" i="49" s="1"/>
  <c r="M153" i="49" s="1"/>
  <c r="W106" i="49"/>
  <c r="W110" i="49" s="1"/>
  <c r="W114" i="49" s="1"/>
  <c r="W118" i="49" s="1"/>
  <c r="W149" i="49" s="1"/>
  <c r="W153" i="49" s="1"/>
  <c r="G106" i="49"/>
  <c r="G110" i="49" s="1"/>
  <c r="G114" i="49" s="1"/>
  <c r="G118" i="49" s="1"/>
  <c r="G149" i="49" s="1"/>
  <c r="G153" i="49" s="1"/>
  <c r="U106" i="49"/>
  <c r="U110" i="49" s="1"/>
  <c r="U114" i="49" s="1"/>
  <c r="U118" i="49" s="1"/>
  <c r="U149" i="49" s="1"/>
  <c r="U153" i="49" s="1"/>
  <c r="N106" i="49"/>
  <c r="N110" i="49" s="1"/>
  <c r="N114" i="49" s="1"/>
  <c r="N118" i="49" s="1"/>
  <c r="N149" i="49" s="1"/>
  <c r="N153" i="49" s="1"/>
  <c r="E106" i="49"/>
  <c r="E110" i="49" s="1"/>
  <c r="E114" i="49" s="1"/>
  <c r="E118" i="49" s="1"/>
  <c r="F106" i="49"/>
  <c r="F110" i="49" s="1"/>
  <c r="F114" i="49" s="1"/>
  <c r="F118" i="49" s="1"/>
  <c r="F149" i="49" s="1"/>
  <c r="F153" i="49" s="1"/>
  <c r="X106" i="49"/>
  <c r="X110" i="49" s="1"/>
  <c r="X114" i="49" s="1"/>
  <c r="X118" i="49" s="1"/>
  <c r="X149" i="49" s="1"/>
  <c r="X153" i="49" s="1"/>
  <c r="Y106" i="49"/>
  <c r="Y110" i="49" s="1"/>
  <c r="Y114" i="49" s="1"/>
  <c r="Y118" i="49" s="1"/>
  <c r="Y149" i="49" s="1"/>
  <c r="Y153" i="49" s="1"/>
  <c r="S106" i="49"/>
  <c r="S110" i="49" s="1"/>
  <c r="S114" i="49" s="1"/>
  <c r="S118" i="49" s="1"/>
  <c r="S149" i="49" s="1"/>
  <c r="S153" i="49" s="1"/>
  <c r="J106" i="49"/>
  <c r="J110" i="49" s="1"/>
  <c r="J114" i="49" s="1"/>
  <c r="J118" i="49" s="1"/>
  <c r="J149" i="49" s="1"/>
  <c r="J153" i="49" s="1"/>
  <c r="T106" i="49"/>
  <c r="T110" i="49" s="1"/>
  <c r="T114" i="49" s="1"/>
  <c r="T118" i="49" s="1"/>
  <c r="T149" i="49" s="1"/>
  <c r="T153" i="49" s="1"/>
  <c r="H106" i="49"/>
  <c r="H110" i="49" s="1"/>
  <c r="H114" i="49" s="1"/>
  <c r="H118" i="49" s="1"/>
  <c r="H149" i="49" s="1"/>
  <c r="H153" i="49" s="1"/>
  <c r="Q106" i="49"/>
  <c r="Q110" i="49" s="1"/>
  <c r="Q114" i="49" s="1"/>
  <c r="Q118" i="49" s="1"/>
  <c r="Q149" i="49" s="1"/>
  <c r="Q153" i="49" s="1"/>
  <c r="O106" i="49"/>
  <c r="O110" i="49" s="1"/>
  <c r="O114" i="49" s="1"/>
  <c r="O118" i="49" s="1"/>
  <c r="O149" i="49" s="1"/>
  <c r="O153" i="49" s="1"/>
  <c r="I106" i="49"/>
  <c r="I110" i="49" s="1"/>
  <c r="I114" i="49" s="1"/>
  <c r="I118" i="49" s="1"/>
  <c r="I149" i="49" s="1"/>
  <c r="I153" i="49" s="1"/>
  <c r="R106" i="49"/>
  <c r="R110" i="49" s="1"/>
  <c r="R114" i="49" s="1"/>
  <c r="R118" i="49" s="1"/>
  <c r="R149" i="49" s="1"/>
  <c r="R153" i="49" s="1"/>
  <c r="E149" i="49" l="1"/>
  <c r="E153" i="49" s="1"/>
  <c r="E124" i="49"/>
  <c r="E129" i="49" s="1"/>
  <c r="E134" i="49" s="1"/>
  <c r="E46" i="46"/>
  <c r="D122" i="49"/>
  <c r="T36" i="108"/>
  <c r="T38" i="108" s="1"/>
  <c r="F270" i="102"/>
  <c r="F263" i="102"/>
  <c r="BI121" i="49" l="1"/>
  <c r="BL121" i="49" s="1"/>
  <c r="BM122" i="49" s="1"/>
  <c r="AR127" i="49" l="1"/>
  <c r="E122" i="49"/>
  <c r="E222" i="52"/>
  <c r="F222" i="52" s="1"/>
  <c r="Q91" i="108"/>
  <c r="D157" i="49" l="1"/>
  <c r="D127" i="49"/>
  <c r="BO118" i="49"/>
  <c r="BO121" i="49"/>
  <c r="BI122" i="49"/>
  <c r="AR132" i="49" l="1"/>
  <c r="D132" i="49" s="1"/>
  <c r="D159" i="49"/>
  <c r="D158" i="49"/>
  <c r="E127" i="49"/>
  <c r="BU121" i="49"/>
  <c r="BX121" i="49" s="1"/>
  <c r="BY122" i="49" s="1"/>
  <c r="AR137" i="49"/>
  <c r="D138" i="49"/>
  <c r="D143" i="49" s="1"/>
  <c r="BR121" i="49"/>
  <c r="BS122" i="49" s="1"/>
  <c r="BL122" i="49"/>
  <c r="E156" i="49" l="1"/>
  <c r="D139" i="49"/>
  <c r="AR142" i="49" s="1"/>
  <c r="BM123" i="49"/>
  <c r="D144" i="49" l="1"/>
  <c r="F122" i="49"/>
  <c r="F124" i="49" s="1"/>
  <c r="F129" i="49" s="1"/>
  <c r="F134" i="49" s="1"/>
  <c r="H53" i="108"/>
  <c r="I53" i="108"/>
  <c r="G53" i="108"/>
  <c r="G57" i="108" s="1"/>
  <c r="E53" i="108"/>
  <c r="E57" i="108" s="1"/>
  <c r="F53" i="108"/>
  <c r="F58" i="108" s="1"/>
  <c r="E58" i="108" l="1"/>
  <c r="F57" i="108"/>
  <c r="J53" i="108"/>
  <c r="E64" i="108"/>
  <c r="E59" i="108"/>
  <c r="E63" i="108"/>
  <c r="E60" i="108"/>
  <c r="E61" i="108"/>
  <c r="E62" i="108"/>
  <c r="G61" i="108"/>
  <c r="G58" i="108"/>
  <c r="G59" i="108"/>
  <c r="G64" i="108"/>
  <c r="G62" i="108"/>
  <c r="G63" i="108"/>
  <c r="G60" i="108"/>
  <c r="F59" i="108"/>
  <c r="F61" i="108"/>
  <c r="F60" i="108"/>
  <c r="F63" i="108"/>
  <c r="F62" i="108"/>
  <c r="F64" i="108"/>
  <c r="I60" i="108"/>
  <c r="I58" i="108"/>
  <c r="I63" i="108"/>
  <c r="I61" i="108"/>
  <c r="I64" i="108"/>
  <c r="I62" i="108"/>
  <c r="I59" i="108"/>
  <c r="I57" i="108"/>
  <c r="H64" i="108"/>
  <c r="H63" i="108"/>
  <c r="H61" i="108"/>
  <c r="H62" i="108"/>
  <c r="H59" i="108"/>
  <c r="H60" i="108"/>
  <c r="H57" i="108"/>
  <c r="H58" i="108"/>
  <c r="J60" i="108" l="1"/>
  <c r="J62" i="108"/>
  <c r="J59" i="108"/>
  <c r="J58" i="108"/>
  <c r="J61" i="108"/>
  <c r="J64" i="108"/>
  <c r="J57" i="108"/>
  <c r="J63" i="108"/>
  <c r="I65" i="108"/>
  <c r="F65" i="108"/>
  <c r="G65" i="108"/>
  <c r="E65" i="108"/>
  <c r="H65" i="108"/>
  <c r="AX16" i="45" l="1"/>
  <c r="AX66" i="45" s="1"/>
  <c r="E157" i="49" l="1"/>
  <c r="E132" i="49"/>
  <c r="BI123" i="49"/>
  <c r="E159" i="49" l="1"/>
  <c r="E158" i="49"/>
  <c r="BO122" i="49"/>
  <c r="BL123" i="49"/>
  <c r="BU122" i="49" l="1"/>
  <c r="BR122" i="49"/>
  <c r="BM124" i="49"/>
  <c r="BX122" i="49" l="1"/>
  <c r="BY123" i="49" s="1"/>
  <c r="BS123" i="49"/>
  <c r="G122" i="49"/>
  <c r="G124" i="49" s="1"/>
  <c r="G129" i="49" s="1"/>
  <c r="G134" i="49" s="1"/>
  <c r="F127" i="49" l="1"/>
  <c r="BI124" i="49"/>
  <c r="BL124" i="49" s="1"/>
  <c r="G123" i="49"/>
  <c r="G128" i="49" s="1"/>
  <c r="G133" i="49" s="1"/>
  <c r="F157" i="49" l="1"/>
  <c r="F159" i="49" s="1"/>
  <c r="BM125" i="49"/>
  <c r="H122" i="49" s="1"/>
  <c r="H124" i="49" s="1"/>
  <c r="H129" i="49" s="1"/>
  <c r="H134" i="49" s="1"/>
  <c r="BI125" i="49" l="1"/>
  <c r="H123" i="49"/>
  <c r="H128" i="49" s="1"/>
  <c r="H133" i="49" s="1"/>
  <c r="BL125" i="49" l="1"/>
  <c r="BM126" i="49" l="1"/>
  <c r="I122" i="49" l="1"/>
  <c r="I124" i="49" s="1"/>
  <c r="I129" i="49" s="1"/>
  <c r="I134" i="49" s="1"/>
  <c r="BI126" i="49" l="1"/>
  <c r="BL126" i="49" s="1"/>
  <c r="BM127" i="49" s="1"/>
  <c r="I123" i="49"/>
  <c r="I128" i="49" s="1"/>
  <c r="I133" i="49" s="1"/>
  <c r="J122" i="49" l="1"/>
  <c r="J124" i="49" s="1"/>
  <c r="J129" i="49" s="1"/>
  <c r="J134" i="49" s="1"/>
  <c r="J123" i="49" l="1"/>
  <c r="J128" i="49" s="1"/>
  <c r="J133" i="49" s="1"/>
  <c r="BI127" i="49"/>
  <c r="BL127" i="49" s="1"/>
  <c r="BM128" i="49" s="1"/>
  <c r="K122" i="49" l="1"/>
  <c r="K124" i="49" s="1"/>
  <c r="K129" i="49" s="1"/>
  <c r="K134" i="49" s="1"/>
  <c r="K123" i="49" l="1"/>
  <c r="K128" i="49" s="1"/>
  <c r="K133" i="49" s="1"/>
  <c r="BI128" i="49"/>
  <c r="BL128" i="49" s="1"/>
  <c r="BM129" i="49" s="1"/>
  <c r="L122" i="49" l="1"/>
  <c r="L124" i="49" s="1"/>
  <c r="L129" i="49" s="1"/>
  <c r="L134" i="49" s="1"/>
  <c r="BI129" i="49" l="1"/>
  <c r="BL129" i="49" s="1"/>
  <c r="BM130" i="49" s="1"/>
  <c r="L123" i="49"/>
  <c r="L128" i="49" s="1"/>
  <c r="L133" i="49" s="1"/>
  <c r="M122" i="49" l="1"/>
  <c r="M124" i="49" s="1"/>
  <c r="M129" i="49" s="1"/>
  <c r="M134" i="49" s="1"/>
  <c r="BI130" i="49" l="1"/>
  <c r="BL130" i="49" s="1"/>
  <c r="BM131" i="49" s="1"/>
  <c r="M123" i="49"/>
  <c r="M128" i="49" s="1"/>
  <c r="M133" i="49" s="1"/>
  <c r="N122" i="49" l="1"/>
  <c r="N124" i="49" s="1"/>
  <c r="N129" i="49" s="1"/>
  <c r="N134" i="49" s="1"/>
  <c r="BI131" i="49" l="1"/>
  <c r="BL131" i="49" s="1"/>
  <c r="N123" i="49"/>
  <c r="N128" i="49" s="1"/>
  <c r="N133" i="49" s="1"/>
  <c r="BM132" i="49" l="1"/>
  <c r="O122" i="49"/>
  <c r="O124" i="49" s="1"/>
  <c r="O129" i="49" s="1"/>
  <c r="O134" i="49" s="1"/>
  <c r="BI132" i="49" l="1"/>
  <c r="BL132" i="49" s="1"/>
  <c r="O123" i="49"/>
  <c r="O128" i="49" s="1"/>
  <c r="O133" i="49" s="1"/>
  <c r="BM133" i="49" l="1"/>
  <c r="P122" i="49"/>
  <c r="P124" i="49" s="1"/>
  <c r="P129" i="49" s="1"/>
  <c r="P134" i="49" s="1"/>
  <c r="BI133" i="49" l="1"/>
  <c r="BL133" i="49" s="1"/>
  <c r="P123" i="49"/>
  <c r="P128" i="49" s="1"/>
  <c r="P133" i="49" s="1"/>
  <c r="BM134" i="49" l="1"/>
  <c r="Q122" i="49" l="1"/>
  <c r="Q124" i="49" s="1"/>
  <c r="Q129" i="49" s="1"/>
  <c r="Q134" i="49" s="1"/>
  <c r="BI134" i="49" l="1"/>
  <c r="BL134" i="49" s="1"/>
  <c r="Q123" i="49"/>
  <c r="Q128" i="49" s="1"/>
  <c r="Q133" i="49" s="1"/>
  <c r="BM135" i="49" l="1"/>
  <c r="R122" i="49" l="1"/>
  <c r="R124" i="49" s="1"/>
  <c r="R129" i="49" s="1"/>
  <c r="R134" i="49" s="1"/>
  <c r="BI135" i="49" l="1"/>
  <c r="BL135" i="49" s="1"/>
  <c r="R123" i="49"/>
  <c r="R128" i="49" s="1"/>
  <c r="R133" i="49" s="1"/>
  <c r="BM136" i="49" l="1"/>
  <c r="S122" i="49" l="1"/>
  <c r="S124" i="49" s="1"/>
  <c r="S129" i="49" s="1"/>
  <c r="S134" i="49" s="1"/>
  <c r="BI136" i="49" l="1"/>
  <c r="BL136" i="49" s="1"/>
  <c r="BM137" i="49" s="1"/>
  <c r="S123" i="49"/>
  <c r="S128" i="49" s="1"/>
  <c r="S133" i="49" s="1"/>
  <c r="T122" i="49" l="1"/>
  <c r="T124" i="49" s="1"/>
  <c r="T129" i="49" s="1"/>
  <c r="T134" i="49" s="1"/>
  <c r="BI137" i="49" l="1"/>
  <c r="BL137" i="49" s="1"/>
  <c r="BM138" i="49" s="1"/>
  <c r="T123" i="49"/>
  <c r="T128" i="49" s="1"/>
  <c r="T133" i="49" s="1"/>
  <c r="U122" i="49" l="1"/>
  <c r="U124" i="49" s="1"/>
  <c r="U129" i="49" s="1"/>
  <c r="U134" i="49" s="1"/>
  <c r="BI138" i="49" l="1"/>
  <c r="BL138" i="49" s="1"/>
  <c r="BM139" i="49" s="1"/>
  <c r="U123" i="49"/>
  <c r="U128" i="49" s="1"/>
  <c r="U133" i="49" s="1"/>
  <c r="V122" i="49" l="1"/>
  <c r="V124" i="49" s="1"/>
  <c r="V129" i="49" s="1"/>
  <c r="V134" i="49" s="1"/>
  <c r="BI139" i="49" l="1"/>
  <c r="BL139" i="49" s="1"/>
  <c r="BM140" i="49" s="1"/>
  <c r="V123" i="49"/>
  <c r="V128" i="49" s="1"/>
  <c r="V133" i="49" s="1"/>
  <c r="W122" i="49" l="1"/>
  <c r="W124" i="49" s="1"/>
  <c r="W129" i="49" s="1"/>
  <c r="W134" i="49" s="1"/>
  <c r="BI140" i="49" l="1"/>
  <c r="BL140" i="49" s="1"/>
  <c r="BM141" i="49" s="1"/>
  <c r="W123" i="49"/>
  <c r="W128" i="49" s="1"/>
  <c r="W133" i="49" s="1"/>
  <c r="X122" i="49" l="1"/>
  <c r="X124" i="49" s="1"/>
  <c r="X129" i="49" s="1"/>
  <c r="X134" i="49" s="1"/>
  <c r="BI141" i="49" l="1"/>
  <c r="BL141" i="49" s="1"/>
  <c r="BM142" i="49" s="1"/>
  <c r="X123" i="49"/>
  <c r="X128" i="49" s="1"/>
  <c r="X133" i="49" s="1"/>
  <c r="Y122" i="49" l="1"/>
  <c r="Y124" i="49" s="1"/>
  <c r="Y129" i="49" s="1"/>
  <c r="Y134" i="49" s="1"/>
  <c r="BI142" i="49" l="1"/>
  <c r="Y123" i="49"/>
  <c r="Y128" i="49" s="1"/>
  <c r="Y133" i="49" s="1"/>
  <c r="BL142" i="49" l="1"/>
  <c r="BM143" i="49" s="1"/>
  <c r="Z122" i="49" l="1"/>
  <c r="Z124" i="49" s="1"/>
  <c r="Z129" i="49" s="1"/>
  <c r="Z134" i="49" s="1"/>
  <c r="Z123" i="49" l="1"/>
  <c r="Z128" i="49" s="1"/>
  <c r="Z133" i="49" s="1"/>
  <c r="BI143" i="49"/>
  <c r="BL143" i="49" s="1"/>
  <c r="BM144" i="49" s="1"/>
  <c r="AA122" i="49" l="1"/>
  <c r="AA124" i="49" s="1"/>
  <c r="AA129" i="49" s="1"/>
  <c r="AA134" i="49" s="1"/>
  <c r="AA123" i="49" l="1"/>
  <c r="AA128" i="49" s="1"/>
  <c r="AA133" i="49" s="1"/>
  <c r="BI144" i="49"/>
  <c r="BL144" i="49" s="1"/>
  <c r="BM145" i="49" s="1"/>
  <c r="AB122" i="49" l="1"/>
  <c r="AB124" i="49" s="1"/>
  <c r="AB129" i="49" s="1"/>
  <c r="AB134" i="49" s="1"/>
  <c r="BI145" i="49" l="1"/>
  <c r="AB123" i="49"/>
  <c r="AB128" i="49" s="1"/>
  <c r="AB133" i="49" s="1"/>
  <c r="BL145" i="49" l="1"/>
  <c r="BM146" i="49" s="1"/>
  <c r="AC122" i="49" l="1"/>
  <c r="AC124" i="49" s="1"/>
  <c r="AC129" i="49" s="1"/>
  <c r="AC134" i="49" s="1"/>
  <c r="AC123" i="49" l="1"/>
  <c r="AC128" i="49" s="1"/>
  <c r="AC133" i="49" s="1"/>
  <c r="BI146" i="49"/>
  <c r="BL146" i="49" s="1"/>
  <c r="BM147" i="49" s="1"/>
  <c r="AD122" i="49" l="1"/>
  <c r="AD124" i="49" s="1"/>
  <c r="AD129" i="49" s="1"/>
  <c r="AD134" i="49" s="1"/>
  <c r="AD123" i="49" l="1"/>
  <c r="AD128" i="49" s="1"/>
  <c r="AD133" i="49" s="1"/>
  <c r="BI147" i="49"/>
  <c r="BL147" i="49" s="1"/>
  <c r="BM148" i="49" s="1"/>
  <c r="AE122" i="49" l="1"/>
  <c r="AE124" i="49" s="1"/>
  <c r="AE129" i="49" s="1"/>
  <c r="AE134" i="49" s="1"/>
  <c r="AE123" i="49" l="1"/>
  <c r="AE128" i="49" s="1"/>
  <c r="AE133" i="49" s="1"/>
  <c r="BI148" i="49"/>
  <c r="BL148" i="49" l="1"/>
  <c r="BM149" i="49" s="1"/>
  <c r="AF122" i="49" s="1"/>
  <c r="AF124" i="49" s="1"/>
  <c r="AF129" i="49" s="1"/>
  <c r="AF134" i="49" s="1"/>
  <c r="AF123" i="49" l="1"/>
  <c r="AF128" i="49" s="1"/>
  <c r="AF133" i="49" s="1"/>
  <c r="BI149" i="49"/>
  <c r="BL149" i="49" s="1"/>
  <c r="BM150" i="49" l="1"/>
  <c r="E139" i="49" l="1"/>
  <c r="E137" i="49" a="1"/>
  <c r="E137" i="49" s="1"/>
  <c r="E144" i="49" l="1"/>
  <c r="E142" i="49" a="1"/>
  <c r="E142" i="49" s="1"/>
  <c r="F156" i="49" l="1"/>
  <c r="BO123" i="49" l="1"/>
  <c r="F132" i="49"/>
  <c r="BU123" i="49" l="1"/>
  <c r="BR123" i="49"/>
  <c r="BX123" i="49" l="1"/>
  <c r="BY124" i="49" s="1"/>
  <c r="BS124" i="49"/>
  <c r="G127" i="49" s="1"/>
  <c r="F139" i="49"/>
  <c r="F137" i="49" a="1"/>
  <c r="F137" i="49" s="1"/>
  <c r="G157" i="49" l="1"/>
  <c r="G159" i="49" s="1"/>
  <c r="F144" i="49"/>
  <c r="F142" i="49" a="1"/>
  <c r="F142" i="49" s="1"/>
  <c r="F158" i="49" l="1"/>
  <c r="G156" i="49" l="1"/>
  <c r="BO124" i="49"/>
  <c r="G132" i="49"/>
  <c r="BU124" i="49" l="1"/>
  <c r="BR124" i="49"/>
  <c r="BX124" i="49" l="1"/>
  <c r="BS125" i="49"/>
  <c r="H127" i="49" s="1"/>
  <c r="G137" i="49" a="1"/>
  <c r="G137" i="49" s="1"/>
  <c r="G139" i="49"/>
  <c r="G144" i="49" s="1"/>
  <c r="H157" i="49" l="1"/>
  <c r="H159" i="49" s="1"/>
  <c r="BO125" i="49"/>
  <c r="BR125" i="49" s="1"/>
  <c r="BY125" i="49"/>
  <c r="H132" i="49" s="1"/>
  <c r="G142" i="49" a="1"/>
  <c r="G142" i="49" s="1"/>
  <c r="G158" i="49"/>
  <c r="H139" i="49" l="1"/>
  <c r="BU125" i="49"/>
  <c r="BS126" i="49"/>
  <c r="I127" i="49" s="1"/>
  <c r="H156" i="49"/>
  <c r="I157" i="49" l="1"/>
  <c r="I159" i="49" s="1"/>
  <c r="H137" i="49" a="1"/>
  <c r="H137" i="49" s="1"/>
  <c r="BX125" i="49"/>
  <c r="BO126" i="49"/>
  <c r="H144" i="49"/>
  <c r="H142" i="49" a="1"/>
  <c r="H142" i="49" s="1"/>
  <c r="BY126" i="49" l="1"/>
  <c r="I132" i="49" s="1"/>
  <c r="BR126" i="49"/>
  <c r="H158" i="49"/>
  <c r="I139" i="49" l="1"/>
  <c r="BU126" i="49"/>
  <c r="BS127" i="49"/>
  <c r="J127" i="49" s="1"/>
  <c r="I156" i="49"/>
  <c r="J157" i="49" l="1"/>
  <c r="J159" i="49" s="1"/>
  <c r="BO127" i="49"/>
  <c r="BR127" i="49" s="1"/>
  <c r="I137" i="49" a="1"/>
  <c r="I137" i="49" s="1"/>
  <c r="BX126" i="49"/>
  <c r="I144" i="49"/>
  <c r="I142" i="49" a="1"/>
  <c r="I142" i="49" s="1"/>
  <c r="BY127" i="49" l="1"/>
  <c r="J132" i="49" s="1"/>
  <c r="BU127" i="49" s="1"/>
  <c r="I158" i="49"/>
  <c r="J156" i="49" s="1"/>
  <c r="BS128" i="49"/>
  <c r="K127" i="49" s="1"/>
  <c r="K157" i="49" l="1"/>
  <c r="K159" i="49" s="1"/>
  <c r="BO128" i="49"/>
  <c r="J139" i="49" l="1"/>
  <c r="J137" i="49" a="1"/>
  <c r="J137" i="49" s="1"/>
  <c r="BX127" i="49"/>
  <c r="BY128" i="49" s="1"/>
  <c r="K132" i="49" s="1"/>
  <c r="BR128" i="49"/>
  <c r="BU128" i="49" l="1"/>
  <c r="BX128" i="49" s="1"/>
  <c r="K139" i="49"/>
  <c r="K144" i="49" s="1"/>
  <c r="J144" i="49"/>
  <c r="J158" i="49" s="1"/>
  <c r="K156" i="49" s="1"/>
  <c r="J142" i="49" a="1"/>
  <c r="J142" i="49" s="1"/>
  <c r="BS129" i="49"/>
  <c r="K142" i="49" l="1" a="1"/>
  <c r="K142" i="49" s="1"/>
  <c r="K137" i="49" a="1"/>
  <c r="K137" i="49" s="1"/>
  <c r="L127" i="49"/>
  <c r="BY129" i="49"/>
  <c r="L157" i="49" l="1"/>
  <c r="L159" i="49" s="1"/>
  <c r="K158" i="49"/>
  <c r="L156" i="49" s="1"/>
  <c r="BO129" i="49"/>
  <c r="BR129" i="49" s="1"/>
  <c r="BS130" i="49" s="1"/>
  <c r="M127" i="49" s="1"/>
  <c r="L132" i="49"/>
  <c r="M157" i="49" l="1"/>
  <c r="M159" i="49" s="1"/>
  <c r="L139" i="49"/>
  <c r="BU129" i="49"/>
  <c r="BX129" i="49" s="1"/>
  <c r="BO130" i="49"/>
  <c r="BR130" i="49" s="1"/>
  <c r="BS131" i="49" s="1"/>
  <c r="N127" i="49" s="1"/>
  <c r="N157" i="49" l="1"/>
  <c r="N159" i="49" s="1"/>
  <c r="L142" i="49" a="1"/>
  <c r="L142" i="49" s="1"/>
  <c r="L144" i="49"/>
  <c r="L137" i="49" a="1"/>
  <c r="L137" i="49" s="1"/>
  <c r="BY130" i="49"/>
  <c r="M132" i="49" s="1"/>
  <c r="BO131" i="49"/>
  <c r="L158" i="49"/>
  <c r="BU130" i="49" l="1"/>
  <c r="M156" i="49"/>
  <c r="BR131" i="49"/>
  <c r="M137" i="49" l="1" a="1"/>
  <c r="M137" i="49" s="1"/>
  <c r="M139" i="49"/>
  <c r="BX130" i="49"/>
  <c r="BY131" i="49" s="1"/>
  <c r="N132" i="49" s="1"/>
  <c r="BS132" i="49"/>
  <c r="BU131" i="49" l="1"/>
  <c r="BX131" i="49" s="1"/>
  <c r="O127" i="49"/>
  <c r="N139" i="49"/>
  <c r="N144" i="49" s="1"/>
  <c r="M144" i="49"/>
  <c r="M142" i="49" a="1"/>
  <c r="M142" i="49" s="1"/>
  <c r="O157" i="49" l="1"/>
  <c r="O159" i="49" s="1"/>
  <c r="N142" i="49" a="1"/>
  <c r="N142" i="49" s="1"/>
  <c r="BO132" i="49"/>
  <c r="M158" i="49"/>
  <c r="N156" i="49" s="1"/>
  <c r="BY132" i="49"/>
  <c r="N137" i="49" a="1"/>
  <c r="N137" i="49" s="1"/>
  <c r="N158" i="49" l="1"/>
  <c r="O156" i="49" s="1"/>
  <c r="O132" i="49"/>
  <c r="BR132" i="49"/>
  <c r="BS133" i="49" s="1"/>
  <c r="P127" i="49" s="1"/>
  <c r="P157" i="49" l="1"/>
  <c r="P159" i="49" s="1"/>
  <c r="BU132" i="49"/>
  <c r="BX132" i="49" s="1"/>
  <c r="BY133" i="49" s="1"/>
  <c r="O139" i="49"/>
  <c r="BO133" i="49"/>
  <c r="BR133" i="49" s="1"/>
  <c r="BS134" i="49" s="1"/>
  <c r="Q127" i="49" s="1"/>
  <c r="O137" i="49" a="1"/>
  <c r="O137" i="49" s="1"/>
  <c r="Q157" i="49" l="1"/>
  <c r="Q159" i="49" s="1"/>
  <c r="O142" i="49" a="1"/>
  <c r="O142" i="49" s="1"/>
  <c r="O144" i="49"/>
  <c r="P132" i="49"/>
  <c r="BO134" i="49"/>
  <c r="BR134" i="49" s="1"/>
  <c r="BS135" i="49" s="1"/>
  <c r="R127" i="49" s="1"/>
  <c r="R157" i="49" l="1"/>
  <c r="R159" i="49" s="1"/>
  <c r="O158" i="49"/>
  <c r="P156" i="49" s="1"/>
  <c r="BU133" i="49"/>
  <c r="BX133" i="49" s="1"/>
  <c r="BO135" i="49"/>
  <c r="BR135" i="49" s="1"/>
  <c r="BS136" i="49" s="1"/>
  <c r="S127" i="49" s="1"/>
  <c r="P139" i="49"/>
  <c r="P144" i="49" s="1"/>
  <c r="S157" i="49" l="1"/>
  <c r="S159" i="49" s="1"/>
  <c r="BY134" i="49"/>
  <c r="Q132" i="49" s="1"/>
  <c r="BU134" i="49"/>
  <c r="P137" i="49" a="1"/>
  <c r="P137" i="49" s="1"/>
  <c r="P158" i="49"/>
  <c r="P142" i="49" a="1"/>
  <c r="P142" i="49" s="1"/>
  <c r="BO136" i="49"/>
  <c r="Q156" i="49"/>
  <c r="Q137" i="49" l="1" a="1"/>
  <c r="Q137" i="49" s="1"/>
  <c r="Q139" i="49"/>
  <c r="BX134" i="49"/>
  <c r="BY135" i="49" s="1"/>
  <c r="R132" i="49" s="1"/>
  <c r="BR136" i="49"/>
  <c r="BS137" i="49" s="1"/>
  <c r="T127" i="49" s="1"/>
  <c r="T157" i="49" l="1"/>
  <c r="T159" i="49" s="1"/>
  <c r="BU135" i="49"/>
  <c r="BX135" i="49" s="1"/>
  <c r="R139" i="49"/>
  <c r="R144" i="49" s="1"/>
  <c r="Q144" i="49"/>
  <c r="Q142" i="49" a="1"/>
  <c r="Q142" i="49" s="1"/>
  <c r="BO137" i="49"/>
  <c r="R137" i="49" l="1" a="1"/>
  <c r="R137" i="49" s="1"/>
  <c r="R142" i="49" a="1"/>
  <c r="R142" i="49" s="1"/>
  <c r="Q158" i="49"/>
  <c r="BY136" i="49"/>
  <c r="S132" i="49" s="1"/>
  <c r="BR137" i="49"/>
  <c r="BS138" i="49" s="1"/>
  <c r="U127" i="49" s="1"/>
  <c r="U157" i="49" l="1"/>
  <c r="U159" i="49" s="1"/>
  <c r="BU136" i="49"/>
  <c r="R156" i="49"/>
  <c r="BO138" i="49"/>
  <c r="R158" i="49" l="1"/>
  <c r="BX136" i="49"/>
  <c r="S137" i="49" a="1"/>
  <c r="S137" i="49" s="1"/>
  <c r="S139" i="49"/>
  <c r="BR138" i="49"/>
  <c r="BS139" i="49" s="1"/>
  <c r="V127" i="49" s="1"/>
  <c r="V157" i="49" l="1"/>
  <c r="V159" i="49" s="1"/>
  <c r="S144" i="49"/>
  <c r="S142" i="49" a="1"/>
  <c r="S142" i="49" s="1"/>
  <c r="BY137" i="49"/>
  <c r="T132" i="49" s="1"/>
  <c r="L144" i="108"/>
  <c r="S156" i="49"/>
  <c r="BO139" i="49"/>
  <c r="BU137" i="49" l="1"/>
  <c r="S158" i="49"/>
  <c r="T156" i="49" s="1"/>
  <c r="BR139" i="49"/>
  <c r="BS140" i="49" s="1"/>
  <c r="W127" i="49" s="1"/>
  <c r="W157" i="49" l="1"/>
  <c r="W159" i="49" s="1"/>
  <c r="T139" i="49"/>
  <c r="T137" i="49" a="1"/>
  <c r="T137" i="49" s="1"/>
  <c r="BX137" i="49"/>
  <c r="BY138" i="49" s="1"/>
  <c r="U132" i="49" s="1"/>
  <c r="BO140" i="49"/>
  <c r="BU138" i="49" l="1"/>
  <c r="BX138" i="49" s="1"/>
  <c r="T144" i="49"/>
  <c r="T142" i="49" a="1"/>
  <c r="T142" i="49" s="1"/>
  <c r="BR140" i="49"/>
  <c r="BS141" i="49" s="1"/>
  <c r="X127" i="49" s="1"/>
  <c r="X157" i="49" l="1"/>
  <c r="X159" i="49" s="1"/>
  <c r="T158" i="49"/>
  <c r="U137" i="49" a="1"/>
  <c r="U137" i="49" s="1"/>
  <c r="U139" i="49"/>
  <c r="U144" i="49" s="1"/>
  <c r="BY139" i="49"/>
  <c r="V132" i="49" s="1"/>
  <c r="BO141" i="49"/>
  <c r="BU139" i="49" l="1"/>
  <c r="V139" i="49"/>
  <c r="V144" i="49" s="1"/>
  <c r="U156" i="49"/>
  <c r="U142" i="49" a="1"/>
  <c r="U142" i="49" s="1"/>
  <c r="BR141" i="49"/>
  <c r="BS142" i="49" s="1"/>
  <c r="Y127" i="49" s="1"/>
  <c r="Y157" i="49" l="1"/>
  <c r="Y159" i="49" s="1"/>
  <c r="V142" i="49" a="1"/>
  <c r="V142" i="49" s="1"/>
  <c r="U158" i="49"/>
  <c r="V156" i="49" s="1"/>
  <c r="V137" i="49" a="1"/>
  <c r="V137" i="49" s="1"/>
  <c r="BX139" i="49"/>
  <c r="BO142" i="49"/>
  <c r="V158" i="49" l="1"/>
  <c r="W156" i="49" s="1"/>
  <c r="BY140" i="49"/>
  <c r="W132" i="49" s="1"/>
  <c r="BR142" i="49"/>
  <c r="BS143" i="49" s="1"/>
  <c r="Z127" i="49" s="1"/>
  <c r="Z157" i="49" l="1"/>
  <c r="Z159" i="49" s="1"/>
  <c r="BU140" i="49"/>
  <c r="BO143" i="49"/>
  <c r="W137" i="49" l="1" a="1"/>
  <c r="W137" i="49" s="1"/>
  <c r="W139" i="49"/>
  <c r="BX140" i="49"/>
  <c r="BR143" i="49"/>
  <c r="BS144" i="49" s="1"/>
  <c r="AA127" i="49" s="1"/>
  <c r="AA157" i="49" l="1"/>
  <c r="AA159" i="49" s="1"/>
  <c r="BY141" i="49"/>
  <c r="X132" i="49" s="1"/>
  <c r="W144" i="49"/>
  <c r="W142" i="49" a="1"/>
  <c r="W142" i="49" s="1"/>
  <c r="BO144" i="49"/>
  <c r="BU141" i="49" l="1"/>
  <c r="W158" i="49"/>
  <c r="BR144" i="49"/>
  <c r="BS145" i="49" s="1"/>
  <c r="AB127" i="49" s="1"/>
  <c r="AB157" i="49" l="1"/>
  <c r="AB159" i="49" s="1"/>
  <c r="BX141" i="49"/>
  <c r="X139" i="49"/>
  <c r="X137" i="49" a="1"/>
  <c r="X137" i="49" s="1"/>
  <c r="X156" i="49"/>
  <c r="BO145" i="49"/>
  <c r="X144" i="49" l="1"/>
  <c r="X142" i="49" a="1"/>
  <c r="X142" i="49" s="1"/>
  <c r="BY142" i="49"/>
  <c r="Y132" i="49" s="1"/>
  <c r="BR145" i="49"/>
  <c r="BS146" i="49" s="1"/>
  <c r="AC127" i="49" s="1"/>
  <c r="AC157" i="49" l="1"/>
  <c r="AC159" i="49" s="1"/>
  <c r="BU142" i="49"/>
  <c r="X158" i="49"/>
  <c r="BO146" i="49"/>
  <c r="Y139" i="49" l="1"/>
  <c r="Y137" i="49" a="1"/>
  <c r="Y137" i="49" s="1"/>
  <c r="Y156" i="49"/>
  <c r="BX142" i="49"/>
  <c r="BR146" i="49"/>
  <c r="BS147" i="49" s="1"/>
  <c r="AD127" i="49" s="1"/>
  <c r="AD157" i="49" l="1"/>
  <c r="AD159" i="49" s="1"/>
  <c r="BO147" i="49"/>
  <c r="BY143" i="49"/>
  <c r="Z132" i="49" s="1"/>
  <c r="Y144" i="49"/>
  <c r="Y142" i="49" a="1"/>
  <c r="Y142" i="49" s="1"/>
  <c r="BU143" i="49" l="1"/>
  <c r="Y158" i="49"/>
  <c r="BR147" i="49"/>
  <c r="BS148" i="49" s="1"/>
  <c r="AE127" i="49" s="1"/>
  <c r="AE157" i="49" l="1"/>
  <c r="AE159" i="49" s="1"/>
  <c r="Z139" i="49"/>
  <c r="Z137" i="49" a="1"/>
  <c r="Z137" i="49" s="1"/>
  <c r="BX143" i="49"/>
  <c r="BY144" i="49" s="1"/>
  <c r="AA132" i="49" s="1"/>
  <c r="Z156" i="49"/>
  <c r="BO148" i="49"/>
  <c r="BU144" i="49" l="1"/>
  <c r="BX144" i="49" s="1"/>
  <c r="Z144" i="49"/>
  <c r="Z142" i="49" a="1"/>
  <c r="Z142" i="49" s="1"/>
  <c r="BR148" i="49"/>
  <c r="BS149" i="49" s="1"/>
  <c r="AA137" i="49" l="1" a="1"/>
  <c r="AA137" i="49" s="1"/>
  <c r="AA139" i="49"/>
  <c r="AA144" i="49" s="1"/>
  <c r="Z158" i="49"/>
  <c r="BY145" i="49"/>
  <c r="AF127" i="49"/>
  <c r="AF157" i="49" l="1"/>
  <c r="AF159" i="49" s="1"/>
  <c r="AB132" i="49"/>
  <c r="AA156" i="49"/>
  <c r="AA142" i="49" a="1"/>
  <c r="AA142" i="49" s="1"/>
  <c r="BO149" i="49"/>
  <c r="BR149" i="49" s="1"/>
  <c r="BS150" i="49" s="1"/>
  <c r="BU145" i="49" l="1"/>
  <c r="BX145" i="49" s="1"/>
  <c r="AA158" i="49"/>
  <c r="BY146" i="49" l="1"/>
  <c r="AC132" i="49" s="1"/>
  <c r="AB139" i="49"/>
  <c r="AB137" i="49" a="1"/>
  <c r="AB137" i="49" s="1"/>
  <c r="AB156" i="49"/>
  <c r="BU146" i="49" l="1"/>
  <c r="AC139" i="49"/>
  <c r="AC144" i="49" s="1"/>
  <c r="AB144" i="49"/>
  <c r="AB142" i="49" a="1"/>
  <c r="AB142" i="49" s="1"/>
  <c r="AC137" i="49" l="1" a="1"/>
  <c r="AC137" i="49" s="1"/>
  <c r="AB158" i="49"/>
  <c r="AC142" i="49" a="1"/>
  <c r="AC142" i="49" s="1"/>
  <c r="AC156" i="49" l="1"/>
  <c r="AC158" i="49" l="1"/>
  <c r="AD156" i="49" s="1"/>
  <c r="AG122" i="49" l="1"/>
  <c r="AG124" i="49" s="1"/>
  <c r="AG129" i="49" s="1"/>
  <c r="AG134" i="49" s="1"/>
  <c r="BI150" i="49" l="1"/>
  <c r="AG123" i="49"/>
  <c r="AG128" i="49" s="1"/>
  <c r="AG133" i="49" s="1"/>
  <c r="BL150" i="49" l="1"/>
  <c r="BM151" i="49" s="1"/>
  <c r="AG127" i="49"/>
  <c r="AG157" i="49" l="1"/>
  <c r="AG159" i="49" s="1"/>
  <c r="BI151" i="49"/>
  <c r="BL151" i="49" s="1"/>
  <c r="BM152" i="49" s="1"/>
  <c r="AI122" i="49" s="1"/>
  <c r="AI124" i="49" s="1"/>
  <c r="AI129" i="49" s="1"/>
  <c r="AI134" i="49" s="1"/>
  <c r="BO150" i="49"/>
  <c r="BI152" i="49" l="1"/>
  <c r="AI123" i="49"/>
  <c r="AI128" i="49" s="1"/>
  <c r="AI133" i="49" s="1"/>
  <c r="BR150" i="49"/>
  <c r="BL152" i="49" l="1"/>
  <c r="BM153" i="49" s="1"/>
  <c r="AJ122" i="49" s="1"/>
  <c r="AJ124" i="49" s="1"/>
  <c r="AJ129" i="49" s="1"/>
  <c r="AJ134" i="49" s="1"/>
  <c r="BS151" i="49"/>
  <c r="BI153" i="49" l="1"/>
  <c r="AJ123" i="49"/>
  <c r="AJ128" i="49" s="1"/>
  <c r="AJ133" i="49" s="1"/>
  <c r="BL153" i="49" l="1"/>
  <c r="BM154" i="49" s="1"/>
  <c r="AK122" i="49" s="1"/>
  <c r="AK124" i="49" s="1"/>
  <c r="AK129" i="49" s="1"/>
  <c r="AK134" i="49" s="1"/>
  <c r="BI154" i="49" l="1"/>
  <c r="BL154" i="49" s="1"/>
  <c r="BM155" i="49" s="1"/>
  <c r="AL122" i="49" s="1"/>
  <c r="AL124" i="49" s="1"/>
  <c r="AL129" i="49" s="1"/>
  <c r="AL134" i="49" s="1"/>
  <c r="AK123" i="49"/>
  <c r="AK128" i="49" s="1"/>
  <c r="AK133" i="49" s="1"/>
  <c r="BI155" i="49" l="1"/>
  <c r="BL155" i="49" s="1"/>
  <c r="AO123" i="49" l="1"/>
  <c r="AP119" i="49" s="1"/>
  <c r="AO122" i="49"/>
  <c r="AH122" i="49" s="1"/>
  <c r="AH124" i="49" l="1"/>
  <c r="AH129" i="49" s="1"/>
  <c r="AH134" i="49" s="1"/>
  <c r="AH123" i="49"/>
  <c r="AH128" i="49" s="1"/>
  <c r="AH133" i="49" s="1"/>
  <c r="BO153" i="49"/>
  <c r="BO154" i="49" l="1"/>
  <c r="BX146" i="49" l="1"/>
  <c r="BY147" i="49" l="1"/>
  <c r="AD132" i="49" l="1"/>
  <c r="BU147" i="49" l="1"/>
  <c r="BX147" i="49" s="1"/>
  <c r="BY148" i="49" s="1"/>
  <c r="AE132" i="49" s="1"/>
  <c r="BU148" i="49" l="1"/>
  <c r="BX148" i="49" s="1"/>
  <c r="AD139" i="49"/>
  <c r="AD137" i="49" a="1"/>
  <c r="AD137" i="49" s="1"/>
  <c r="AE139" i="49"/>
  <c r="AE144" i="49" s="1"/>
  <c r="BY149" i="49" l="1"/>
  <c r="AE137" i="49" a="1"/>
  <c r="AE137" i="49" s="1"/>
  <c r="AD144" i="49"/>
  <c r="AD158" i="49" s="1"/>
  <c r="AE156" i="49" s="1"/>
  <c r="AD142" i="49" a="1"/>
  <c r="AD142" i="49" s="1"/>
  <c r="AE142" i="49" s="1" a="1"/>
  <c r="AE142" i="49" s="1"/>
  <c r="AF132" i="49" l="1"/>
  <c r="BU149" i="49" l="1"/>
  <c r="BX149" i="49" s="1"/>
  <c r="BY150" i="49" s="1"/>
  <c r="AG132" i="49" s="1"/>
  <c r="AE158" i="49"/>
  <c r="BU150" i="49" l="1"/>
  <c r="BX150" i="49" s="1"/>
  <c r="AG139" i="49"/>
  <c r="AG144" i="49" s="1"/>
  <c r="AF139" i="49"/>
  <c r="AF137" i="49" a="1"/>
  <c r="AF137" i="49" s="1"/>
  <c r="AG137" i="49" s="1" a="1"/>
  <c r="AG137" i="49" s="1"/>
  <c r="AF156" i="49"/>
  <c r="BY151" i="49" l="1"/>
  <c r="AF144" i="49"/>
  <c r="AF142" i="49" a="1"/>
  <c r="AF142" i="49" s="1"/>
  <c r="AG142" i="49" s="1" a="1"/>
  <c r="AG142" i="49" s="1"/>
  <c r="AF158" i="49" l="1"/>
  <c r="AG156" i="49" l="1"/>
  <c r="AG158" i="49"/>
  <c r="AH156" i="49" s="1"/>
  <c r="BO151" i="49" l="1"/>
  <c r="BR151" i="49" s="1"/>
  <c r="BO152" i="49"/>
  <c r="BO155" i="49"/>
  <c r="BS152" i="49" l="1"/>
  <c r="AI127" i="49" s="1"/>
  <c r="BU151" i="49"/>
  <c r="BX151" i="49" s="1"/>
  <c r="BR152" i="49"/>
  <c r="BR153" i="49" s="1"/>
  <c r="BR154" i="49" s="1"/>
  <c r="BR155" i="49" s="1"/>
  <c r="AO127" i="49" s="1"/>
  <c r="AH127" i="49" s="1"/>
  <c r="AH157" i="49" l="1"/>
  <c r="AH159" i="49" s="1"/>
  <c r="AI157" i="49"/>
  <c r="AI159" i="49" s="1"/>
  <c r="BY152" i="49"/>
  <c r="BS153" i="49"/>
  <c r="AO128" i="49"/>
  <c r="BU152" i="49"/>
  <c r="AI139" i="49"/>
  <c r="AI144" i="49" s="1"/>
  <c r="AH132" i="49" l="1"/>
  <c r="AI132" i="49"/>
  <c r="AJ127" i="49"/>
  <c r="BS154" i="49"/>
  <c r="BX152" i="49"/>
  <c r="AJ157" i="49" l="1"/>
  <c r="AJ159" i="49" s="1"/>
  <c r="AH137" i="49" a="1"/>
  <c r="AH137" i="49" s="1"/>
  <c r="AI137" i="49" s="1" a="1"/>
  <c r="AI137" i="49" s="1"/>
  <c r="AH139" i="49"/>
  <c r="BS155" i="49"/>
  <c r="AK127" i="49"/>
  <c r="BY153" i="49"/>
  <c r="AJ132" i="49" s="1"/>
  <c r="AK157" i="49" l="1"/>
  <c r="AK159" i="49" s="1"/>
  <c r="AH142" i="49" a="1"/>
  <c r="AH142" i="49" s="1"/>
  <c r="AI142" i="49" s="1" a="1"/>
  <c r="AI142" i="49" s="1"/>
  <c r="AH144" i="49"/>
  <c r="AH158" i="49" s="1"/>
  <c r="AI156" i="49" s="1"/>
  <c r="BU153" i="49"/>
  <c r="AJ139" i="49" l="1"/>
  <c r="AJ137" i="49" a="1"/>
  <c r="AJ137" i="49" s="1"/>
  <c r="BX153" i="49"/>
  <c r="BY154" i="49" s="1"/>
  <c r="AI158" i="49"/>
  <c r="AK132" i="49" l="1"/>
  <c r="BU154" i="49" s="1"/>
  <c r="BX154" i="49" s="1"/>
  <c r="AJ156" i="49"/>
  <c r="AJ144" i="49"/>
  <c r="AJ142" i="49" a="1"/>
  <c r="AJ142" i="49" s="1"/>
  <c r="AJ158" i="49" l="1"/>
  <c r="BY155" i="49"/>
  <c r="AK156" i="49" l="1"/>
  <c r="AK139" i="49"/>
  <c r="AK137" i="49" a="1"/>
  <c r="AK137" i="49" s="1"/>
  <c r="AK144" i="49" l="1"/>
  <c r="AK142" i="49" a="1"/>
  <c r="AK142" i="49" s="1"/>
  <c r="AK158" i="49" l="1"/>
  <c r="AL156" i="49" l="1"/>
  <c r="BU155" i="49"/>
  <c r="BX155" i="49" s="1"/>
  <c r="AO133" i="49" l="1"/>
  <c r="AL127" i="49" s="1"/>
  <c r="AO132" i="49"/>
  <c r="AL157" i="49" l="1"/>
  <c r="AL159" i="49" s="1"/>
  <c r="AL132" i="49"/>
  <c r="AL137" i="49" a="1"/>
  <c r="AL137" i="49" s="1"/>
  <c r="AL139" i="49"/>
  <c r="AL142" i="49" l="1" a="1"/>
  <c r="AL142" i="49" s="1"/>
  <c r="AL144" i="49"/>
  <c r="AL158" i="49" l="1"/>
  <c r="G10" i="111"/>
  <c r="O9" i="111" s="1"/>
  <c r="T35" i="108"/>
  <c r="T37" i="108" s="1"/>
  <c r="J44" i="46"/>
  <c r="E44" i="46" s="1"/>
  <c r="Q90" i="108" s="1"/>
  <c r="Q96" i="108" s="1"/>
  <c r="F262" i="102"/>
  <c r="F269" i="102"/>
  <c r="G16" i="65" l="1"/>
  <c r="G21" i="65" s="1"/>
  <c r="E50" i="65" s="1"/>
  <c r="F428" i="102" s="1" a="1"/>
  <c r="F428" i="102" s="1"/>
  <c r="E56" i="46"/>
  <c r="E220" i="52"/>
  <c r="P50" i="46"/>
  <c r="E9" i="65" l="1"/>
  <c r="F40" i="20"/>
  <c r="F220" i="52"/>
  <c r="E229" i="52"/>
  <c r="E228" i="52"/>
  <c r="F228" i="52" s="1"/>
  <c r="F44" i="46"/>
  <c r="F48" i="46"/>
  <c r="F31" i="46"/>
  <c r="F49" i="46"/>
  <c r="F53" i="46"/>
  <c r="F13" i="46"/>
  <c r="F54" i="46"/>
  <c r="F39" i="46"/>
  <c r="F16" i="46"/>
  <c r="F32" i="46"/>
  <c r="F216" i="47"/>
  <c r="G216" i="47" s="1"/>
  <c r="F33" i="46"/>
  <c r="F18" i="46"/>
  <c r="F21" i="46"/>
  <c r="F47" i="46"/>
  <c r="F30" i="46"/>
  <c r="F46" i="46"/>
  <c r="F15" i="46"/>
  <c r="F14" i="46"/>
  <c r="F19" i="46"/>
  <c r="F51" i="46"/>
  <c r="F35" i="46"/>
  <c r="F37" i="46"/>
  <c r="F45" i="46"/>
  <c r="F50" i="46"/>
  <c r="F34" i="46"/>
  <c r="F12" i="46"/>
  <c r="F38" i="46"/>
  <c r="F29" i="46"/>
  <c r="F11" i="46"/>
  <c r="F17" i="46"/>
  <c r="F22" i="46"/>
  <c r="F36" i="46"/>
  <c r="F52" i="46"/>
  <c r="F23" i="46"/>
  <c r="F20" i="46"/>
  <c r="F296" i="102"/>
  <c r="F39" i="20"/>
  <c r="F43" i="20" s="1"/>
  <c r="F310" i="102" s="1"/>
  <c r="F24" i="46" l="1"/>
  <c r="F40" i="46"/>
  <c r="F229" i="52"/>
  <c r="E230"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H. Sawyer</author>
    <author>Leslie DiMichele</author>
    <author>Matt Case</author>
    <author>Sara J. Anthony</author>
    <author>Mat D. Murn</author>
  </authors>
  <commentList>
    <comment ref="F4" authorId="0" shapeId="0" xr:uid="{BBDAED5A-AFF5-4111-921E-B8C12DE5D084}">
      <text>
        <r>
          <rPr>
            <b/>
            <sz val="9"/>
            <color indexed="81"/>
            <rFont val="Tahoma"/>
            <family val="2"/>
          </rPr>
          <t>&lt;[[TCDeals] Deal Number - Get]&gt;</t>
        </r>
      </text>
    </comment>
    <comment ref="F5" authorId="0" shapeId="0" xr:uid="{E0762FF1-9D52-4226-9C06-4C065B340035}">
      <text>
        <r>
          <rPr>
            <b/>
            <sz val="9"/>
            <color indexed="81"/>
            <rFont val="Tahoma"/>
            <family val="2"/>
          </rPr>
          <t>&lt;[[TCDeals] TC Property Stage Name - Get]&gt;</t>
        </r>
      </text>
    </comment>
    <comment ref="F6" authorId="0" shapeId="0" xr:uid="{5BCCC1E6-9AD4-492F-9FDC-B5EA800951B6}">
      <text>
        <r>
          <rPr>
            <b/>
            <sz val="9"/>
            <color indexed="81"/>
            <rFont val="Tahoma"/>
            <family val="2"/>
          </rPr>
          <t>&lt;[[TCDeals] TC Deal Status Name - Get]&gt;</t>
        </r>
      </text>
    </comment>
    <comment ref="F7" authorId="0" shapeId="0" xr:uid="{DBA991F1-382F-4495-9A2E-7472CE850347}">
      <text>
        <r>
          <rPr>
            <b/>
            <sz val="9"/>
            <color indexed="81"/>
            <rFont val="Tahoma"/>
            <family val="2"/>
          </rPr>
          <t>&lt;[[TCDeals] - [Associated DEV Deal (Seq: 1)] DEV Deal Id - Get]&gt;</t>
        </r>
      </text>
    </comment>
    <comment ref="F8" authorId="0" shapeId="0" xr:uid="{64EAD23C-CAA5-4CA7-BCDA-C69F0DE6ED88}">
      <text>
        <r>
          <rPr>
            <b/>
            <sz val="9"/>
            <color indexed="81"/>
            <rFont val="Tahoma"/>
            <family val="2"/>
          </rPr>
          <t>&lt;[[TCDeals] - [Associated DEV Deal (Seq: 1)] DEV Deal Stage - Status - Get]&gt;</t>
        </r>
      </text>
    </comment>
    <comment ref="F14" authorId="1" shapeId="0" xr:uid="{C4929BD5-20FF-4050-8F2F-DE940BA4ABF9}">
      <text>
        <r>
          <rPr>
            <b/>
            <sz val="9"/>
            <color indexed="81"/>
            <rFont val="Tahoma"/>
            <family val="2"/>
          </rPr>
          <t>&lt;[[TCDeals] - [TC Property Current Stage (Seq: 1)] Address 1 - Send]&gt;</t>
        </r>
      </text>
    </comment>
    <comment ref="F15" authorId="1" shapeId="0" xr:uid="{15586644-FE5B-4C33-B8CD-9901E1404E19}">
      <text>
        <r>
          <rPr>
            <b/>
            <sz val="9"/>
            <color indexed="81"/>
            <rFont val="Tahoma"/>
            <family val="2"/>
          </rPr>
          <t>&lt;[[TCDeals] - [TC Property Current Stage (Seq: 1)] City - Send]&gt;</t>
        </r>
      </text>
    </comment>
    <comment ref="F16" authorId="1" shapeId="0" xr:uid="{B2B5E0FE-C141-49B9-9618-5B98DDA9F269}">
      <text>
        <r>
          <rPr>
            <b/>
            <sz val="9"/>
            <color indexed="81"/>
            <rFont val="Tahoma"/>
            <family val="2"/>
          </rPr>
          <t>&lt;[[TCDeals] - [TC Property Current Stage (Seq: 1)] State - Send]&gt;</t>
        </r>
      </text>
    </comment>
    <comment ref="F17" authorId="1" shapeId="0" xr:uid="{8CEE3F30-14F2-4A99-8958-F442CE94831B}">
      <text>
        <r>
          <rPr>
            <b/>
            <sz val="9"/>
            <color indexed="81"/>
            <rFont val="Tahoma"/>
            <family val="2"/>
          </rPr>
          <t>&lt;[[TCDeals] - [TC Property Current Stage (Seq: 1)] Jurisdiction - Send]&gt;</t>
        </r>
      </text>
    </comment>
    <comment ref="F18" authorId="1" shapeId="0" xr:uid="{058035A6-2AFE-4B59-84ED-0A11A4E641F2}">
      <text>
        <r>
          <rPr>
            <b/>
            <sz val="9"/>
            <color indexed="81"/>
            <rFont val="Tahoma"/>
            <family val="2"/>
          </rPr>
          <t>&lt;[[TCDeals] - [TC Property Current Stage (Seq: 1)] Zip Code - Send]&gt;</t>
        </r>
      </text>
    </comment>
    <comment ref="F19" authorId="2" shapeId="0" xr:uid="{F44A7DFC-B597-4ED1-A82B-A026D88C73DF}">
      <text>
        <r>
          <rPr>
            <b/>
            <sz val="9"/>
            <color indexed="81"/>
            <rFont val="Tahoma"/>
            <family val="2"/>
          </rPr>
          <t>&lt;[[TCDeals] - [TC Property Current Stage (Seq: 1)] Is QCT - Send]&gt;</t>
        </r>
      </text>
    </comment>
    <comment ref="F20" authorId="1" shapeId="0" xr:uid="{E275E772-43EB-4E66-BEFC-B2E7092B2FF0}">
      <text>
        <r>
          <rPr>
            <b/>
            <sz val="9"/>
            <color indexed="81"/>
            <rFont val="Tahoma"/>
            <family val="2"/>
          </rPr>
          <t>&lt;[[TCDeals] - [TC Property Current Stage (Seq: 1)] Census Tract - Send]&gt;</t>
        </r>
      </text>
    </comment>
    <comment ref="F21" authorId="2" shapeId="0" xr:uid="{F642BCBA-AA85-4E8B-820D-00AED412AF7B}">
      <text>
        <r>
          <rPr>
            <b/>
            <sz val="9"/>
            <color indexed="81"/>
            <rFont val="Tahoma"/>
            <family val="2"/>
          </rPr>
          <t>&lt;[[TCDeals] - [TC Property Current Stage (Seq: 1)] Is DDA - Send]&gt;</t>
        </r>
      </text>
    </comment>
    <comment ref="F23" authorId="1" shapeId="0" xr:uid="{15837B16-1A2D-4774-A32E-5EFD5888FDCC}">
      <text>
        <r>
          <rPr>
            <b/>
            <sz val="9"/>
            <color indexed="81"/>
            <rFont val="Tahoma"/>
            <family val="2"/>
          </rPr>
          <t>&lt;[[TCDeals] - [TC Property Current Stage (Seq: 1)] Is in Revitalization Area - Send]&gt;</t>
        </r>
      </text>
    </comment>
    <comment ref="F25" authorId="1" shapeId="0" xr:uid="{EBD6ED4A-BE82-41EF-9357-D1255CA82F50}">
      <text>
        <r>
          <rPr>
            <b/>
            <sz val="9"/>
            <color indexed="81"/>
            <rFont val="Tahoma"/>
            <family val="2"/>
          </rPr>
          <t>&lt;[[TCDeals] - [TCDeals - User Defined Field Values (Seq: 1)] Multi Family Application - Political Jurisdiction - Send]&gt;</t>
        </r>
      </text>
    </comment>
    <comment ref="F26" authorId="1" shapeId="0" xr:uid="{4D3D8474-FF97-4EF6-B139-490CCD150113}">
      <text>
        <r>
          <rPr>
            <b/>
            <sz val="9"/>
            <color indexed="81"/>
            <rFont val="Tahoma"/>
            <family val="2"/>
          </rPr>
          <t>&lt;[[TCDeals] - [TCDeals - User Defined Field Values (Seq: 1)] Multi Family Application - Jurisdiction CEO First Name - Send]&gt;</t>
        </r>
      </text>
    </comment>
    <comment ref="F27" authorId="1" shapeId="0" xr:uid="{DF55FBD9-7277-4834-B3B8-68E06D3D18F6}">
      <text>
        <r>
          <rPr>
            <b/>
            <sz val="9"/>
            <color indexed="81"/>
            <rFont val="Tahoma"/>
            <family val="2"/>
          </rPr>
          <t>&lt;[[TCDeals] - [TCDeals - User Defined Field Values (Seq: 1)] Multi Family Application - Jurisdiction CEO Last Name - Send]&gt;</t>
        </r>
      </text>
    </comment>
    <comment ref="F28" authorId="1" shapeId="0" xr:uid="{278D397D-633A-4ECD-89F1-50714D392A1A}">
      <text>
        <r>
          <rPr>
            <b/>
            <sz val="9"/>
            <color indexed="81"/>
            <rFont val="Tahoma"/>
            <family val="2"/>
          </rPr>
          <t>&lt;[[TCDeals] - [TCDeals - User Defined Field Values (Seq: 1)] Multi Family Application - Jurisdiction Title - Send]&gt;</t>
        </r>
      </text>
    </comment>
    <comment ref="F29" authorId="1" shapeId="0" xr:uid="{FAA60E9C-B360-4BA9-8D5F-F056E42EE5C0}">
      <text>
        <r>
          <rPr>
            <b/>
            <sz val="9"/>
            <color indexed="81"/>
            <rFont val="Tahoma"/>
            <family val="2"/>
          </rPr>
          <t>&lt;[[TCDeals] - [TCDeals - User Defined Field Values (Seq: 1)] Multi Family Application - Jurisdiction Street Address - Send]&gt;</t>
        </r>
      </text>
    </comment>
    <comment ref="F30" authorId="1" shapeId="0" xr:uid="{E51625F0-9FBC-41AF-84E7-2755767588D7}">
      <text>
        <r>
          <rPr>
            <b/>
            <sz val="9"/>
            <color indexed="81"/>
            <rFont val="Tahoma"/>
            <family val="2"/>
          </rPr>
          <t>&lt;[[TCDeals] - [TCDeals - User Defined Field Values (Seq: 1)] Multi Family Application - Jurisdiction City - Send]&gt;</t>
        </r>
      </text>
    </comment>
    <comment ref="F31" authorId="1" shapeId="0" xr:uid="{9B089A7A-122B-41A0-B239-7AE604A5039B}">
      <text>
        <r>
          <rPr>
            <b/>
            <sz val="9"/>
            <color indexed="81"/>
            <rFont val="Tahoma"/>
            <family val="2"/>
          </rPr>
          <t>&lt;[[TCDeals] - [TCDeals - User Defined Field Values (Seq: 1)] Multi Family Application - Jurisdiction Zip Code - Send]&gt;</t>
        </r>
      </text>
    </comment>
    <comment ref="F32" authorId="1" shapeId="0" xr:uid="{C89EB8E6-B869-4C31-AAFE-DF26FA0148FD}">
      <text>
        <r>
          <rPr>
            <b/>
            <sz val="9"/>
            <color indexed="81"/>
            <rFont val="Tahoma"/>
            <family val="2"/>
          </rPr>
          <t>&lt;[[TCDeals] - [TCDeals - User Defined Field Values (Seq: 1)] Multi Family Application - Jurisdiction Phone - Send]&gt;</t>
        </r>
      </text>
    </comment>
    <comment ref="F33" authorId="1" shapeId="0" xr:uid="{C39AF44C-8E81-4A21-8CAC-AF839A7F012F}">
      <text>
        <r>
          <rPr>
            <b/>
            <sz val="9"/>
            <color indexed="81"/>
            <rFont val="Tahoma"/>
            <family val="2"/>
          </rPr>
          <t>&lt;[[TCDeals] - [TCDeals - User Defined Field Values (Seq: 1)] Multi Family Application - Jurisdiction Email Address - Send]&gt;</t>
        </r>
      </text>
    </comment>
    <comment ref="F35" authorId="2" shapeId="0" xr:uid="{695CB74A-4F30-4FE8-A137-72C401FEBF87}">
      <text>
        <r>
          <rPr>
            <b/>
            <sz val="9"/>
            <color indexed="81"/>
            <rFont val="Tahoma"/>
            <family val="2"/>
          </rPr>
          <t>&lt;[[TCDeals] - [TC Property Current Stage (Seq: 1)] State House District - Send]&gt;</t>
        </r>
      </text>
    </comment>
    <comment ref="F36" authorId="2" shapeId="0" xr:uid="{9323DEBF-8B54-4943-87EB-F73D25487B81}">
      <text>
        <r>
          <rPr>
            <b/>
            <sz val="9"/>
            <color indexed="81"/>
            <rFont val="Tahoma"/>
            <family val="2"/>
          </rPr>
          <t>&lt;[[TCDeals] - [TC Property Current Stage (Seq: 1)] State Senate District - Send]&gt;</t>
        </r>
      </text>
    </comment>
    <comment ref="F37" authorId="2" shapeId="0" xr:uid="{CEEEFD4C-6753-4495-8BAA-34BA2CEEB531}">
      <text>
        <r>
          <rPr>
            <b/>
            <sz val="9"/>
            <color indexed="81"/>
            <rFont val="Tahoma"/>
            <family val="2"/>
          </rPr>
          <t>&lt;[[TCDeals] - [TC Property Current Stage (Seq: 1)] Congressional District - Send]&gt;</t>
        </r>
      </text>
    </comment>
    <comment ref="F40" authorId="1" shapeId="0" xr:uid="{81C95A76-1377-4462-9C63-EA2E0AFCA534}">
      <text>
        <r>
          <rPr>
            <b/>
            <sz val="9"/>
            <color indexed="81"/>
            <rFont val="Tahoma"/>
            <family val="2"/>
          </rPr>
          <t>&lt;[[TCDeals] - [TC Property Current Stage (Seq: 1)] Bldg Alloc Type - Send]&gt;</t>
        </r>
      </text>
    </comment>
    <comment ref="F41" authorId="2" shapeId="0" xr:uid="{0AB0011C-C28A-4335-9E69-3C9329228D58}">
      <text>
        <r>
          <rPr>
            <b/>
            <sz val="9"/>
            <color indexed="81"/>
            <rFont val="Tahoma"/>
            <family val="2"/>
          </rPr>
          <t>&lt;[[TCDeals] - [TC Property Current Stage (Seq: 1)] Form 8610A - Allocation Is - Both]&gt;</t>
        </r>
      </text>
    </comment>
    <comment ref="F42" authorId="1" shapeId="0" xr:uid="{B7386A78-BCBA-47B3-A3AA-1950BE073352}">
      <text>
        <r>
          <rPr>
            <b/>
            <sz val="9"/>
            <color indexed="81"/>
            <rFont val="Tahoma"/>
            <family val="2"/>
          </rPr>
          <t>&lt;[[TCDeals] - [TC Property Current Stage (Seq: 1)] Total New Units - Send]&gt;</t>
        </r>
      </text>
    </comment>
    <comment ref="F43" authorId="1" shapeId="0" xr:uid="{67DE7D05-E6E8-42D2-AD3B-B8261B6B6BBE}">
      <text>
        <r>
          <rPr>
            <b/>
            <sz val="9"/>
            <color indexed="81"/>
            <rFont val="Tahoma"/>
            <family val="2"/>
          </rPr>
          <t>&lt;[[TCDeals] - [TC Property Current Stage (Seq: 1)] Total Rehab Units - Send]&gt;</t>
        </r>
      </text>
    </comment>
    <comment ref="F44" authorId="1" shapeId="0" xr:uid="{46D472DD-5EC2-4F0F-A241-E2448D60CE20}">
      <text>
        <r>
          <rPr>
            <b/>
            <sz val="9"/>
            <color indexed="81"/>
            <rFont val="Tahoma"/>
            <family val="2"/>
          </rPr>
          <t>&lt;[[TCDeals] - [TC Property Current Stage (Seq: 1)] Total Reuse Units - Send]&gt;</t>
        </r>
      </text>
    </comment>
    <comment ref="F47" authorId="1" shapeId="0" xr:uid="{048E4EBF-58D0-4320-8B17-7EC94193EB59}">
      <text>
        <r>
          <rPr>
            <b/>
            <sz val="9"/>
            <color indexed="81"/>
            <rFont val="Tahoma"/>
            <family val="2"/>
          </rPr>
          <t>&lt;[[TCDeals] - [TC Property Current Stage (Seq: 1)] Has Rental Assistance - Send]&gt;</t>
        </r>
      </text>
    </comment>
    <comment ref="F48" authorId="1" shapeId="0" xr:uid="{F761A903-606C-4B28-8A95-F482B267EC07}">
      <text>
        <r>
          <rPr>
            <b/>
            <sz val="9"/>
            <color indexed="81"/>
            <rFont val="Tahoma"/>
            <family val="2"/>
          </rPr>
          <t>&lt;[[TCDeals] - [TC Property Current Stage (Seq: 1)] - [Property Points (Seq: 1)] Multi Family Application - Name of Subsidy Source if receiving project based federal assistance - Send]&gt;</t>
        </r>
      </text>
    </comment>
    <comment ref="F49" authorId="1" shapeId="0" xr:uid="{0B31B742-2864-43E9-BC5E-311C57B3BC46}">
      <text>
        <r>
          <rPr>
            <b/>
            <sz val="9"/>
            <color indexed="81"/>
            <rFont val="Tahoma"/>
            <family val="2"/>
          </rPr>
          <t>&lt;[[TCDeals] - [TC Property Current Stage (Seq: 1)] Num Units With Assistance - Send]&gt;</t>
        </r>
      </text>
    </comment>
    <comment ref="F51" authorId="1" shapeId="0" xr:uid="{6C5AE487-09A0-4221-A0E0-62F61CB30FD0}">
      <text>
        <r>
          <rPr>
            <b/>
            <sz val="9"/>
            <color indexed="81"/>
            <rFont val="Tahoma"/>
            <family val="2"/>
          </rPr>
          <t>&lt;[[TCDeals] - [TC Property Current Stage (Seq: 1)] - [Property Points (Seq: 1)] Multi Family Application - HUD RAD - Send]&gt;</t>
        </r>
      </text>
    </comment>
    <comment ref="F52" authorId="1" shapeId="0" xr:uid="{1463DF72-BD94-4F91-803E-E41B324EBF49}">
      <text>
        <r>
          <rPr>
            <b/>
            <sz val="9"/>
            <color indexed="81"/>
            <rFont val="Tahoma"/>
            <family val="2"/>
          </rPr>
          <t>&lt;[[TCDeals] - [TC Property Current Stage (Seq: 1)] - [Property Points (Seq: 1)] Multi Family Application - HUD RAD - Number of Units - Send]&gt;</t>
        </r>
      </text>
    </comment>
    <comment ref="F53" authorId="1" shapeId="0" xr:uid="{F290DE32-6171-4D86-9443-289850FF6B03}">
      <text>
        <r>
          <rPr>
            <b/>
            <sz val="9"/>
            <color indexed="81"/>
            <rFont val="Tahoma"/>
            <family val="2"/>
          </rPr>
          <t>&lt;[[TCDeals] - [TC Property Current Stage (Seq: 1)] Has RD 515 Assistance - Send]&gt;</t>
        </r>
      </text>
    </comment>
    <comment ref="F54" authorId="1" shapeId="0" xr:uid="{71037507-8764-49B7-B84B-4B3E799AD348}">
      <text>
        <r>
          <rPr>
            <b/>
            <sz val="9"/>
            <color indexed="81"/>
            <rFont val="Tahoma"/>
            <family val="2"/>
          </rPr>
          <t>&lt;[[TCDeals] - [TC Property Current Stage (Seq: 1)] - [Property Points (Seq: 1)] Multi Family Application - RD/Rental Assistance - Number of Units - Send]&gt;</t>
        </r>
      </text>
    </comment>
    <comment ref="F55" authorId="1" shapeId="0" xr:uid="{ABD55678-B8A4-4A74-9A11-6FAE21674751}">
      <text>
        <r>
          <rPr>
            <b/>
            <sz val="9"/>
            <color indexed="81"/>
            <rFont val="Tahoma"/>
            <family val="2"/>
          </rPr>
          <t>&lt;[[TCDeals] - [TC Property Current Stage (Seq: 1)] Is Mkt Section 221d3 - Send]&gt;</t>
        </r>
      </text>
    </comment>
    <comment ref="F56" authorId="1" shapeId="0" xr:uid="{D790A02B-BED0-4E92-8225-B6490F037690}">
      <text>
        <r>
          <rPr>
            <b/>
            <sz val="9"/>
            <color indexed="81"/>
            <rFont val="Tahoma"/>
            <family val="2"/>
          </rPr>
          <t>&lt;[[TCDeals] - [TC Property Current Stage (Seq: 1)] - [Property Points (Seq: 1)] Multi Family Application - Section 221(d)(3) BMR - Number of Units - Send]&gt;</t>
        </r>
      </text>
    </comment>
    <comment ref="F57" authorId="1" shapeId="0" xr:uid="{BB1A07B4-4C59-47AD-B4A4-AEB442C6E1B6}">
      <text>
        <r>
          <rPr>
            <b/>
            <sz val="9"/>
            <color indexed="81"/>
            <rFont val="Tahoma"/>
            <family val="2"/>
          </rPr>
          <t>&lt;[[TCDeals] - [TC Property Current Stage (Seq: 1)] Is Mkt Section 236 - Send]&gt;</t>
        </r>
      </text>
    </comment>
    <comment ref="F58" authorId="1" shapeId="0" xr:uid="{D850F666-2307-4555-BCB5-949D2514D480}">
      <text>
        <r>
          <rPr>
            <b/>
            <sz val="9"/>
            <color indexed="81"/>
            <rFont val="Tahoma"/>
            <family val="2"/>
          </rPr>
          <t>&lt;[[TCDeals] - [TC Property Current Stage (Seq: 1)] - [Property Points (Seq: 1)] Multi Family Application - Section 236 - Number of Units - Send]&gt;</t>
        </r>
      </text>
    </comment>
    <comment ref="F59" authorId="1" shapeId="0" xr:uid="{9C721CE0-B08F-49CF-A630-B9058A8931D5}">
      <text>
        <r>
          <rPr>
            <b/>
            <sz val="9"/>
            <color indexed="81"/>
            <rFont val="Tahoma"/>
            <family val="2"/>
          </rPr>
          <t>&lt;[[TCDeals] - [TC Property Current Stage (Seq: 1)] Is Section 8 RAP - Send]&gt;</t>
        </r>
      </text>
    </comment>
    <comment ref="F60" authorId="1" shapeId="0" xr:uid="{CD4F88B2-DD56-465E-9196-7EB7E112A3FC}">
      <text>
        <r>
          <rPr>
            <b/>
            <sz val="9"/>
            <color indexed="81"/>
            <rFont val="Tahoma"/>
            <family val="2"/>
          </rPr>
          <t>&lt;[[TCDeals] - [TC Property Current Stage (Seq: 1)] - [Property Points (Seq: 1)] Multi Family Application - Section 8  or Rental Assistance - Number of Units - Send]&gt;</t>
        </r>
      </text>
    </comment>
    <comment ref="F61" authorId="1" shapeId="0" xr:uid="{254D4D20-35FF-4CE8-A27F-2B8FCE1A46D3}">
      <text>
        <r>
          <rPr>
            <b/>
            <sz val="9"/>
            <color indexed="81"/>
            <rFont val="Tahoma"/>
            <family val="2"/>
          </rPr>
          <t>&lt;[[TCDeals] - [TC Property Current Stage (Seq: 1)] - [Property Points (Seq: 1)] Multi Family Application - Section 8 Contract - Send]&gt;</t>
        </r>
      </text>
    </comment>
    <comment ref="F62" authorId="1" shapeId="0" xr:uid="{62BD7D9A-46A4-4B9C-96C1-CC92459F1E03}">
      <text>
        <r>
          <rPr>
            <b/>
            <sz val="9"/>
            <color indexed="81"/>
            <rFont val="Tahoma"/>
            <family val="2"/>
          </rPr>
          <t>&lt;[[TCDeals] - [TC Property Current Stage (Seq: 1)] - [Property Points (Seq: 1)] Multi Family Application - Section 8 Contract - Number of Units - Send]&gt;</t>
        </r>
      </text>
    </comment>
    <comment ref="F63" authorId="1" shapeId="0" xr:uid="{3A0D231B-5886-4831-BF72-5CD28E7BA313}">
      <text>
        <r>
          <rPr>
            <b/>
            <sz val="9"/>
            <color indexed="81"/>
            <rFont val="Tahoma"/>
            <family val="2"/>
          </rPr>
          <t>&lt;[[TCDeals] - [TC Property Current Stage (Seq: 1)] - [Property Points (Seq: 1)] Multi Family Application - Other - Send]&gt;</t>
        </r>
      </text>
    </comment>
    <comment ref="F64" authorId="1" shapeId="0" xr:uid="{0A134CE6-28C8-4E99-9446-0097B66EAC23}">
      <text>
        <r>
          <rPr>
            <b/>
            <sz val="9"/>
            <color indexed="81"/>
            <rFont val="Tahoma"/>
            <family val="2"/>
          </rPr>
          <t>&lt;[[TCDeals] - [TC Property Current Stage (Seq: 1)] - [Property Points (Seq: 1)] Multi Family Application - Other - Number of Units - Send]&gt;</t>
        </r>
      </text>
    </comment>
    <comment ref="F66" authorId="1" shapeId="0" xr:uid="{9ABC4E95-333E-4521-874A-5A4069A645A3}">
      <text>
        <r>
          <rPr>
            <b/>
            <sz val="9"/>
            <color indexed="81"/>
            <rFont val="Tahoma"/>
            <family val="2"/>
          </rPr>
          <t>&lt;[[TCDeals] - [TC Property Current Stage (Seq: 1)] Is HUD Approval Required - Send]&gt;</t>
        </r>
      </text>
    </comment>
    <comment ref="F67" authorId="1" shapeId="0" xr:uid="{EB93AC48-0109-42E1-8BFF-ABE8C25CA980}">
      <text>
        <r>
          <rPr>
            <b/>
            <sz val="9"/>
            <color indexed="81"/>
            <rFont val="Tahoma"/>
            <family val="2"/>
          </rPr>
          <t>&lt;[[TCDeals] - [TC Property Current Stage (Seq: 1)] - [Property Points (Seq: 1)] Multi Family Application - Is RD Approval required? - Send]&gt;</t>
        </r>
      </text>
    </comment>
    <comment ref="F68" authorId="1" shapeId="0" xr:uid="{FBAC9032-CE7D-4609-8E27-BA87066F582A}">
      <text>
        <r>
          <rPr>
            <b/>
            <sz val="9"/>
            <color indexed="81"/>
            <rFont val="Tahoma"/>
            <family val="2"/>
          </rPr>
          <t>&lt;[[TCDeals] - [TC Property Current Stage (Seq: 1)] - [Property Points (Seq: 1)] Multi Family Application - Is WHEDA Approval required? - Send]&gt;</t>
        </r>
      </text>
    </comment>
    <comment ref="F69" authorId="1" shapeId="0" xr:uid="{F115596E-4AA5-454C-893D-9807B7118D92}">
      <text>
        <r>
          <rPr>
            <b/>
            <sz val="9"/>
            <color indexed="81"/>
            <rFont val="Tahoma"/>
            <family val="2"/>
          </rPr>
          <t>&lt;[[TCDeals] - [TC Property Current Stage (Seq: 1)] - [Property Points (Seq: 1)] Multi Family Application - Are existing LURA? - Send]&gt;</t>
        </r>
      </text>
    </comment>
    <comment ref="F70" authorId="1" shapeId="0" xr:uid="{22C208B4-FFF6-4107-961D-E7BA38DA17A9}">
      <text>
        <r>
          <rPr>
            <b/>
            <sz val="9"/>
            <color indexed="81"/>
            <rFont val="Tahoma"/>
            <family val="2"/>
          </rPr>
          <t>&lt;[[TCDeals] - [TC Property Current Stage (Seq: 1)] - [Property Points (Seq: 1)] Multi Family Application - Existing LURA - Project Number - Send]&gt;</t>
        </r>
      </text>
    </comment>
    <comment ref="F73" authorId="2" shapeId="0" xr:uid="{8B0B7E67-CD7E-4393-BAEF-822032B0EF36}">
      <text>
        <r>
          <rPr>
            <b/>
            <sz val="9"/>
            <color indexed="81"/>
            <rFont val="Tahoma"/>
            <family val="2"/>
          </rPr>
          <t>&lt;[[TCDeals] - [TC Property Current Stage (Seq: 1)] - [Property Points (Seq: 1)] Multi Family Application - Family - Number of Units - Send]&gt;</t>
        </r>
      </text>
    </comment>
    <comment ref="F75" authorId="2" shapeId="0" xr:uid="{48D9BCF1-4898-434D-9039-D3C6A030AC55}">
      <text>
        <r>
          <rPr>
            <b/>
            <sz val="9"/>
            <color indexed="81"/>
            <rFont val="Tahoma"/>
            <family val="2"/>
          </rPr>
          <t>&lt;[[TCDeals] - [TC Property Current Stage (Seq: 1)] - [Property Points (Seq: 1)] Multi Family Application - Elderly - Number of Units - Send]&gt;</t>
        </r>
      </text>
    </comment>
    <comment ref="F77" authorId="2" shapeId="0" xr:uid="{FFD0A0E7-0024-4CCD-9AD1-9CFD4175F929}">
      <text>
        <r>
          <rPr>
            <b/>
            <sz val="9"/>
            <color indexed="81"/>
            <rFont val="Tahoma"/>
            <family val="2"/>
          </rPr>
          <t>&lt;[[TCDeals] - [TC Property Current Stage (Seq: 1)] - [Property Points (Seq: 1)] Multi Family Application - Homeless - Number of Units - Send]&gt;</t>
        </r>
      </text>
    </comment>
    <comment ref="F79" authorId="2" shapeId="0" xr:uid="{C9621660-C71D-438B-B8DC-4259D7B75E61}">
      <text>
        <r>
          <rPr>
            <b/>
            <sz val="9"/>
            <color indexed="81"/>
            <rFont val="Tahoma"/>
            <family val="2"/>
          </rPr>
          <t>&lt;[[TCDeals] - [TC Property Current Stage (Seq: 1)] - [Property Points (Seq: 1)] Multi Family Application - Supportive Housing - Number of Units - Send]&gt;</t>
        </r>
      </text>
    </comment>
    <comment ref="F81" authorId="1" shapeId="0" xr:uid="{84E67B6C-B72E-4DD4-89B8-0F857540D67B}">
      <text>
        <r>
          <rPr>
            <b/>
            <sz val="9"/>
            <color indexed="81"/>
            <rFont val="Tahoma"/>
            <family val="2"/>
          </rPr>
          <t>&lt;[[TCDeals] - [TC Property Current Stage (Seq: 1)] - [Property Points (Seq: 1)] Multi Family Application - Single Room Occupancy - Number of Units - Send]&gt;</t>
        </r>
      </text>
    </comment>
    <comment ref="F83" authorId="1" shapeId="0" xr:uid="{562DD3EF-AA49-41C3-A009-5E38F8E4DA37}">
      <text>
        <r>
          <rPr>
            <b/>
            <sz val="9"/>
            <color indexed="81"/>
            <rFont val="Tahoma"/>
            <family val="2"/>
          </rPr>
          <t>&lt;[[TCDeals] - [TC Property Current Stage (Seq: 1)] - [Property Points (Seq: 1)] Multi Family Application - CBRF - Number of Units - Send]&gt;</t>
        </r>
      </text>
    </comment>
    <comment ref="F85" authorId="1" shapeId="0" xr:uid="{764820AE-14FB-4AEA-AC87-23C70FFD096F}">
      <text>
        <r>
          <rPr>
            <b/>
            <sz val="9"/>
            <color indexed="81"/>
            <rFont val="Tahoma"/>
            <family val="2"/>
          </rPr>
          <t>&lt;[[TCDeals] - [TC Property Current Stage (Seq: 1)] - [Property Points (Seq: 1)] Multi Family Application - RCAC - Number of Units - Send]&gt;</t>
        </r>
      </text>
    </comment>
    <comment ref="F86" authorId="0" shapeId="0" xr:uid="{67DB4E40-D053-4AA5-AFED-0FE7DDDF40CE}">
      <text>
        <r>
          <rPr>
            <b/>
            <sz val="9"/>
            <color indexed="81"/>
            <rFont val="Tahoma"/>
            <family val="2"/>
          </rPr>
          <t>&lt;[[TCDeals] - [TC Property Current Stage (Seq: 1)] Target Type - Send]&gt;</t>
        </r>
      </text>
    </comment>
    <comment ref="F88" authorId="1" shapeId="0" xr:uid="{2A63119A-4D48-4DAD-B9EE-57D479E9A67A}">
      <text>
        <r>
          <rPr>
            <b/>
            <sz val="9"/>
            <color indexed="81"/>
            <rFont val="Tahoma"/>
            <family val="2"/>
          </rPr>
          <t>&lt;[[TCDeals] - [TCDeals - User Defined Field Values (Seq: 1)] Multi Family Application - Application for additional credit? - Send]&gt;</t>
        </r>
      </text>
    </comment>
    <comment ref="F89" authorId="1" shapeId="0" xr:uid="{B218BDF5-3D43-42F6-9335-5ACD933492B3}">
      <text>
        <r>
          <rPr>
            <b/>
            <sz val="9"/>
            <color indexed="81"/>
            <rFont val="Tahoma"/>
            <family val="2"/>
          </rPr>
          <t>&lt;[[TCDeals] - [TCDeals - User Defined Field Values (Seq: 1)] Multi Family Application - Additional Credit - If yes, Project Name and Application Number - Send]&gt;</t>
        </r>
      </text>
    </comment>
    <comment ref="F90" authorId="1" shapeId="0" xr:uid="{C33A0FA4-4370-41F8-B04C-1433DCB1FB7C}">
      <text>
        <r>
          <rPr>
            <b/>
            <sz val="9"/>
            <color indexed="81"/>
            <rFont val="Tahoma"/>
            <family val="2"/>
          </rPr>
          <t>&lt;[[TCDeals] - [TCDeals - User Defined Field Values (Seq: 1)] Multi Family Application - Is this a credit application for a property that has completed its HTC compliance period? - Send]&gt;</t>
        </r>
      </text>
    </comment>
    <comment ref="F91" authorId="1" shapeId="0" xr:uid="{B3772E6E-5F8B-4CEC-B63D-2F089F178C4E}">
      <text>
        <r>
          <rPr>
            <b/>
            <sz val="9"/>
            <color indexed="81"/>
            <rFont val="Tahoma"/>
            <family val="2"/>
          </rPr>
          <t>&lt;[[TCDeals] - [TCDeals - User Defined Field Values (Seq: 1)] Multi Family Application - HTC Compliance - If yes, Project Name and Application Number - Send]&gt;</t>
        </r>
      </text>
    </comment>
    <comment ref="F94" authorId="1" shapeId="0" xr:uid="{09EF0231-4C39-4D99-8826-8F5433316289}">
      <text>
        <r>
          <rPr>
            <b/>
            <sz val="9"/>
            <color indexed="81"/>
            <rFont val="Tahoma"/>
            <family val="2"/>
          </rPr>
          <t>&lt;[[TCDeals] - [TCDeals - User Defined Field Values (Seq: 1)] Multi Family Application - Set-Aside - Send]&gt;</t>
        </r>
      </text>
    </comment>
    <comment ref="F95" authorId="1" shapeId="0" xr:uid="{AA99E52C-7161-4A02-919F-49ADE8E5149C}">
      <text>
        <r>
          <rPr>
            <b/>
            <sz val="9"/>
            <color indexed="81"/>
            <rFont val="Tahoma"/>
            <family val="2"/>
          </rPr>
          <t>&lt;[[TCDeals] - [TCDeals - User Defined Field Values (Seq: 1)] Multi Family Application - Credit Percentage applied for? - Send]&gt;</t>
        </r>
      </text>
    </comment>
    <comment ref="F99" authorId="1" shapeId="0" xr:uid="{F2EC659E-AAAE-4807-8598-49CFAD87C44C}">
      <text>
        <r>
          <rPr>
            <b/>
            <sz val="9"/>
            <color indexed="81"/>
            <rFont val="Tahoma"/>
            <family val="2"/>
          </rPr>
          <t>&lt;[[TCDeals] - [TCDeals - User Defined Field Values (Seq: 1)] Multi Family Application - Minimum Set-Aside Requirement - Send]&gt;</t>
        </r>
      </text>
    </comment>
    <comment ref="F101" authorId="2" shapeId="0" xr:uid="{63845AB5-1507-4EE2-8974-0C21096A7326}">
      <text>
        <r>
          <rPr>
            <b/>
            <sz val="9"/>
            <color indexed="81"/>
            <rFont val="Tahoma"/>
            <family val="2"/>
          </rPr>
          <t>&lt;[[TCDeals] - [TC Property Current Stage (Seq: 1)] Has Other Amenity3 - Send]&gt;</t>
        </r>
      </text>
    </comment>
    <comment ref="G101" authorId="2" shapeId="0" xr:uid="{43E0D6A0-98C9-4E99-AA39-FD78C57AACFA}">
      <text>
        <r>
          <rPr>
            <b/>
            <sz val="9"/>
            <color indexed="81"/>
            <rFont val="Tahoma"/>
            <family val="2"/>
          </rPr>
          <t>&lt;[[TCDeals] - [TC Property Current Stage (Seq: 1)] Other Amenity3 Desc - Send]&gt;</t>
        </r>
      </text>
    </comment>
    <comment ref="F102" authorId="1" shapeId="0" xr:uid="{B7603C54-842A-4D82-A24E-514BABDF0CFF}">
      <text>
        <r>
          <rPr>
            <b/>
            <sz val="9"/>
            <color indexed="81"/>
            <rFont val="Tahoma"/>
            <family val="2"/>
          </rPr>
          <t>&lt;[[TCDeals] - [TC Property Current Stage (Seq: 1)] Num Stories - Send]&gt;</t>
        </r>
      </text>
    </comment>
    <comment ref="F109" authorId="1" shapeId="0" xr:uid="{C3E4E083-3DDC-4D38-B541-634EEBFD21E6}">
      <text>
        <r>
          <rPr>
            <b/>
            <sz val="9"/>
            <color indexed="81"/>
            <rFont val="Tahoma"/>
            <family val="2"/>
          </rPr>
          <t>&lt;[[TCDeals] - [TC Property Current Stage (Seq: 1)] Building Type - Send]&gt;</t>
        </r>
      </text>
    </comment>
    <comment ref="F116" authorId="1" shapeId="0" xr:uid="{D25C48C8-81BB-47EB-831C-2540698FB2F7}">
      <text>
        <r>
          <rPr>
            <b/>
            <sz val="9"/>
            <color indexed="81"/>
            <rFont val="Tahoma"/>
            <family val="2"/>
          </rPr>
          <t>&lt;[[TCDeals] - [TC Property Current Stage (Seq: 1)] - [Property Points (Seq: 1)] Multi Family Application - Rental - Send]&gt;</t>
        </r>
      </text>
    </comment>
    <comment ref="F117" authorId="1" shapeId="0" xr:uid="{8AA4D6DC-6226-4F62-9160-285FB7B2C89F}">
      <text>
        <r>
          <rPr>
            <b/>
            <sz val="9"/>
            <color indexed="81"/>
            <rFont val="Tahoma"/>
            <family val="2"/>
          </rPr>
          <t>&lt;[[TCDeals] - [TC Property Current Stage (Seq: 1)] - [Property Points (Seq: 1)] Multi Family Application - Rental Targeted For Eventual Resident Ownership - Send]&gt;</t>
        </r>
      </text>
    </comment>
    <comment ref="F120" authorId="1" shapeId="0" xr:uid="{2FFE270B-030A-49E7-A780-D19F31697922}">
      <text>
        <r>
          <rPr>
            <b/>
            <sz val="9"/>
            <color indexed="81"/>
            <rFont val="Tahoma"/>
            <family val="2"/>
          </rPr>
          <t>&lt;[[TCDeals] - [TC Construction Control (Seq: 1)] Construction Begin Date - Send]&gt;</t>
        </r>
      </text>
    </comment>
    <comment ref="F121" authorId="1" shapeId="0" xr:uid="{B067C5C4-9132-4F7D-B999-D0E7FDBB3004}">
      <text>
        <r>
          <rPr>
            <b/>
            <sz val="9"/>
            <color indexed="81"/>
            <rFont val="Tahoma"/>
            <family val="2"/>
          </rPr>
          <t>&lt;[[TCDeals] - [TC Construction Control (Seq: 1)] Anticipated Completion Date - Send]&gt;</t>
        </r>
      </text>
    </comment>
    <comment ref="F133" authorId="1" shapeId="0" xr:uid="{3289A710-7E41-4CF0-83D8-C8F2C1C6635B}">
      <text>
        <r>
          <rPr>
            <b/>
            <sz val="9"/>
            <color indexed="81"/>
            <rFont val="Tahoma"/>
            <family val="2"/>
          </rPr>
          <t>&lt;[[TCDeals] - [TC Construction Control (Seq: 1)] Developer - Send]&gt;</t>
        </r>
      </text>
    </comment>
    <comment ref="F134" authorId="1" shapeId="0" xr:uid="{5025AF60-4B1B-4122-B5E1-DF30AE699622}">
      <text>
        <r>
          <rPr>
            <b/>
            <sz val="9"/>
            <color indexed="81"/>
            <rFont val="Tahoma"/>
            <family val="2"/>
          </rPr>
          <t>&lt;[[TCDeals] - [TC Construction Control (Seq: 1)] Developer Primary Contact - Send]&gt;</t>
        </r>
      </text>
    </comment>
    <comment ref="F135" authorId="1" shapeId="0" xr:uid="{C722D7C3-11AD-424A-B6E3-AFEDABE4BD48}">
      <text>
        <r>
          <rPr>
            <b/>
            <sz val="9"/>
            <color indexed="81"/>
            <rFont val="Tahoma"/>
            <family val="2"/>
          </rPr>
          <t>&lt;[[TCDeals] - [TC Construction Control (Seq: 1)] Developer Phone - Send]&gt;</t>
        </r>
      </text>
    </comment>
    <comment ref="F136" authorId="1" shapeId="0" xr:uid="{DCAE9BAF-7C71-4A96-B41E-434E7E5F69C3}">
      <text>
        <r>
          <rPr>
            <b/>
            <sz val="9"/>
            <color indexed="81"/>
            <rFont val="Tahoma"/>
            <family val="2"/>
          </rPr>
          <t>&lt;[[TCDeals] - [TCDeals - User Defined Field Values (Seq: 1)] Multi Family Application - Unsatisfied judgements against applicant? - Send]&gt;</t>
        </r>
      </text>
    </comment>
    <comment ref="F137" authorId="1" shapeId="0" xr:uid="{8EF9A9DF-79AB-4ED2-8D19-F03345E2BFA7}">
      <text>
        <r>
          <rPr>
            <b/>
            <sz val="9"/>
            <color indexed="81"/>
            <rFont val="Tahoma"/>
            <family val="2"/>
          </rPr>
          <t>&lt;[[TCDeals] - [TCDeals - User Defined Field Values (Seq: 1)] Multi Family Application - Has any party related to this application been party to any litigation, - Send]&gt;</t>
        </r>
      </text>
    </comment>
    <comment ref="F138" authorId="1" shapeId="0" xr:uid="{4A5DEF00-6383-4B24-8382-143C1AA872D9}">
      <text>
        <r>
          <rPr>
            <b/>
            <sz val="9"/>
            <color indexed="81"/>
            <rFont val="Tahoma"/>
            <family val="2"/>
          </rPr>
          <t>&lt;[[TCDeals] - [TCDeals - User Defined Field Values (Seq: 1)] Multi Family Application - Environmental Issues or administrative proceedings? - Send]&gt;</t>
        </r>
      </text>
    </comment>
    <comment ref="F139" authorId="1" shapeId="0" xr:uid="{3CABD37E-96C9-4D4D-8B65-E6E49337B184}">
      <text>
        <r>
          <rPr>
            <b/>
            <sz val="9"/>
            <color indexed="81"/>
            <rFont val="Tahoma"/>
            <family val="2"/>
          </rPr>
          <t>&lt;[[TCDeals] - [TCDeals - User Defined Field Values (Seq: 1)] Multi Family Application - Explanations - Send]&gt;</t>
        </r>
      </text>
    </comment>
    <comment ref="F144" authorId="1" shapeId="0" xr:uid="{FA694B93-6D99-4937-9DBE-397634A46F67}">
      <text>
        <r>
          <rPr>
            <b/>
            <sz val="9"/>
            <color indexed="81"/>
            <rFont val="Tahoma"/>
            <family val="2"/>
          </rPr>
          <t>&lt;[[TCDeals] - [TC Property Current Stage (Seq: 1)] - [Property Points (Seq: 1)] Multi Family Application - Total Buildable Acreage - Send]&gt;</t>
        </r>
      </text>
    </comment>
    <comment ref="F145" authorId="1" shapeId="0" xr:uid="{E96E03AC-5A78-4E1F-B063-34AC48328380}">
      <text>
        <r>
          <rPr>
            <b/>
            <sz val="9"/>
            <color indexed="81"/>
            <rFont val="Tahoma"/>
            <family val="2"/>
          </rPr>
          <t>&lt;[[TCDeals] - [TC Property Current Stage (Seq: 1)] - [Property Points (Seq: 1)] Multi Family Application - Demolition Required? - Send]&gt;</t>
        </r>
      </text>
    </comment>
    <comment ref="F146" authorId="1" shapeId="0" xr:uid="{2FEA7F63-A2B6-4CEC-A56B-D8CA987773DB}">
      <text>
        <r>
          <rPr>
            <b/>
            <sz val="9"/>
            <color indexed="81"/>
            <rFont val="Tahoma"/>
            <family val="2"/>
          </rPr>
          <t>&lt;[[TCDeals] - [TC Property Current Stage (Seq: 1)] - [Property Points (Seq: 1)] Multi Family Application - Existing buildings currently occupied? - Send]&gt;</t>
        </r>
      </text>
    </comment>
    <comment ref="F147" authorId="1" shapeId="0" xr:uid="{9981AD6B-F7C1-43E5-9D68-4BB2BA51CDF2}">
      <text>
        <r>
          <rPr>
            <b/>
            <sz val="9"/>
            <color indexed="81"/>
            <rFont val="Tahoma"/>
            <family val="2"/>
          </rPr>
          <t>&lt;[[TCDeals] - [TC Property Current Stage (Seq: 1)] - [Property Points (Seq: 1)] Multi Family Application - Will tenant be temporarily displaced? - Send]&gt;</t>
        </r>
      </text>
    </comment>
    <comment ref="F148" authorId="1" shapeId="0" xr:uid="{9B8A2A83-CAA9-4577-9D81-A5E08F89E44D}">
      <text>
        <r>
          <rPr>
            <b/>
            <sz val="9"/>
            <color indexed="81"/>
            <rFont val="Tahoma"/>
            <family val="2"/>
          </rPr>
          <t>&lt;[[TCDeals] - [TC Property Current Stage (Seq: 1)] - [Property Points (Seq: 1)] Multi Family Application - Will tenant be permanently displaced? - Send]&gt;</t>
        </r>
      </text>
    </comment>
    <comment ref="F149" authorId="1" shapeId="0" xr:uid="{7BF807A7-51D4-48C2-85C6-66499BB3B965}">
      <text>
        <r>
          <rPr>
            <b/>
            <sz val="9"/>
            <color indexed="81"/>
            <rFont val="Tahoma"/>
            <family val="2"/>
          </rPr>
          <t>&lt;[[TCDeals] - [TC Property Current Stage (Seq: 1)] - [Property Points (Seq: 1)] Multi Family Application - Any part of site located in flood zone? - Send]&gt;</t>
        </r>
      </text>
    </comment>
    <comment ref="F160" authorId="1" shapeId="0" xr:uid="{EEB34C9E-1C35-47F3-9C4E-3B15F29E42F9}">
      <text>
        <r>
          <rPr>
            <b/>
            <sz val="9"/>
            <color indexed="81"/>
            <rFont val="Tahoma"/>
            <family val="2"/>
          </rPr>
          <t>&lt;[[TCDeals] - [TC Property Current Stage (Seq: 1)] Owner Name - Send]&gt;</t>
        </r>
      </text>
    </comment>
    <comment ref="F161" authorId="1" shapeId="0" xr:uid="{5B0E5EEB-59BB-445E-AD44-292650BD4653}">
      <text>
        <r>
          <rPr>
            <b/>
            <sz val="9"/>
            <color indexed="81"/>
            <rFont val="Tahoma"/>
            <family val="2"/>
          </rPr>
          <t>&lt;[[TCDeals] - [TC Property Current Stage (Seq: 1)] Owner Contact First Name - Send]&gt;</t>
        </r>
      </text>
    </comment>
    <comment ref="F162" authorId="1" shapeId="0" xr:uid="{961DE26C-FCF2-415B-8EE1-F03322B1929F}">
      <text>
        <r>
          <rPr>
            <b/>
            <sz val="9"/>
            <color indexed="81"/>
            <rFont val="Tahoma"/>
            <family val="2"/>
          </rPr>
          <t>&lt;[[TCDeals] - [TC Property Current Stage (Seq: 1)] Owner Contact Last Name - Send]&gt;</t>
        </r>
      </text>
    </comment>
    <comment ref="F163" authorId="1" shapeId="0" xr:uid="{EE344E63-6625-4CCE-AD3F-1E72E6E481BB}">
      <text>
        <r>
          <rPr>
            <b/>
            <sz val="9"/>
            <color indexed="81"/>
            <rFont val="Tahoma"/>
            <family val="2"/>
          </rPr>
          <t>&lt;[[TCDeals] - [TC Property Current Stage (Seq: 1)] Owner City - Send]&gt;</t>
        </r>
      </text>
    </comment>
    <comment ref="F164" authorId="1" shapeId="0" xr:uid="{C817F099-7D66-4C7D-A8C3-205911D77D4F}">
      <text>
        <r>
          <rPr>
            <b/>
            <sz val="9"/>
            <color indexed="81"/>
            <rFont val="Tahoma"/>
            <family val="2"/>
          </rPr>
          <t>&lt;[[TCDeals] - [TC Property Current Stage (Seq: 1)] Owner State - Send]&gt;</t>
        </r>
      </text>
    </comment>
    <comment ref="F165" authorId="1" shapeId="0" xr:uid="{4A8E40F5-48CC-4CBA-85DB-26B74BFD68E8}">
      <text>
        <r>
          <rPr>
            <b/>
            <sz val="9"/>
            <color indexed="81"/>
            <rFont val="Tahoma"/>
            <family val="2"/>
          </rPr>
          <t>&lt;[[TCDeals] - [TC Property Current Stage (Seq: 1)] Owner Zip - Send]&gt;</t>
        </r>
      </text>
    </comment>
    <comment ref="F169" authorId="3" shapeId="0" xr:uid="{3832F1D4-7EB3-4644-88E7-91FDD0C3883D}">
      <text>
        <r>
          <rPr>
            <b/>
            <sz val="9"/>
            <color indexed="81"/>
            <rFont val="Tahoma"/>
            <family val="2"/>
          </rPr>
          <t>&lt;[[TCDeals] - [TCDeals - User Defined Field Values (Seq: 1)] Multi Family Application - Is Community Service Facility - Send]&gt;</t>
        </r>
      </text>
    </comment>
    <comment ref="F170" authorId="3" shapeId="0" xr:uid="{6A13BB60-DEEE-4384-887F-6397477318DB}">
      <text>
        <r>
          <rPr>
            <b/>
            <sz val="9"/>
            <color indexed="81"/>
            <rFont val="Tahoma"/>
            <family val="2"/>
          </rPr>
          <t>&lt;[[TCDeals] - [TCDeals - User Defined Field Values (Seq: 1)] Multi Family Application - Laundry Cost Per Unit - Send]&gt;</t>
        </r>
      </text>
    </comment>
    <comment ref="F173" authorId="2" shapeId="0" xr:uid="{149E7E69-18C9-4B99-9D41-8C1D5EB44C10}">
      <text>
        <r>
          <rPr>
            <b/>
            <sz val="9"/>
            <color indexed="81"/>
            <rFont val="Tahoma"/>
            <family val="2"/>
          </rPr>
          <t>&lt;[[TCDeals] - [TCDeals - User Defined Field Values (Seq: 1)] Multi Family Application - Federal Price per Credit - Send]&gt;</t>
        </r>
      </text>
    </comment>
    <comment ref="F174" authorId="2" shapeId="0" xr:uid="{D84D2A87-937E-45D5-BCDE-BE24A1DD45EE}">
      <text>
        <r>
          <rPr>
            <b/>
            <sz val="9"/>
            <color indexed="81"/>
            <rFont val="Tahoma"/>
            <family val="2"/>
          </rPr>
          <t>&lt;[[TCDeals] - [TCDeals - User Defined Field Values (Seq: 1)] Multi Family Application - State Price per Credit - Send]&gt;</t>
        </r>
      </text>
    </comment>
    <comment ref="F178" authorId="3" shapeId="0" xr:uid="{88CCA5B7-78B3-40F6-AEE3-37257249D97F}">
      <text>
        <r>
          <rPr>
            <b/>
            <sz val="9"/>
            <color indexed="81"/>
            <rFont val="Tahoma"/>
            <family val="2"/>
          </rPr>
          <t>&lt;[[TCDeals] - [TCDeals - User Defined Field Values (Seq: 1)] Multi Family Application - Cost Certification / Accounting Fees Commercial Building Costs - Send]&gt;</t>
        </r>
      </text>
    </comment>
    <comment ref="F179" authorId="3" shapeId="0" xr:uid="{9F86F6BA-7F9B-4B2B-B21F-F3CE91E194FF}">
      <text>
        <r>
          <rPr>
            <b/>
            <sz val="9"/>
            <color indexed="81"/>
            <rFont val="Tahoma"/>
            <family val="2"/>
          </rPr>
          <t>&lt;[[TCDeals] - [TCDeals - User Defined Field Values (Seq: 1)] Multi Family Application - Cost Certification / Accounting Fees Cost / Sqft - Send]&gt;</t>
        </r>
      </text>
    </comment>
    <comment ref="F180" authorId="3" shapeId="0" xr:uid="{B06B9914-AF9C-4B99-B905-51A8187747B4}">
      <text>
        <r>
          <rPr>
            <b/>
            <sz val="9"/>
            <color indexed="81"/>
            <rFont val="Tahoma"/>
            <family val="2"/>
          </rPr>
          <t>&lt;[[TCDeals] - [TCDeals - User Defined Field Values (Seq: 1)] Multi Family Application - Cost Certification / Accounting Fees Cost / Unit - Send]&gt;</t>
        </r>
      </text>
    </comment>
    <comment ref="F181" authorId="3" shapeId="0" xr:uid="{29F4C38B-2C8B-416E-8428-66B4986B1C9B}">
      <text>
        <r>
          <rPr>
            <b/>
            <sz val="9"/>
            <color indexed="81"/>
            <rFont val="Tahoma"/>
            <family val="2"/>
          </rPr>
          <t>&lt;[[TCDeals] - [TCDeals - User Defined Field Values (Seq: 1)] Multi Family Application - Cost Certification / Accounting Fees Eligible Basis Costs - Send]&gt;</t>
        </r>
      </text>
    </comment>
    <comment ref="F182" authorId="3" shapeId="0" xr:uid="{8DDCDB33-AA6A-4C5B-B8E5-D55C0D94368B}">
      <text>
        <r>
          <rPr>
            <b/>
            <sz val="9"/>
            <color indexed="81"/>
            <rFont val="Tahoma"/>
            <family val="2"/>
          </rPr>
          <t>&lt;[[TCDeals] - [TCDeals - User Defined Field Values (Seq: 1)] Multi Family Application - Cost Certification / Accounting Fees New Construction &amp; Adaptive Rehab - Send]&gt;</t>
        </r>
      </text>
    </comment>
    <comment ref="F183" authorId="3" shapeId="0" xr:uid="{AE6B1319-B945-4AD0-BFAB-045A2346BB69}">
      <text>
        <r>
          <rPr>
            <b/>
            <sz val="9"/>
            <color indexed="81"/>
            <rFont val="Tahoma"/>
            <family val="2"/>
          </rPr>
          <t>&lt;[[TCDeals] - [TCDeals - User Defined Field Values (Seq: 1)] Multi Family Application - Cost Certification / Accounting Fees Total Costs - Send]&gt;</t>
        </r>
      </text>
    </comment>
    <comment ref="F187" authorId="4" shapeId="0" xr:uid="{D56B0419-0706-431F-BD30-FE4FB652C947}">
      <text>
        <r>
          <rPr>
            <b/>
            <sz val="9"/>
            <color indexed="81"/>
            <rFont val="Tahoma"/>
            <family val="2"/>
          </rPr>
          <t>&lt;[[TCDeals] - [TCDeals - User Defined Field Values (Seq: 1)] Credit - Acquisition Price - Federal - Send]&gt;</t>
        </r>
      </text>
    </comment>
    <comment ref="F188" authorId="4" shapeId="0" xr:uid="{0F61D0FD-02B6-4694-BF4F-38EF00A82530}">
      <text>
        <r>
          <rPr>
            <b/>
            <sz val="9"/>
            <color indexed="81"/>
            <rFont val="Tahoma"/>
            <family val="2"/>
          </rPr>
          <t>&lt;[[TCDeals] - [TCDeals - User Defined Field Values (Seq: 1)] Credit - Acquisition Price - State - Send]&gt;</t>
        </r>
      </text>
    </comment>
    <comment ref="F189" authorId="4" shapeId="0" xr:uid="{E8D70C00-74DB-455E-BC34-7EA9D36299D7}">
      <text>
        <r>
          <rPr>
            <b/>
            <sz val="9"/>
            <color indexed="81"/>
            <rFont val="Tahoma"/>
            <family val="2"/>
          </rPr>
          <t>&lt;[[TCDeals] - [TCDeals - User Defined Field Values (Seq: 1)] Credit - Applicable Fraction - Federal - Send]&gt;</t>
        </r>
      </text>
    </comment>
    <comment ref="F190" authorId="4" shapeId="0" xr:uid="{949A65C4-0C7E-4FD6-9211-10E3098372C9}">
      <text>
        <r>
          <rPr>
            <b/>
            <sz val="9"/>
            <color indexed="81"/>
            <rFont val="Tahoma"/>
            <family val="2"/>
          </rPr>
          <t>&lt;[[TCDeals] - [TCDeals - User Defined Field Values (Seq: 1)] Credit - Applicable Fraction - State - Send]&gt;</t>
        </r>
      </text>
    </comment>
    <comment ref="F191" authorId="4" shapeId="0" xr:uid="{6D81EE97-B1AB-4E5C-A1D0-AD9877339799}">
      <text>
        <r>
          <rPr>
            <b/>
            <sz val="9"/>
            <color indexed="81"/>
            <rFont val="Tahoma"/>
            <family val="2"/>
          </rPr>
          <t>&lt;[[TCDeals] - [TCDeals - User Defined Field Values (Seq: 1)] Credit - Qualified Basis - Federal - Send]&gt;</t>
        </r>
      </text>
    </comment>
    <comment ref="F192" authorId="4" shapeId="0" xr:uid="{4858A4C2-AEBB-4A24-9ED3-C13C54793D5E}">
      <text>
        <r>
          <rPr>
            <b/>
            <sz val="9"/>
            <color indexed="81"/>
            <rFont val="Tahoma"/>
            <family val="2"/>
          </rPr>
          <t>&lt;[[TCDeals] - [TCDeals - User Defined Field Values (Seq: 1)] Credit - Qualified Basis - State - Send]&gt;</t>
        </r>
      </text>
    </comment>
    <comment ref="F193" authorId="4" shapeId="0" xr:uid="{65F04632-0465-4DFA-BEAA-CD945856A5B7}">
      <text>
        <r>
          <rPr>
            <b/>
            <sz val="9"/>
            <color indexed="81"/>
            <rFont val="Tahoma"/>
            <family val="2"/>
          </rPr>
          <t>&lt;[[TCDeals] - [TCDeals - User Defined Field Values (Seq: 1)] Credit - Potential Acquisition Credit - Federal - Send]&gt;</t>
        </r>
      </text>
    </comment>
    <comment ref="F194" authorId="4" shapeId="0" xr:uid="{6F1CAF49-83F3-44DF-937F-9CFEEC5387E8}">
      <text>
        <r>
          <rPr>
            <b/>
            <sz val="9"/>
            <color indexed="81"/>
            <rFont val="Tahoma"/>
            <family val="2"/>
          </rPr>
          <t>&lt;[[TCDeals] - [TCDeals - User Defined Field Values (Seq: 1)] Credit - Potential Acquisition Credit - State - Send]&gt;</t>
        </r>
      </text>
    </comment>
    <comment ref="F196" authorId="4" shapeId="0" xr:uid="{565230C3-ABB7-43B1-B441-9109B84766ED}">
      <text>
        <r>
          <rPr>
            <b/>
            <sz val="9"/>
            <color indexed="81"/>
            <rFont val="Tahoma"/>
            <family val="2"/>
          </rPr>
          <t>&lt;[[TCDeals] - [TCDeals - User Defined Field Values (Seq: 1)] Credit - Initial Eligible Basis - Federal - Send]&gt;</t>
        </r>
      </text>
    </comment>
    <comment ref="F197" authorId="4" shapeId="0" xr:uid="{2547D7B3-EAC4-4351-926B-F06EA7930D8D}">
      <text>
        <r>
          <rPr>
            <b/>
            <sz val="9"/>
            <color indexed="81"/>
            <rFont val="Tahoma"/>
            <family val="2"/>
          </rPr>
          <t>&lt;[[TCDeals] - [TCDeals - User Defined Field Values (Seq: 1)] Credit - Initial Eligible Basis - State - Send]&gt;</t>
        </r>
      </text>
    </comment>
    <comment ref="F198" authorId="4" shapeId="0" xr:uid="{77A35869-8CAB-4EAB-B7BD-5E86D9C0A3A1}">
      <text>
        <r>
          <rPr>
            <b/>
            <sz val="9"/>
            <color indexed="81"/>
            <rFont val="Tahoma"/>
            <family val="2"/>
          </rPr>
          <t>&lt;[[TCDeals] - [TCDeals - User Defined Field Values (Seq: 1)] Credit - Less Building Acquisition - Federal - Send]&gt;</t>
        </r>
      </text>
    </comment>
    <comment ref="F199" authorId="4" shapeId="0" xr:uid="{F8B8493C-9ADE-44BC-A3F9-1D39AE91A736}">
      <text>
        <r>
          <rPr>
            <b/>
            <sz val="9"/>
            <color indexed="81"/>
            <rFont val="Tahoma"/>
            <family val="2"/>
          </rPr>
          <t>&lt;[[TCDeals] - [TCDeals - User Defined Field Values (Seq: 1)] Credit - Less Building Acquisition - State - Send]&gt;</t>
        </r>
      </text>
    </comment>
    <comment ref="F200" authorId="4" shapeId="0" xr:uid="{D4904AD4-54AA-4F29-8F16-46435B52A532}">
      <text>
        <r>
          <rPr>
            <b/>
            <sz val="9"/>
            <color indexed="81"/>
            <rFont val="Tahoma"/>
            <family val="2"/>
          </rPr>
          <t>&lt;[[TCDeals] - [TCDeals - User Defined Field Values (Seq: 1)] Credit - Less Other Credits - Federal - Send]&gt;</t>
        </r>
      </text>
    </comment>
    <comment ref="F201" authorId="4" shapeId="0" xr:uid="{4F59052D-25CC-426F-B016-A99C33A5BA48}">
      <text>
        <r>
          <rPr>
            <b/>
            <sz val="9"/>
            <color indexed="81"/>
            <rFont val="Tahoma"/>
            <family val="2"/>
          </rPr>
          <t>&lt;[[TCDeals] - [TCDeals - User Defined Field Values (Seq: 1)] Credit - Less Other Credits - State - Send]&gt;</t>
        </r>
      </text>
    </comment>
    <comment ref="F202" authorId="4" shapeId="0" xr:uid="{F1B89FFA-7127-4048-B483-54A564FEBC0E}">
      <text>
        <r>
          <rPr>
            <b/>
            <sz val="9"/>
            <color indexed="81"/>
            <rFont val="Tahoma"/>
            <family val="2"/>
          </rPr>
          <t>&lt;[[TCDeals] - [TCDeals - User Defined Field Values (Seq: 1)] Credit - Less Historic Tax Basis - Federal - Send]&gt;</t>
        </r>
      </text>
    </comment>
    <comment ref="F203" authorId="4" shapeId="0" xr:uid="{F956A976-56B5-43A1-B455-DDF3A6C64BAA}">
      <text>
        <r>
          <rPr>
            <b/>
            <sz val="9"/>
            <color indexed="81"/>
            <rFont val="Tahoma"/>
            <family val="2"/>
          </rPr>
          <t>&lt;[[TCDeals] - [TCDeals - User Defined Field Values (Seq: 1)] Credit - Less Historic Tax Basis - State - Send]&gt;</t>
        </r>
      </text>
    </comment>
    <comment ref="F204" authorId="4" shapeId="0" xr:uid="{4CB7DA96-4A69-4540-AC37-2DA68252D39B}">
      <text>
        <r>
          <rPr>
            <b/>
            <sz val="9"/>
            <color indexed="81"/>
            <rFont val="Tahoma"/>
            <family val="2"/>
          </rPr>
          <t>&lt;[[TCDeals] - [TCDeals - User Defined Field Values (Seq: 1)] Credit - Less Grants - Federal - Send]&gt;</t>
        </r>
      </text>
    </comment>
    <comment ref="F205" authorId="4" shapeId="0" xr:uid="{54E8BE74-7115-45FA-973F-D1C0B836AF69}">
      <text>
        <r>
          <rPr>
            <b/>
            <sz val="9"/>
            <color indexed="81"/>
            <rFont val="Tahoma"/>
            <family val="2"/>
          </rPr>
          <t>&lt;[[TCDeals] - [TCDeals - User Defined Field Values (Seq: 1)] Credit - Less Grants - State - Send]&gt;</t>
        </r>
      </text>
    </comment>
    <comment ref="F206" authorId="4" shapeId="0" xr:uid="{0FAF48E3-E6B3-43CD-9578-DB8FC76ED6A3}">
      <text>
        <r>
          <rPr>
            <b/>
            <sz val="9"/>
            <color indexed="81"/>
            <rFont val="Tahoma"/>
            <family val="2"/>
          </rPr>
          <t>&lt;[[TCDeals] - [TCDeals - User Defined Field Values (Seq: 1)] Credit - Adjusted Eligible Building Basis - Federal - Send]&gt;</t>
        </r>
      </text>
    </comment>
    <comment ref="F207" authorId="4" shapeId="0" xr:uid="{8187E1B6-C4FA-4D41-BCC4-9E924498F375}">
      <text>
        <r>
          <rPr>
            <b/>
            <sz val="9"/>
            <color indexed="81"/>
            <rFont val="Tahoma"/>
            <family val="2"/>
          </rPr>
          <t>&lt;[[TCDeals] - [TCDeals - User Defined Field Values (Seq: 1)] Credit - Adjusted Eligible Building Basis - State - Send]&gt;</t>
        </r>
      </text>
    </comment>
    <comment ref="F208" authorId="4" shapeId="0" xr:uid="{0E8B5317-815F-4C66-9BE6-1B2CF6FB3F24}">
      <text>
        <r>
          <rPr>
            <b/>
            <sz val="9"/>
            <color indexed="81"/>
            <rFont val="Tahoma"/>
            <family val="2"/>
          </rPr>
          <t>&lt;[[TCDeals] - [TCDeals - User Defined Field Values (Seq: 1)] Credit - QCT/DDA Boost - Federal - Send]&gt;</t>
        </r>
      </text>
    </comment>
    <comment ref="F209" authorId="4" shapeId="0" xr:uid="{C9D8E82D-2DB6-4AB5-8E78-F3FBE8D721F9}">
      <text>
        <r>
          <rPr>
            <b/>
            <sz val="9"/>
            <color indexed="81"/>
            <rFont val="Tahoma"/>
            <family val="2"/>
          </rPr>
          <t>&lt;[[TCDeals] - [TCDeals - User Defined Field Values (Seq: 1)] Credit - QCT/DDA Boost - State - Send]&gt;</t>
        </r>
      </text>
    </comment>
    <comment ref="F210" authorId="4" shapeId="0" xr:uid="{6026A59B-0280-4B12-8AAA-739BC88E8DF9}">
      <text>
        <r>
          <rPr>
            <b/>
            <sz val="9"/>
            <color indexed="81"/>
            <rFont val="Tahoma"/>
            <family val="2"/>
          </rPr>
          <t>&lt;[[TCDeals] - [TCDeals - User Defined Field Values (Seq: 1)] Credit - HFA Boost - Federal - Send]&gt;</t>
        </r>
      </text>
    </comment>
    <comment ref="F211" authorId="4" shapeId="0" xr:uid="{C0F08253-B020-4C39-B90B-CCA3AEA97B90}">
      <text>
        <r>
          <rPr>
            <b/>
            <sz val="9"/>
            <color indexed="81"/>
            <rFont val="Tahoma"/>
            <family val="2"/>
          </rPr>
          <t>&lt;[[TCDeals] - [TCDeals - User Defined Field Values (Seq: 1)] Credit - HFA Boost - State - Send]&gt;</t>
        </r>
      </text>
    </comment>
    <comment ref="F212" authorId="4" shapeId="0" xr:uid="{2419BFB8-AE75-4A67-BC65-DD75902FF96A}">
      <text>
        <r>
          <rPr>
            <b/>
            <sz val="9"/>
            <color indexed="81"/>
            <rFont val="Tahoma"/>
            <family val="2"/>
          </rPr>
          <t>&lt;[[TCDeals] - [TCDeals - User Defined Field Values (Seq: 1)] Credit - Eligible Basis - Federal - Send]&gt;</t>
        </r>
      </text>
    </comment>
    <comment ref="F213" authorId="4" shapeId="0" xr:uid="{A77BE725-93A7-451B-A401-2ACF2C4D1FEF}">
      <text>
        <r>
          <rPr>
            <b/>
            <sz val="9"/>
            <color indexed="81"/>
            <rFont val="Tahoma"/>
            <family val="2"/>
          </rPr>
          <t>&lt;[[TCDeals] - [TCDeals - User Defined Field Values (Seq: 1)] Credit - Eligible Basis - State - Send]&gt;</t>
        </r>
      </text>
    </comment>
    <comment ref="F214" authorId="4" shapeId="0" xr:uid="{9DB9E925-74C8-4F25-9C1D-4CAC6A621A45}">
      <text>
        <r>
          <rPr>
            <b/>
            <sz val="9"/>
            <color indexed="81"/>
            <rFont val="Tahoma"/>
            <family val="2"/>
          </rPr>
          <t>&lt;[[TCDeals] - [TCDeals - User Defined Field Values (Seq: 1)] Credit - Applicable Fraction - Federal Eligible Basis - Send]&gt;</t>
        </r>
      </text>
    </comment>
    <comment ref="F215" authorId="4" shapeId="0" xr:uid="{DD44D39E-C4B9-4267-91C6-1256C4E821D7}">
      <text>
        <r>
          <rPr>
            <b/>
            <sz val="9"/>
            <color indexed="81"/>
            <rFont val="Tahoma"/>
            <family val="2"/>
          </rPr>
          <t>&lt;[[TCDeals] - [TCDeals - User Defined Field Values (Seq: 1)] Credit - Applicable Fraction - State Eligible Basis - Send]&gt;</t>
        </r>
      </text>
    </comment>
    <comment ref="F216" authorId="4" shapeId="0" xr:uid="{4251C184-0333-41A4-A6D7-46F4C5968174}">
      <text>
        <r>
          <rPr>
            <b/>
            <sz val="9"/>
            <color indexed="81"/>
            <rFont val="Tahoma"/>
            <family val="2"/>
          </rPr>
          <t>&lt;[[TCDeals] - [TCDeals - User Defined Field Values (Seq: 1)] Credit - Qualified Basis - Federal Eligible Basis - Send]&gt;</t>
        </r>
      </text>
    </comment>
    <comment ref="F217" authorId="4" shapeId="0" xr:uid="{2E41385A-6ACA-46DF-8335-DFA06324F85B}">
      <text>
        <r>
          <rPr>
            <b/>
            <sz val="9"/>
            <color indexed="81"/>
            <rFont val="Tahoma"/>
            <family val="2"/>
          </rPr>
          <t>&lt;[[TCDeals] - [TCDeals - User Defined Field Values (Seq: 1)] Credit - Qualified Basis - State Eligible Basis - Send]&gt;</t>
        </r>
      </text>
    </comment>
    <comment ref="F218" authorId="4" shapeId="0" xr:uid="{BA30C5D4-2651-4447-90D4-86BBB3C7328C}">
      <text>
        <r>
          <rPr>
            <b/>
            <sz val="9"/>
            <color indexed="81"/>
            <rFont val="Tahoma"/>
            <family val="2"/>
          </rPr>
          <t>&lt;[[TCDeals] - [TCDeals - User Defined Field Values (Seq: 1)] Credit - Credit Percentage - Federal Eligible Basis - Send]&gt;</t>
        </r>
      </text>
    </comment>
    <comment ref="F219" authorId="4" shapeId="0" xr:uid="{B6A13A77-1D7C-48CD-AF57-941AAE8581E0}">
      <text>
        <r>
          <rPr>
            <b/>
            <sz val="9"/>
            <color indexed="81"/>
            <rFont val="Tahoma"/>
            <family val="2"/>
          </rPr>
          <t>&lt;[[TCDeals] - [TCDeals - User Defined Field Values (Seq: 1)] Credit - Credit Percentage - State Eligible Basis - Send]&gt;</t>
        </r>
      </text>
    </comment>
    <comment ref="F220" authorId="4" shapeId="0" xr:uid="{3806AD51-C80D-4456-8028-CB6E1702CE39}">
      <text>
        <r>
          <rPr>
            <b/>
            <sz val="9"/>
            <color indexed="81"/>
            <rFont val="Tahoma"/>
            <family val="2"/>
          </rPr>
          <t>&lt;[[TCDeals] - [TCDeals - User Defined Field Values (Seq: 1)] Credit - Previous Year's Allocation - Federal - Send]&gt;</t>
        </r>
      </text>
    </comment>
    <comment ref="F221" authorId="4" shapeId="0" xr:uid="{A547BE6D-563F-457C-A602-76469F172BCF}">
      <text>
        <r>
          <rPr>
            <b/>
            <sz val="9"/>
            <color indexed="81"/>
            <rFont val="Tahoma"/>
            <family val="2"/>
          </rPr>
          <t>&lt;[[TCDeals] - [TCDeals - User Defined Field Values (Seq: 1)] Credit - Previous Year's Allocation - State - Send]&gt;</t>
        </r>
      </text>
    </comment>
    <comment ref="F222" authorId="4" shapeId="0" xr:uid="{537C076A-7860-46B2-8BA3-F76B5FF964C8}">
      <text>
        <r>
          <rPr>
            <b/>
            <sz val="9"/>
            <color indexed="81"/>
            <rFont val="Tahoma"/>
            <family val="2"/>
          </rPr>
          <t>&lt;[[TCDeals] - [TCDeals - User Defined Field Values (Seq: 1)] Credit - Potential Eligible Basis Credit - Federal - Send]&gt;</t>
        </r>
      </text>
    </comment>
    <comment ref="F223" authorId="4" shapeId="0" xr:uid="{F5E87283-308E-4C8F-935C-33364335398A}">
      <text>
        <r>
          <rPr>
            <b/>
            <sz val="9"/>
            <color indexed="81"/>
            <rFont val="Tahoma"/>
            <family val="2"/>
          </rPr>
          <t>&lt;[[TCDeals] - [TCDeals - User Defined Field Values (Seq: 1)] Credit - Potential Eligible Basis Credit - State - Send]&gt;</t>
        </r>
      </text>
    </comment>
    <comment ref="F225" authorId="4" shapeId="0" xr:uid="{C3D4C677-B470-40E6-A142-408C509CAC41}">
      <text>
        <r>
          <rPr>
            <b/>
            <sz val="9"/>
            <color indexed="81"/>
            <rFont val="Tahoma"/>
            <family val="2"/>
          </rPr>
          <t>&lt;[[TCDeals] - [TCDeals - User Defined Field Values (Seq: 1)] Credit - Total Residential Project Costs - Federal - Send]&gt;</t>
        </r>
      </text>
    </comment>
    <comment ref="F226" authorId="4" shapeId="0" xr:uid="{0B37D938-54FB-48EE-82C9-40631371BD81}">
      <text>
        <r>
          <rPr>
            <b/>
            <sz val="9"/>
            <color indexed="81"/>
            <rFont val="Tahoma"/>
            <family val="2"/>
          </rPr>
          <t>&lt;[[TCDeals] - [TCDeals - User Defined Field Values (Seq: 1)] Credit - Total Residential Project Costs - State - Send]&gt;</t>
        </r>
      </text>
    </comment>
    <comment ref="F227" authorId="4" shapeId="0" xr:uid="{D898AE5D-C6B7-401E-9052-570F111B639B}">
      <text>
        <r>
          <rPr>
            <b/>
            <sz val="9"/>
            <color indexed="81"/>
            <rFont val="Tahoma"/>
            <family val="2"/>
          </rPr>
          <t>&lt;[[TCDeals] - [TCDeals - User Defined Field Values (Seq: 1)] Credit - Less Loans - Federal - Send]&gt;</t>
        </r>
      </text>
    </comment>
    <comment ref="F228" authorId="4" shapeId="0" xr:uid="{BD2CF12E-0615-46FE-8BA0-26D3A40B5868}">
      <text>
        <r>
          <rPr>
            <b/>
            <sz val="9"/>
            <color indexed="81"/>
            <rFont val="Tahoma"/>
            <family val="2"/>
          </rPr>
          <t>&lt;[[TCDeals] - [TCDeals - User Defined Field Values (Seq: 1)] Credit - Less Loans - State - Send]&gt;</t>
        </r>
      </text>
    </comment>
    <comment ref="F229" authorId="4" shapeId="0" xr:uid="{03415177-8208-42CC-B133-38173301F8FA}">
      <text>
        <r>
          <rPr>
            <b/>
            <sz val="9"/>
            <color indexed="81"/>
            <rFont val="Tahoma"/>
            <family val="2"/>
          </rPr>
          <t>&lt;[[TCDeals] - [TCDeals - User Defined Field Values (Seq: 1)] Credit - Less Grants - Federal Equity Gap - Send]&gt;</t>
        </r>
      </text>
    </comment>
    <comment ref="F230" authorId="4" shapeId="0" xr:uid="{236B474F-89C3-4FB9-BA2D-05F818A580D3}">
      <text>
        <r>
          <rPr>
            <b/>
            <sz val="9"/>
            <color indexed="81"/>
            <rFont val="Tahoma"/>
            <family val="2"/>
          </rPr>
          <t>&lt;[[TCDeals] - [TCDeals - User Defined Field Values (Seq: 1)] Credit - Less Grants - State Equity Gap - Send]&gt;</t>
        </r>
      </text>
    </comment>
    <comment ref="F231" authorId="4" shapeId="0" xr:uid="{D99A3A90-BAC4-4D27-9B3D-2087EACFE402}">
      <text>
        <r>
          <rPr>
            <b/>
            <sz val="9"/>
            <color indexed="81"/>
            <rFont val="Tahoma"/>
            <family val="2"/>
          </rPr>
          <t>&lt;[[TCDeals] - [TCDeals - User Defined Field Values (Seq: 1)] Credit - Less Historic Rehab Credits Equity - Federal - Send]&gt;</t>
        </r>
      </text>
    </comment>
    <comment ref="F232" authorId="4" shapeId="0" xr:uid="{74BFA7F5-133E-4945-868E-AD95167C37A4}">
      <text>
        <r>
          <rPr>
            <b/>
            <sz val="9"/>
            <color indexed="81"/>
            <rFont val="Tahoma"/>
            <family val="2"/>
          </rPr>
          <t>&lt;[[TCDeals] - [TCDeals - User Defined Field Values (Seq: 1)] Credit - Less Historic Rehab Credits Equity - State - Send]&gt;</t>
        </r>
      </text>
    </comment>
    <comment ref="F233" authorId="4" shapeId="0" xr:uid="{CDF79657-C1F5-4E32-B1B0-47FAA4F3FA82}">
      <text>
        <r>
          <rPr>
            <b/>
            <sz val="9"/>
            <color indexed="81"/>
            <rFont val="Tahoma"/>
            <family val="2"/>
          </rPr>
          <t>&lt;[[TCDeals] - [TCDeals - User Defined Field Values (Seq: 1)] Credit - Less Other - Federal - Send]&gt;</t>
        </r>
      </text>
    </comment>
    <comment ref="F234" authorId="4" shapeId="0" xr:uid="{616B8667-A80E-4EA0-866D-4C0433BA8155}">
      <text>
        <r>
          <rPr>
            <b/>
            <sz val="9"/>
            <color indexed="81"/>
            <rFont val="Tahoma"/>
            <family val="2"/>
          </rPr>
          <t>&lt;[[TCDeals] - [TCDeals - User Defined Field Values (Seq: 1)] Credit - Less Other - State - Send]&gt;</t>
        </r>
      </text>
    </comment>
    <comment ref="F235" authorId="4" shapeId="0" xr:uid="{01007D8F-3012-4906-BE43-3D46AF0F5D35}">
      <text>
        <r>
          <rPr>
            <b/>
            <sz val="9"/>
            <color indexed="81"/>
            <rFont val="Tahoma"/>
            <family val="2"/>
          </rPr>
          <t>&lt;[[TCDeals] - [TCDeals - User Defined Field Values (Seq: 1)] Credit - Less Acq Credits Equity - Federal - Both]&gt;</t>
        </r>
      </text>
    </comment>
    <comment ref="F236" authorId="4" shapeId="0" xr:uid="{359CEE4F-60A1-4B98-987E-0800527A296E}">
      <text>
        <r>
          <rPr>
            <b/>
            <sz val="9"/>
            <color indexed="81"/>
            <rFont val="Tahoma"/>
            <family val="2"/>
          </rPr>
          <t>&lt;[[TCDeals] - [TCDeals - User Defined Field Values (Seq: 1)] Credit - Less Acq Credits Equity - State - Send]&gt;</t>
        </r>
      </text>
    </comment>
    <comment ref="F237" authorId="4" shapeId="0" xr:uid="{C5501446-5A9D-4D6F-B7A4-D04B6EFCDB73}">
      <text>
        <r>
          <rPr>
            <b/>
            <sz val="9"/>
            <color indexed="81"/>
            <rFont val="Tahoma"/>
            <family val="2"/>
          </rPr>
          <t>&lt;[[TCDeals] - [TCDeals - User Defined Field Values (Seq: 1)] Credit - Total Equity Gap - Federal - Send]&gt;</t>
        </r>
      </text>
    </comment>
    <comment ref="F238" authorId="4" shapeId="0" xr:uid="{3B5A0F72-61B2-4467-B45C-5F5BB84183B5}">
      <text>
        <r>
          <rPr>
            <b/>
            <sz val="9"/>
            <color indexed="81"/>
            <rFont val="Tahoma"/>
            <family val="2"/>
          </rPr>
          <t>&lt;[[TCDeals] - [TCDeals - User Defined Field Values (Seq: 1)] Credit - Total Equity Gap - State - Send]&gt;</t>
        </r>
      </text>
    </comment>
    <comment ref="F239" authorId="4" shapeId="0" xr:uid="{94F1BAC6-DC99-49DE-BD67-16AC4E3AEEA6}">
      <text>
        <r>
          <rPr>
            <b/>
            <sz val="9"/>
            <color indexed="81"/>
            <rFont val="Tahoma"/>
            <family val="2"/>
          </rPr>
          <t>&lt;[[TCDeals] - [TCDeals - User Defined Field Values (Seq: 1)] Credit - Years Credits are Claimed - Federal - Send]&gt;</t>
        </r>
      </text>
    </comment>
    <comment ref="F240" authorId="4" shapeId="0" xr:uid="{DFE27431-7F46-405C-B1DE-3CCC932AAC42}">
      <text>
        <r>
          <rPr>
            <b/>
            <sz val="9"/>
            <color indexed="81"/>
            <rFont val="Tahoma"/>
            <family val="2"/>
          </rPr>
          <t>&lt;[[TCDeals] - [TCDeals - User Defined Field Values (Seq: 1)] Credit - Years Credits are Claimed - State - Send]&gt;</t>
        </r>
      </text>
    </comment>
    <comment ref="F241" authorId="4" shapeId="0" xr:uid="{A57D04C2-4AE8-480C-95E2-96A19EFBFD91}">
      <text>
        <r>
          <rPr>
            <b/>
            <sz val="9"/>
            <color indexed="81"/>
            <rFont val="Tahoma"/>
            <family val="2"/>
          </rPr>
          <t>&lt;[[TCDeals] - [TCDeals - User Defined Field Values (Seq: 1)] Credit - Gap Divided by Years - Federal - Send]&gt;</t>
        </r>
      </text>
    </comment>
    <comment ref="F242" authorId="4" shapeId="0" xr:uid="{19BB6016-3ACC-475C-AFFD-C8C68C57BC18}">
      <text>
        <r>
          <rPr>
            <b/>
            <sz val="9"/>
            <color indexed="81"/>
            <rFont val="Tahoma"/>
            <family val="2"/>
          </rPr>
          <t>&lt;[[TCDeals] - [TCDeals - User Defined Field Values (Seq: 1)] Credit - Gap Divided by Years - State - Send]&gt;</t>
        </r>
      </text>
    </comment>
    <comment ref="F243" authorId="4" shapeId="0" xr:uid="{62369E28-CCFA-4F03-86CE-6C6BF6993E64}">
      <text>
        <r>
          <rPr>
            <b/>
            <sz val="9"/>
            <color indexed="81"/>
            <rFont val="Tahoma"/>
            <family val="2"/>
          </rPr>
          <t>&lt;[[TCDeals] - [TCDeals - User Defined Field Values (Seq: 1)] Credit - Pricing per Credit - Federal - Send]&gt;</t>
        </r>
      </text>
    </comment>
    <comment ref="F244" authorId="4" shapeId="0" xr:uid="{9BB0418D-6A59-4BB9-97CD-F0435E5142BF}">
      <text>
        <r>
          <rPr>
            <b/>
            <sz val="9"/>
            <color indexed="81"/>
            <rFont val="Tahoma"/>
            <family val="2"/>
          </rPr>
          <t>&lt;[[TCDeals] - [TCDeals - User Defined Field Values (Seq: 1)] Credit - Pricing per Credit - State - Send]&gt;</t>
        </r>
      </text>
    </comment>
    <comment ref="F245" authorId="4" shapeId="0" xr:uid="{30375B25-3614-4883-A813-EF4831FBB2B1}">
      <text>
        <r>
          <rPr>
            <b/>
            <sz val="9"/>
            <color indexed="81"/>
            <rFont val="Tahoma"/>
            <family val="2"/>
          </rPr>
          <t>&lt;[[TCDeals] - [TCDeals - User Defined Field Values (Seq: 1)] Credit - Gap Divided by Equity Pricing - Federal - Send]&gt;</t>
        </r>
      </text>
    </comment>
    <comment ref="F246" authorId="4" shapeId="0" xr:uid="{D0883071-3D88-4288-8DF6-75E14CC2AC95}">
      <text>
        <r>
          <rPr>
            <b/>
            <sz val="9"/>
            <color indexed="81"/>
            <rFont val="Tahoma"/>
            <family val="2"/>
          </rPr>
          <t>&lt;[[TCDeals] - [TCDeals - User Defined Field Values (Seq: 1)] Credit - Gap Divided by Equity Pricing - State - Send]&gt;</t>
        </r>
      </text>
    </comment>
    <comment ref="F247" authorId="4" shapeId="0" xr:uid="{D1621759-D816-48DE-A9E6-C74AB275CA4F}">
      <text>
        <r>
          <rPr>
            <b/>
            <sz val="9"/>
            <color indexed="81"/>
            <rFont val="Tahoma"/>
            <family val="2"/>
          </rPr>
          <t>&lt;[[TCDeals] - [TCDeals - User Defined Field Values (Seq: 1)] Credit - Investor Ownership Interest - Federal - Send]&gt;</t>
        </r>
      </text>
    </comment>
    <comment ref="F248" authorId="4" shapeId="0" xr:uid="{5F77B4C5-DB19-4321-A3E3-CB6D75D7E934}">
      <text>
        <r>
          <rPr>
            <b/>
            <sz val="9"/>
            <color indexed="81"/>
            <rFont val="Tahoma"/>
            <family val="2"/>
          </rPr>
          <t>&lt;[[TCDeals] - [TCDeals - User Defined Field Values (Seq: 1)] Credit - Investor Ownership Interest - State - Send]&gt;</t>
        </r>
      </text>
    </comment>
    <comment ref="F249" authorId="4" shapeId="0" xr:uid="{69EA9705-C605-4FA2-BC35-5AFF9A808DAF}">
      <text>
        <r>
          <rPr>
            <b/>
            <sz val="9"/>
            <color indexed="81"/>
            <rFont val="Tahoma"/>
            <family val="2"/>
          </rPr>
          <t>&lt;[[TCDeals] - [TCDeals - User Defined Field Values (Seq: 1)] Credit - Equity Gap Calculation - Federal - Send]&gt;</t>
        </r>
      </text>
    </comment>
    <comment ref="F250" authorId="4" shapeId="0" xr:uid="{313D197F-F299-41C3-89FB-E277E6575DEB}">
      <text>
        <r>
          <rPr>
            <b/>
            <sz val="9"/>
            <color indexed="81"/>
            <rFont val="Tahoma"/>
            <family val="2"/>
          </rPr>
          <t>&lt;[[TCDeals] - [TCDeals - User Defined Field Values (Seq: 1)] Credit - Equity Gap Calculation - State - Send]&gt;</t>
        </r>
      </text>
    </comment>
    <comment ref="F252" authorId="4" shapeId="0" xr:uid="{50DC9F5A-30C5-4843-9C10-85B3FEB4975D}">
      <text>
        <r>
          <rPr>
            <b/>
            <sz val="9"/>
            <color indexed="81"/>
            <rFont val="Tahoma"/>
            <family val="2"/>
          </rPr>
          <t>&lt;[[TCDeals] - [TCDeals - User Defined Field Values (Seq: 1)] Credit - Other Adjustments - Federal - Send]&gt;</t>
        </r>
      </text>
    </comment>
    <comment ref="F253" authorId="4" shapeId="0" xr:uid="{114F3014-DDBD-4E21-B130-5BBD9EA54C9E}">
      <text>
        <r>
          <rPr>
            <b/>
            <sz val="9"/>
            <color indexed="81"/>
            <rFont val="Tahoma"/>
            <family val="2"/>
          </rPr>
          <t>&lt;[[TCDeals] - [TCDeals - User Defined Field Values (Seq: 1)] Credit - Other Adjustments - State - Send]&gt;</t>
        </r>
      </text>
    </comment>
    <comment ref="F254" authorId="4" shapeId="0" xr:uid="{BDE74F61-5043-4F92-A11D-6718387039D8}">
      <text>
        <r>
          <rPr>
            <b/>
            <sz val="9"/>
            <color indexed="81"/>
            <rFont val="Tahoma"/>
            <family val="2"/>
          </rPr>
          <t>&lt;[[TCDeals] - [TCDeals - User Defined Field Values (Seq: 1)] Credit - Maximum Annual Credits (9% only) - Federal - Send]&gt;</t>
        </r>
      </text>
    </comment>
    <comment ref="F255" authorId="4" shapeId="0" xr:uid="{C40F617A-1E38-43D5-B71A-2F5165396445}">
      <text>
        <r>
          <rPr>
            <b/>
            <sz val="9"/>
            <color indexed="81"/>
            <rFont val="Tahoma"/>
            <family val="2"/>
          </rPr>
          <t>&lt;[[TCDeals] - [TCDeals - User Defined Field Values (Seq: 1)] Credit - Maximum Annual Credits (9% only) - State - Send]&gt;</t>
        </r>
      </text>
    </comment>
    <comment ref="F258" authorId="4" shapeId="0" xr:uid="{A50A23C0-3203-42F2-A573-7561BBD75FC6}">
      <text>
        <r>
          <rPr>
            <b/>
            <sz val="9"/>
            <color indexed="81"/>
            <rFont val="Tahoma"/>
            <family val="2"/>
          </rPr>
          <t>&lt;[[TCDeals] - [TCDeals - User Defined Field Values (Seq: 1)] Credit - Bonus Credits for Energy Efficiency - Federal - Send]&gt;</t>
        </r>
      </text>
    </comment>
    <comment ref="F259" authorId="4" shapeId="0" xr:uid="{B2FA27FF-BB52-4FE2-BFEC-5C18E71ECDB2}">
      <text>
        <r>
          <rPr>
            <b/>
            <sz val="9"/>
            <color indexed="81"/>
            <rFont val="Tahoma"/>
            <family val="2"/>
          </rPr>
          <t>&lt;[[TCDeals] - [TCDeals - User Defined Field Values (Seq: 1)] Credit - Bonus Credits for Energy Efficiency - State - Send]&gt;</t>
        </r>
      </text>
    </comment>
    <comment ref="F262" authorId="4" shapeId="0" xr:uid="{922487B0-7B6E-4EFE-AB75-C4001558F600}">
      <text>
        <r>
          <rPr>
            <b/>
            <sz val="9"/>
            <color indexed="81"/>
            <rFont val="Tahoma"/>
            <family val="2"/>
          </rPr>
          <t>&lt;[[TCDeals] - [TCDeals - User Defined Field Values (Seq: 1)] Credit - Annual Credit Award - Federal - Send]&gt;</t>
        </r>
      </text>
    </comment>
    <comment ref="F263" authorId="4" shapeId="0" xr:uid="{ECF17CD6-90D0-4D58-BE85-356177600E2C}">
      <text>
        <r>
          <rPr>
            <b/>
            <sz val="9"/>
            <color indexed="81"/>
            <rFont val="Tahoma"/>
            <family val="2"/>
          </rPr>
          <t>&lt;[[TCDeals] - [TCDeals - User Defined Field Values (Seq: 1)] Credit - Annual Credit Award - State - Send]&gt;</t>
        </r>
      </text>
    </comment>
    <comment ref="F265" authorId="3" shapeId="0" xr:uid="{7550EC5C-BDDC-4BC6-8612-59152153FBA9}">
      <text>
        <r>
          <rPr>
            <b/>
            <sz val="9"/>
            <color indexed="81"/>
            <rFont val="Tahoma"/>
            <family val="2"/>
          </rPr>
          <t>&lt;[[TCDeals] - [TCDeals - User Defined Field Values (Seq: 1)] Multi Family Application - Federal Acquisition Credit Qualified Basis - Send]&gt;</t>
        </r>
      </text>
    </comment>
    <comment ref="F266" authorId="3" shapeId="0" xr:uid="{F8C28E71-7969-4F8E-A17C-44B90212BA56}">
      <text>
        <r>
          <rPr>
            <b/>
            <sz val="9"/>
            <color indexed="81"/>
            <rFont val="Tahoma"/>
            <family val="2"/>
          </rPr>
          <t>&lt;[[TCDeals] - [TCDeals - User Defined Field Values (Seq: 1)] Multi Family Application - Federal Construction/Rehab Credit Qualified Basis - Send]&gt;</t>
        </r>
      </text>
    </comment>
    <comment ref="F267" authorId="3" shapeId="0" xr:uid="{DF7ECC0C-AB6A-45D8-80A8-119738E31D3C}">
      <text>
        <r>
          <rPr>
            <b/>
            <sz val="9"/>
            <color indexed="81"/>
            <rFont val="Tahoma"/>
            <family val="2"/>
          </rPr>
          <t>&lt;[[TCDeals] - [TCDeals - User Defined Field Values (Seq: 1)] Multi Family Application - State Acquisition Credit Qualified Basis - Send]&gt;</t>
        </r>
      </text>
    </comment>
    <comment ref="F268" authorId="3" shapeId="0" xr:uid="{23B0F7BC-5393-4E6E-8A48-E883154A044B}">
      <text>
        <r>
          <rPr>
            <b/>
            <sz val="9"/>
            <color indexed="81"/>
            <rFont val="Tahoma"/>
            <family val="2"/>
          </rPr>
          <t>&lt;[[TCDeals] - [TCDeals - User Defined Field Values (Seq: 1)] Multi Family Application - State Construction/Rehab Credit Qualified Basis - Send]&gt;</t>
        </r>
      </text>
    </comment>
    <comment ref="F269" authorId="3" shapeId="0" xr:uid="{47DCAF15-7878-4DB4-998A-53A9A171BBFB}">
      <text>
        <r>
          <rPr>
            <b/>
            <sz val="9"/>
            <color indexed="81"/>
            <rFont val="Tahoma"/>
            <family val="2"/>
          </rPr>
          <t>&lt;[[TCDeals] - [TCDeals - User Defined Field Values (Seq: 1)] Multi Family Application - Annual Credit Award Federal - Send]&gt;</t>
        </r>
      </text>
    </comment>
    <comment ref="F270" authorId="3" shapeId="0" xr:uid="{1028F940-1499-4EF2-8555-C129A9A233D3}">
      <text>
        <r>
          <rPr>
            <b/>
            <sz val="9"/>
            <color indexed="81"/>
            <rFont val="Tahoma"/>
            <family val="2"/>
          </rPr>
          <t>&lt;[[TCDeals] - [TCDeals - User Defined Field Values (Seq: 1)] Multi Family Application - Annual Credit Award State - Send]&gt;</t>
        </r>
      </text>
    </comment>
    <comment ref="F274" authorId="2" shapeId="0" xr:uid="{7BB8F06C-0D82-475A-BBB7-F75180DB012B}">
      <text>
        <r>
          <rPr>
            <b/>
            <sz val="9"/>
            <color indexed="81"/>
            <rFont val="Tahoma"/>
            <family val="2"/>
          </rPr>
          <t>&lt;[[TCDeals] - [TC Property Current Stage (Seq: 1)] Effective Gross Income - Get]&gt;</t>
        </r>
      </text>
    </comment>
    <comment ref="F278" authorId="2" shapeId="0" xr:uid="{460860A6-3F31-4DFE-AEB2-9CD6BC56EE26}">
      <text>
        <r>
          <rPr>
            <b/>
            <sz val="9"/>
            <color indexed="81"/>
            <rFont val="Tahoma"/>
            <family val="2"/>
          </rPr>
          <t>&lt;[[TCDeals] - [TCDeals - User Defined Field Values (Seq: 1)] Scoring - 1. Lower Income Areas - Applicant - Send]&gt;</t>
        </r>
      </text>
    </comment>
    <comment ref="F279" authorId="2" shapeId="0" xr:uid="{376E90B4-59E2-49ED-9A89-D8E616451422}">
      <text>
        <r>
          <rPr>
            <b/>
            <sz val="9"/>
            <color indexed="81"/>
            <rFont val="Tahoma"/>
            <family val="2"/>
          </rPr>
          <t>&lt;[[TCDeals] - [TCDeals - User Defined Field Values (Seq: 1)] Scoring - Lower Income Areas - WHEDA - Send]&gt;</t>
        </r>
      </text>
    </comment>
    <comment ref="F280" authorId="2" shapeId="0" xr:uid="{D9DFC86A-000A-4096-A606-1855EA9BABB0}">
      <text>
        <r>
          <rPr>
            <b/>
            <sz val="9"/>
            <color indexed="81"/>
            <rFont val="Tahoma"/>
            <family val="2"/>
          </rPr>
          <t>&lt;[[TCDeals] - [TCDeals - User Defined Field Values (Seq: 1)] Scoring - 2. Energy Efficiency and Sustainabiliity - Applicant - Send]&gt;</t>
        </r>
      </text>
    </comment>
    <comment ref="F281" authorId="2" shapeId="0" xr:uid="{4935CE49-2CB8-4DA2-ABC2-6EDF8FA9AA02}">
      <text>
        <r>
          <rPr>
            <b/>
            <sz val="9"/>
            <color indexed="81"/>
            <rFont val="Tahoma"/>
            <family val="2"/>
          </rPr>
          <t>&lt;[[TCDeals] - [TCDeals - User Defined Field Values (Seq: 1)] Scoring - Energy Efficiency and Sustainabiliity - WHEDA - Send]&gt;</t>
        </r>
      </text>
    </comment>
    <comment ref="F282" authorId="2" shapeId="0" xr:uid="{EC5248C3-450D-4E9F-AA97-B81E1590E15E}">
      <text>
        <r>
          <rPr>
            <b/>
            <sz val="9"/>
            <color indexed="81"/>
            <rFont val="Tahoma"/>
            <family val="2"/>
          </rPr>
          <t>&lt;[[TCDeals] - [TCDeals - User Defined Field Values (Seq: 1)] Scoring - 3. Mixed-Income Incentive - Applicant - Send]&gt;</t>
        </r>
      </text>
    </comment>
    <comment ref="F283" authorId="2" shapeId="0" xr:uid="{01B5FE59-9793-4873-8726-6879C46C440A}">
      <text>
        <r>
          <rPr>
            <b/>
            <sz val="9"/>
            <color indexed="81"/>
            <rFont val="Tahoma"/>
            <family val="2"/>
          </rPr>
          <t>&lt;[[TCDeals] - [TCDeals - User Defined Field Values (Seq: 1)] Scoring - Mixed-Income Incentive - WHEDA - Send]&gt;</t>
        </r>
      </text>
    </comment>
    <comment ref="F284" authorId="2" shapeId="0" xr:uid="{18C8B8D1-F9DE-444C-B39D-C73D7C68588C}">
      <text>
        <r>
          <rPr>
            <b/>
            <sz val="9"/>
            <color indexed="81"/>
            <rFont val="Tahoma"/>
            <family val="2"/>
          </rPr>
          <t>&lt;[[TCDeals] - [TCDeals - User Defined Field Values (Seq: 1)] Scoring - 4. Serves Large Families - Applicant - Send]&gt;</t>
        </r>
      </text>
    </comment>
    <comment ref="F285" authorId="2" shapeId="0" xr:uid="{0981F135-83D7-4B87-97ED-39E762E830EC}">
      <text>
        <r>
          <rPr>
            <b/>
            <sz val="9"/>
            <color indexed="81"/>
            <rFont val="Tahoma"/>
            <family val="2"/>
          </rPr>
          <t>&lt;[[TCDeals] - [TCDeals - User Defined Field Values (Seq: 1)] Scoring - Serves Large Families - WHEDA - Send]&gt;</t>
        </r>
      </text>
    </comment>
    <comment ref="F286" authorId="2" shapeId="0" xr:uid="{59479B01-D493-4A9E-BEFE-FA95BCC3CBC5}">
      <text>
        <r>
          <rPr>
            <b/>
            <sz val="9"/>
            <color indexed="81"/>
            <rFont val="Tahoma"/>
            <family val="2"/>
          </rPr>
          <t>&lt;[[TCDeals] - [TCDeals - User Defined Field Values (Seq: 1)] Scoring - 5. Serves Lowest Income Residents - Applicant - Send]&gt;</t>
        </r>
      </text>
    </comment>
    <comment ref="F287" authorId="2" shapeId="0" xr:uid="{9CDEE8F3-96F7-4B80-97A1-670768987DF4}">
      <text>
        <r>
          <rPr>
            <b/>
            <sz val="9"/>
            <color indexed="81"/>
            <rFont val="Tahoma"/>
            <family val="2"/>
          </rPr>
          <t>&lt;[[TCDeals] - [TCDeals - User Defined Field Values (Seq: 1)] Scoring - Serves Lowest Income Residents - WHEDA - Send]&gt;</t>
        </r>
      </text>
    </comment>
    <comment ref="F288" authorId="2" shapeId="0" xr:uid="{AB5F41E5-8EDE-4E5E-A1B6-FBD33D7B4C78}">
      <text>
        <r>
          <rPr>
            <b/>
            <sz val="9"/>
            <color indexed="81"/>
            <rFont val="Tahoma"/>
            <family val="2"/>
          </rPr>
          <t>&lt;[[TCDeals] - [TCDeals - User Defined Field Values (Seq: 1)] Scoring - 6. Supportive Housing - Applicant - Send]&gt;</t>
        </r>
      </text>
    </comment>
    <comment ref="F289" authorId="2" shapeId="0" xr:uid="{E7ECFDCD-CE6B-4DE2-AC78-0A0C3B8410CD}">
      <text>
        <r>
          <rPr>
            <b/>
            <sz val="9"/>
            <color indexed="81"/>
            <rFont val="Tahoma"/>
            <family val="2"/>
          </rPr>
          <t>&lt;[[TCDeals] - [TCDeals - User Defined Field Values (Seq: 1)] Scoring - Supportive Housing - WHEDA - Send]&gt;</t>
        </r>
      </text>
    </comment>
    <comment ref="F290" authorId="2" shapeId="0" xr:uid="{7AA40D1F-9A00-40D8-8BB9-6B573882E018}">
      <text>
        <r>
          <rPr>
            <b/>
            <sz val="9"/>
            <color indexed="81"/>
            <rFont val="Tahoma"/>
            <family val="2"/>
          </rPr>
          <t>&lt;[[TCDeals] - [TCDeals - User Defined Field Values (Seq: 1)] Scoring - 7. Veterans Housing - Applicant - Send]&gt;</t>
        </r>
      </text>
    </comment>
    <comment ref="F291" authorId="2" shapeId="0" xr:uid="{C02E7957-6C66-4387-8D14-A30D6FA6E69F}">
      <text>
        <r>
          <rPr>
            <b/>
            <sz val="9"/>
            <color indexed="81"/>
            <rFont val="Tahoma"/>
            <family val="2"/>
          </rPr>
          <t>&lt;[[TCDeals] - [TCDeals - User Defined Field Values (Seq: 1)] Scoring - Veterans Housing - WHEDA - Send]&gt;</t>
        </r>
      </text>
    </comment>
    <comment ref="F292" authorId="2" shapeId="0" xr:uid="{944CFF96-F93A-445A-BD8A-B8BE016E2A35}">
      <text>
        <r>
          <rPr>
            <b/>
            <sz val="9"/>
            <color indexed="81"/>
            <rFont val="Tahoma"/>
            <family val="2"/>
          </rPr>
          <t>&lt;[[TCDeals] - [TCDeals - User Defined Field Values (Seq: 1)] Scoring - 8. Rehab/Neighborhood Stabilization - Applicant - Send]&gt;</t>
        </r>
      </text>
    </comment>
    <comment ref="F293" authorId="2" shapeId="0" xr:uid="{B0A98FFD-F9CC-4ABE-A421-5CA642C76039}">
      <text>
        <r>
          <rPr>
            <b/>
            <sz val="9"/>
            <color indexed="81"/>
            <rFont val="Tahoma"/>
            <family val="2"/>
          </rPr>
          <t>&lt;[[TCDeals] - [TCDeals - User Defined Field Values (Seq: 1)] Scoring - Rehab/Neighborhood Stabilization - WHEDA - Send]&gt;</t>
        </r>
      </text>
    </comment>
    <comment ref="F294" authorId="2" shapeId="0" xr:uid="{DE390782-334C-4BF3-AB56-FF8B4317CE0C}">
      <text>
        <r>
          <rPr>
            <b/>
            <sz val="9"/>
            <color indexed="81"/>
            <rFont val="Tahoma"/>
            <family val="2"/>
          </rPr>
          <t>&lt;[[TCDeals] - [TCDeals - User Defined Field Values (Seq: 1)] Scoring - 9. Universal Design - Applicant - Send]&gt;</t>
        </r>
      </text>
    </comment>
    <comment ref="F295" authorId="2" shapeId="0" xr:uid="{4F5782CD-F829-480B-8D16-E247AFA8B50C}">
      <text>
        <r>
          <rPr>
            <b/>
            <sz val="9"/>
            <color indexed="81"/>
            <rFont val="Tahoma"/>
            <family val="2"/>
          </rPr>
          <t>&lt;[[TCDeals] - [TCDeals - User Defined Field Values (Seq: 1)] Scoring - Universal Design - WHEDA - Send]&gt;</t>
        </r>
      </text>
    </comment>
    <comment ref="F296" authorId="2" shapeId="0" xr:uid="{6622511E-3A04-4DC7-9CFF-30B7EAAA5BE1}">
      <text>
        <r>
          <rPr>
            <b/>
            <sz val="9"/>
            <color indexed="81"/>
            <rFont val="Tahoma"/>
            <family val="2"/>
          </rPr>
          <t>&lt;[[TCDeals] - [TCDeals - User Defined Field Values (Seq: 1)] Scoring - 10. Financial Leverage - Applicant - Send]&gt;</t>
        </r>
      </text>
    </comment>
    <comment ref="F297" authorId="2" shapeId="0" xr:uid="{25DBFD60-8F23-4C5F-9B52-D179D8CF1351}">
      <text>
        <r>
          <rPr>
            <b/>
            <sz val="9"/>
            <color indexed="81"/>
            <rFont val="Tahoma"/>
            <family val="2"/>
          </rPr>
          <t>&lt;[[TCDeals] - [TCDeals - User Defined Field Values (Seq: 1)] Scoring - Financial Leverage - WHEDA - Send]&gt;</t>
        </r>
      </text>
    </comment>
    <comment ref="F298" authorId="2" shapeId="0" xr:uid="{60166B31-0F87-4AF5-A61A-2A998BAADFA2}">
      <text>
        <r>
          <rPr>
            <b/>
            <sz val="9"/>
            <color indexed="81"/>
            <rFont val="Tahoma"/>
            <family val="2"/>
          </rPr>
          <t>&lt;[[TCDeals] - [TCDeals - User Defined Field Values (Seq: 1)] Scoring - 11. Eventual Tenant Ownership - Applicant - Send]&gt;</t>
        </r>
      </text>
    </comment>
    <comment ref="F299" authorId="2" shapeId="0" xr:uid="{1C518EEF-D62D-4F9C-AA8D-77BA2240E254}">
      <text>
        <r>
          <rPr>
            <b/>
            <sz val="9"/>
            <color indexed="81"/>
            <rFont val="Tahoma"/>
            <family val="2"/>
          </rPr>
          <t>&lt;[[TCDeals] - [TCDeals - User Defined Field Values (Seq: 1)] Scoring - Eventual Tenant Ownership - WHEDA - Send]&gt;</t>
        </r>
      </text>
    </comment>
    <comment ref="F300" authorId="2" shapeId="0" xr:uid="{72E5D84D-A44E-49CA-9CD9-9FC8E83A266D}">
      <text>
        <r>
          <rPr>
            <b/>
            <sz val="9"/>
            <color indexed="81"/>
            <rFont val="Tahoma"/>
            <family val="2"/>
          </rPr>
          <t>&lt;[[TCDeals] - [TCDeals - User Defined Field Values (Seq: 1)] Scoring - 12. Development Team - Applicant - Send]&gt;</t>
        </r>
      </text>
    </comment>
    <comment ref="F301" authorId="2" shapeId="0" xr:uid="{99D5E4E3-E9A5-418D-99CD-E221FFF6207D}">
      <text>
        <r>
          <rPr>
            <b/>
            <sz val="9"/>
            <color indexed="81"/>
            <rFont val="Tahoma"/>
            <family val="2"/>
          </rPr>
          <t>&lt;[[TCDeals] - [TCDeals - User Defined Field Values (Seq: 1)] Scoring - Development Team - WHEDA - Send]&gt;</t>
        </r>
      </text>
    </comment>
    <comment ref="F302" authorId="2" shapeId="0" xr:uid="{6AF5A486-BA22-4AD7-B955-E4A9E8B7634F}">
      <text>
        <r>
          <rPr>
            <b/>
            <sz val="9"/>
            <color indexed="81"/>
            <rFont val="Tahoma"/>
            <family val="2"/>
          </rPr>
          <t>&lt;[[TCDeals] - [TCDeals - User Defined Field Values (Seq: 1)] Scoring - 13. Areas of Economic Opportunity - Applicant - Send]&gt;</t>
        </r>
      </text>
    </comment>
    <comment ref="F303" authorId="2" shapeId="0" xr:uid="{F3ECA705-2049-40BA-8A36-9A288BAA5439}">
      <text>
        <r>
          <rPr>
            <b/>
            <sz val="9"/>
            <color indexed="81"/>
            <rFont val="Tahoma"/>
            <family val="2"/>
          </rPr>
          <t>&lt;[[TCDeals] - [TCDeals - User Defined Field Values (Seq: 1)] Scoring - Areas of Economic Opportunity - WHEDA - Send]&gt;</t>
        </r>
      </text>
    </comment>
    <comment ref="F304" authorId="2" shapeId="0" xr:uid="{21B857EF-BB9D-4EEB-A090-6C7D5953BB09}">
      <text>
        <r>
          <rPr>
            <b/>
            <sz val="9"/>
            <color indexed="81"/>
            <rFont val="Tahoma"/>
            <family val="2"/>
          </rPr>
          <t>&lt;[[TCDeals] - [TCDeals - User Defined Field Values (Seq: 1)] Scoring - 14. Rural Areas - Applicant - Send]&gt;</t>
        </r>
      </text>
    </comment>
    <comment ref="F305" authorId="2" shapeId="0" xr:uid="{CDDA034C-6A38-4C4F-A134-AFF0FB03D298}">
      <text>
        <r>
          <rPr>
            <b/>
            <sz val="9"/>
            <color indexed="81"/>
            <rFont val="Tahoma"/>
            <family val="2"/>
          </rPr>
          <t>&lt;[[TCDeals] - [TCDeals - User Defined Field Values (Seq: 1)] Scoring - Rural Areas - WHEDA - Send]&gt;</t>
        </r>
      </text>
    </comment>
    <comment ref="F306" authorId="2" shapeId="0" xr:uid="{B73A9DE4-3C01-4A86-97A7-77D39D0B846A}">
      <text>
        <r>
          <rPr>
            <b/>
            <sz val="9"/>
            <color indexed="81"/>
            <rFont val="Tahoma"/>
            <family val="2"/>
          </rPr>
          <t>&lt;[[TCDeals] - [TCDeals - User Defined Field Values (Seq: 1)] Scoring - 15. Workforce Housing Communities - Applicant - Send]&gt;</t>
        </r>
      </text>
    </comment>
    <comment ref="F307" authorId="2" shapeId="0" xr:uid="{C9C71C92-789F-4994-A175-B0D6FE1AD8BF}">
      <text>
        <r>
          <rPr>
            <b/>
            <sz val="9"/>
            <color indexed="81"/>
            <rFont val="Tahoma"/>
            <family val="2"/>
          </rPr>
          <t>&lt;[[TCDeals] - [TCDeals - User Defined Field Values (Seq: 1)] Scoring - Workforce Housing Communities - WHEDA - Send]&gt;</t>
        </r>
      </text>
    </comment>
    <comment ref="F308" authorId="2" shapeId="0" xr:uid="{9E0A47B2-C424-4A1E-89DF-00BA90F1D14D}">
      <text>
        <r>
          <rPr>
            <b/>
            <sz val="9"/>
            <color indexed="81"/>
            <rFont val="Tahoma"/>
            <family val="2"/>
          </rPr>
          <t>&lt;[[TCDeals] - [TCDeals - User Defined Field Values (Seq: 1)] Scoring - 16. Community Service Facilities - Applicant - Send]&gt;</t>
        </r>
      </text>
    </comment>
    <comment ref="F309" authorId="2" shapeId="0" xr:uid="{B16FB85C-4B84-489D-A01D-60EB33B0054C}">
      <text>
        <r>
          <rPr>
            <b/>
            <sz val="9"/>
            <color indexed="81"/>
            <rFont val="Tahoma"/>
            <family val="2"/>
          </rPr>
          <t>&lt;[[TCDeals] - [TCDeals - User Defined Field Values (Seq: 1)] Scoring - Community Service Facilities - WHEDA - Send]&gt;</t>
        </r>
      </text>
    </comment>
    <comment ref="F310" authorId="2" shapeId="0" xr:uid="{1C78B06A-2ED5-46FA-9A3D-D805E4F71A87}">
      <text>
        <r>
          <rPr>
            <b/>
            <sz val="9"/>
            <color indexed="81"/>
            <rFont val="Tahoma"/>
            <family val="2"/>
          </rPr>
          <t>&lt;[[TCDeals] - [TCDeals - User Defined Field Values (Seq: 1)] Scoring - Scoring Total - Applicant - Send]&gt;</t>
        </r>
      </text>
    </comment>
    <comment ref="F311" authorId="2" shapeId="0" xr:uid="{AB803915-2F3C-4685-A57D-CE542F4EC70B}">
      <text>
        <r>
          <rPr>
            <b/>
            <sz val="9"/>
            <color indexed="81"/>
            <rFont val="Tahoma"/>
            <family val="2"/>
          </rPr>
          <t>&lt;[[TCDeals] - [TCDeals - User Defined Field Values (Seq: 1)] Scoring - Scoring Total - WHEDA - Send]&gt;</t>
        </r>
      </text>
    </comment>
    <comment ref="F314" authorId="2" shapeId="0" xr:uid="{CF156DD4-4307-486E-8967-A7FE2E9E2828}">
      <text>
        <r>
          <rPr>
            <b/>
            <sz val="9"/>
            <color indexed="81"/>
            <rFont val="Tahoma"/>
            <family val="2"/>
          </rPr>
          <t>&lt;[[TCDeals] - [TCDeals - User Defined Field Values (Seq: 1)] Scoring - Is Claim Points Y/N - Lower Income Areas - Send]&gt;</t>
        </r>
      </text>
    </comment>
    <comment ref="F315" authorId="2" shapeId="0" xr:uid="{E6768E59-E63D-4673-8BD4-0E4030DAF53D}">
      <text>
        <r>
          <rPr>
            <b/>
            <sz val="9"/>
            <color indexed="81"/>
            <rFont val="Tahoma"/>
            <family val="2"/>
          </rPr>
          <t>&lt;[[TCDeals] - [TCDeals - User Defined Field Values (Seq: 1)] Scoring - Total Applicant Score - Lower Income Areas (Max 5) - Send]&gt;</t>
        </r>
      </text>
    </comment>
    <comment ref="F316" authorId="2" shapeId="0" xr:uid="{6AFF58DE-2A21-4E25-82FB-CD3DE8910DD1}">
      <text>
        <r>
          <rPr>
            <b/>
            <sz val="9"/>
            <color indexed="81"/>
            <rFont val="Tahoma"/>
            <family val="2"/>
          </rPr>
          <t>&lt;[[TCDeals] - [TCDeals - User Defined Field Values (Seq: 1)] Scoring - Is QCT with CCRP on Tribal Land - Y/N - Send]&gt;</t>
        </r>
      </text>
    </comment>
    <comment ref="F317" authorId="2" shapeId="0" xr:uid="{9DEE7E48-9B61-426A-A14B-249B403AD468}">
      <text>
        <r>
          <rPr>
            <b/>
            <sz val="9"/>
            <color indexed="81"/>
            <rFont val="Tahoma"/>
            <family val="2"/>
          </rPr>
          <t>&lt;[[TCDeals] - [TCDeals - User Defined Field Values (Seq: 1)] Scoring - QCT with CCRP on Tribal Land - Points - Send]&gt;</t>
        </r>
      </text>
    </comment>
    <comment ref="F318" authorId="2" shapeId="0" xr:uid="{61AA1598-D7FC-436F-B980-D13A0006DFEE}">
      <text>
        <r>
          <rPr>
            <b/>
            <sz val="9"/>
            <color indexed="81"/>
            <rFont val="Tahoma"/>
            <family val="2"/>
          </rPr>
          <t>&lt;[[TCDeals] - [TCDeals - User Defined Field Values (Seq: 1)] Scoring - Is QCT with CCRP - Y/N - Send]&gt;</t>
        </r>
      </text>
    </comment>
    <comment ref="F319" authorId="2" shapeId="0" xr:uid="{57577B3E-CB22-48CC-9708-2312261EF746}">
      <text>
        <r>
          <rPr>
            <b/>
            <sz val="9"/>
            <color indexed="81"/>
            <rFont val="Tahoma"/>
            <family val="2"/>
          </rPr>
          <t>&lt;[[TCDeals] - [TCDeals - User Defined Field Values (Seq: 1)] Scoring - QCT with CCRP - Points - Send]&gt;</t>
        </r>
      </text>
    </comment>
    <comment ref="F320" authorId="2" shapeId="0" xr:uid="{03FF0569-E5F0-45E7-A0DD-C62FCE08D91E}">
      <text>
        <r>
          <rPr>
            <b/>
            <sz val="9"/>
            <color indexed="81"/>
            <rFont val="Tahoma"/>
            <family val="2"/>
          </rPr>
          <t>&lt;[[TCDeals] - [TCDeals - User Defined Field Values (Seq: 1)] Scoring - WHEDA Score - Lower Income Areas - Send]&gt;</t>
        </r>
      </text>
    </comment>
    <comment ref="F321" authorId="2" shapeId="0" xr:uid="{E36DB2D9-DBD0-4A06-A361-C9CE2176587E}">
      <text>
        <r>
          <rPr>
            <b/>
            <sz val="9"/>
            <color indexed="81"/>
            <rFont val="Tahoma"/>
            <family val="2"/>
          </rPr>
          <t>&lt;[[TCDeals] - [TCDeals - User Defined Field Values (Seq: 1)] Scoring - Underwriter Notes - Lower Incomer Areas - Send]&gt;</t>
        </r>
      </text>
    </comment>
    <comment ref="F324" authorId="2" shapeId="0" xr:uid="{9767FB38-C3DC-41C4-B363-C8360A1BC5A2}">
      <text>
        <r>
          <rPr>
            <b/>
            <sz val="9"/>
            <color indexed="81"/>
            <rFont val="Tahoma"/>
            <family val="2"/>
          </rPr>
          <t>&lt;[[TCDeals] - [TCDeals - User Defined Field Values (Seq: 1)] Scoring - Is Claim Points Y/N - Energy Efficiency - Send]&gt;</t>
        </r>
      </text>
    </comment>
    <comment ref="F325" authorId="2" shapeId="0" xr:uid="{E612286D-79DC-43D7-A412-AF11A3914F45}">
      <text>
        <r>
          <rPr>
            <b/>
            <sz val="9"/>
            <color indexed="81"/>
            <rFont val="Tahoma"/>
            <family val="2"/>
          </rPr>
          <t>&lt;[[TCDeals] - [TCDeals - User Defined Field Values (Seq: 1)] Scoring - Total Applicant Score - Energy Efficiency (Max 20) - Send]&gt;</t>
        </r>
      </text>
    </comment>
    <comment ref="F327" authorId="2" shapeId="0" xr:uid="{784D05B7-6C9B-4051-A175-099BD82DD85B}">
      <text>
        <r>
          <rPr>
            <b/>
            <sz val="9"/>
            <color indexed="81"/>
            <rFont val="Tahoma"/>
            <family val="2"/>
          </rPr>
          <t>&lt;[[TCDeals] - [TCDeals - User Defined Field Values (Seq: 1)] Scoring - Sustainable Design - Points - Send]&gt;</t>
        </r>
      </text>
    </comment>
    <comment ref="F329" authorId="2" shapeId="0" xr:uid="{8BCA9749-D02A-436D-B00B-7FFA84D9121E}">
      <text>
        <r>
          <rPr>
            <b/>
            <sz val="9"/>
            <color indexed="81"/>
            <rFont val="Tahoma"/>
            <family val="2"/>
          </rPr>
          <t>&lt;[[TCDeals] - [TCDeals - User Defined Field Values (Seq: 1)] Scoring - Public Transportation - Points - Get]&gt;</t>
        </r>
      </text>
    </comment>
    <comment ref="F332" authorId="2" shapeId="0" xr:uid="{BBD0E849-C81B-46CB-8313-CBEBDEB9C3F8}">
      <text>
        <r>
          <rPr>
            <b/>
            <sz val="9"/>
            <color indexed="81"/>
            <rFont val="Tahoma"/>
            <family val="2"/>
          </rPr>
          <t>&lt;[[TCDeals] - [TCDeals - User Defined Field Values (Seq: 1)] Scoring - WHEDA Score - Energy Efficiency - Send]&gt;</t>
        </r>
      </text>
    </comment>
    <comment ref="F333" authorId="2" shapeId="0" xr:uid="{CC595BA3-1332-4971-9864-4F28DE97F6C2}">
      <text>
        <r>
          <rPr>
            <b/>
            <sz val="9"/>
            <color indexed="81"/>
            <rFont val="Tahoma"/>
            <family val="2"/>
          </rPr>
          <t>&lt;[[TCDeals] - [TCDeals - User Defined Field Values (Seq: 1)] Scoring - Underwriter Notes - Energy Efficiency - Send]&gt;</t>
        </r>
      </text>
    </comment>
    <comment ref="F336" authorId="2" shapeId="0" xr:uid="{FE64B8A9-4ED1-4E4B-80C4-B8D174A6C85F}">
      <text>
        <r>
          <rPr>
            <b/>
            <sz val="9"/>
            <color indexed="81"/>
            <rFont val="Tahoma"/>
            <family val="2"/>
          </rPr>
          <t>&lt;[[TCDeals] - [TCDeals - User Defined Field Values (Seq: 1)] Scoring - Is Claim Points Y/N - Mixed Income Incentive - Send]&gt;</t>
        </r>
      </text>
    </comment>
    <comment ref="F337" authorId="2" shapeId="0" xr:uid="{670F780D-1B24-4A30-A8D4-DC959509085E}">
      <text>
        <r>
          <rPr>
            <b/>
            <sz val="9"/>
            <color indexed="81"/>
            <rFont val="Tahoma"/>
            <family val="2"/>
          </rPr>
          <t>&lt;[[TCDeals] - [TCDeals - User Defined Field Values (Seq: 1)] Scoring - Total Applicant Score - Mixed Income Incentive (Max 12) - Send]&gt;</t>
        </r>
      </text>
    </comment>
    <comment ref="F338" authorId="2" shapeId="0" xr:uid="{F728773E-A2AA-4EDA-892F-30810EDFF654}">
      <text>
        <r>
          <rPr>
            <b/>
            <sz val="9"/>
            <color indexed="81"/>
            <rFont val="Tahoma"/>
            <family val="2"/>
          </rPr>
          <t>&lt;[[TCDeals] - [TCDeals - User Defined Field Values (Seq: 1)] Scoring - WHEDA Score - Mixed Income Incentive - Send]&gt;</t>
        </r>
      </text>
    </comment>
    <comment ref="F339" authorId="2" shapeId="0" xr:uid="{FA05F1EF-5BD6-4170-A42C-3EB16F4CEA20}">
      <text>
        <r>
          <rPr>
            <b/>
            <sz val="9"/>
            <color indexed="81"/>
            <rFont val="Tahoma"/>
            <family val="2"/>
          </rPr>
          <t>&lt;[[TCDeals] - [TCDeals - User Defined Field Values (Seq: 1)] Scoring - Underwriter Notes - Mixed Income Incentive - Send]&gt;</t>
        </r>
      </text>
    </comment>
    <comment ref="F342" authorId="2" shapeId="0" xr:uid="{54D22228-1FB4-4B89-B428-EDC30CC11C20}">
      <text>
        <r>
          <rPr>
            <b/>
            <sz val="9"/>
            <color indexed="81"/>
            <rFont val="Tahoma"/>
            <family val="2"/>
          </rPr>
          <t>&lt;[[TCDeals] - [TCDeals - User Defined Field Values (Seq: 1)] Scoring - Is Claim Points Y/N - Serves Large Families - Send]&gt;</t>
        </r>
      </text>
    </comment>
    <comment ref="F343" authorId="2" shapeId="0" xr:uid="{82743B43-C746-4F7A-AC36-6DBD886D76E2}">
      <text>
        <r>
          <rPr>
            <b/>
            <sz val="9"/>
            <color indexed="81"/>
            <rFont val="Tahoma"/>
            <family val="2"/>
          </rPr>
          <t>&lt;[[TCDeals] - [TCDeals - User Defined Field Values (Seq: 1)] Scoring - Total Applicant Score - Serves Large Families (Max 5) - Send]&gt;</t>
        </r>
      </text>
    </comment>
    <comment ref="F344" authorId="2" shapeId="0" xr:uid="{DAFDEB37-926D-4EA1-BB53-3E90C25CDF3D}">
      <text>
        <r>
          <rPr>
            <b/>
            <sz val="9"/>
            <color indexed="81"/>
            <rFont val="Tahoma"/>
            <family val="2"/>
          </rPr>
          <t>&lt;[[TCDeals] - [TCDeals - User Defined Field Values (Seq: 1)] Scoring - WHEDA Score - Serves Large Families - Send]&gt;</t>
        </r>
      </text>
    </comment>
    <comment ref="F345" authorId="2" shapeId="0" xr:uid="{F8A7257D-77D9-4A63-A800-000C101C8419}">
      <text>
        <r>
          <rPr>
            <b/>
            <sz val="9"/>
            <color indexed="81"/>
            <rFont val="Tahoma"/>
            <family val="2"/>
          </rPr>
          <t>&lt;[[TCDeals] - [TCDeals - User Defined Field Values (Seq: 1)] Scoring - Underwriter Notes - Serves Large Families - Send]&gt;</t>
        </r>
      </text>
    </comment>
    <comment ref="F348" authorId="2" shapeId="0" xr:uid="{2914A85C-933C-481A-85AD-62811945F59A}">
      <text>
        <r>
          <rPr>
            <b/>
            <sz val="9"/>
            <color indexed="81"/>
            <rFont val="Tahoma"/>
            <family val="2"/>
          </rPr>
          <t>&lt;[[TCDeals] - [TCDeals - User Defined Field Values (Seq: 1)] Scoring - Is Claim Points Y/N - Serves Lowest Income - Send]&gt;</t>
        </r>
      </text>
    </comment>
    <comment ref="F349" authorId="2" shapeId="0" xr:uid="{70269696-88C2-46BE-A2A8-0C2B69592702}">
      <text>
        <r>
          <rPr>
            <b/>
            <sz val="9"/>
            <color indexed="81"/>
            <rFont val="Tahoma"/>
            <family val="2"/>
          </rPr>
          <t>&lt;[[TCDeals] - [TCDeals - User Defined Field Values (Seq: 1)] Scoring - Total Applicant Score - Serves Lowest Income (Max 63) - Send]&gt;</t>
        </r>
      </text>
    </comment>
    <comment ref="F350" authorId="2" shapeId="0" xr:uid="{87FEC500-5C36-444C-A788-DF0805A42632}">
      <text>
        <r>
          <rPr>
            <b/>
            <sz val="9"/>
            <color indexed="81"/>
            <rFont val="Tahoma"/>
            <family val="2"/>
          </rPr>
          <t>&lt;[[TCDeals] - [TCDeals - User Defined Field Values (Seq: 1)] Scoring - WHEDA Score - Serves Lowest Income - Send]&gt;</t>
        </r>
      </text>
    </comment>
    <comment ref="F351" authorId="2" shapeId="0" xr:uid="{94846446-8B47-49B8-B8FA-4821CAA31652}">
      <text>
        <r>
          <rPr>
            <b/>
            <sz val="9"/>
            <color indexed="81"/>
            <rFont val="Tahoma"/>
            <family val="2"/>
          </rPr>
          <t>&lt;[[TCDeals] - [TCDeals - User Defined Field Values (Seq: 1)] Scoring - Underwriter Notes - Serves Lowest Income - Send]&gt;</t>
        </r>
      </text>
    </comment>
    <comment ref="F354" authorId="4" shapeId="0" xr:uid="{580B5832-2B30-4CD9-BB16-9276B1279901}">
      <text>
        <r>
          <rPr>
            <b/>
            <sz val="9"/>
            <color indexed="81"/>
            <rFont val="Tahoma"/>
            <family val="2"/>
          </rPr>
          <t>&lt;[[TCDeals] - [TCDeals - User Defined Field Values (Seq: 1)] Multi Family Application - Supportive Housing Set Aside Units - Send]&gt;</t>
        </r>
      </text>
    </comment>
    <comment ref="F355" authorId="2" shapeId="0" xr:uid="{582F8784-7F07-48AE-BF3B-1022FB2A82DA}">
      <text>
        <r>
          <rPr>
            <b/>
            <sz val="9"/>
            <color indexed="81"/>
            <rFont val="Tahoma"/>
            <family val="2"/>
          </rPr>
          <t>&lt;[[TCDeals] - [TCDeals - User Defined Field Values (Seq: 1)] Scoring - Is Claim Points Y/N - Supportive Housing - Send]&gt;</t>
        </r>
      </text>
    </comment>
    <comment ref="F356" authorId="2" shapeId="0" xr:uid="{46F7C512-DBD2-4EE3-A1B3-60F52B5E0BAF}">
      <text>
        <r>
          <rPr>
            <b/>
            <sz val="9"/>
            <color indexed="81"/>
            <rFont val="Tahoma"/>
            <family val="2"/>
          </rPr>
          <t>&lt;[[TCDeals] - [TCDeals - User Defined Field Values (Seq: 1)] Scoring - Total Applicant Score - Supportive Housing (Max 15) - Send]&gt;</t>
        </r>
      </text>
    </comment>
    <comment ref="F357" authorId="2" shapeId="0" xr:uid="{51F6C8B8-CEDB-4E34-97F7-682C2CFAB771}">
      <text>
        <r>
          <rPr>
            <b/>
            <sz val="9"/>
            <color indexed="81"/>
            <rFont val="Tahoma"/>
            <family val="2"/>
          </rPr>
          <t>&lt;[[TCDeals] - [TCDeals - User Defined Field Values (Seq: 1)] Scoring - WHEDA Score - Supportive Housing - Send]&gt;</t>
        </r>
      </text>
    </comment>
    <comment ref="F358" authorId="2" shapeId="0" xr:uid="{76DFC908-8725-4F37-8A59-AFA5DD5B31AB}">
      <text>
        <r>
          <rPr>
            <b/>
            <sz val="9"/>
            <color indexed="81"/>
            <rFont val="Tahoma"/>
            <family val="2"/>
          </rPr>
          <t>&lt;[[TCDeals] - [TCDeals - User Defined Field Values (Seq: 1)] Scoring - Underwriter Notes - Supportive Housing - Send]&gt;</t>
        </r>
      </text>
    </comment>
    <comment ref="F361" authorId="3" shapeId="0" xr:uid="{4BE1698A-30A1-4E65-92BF-CB9D51973A43}">
      <text>
        <r>
          <rPr>
            <b/>
            <sz val="9"/>
            <color indexed="81"/>
            <rFont val="Tahoma"/>
            <family val="2"/>
          </rPr>
          <t>&lt;[[TCDeals] - [TCDeals - User Defined Field Values (Seq: 1)] Multi Family Application - Veterans Set Aside Units - Send]&gt;</t>
        </r>
      </text>
    </comment>
    <comment ref="F362" authorId="2" shapeId="0" xr:uid="{029B46CB-9DAF-45B7-8328-CBCEB55EFA0C}">
      <text>
        <r>
          <rPr>
            <b/>
            <sz val="9"/>
            <color indexed="81"/>
            <rFont val="Tahoma"/>
            <family val="2"/>
          </rPr>
          <t>&lt;[[TCDeals] - [TCDeals - User Defined Field Values (Seq: 1)] Scoring - Is Claim Points Y/N - Veterans Housing - Send]&gt;</t>
        </r>
      </text>
    </comment>
    <comment ref="F363" authorId="2" shapeId="0" xr:uid="{8F034BF0-F035-44E4-B662-4E3A51B07C19}">
      <text>
        <r>
          <rPr>
            <b/>
            <sz val="9"/>
            <color indexed="81"/>
            <rFont val="Tahoma"/>
            <family val="2"/>
          </rPr>
          <t>&lt;[[TCDeals] - [TCDeals - User Defined Field Values (Seq: 1)] Scoring - Total Applicant Score - Veterans Housing (Max 5) - Send]&gt;</t>
        </r>
      </text>
    </comment>
    <comment ref="F364" authorId="2" shapeId="0" xr:uid="{7A1A1030-7E48-4695-AC2B-21E6EC191A2A}">
      <text>
        <r>
          <rPr>
            <b/>
            <sz val="9"/>
            <color indexed="81"/>
            <rFont val="Tahoma"/>
            <family val="2"/>
          </rPr>
          <t>&lt;[[TCDeals] - [TCDeals - User Defined Field Values (Seq: 1)] Scoring - WHEDA Score - Veterans Housing - Send]&gt;</t>
        </r>
      </text>
    </comment>
    <comment ref="F365" authorId="2" shapeId="0" xr:uid="{339E6EBB-7C2B-48D7-B630-543B2C21F97F}">
      <text>
        <r>
          <rPr>
            <b/>
            <sz val="9"/>
            <color indexed="81"/>
            <rFont val="Tahoma"/>
            <family val="2"/>
          </rPr>
          <t>&lt;[[TCDeals] - [TCDeals - User Defined Field Values (Seq: 1)] Scoring - Underwriter Notes - Veterans Housing - Send]&gt;</t>
        </r>
      </text>
    </comment>
    <comment ref="F368" authorId="2" shapeId="0" xr:uid="{8AC5CB1C-0D86-4B96-BDF7-73F4C862D261}">
      <text>
        <r>
          <rPr>
            <b/>
            <sz val="9"/>
            <color indexed="81"/>
            <rFont val="Tahoma"/>
            <family val="2"/>
          </rPr>
          <t>&lt;[[TCDeals] - [TCDeals - User Defined Field Values (Seq: 1)] Scoring - Is Claim Points Y/N - Rehab Neighborhood Stabilization - Send]&gt;</t>
        </r>
      </text>
    </comment>
    <comment ref="F369" authorId="2" shapeId="0" xr:uid="{F7020921-8A80-4E43-A24E-86D1EA2080FB}">
      <text>
        <r>
          <rPr>
            <b/>
            <sz val="9"/>
            <color indexed="81"/>
            <rFont val="Tahoma"/>
            <family val="2"/>
          </rPr>
          <t>&lt;[[TCDeals] - [TCDeals - User Defined Field Values (Seq: 1)] Scoring - Total Applicant Score - Rehab Neighborhood Stabilization (Max 25) - Send]&gt;</t>
        </r>
      </text>
    </comment>
    <comment ref="F370" authorId="2" shapeId="0" xr:uid="{56266E02-F725-4A1F-98FA-26E29DD7E0F9}">
      <text>
        <r>
          <rPr>
            <b/>
            <sz val="9"/>
            <color indexed="81"/>
            <rFont val="Tahoma"/>
            <family val="2"/>
          </rPr>
          <t>&lt;[[TCDeals] - [TCDeals - User Defined Field Values (Seq: 1)] Scoring - WHEDA Score - Rehab Neighborhood Stabilization - Send]&gt;</t>
        </r>
      </text>
    </comment>
    <comment ref="F371" authorId="2" shapeId="0" xr:uid="{54E20F3A-C63D-41D7-863D-FC754C2C085C}">
      <text>
        <r>
          <rPr>
            <b/>
            <sz val="9"/>
            <color indexed="81"/>
            <rFont val="Tahoma"/>
            <family val="2"/>
          </rPr>
          <t>&lt;[[TCDeals] - [TCDeals - User Defined Field Values (Seq: 1)] Scoring - Underwriter Notes - Rehab Neighborhood Stabilization - Send]&gt;</t>
        </r>
      </text>
    </comment>
    <comment ref="F374" authorId="2" shapeId="0" xr:uid="{21E180BA-B1A3-4D3A-9930-3E64982AD998}">
      <text>
        <r>
          <rPr>
            <b/>
            <sz val="9"/>
            <color indexed="81"/>
            <rFont val="Tahoma"/>
            <family val="2"/>
          </rPr>
          <t>&lt;[[TCDeals] - [TCDeals - User Defined Field Values (Seq: 1)] Scoring - Is Claim Points Y/N - Universal Design - Send]&gt;</t>
        </r>
      </text>
    </comment>
    <comment ref="F375" authorId="2" shapeId="0" xr:uid="{371BE772-917C-4A6D-8755-40243953BD54}">
      <text>
        <r>
          <rPr>
            <b/>
            <sz val="9"/>
            <color indexed="81"/>
            <rFont val="Tahoma"/>
            <family val="2"/>
          </rPr>
          <t>&lt;[[TCDeals] - [TCDeals - User Defined Field Values (Seq: 1)] Scoring - Sum of Items Checked - Universal Design - Send]&gt;</t>
        </r>
      </text>
    </comment>
    <comment ref="F376" authorId="2" shapeId="0" xr:uid="{BC0D7A34-9DF9-433C-BC79-55923937D8B4}">
      <text>
        <r>
          <rPr>
            <b/>
            <sz val="9"/>
            <color indexed="81"/>
            <rFont val="Tahoma"/>
            <family val="2"/>
          </rPr>
          <t>&lt;[[TCDeals] - [TCDeals - User Defined Field Values (Seq: 1)] Scoring - Total Applicant Score - Universal Design (Max 18) - Send]&gt;</t>
        </r>
      </text>
    </comment>
    <comment ref="F377" authorId="2" shapeId="0" xr:uid="{5BFFC654-05E9-495D-B68A-2F4FBB688356}">
      <text>
        <r>
          <rPr>
            <b/>
            <sz val="9"/>
            <color indexed="81"/>
            <rFont val="Tahoma"/>
            <family val="2"/>
          </rPr>
          <t>&lt;[[TCDeals] - [TCDeals - User Defined Field Values (Seq: 1)] Scoring - WHEDA Score - Universal Design - Send]&gt;</t>
        </r>
      </text>
    </comment>
    <comment ref="F378" authorId="2" shapeId="0" xr:uid="{BD25EA2F-4A79-4359-9DA9-4F80343F58DB}">
      <text>
        <r>
          <rPr>
            <b/>
            <sz val="9"/>
            <color indexed="81"/>
            <rFont val="Tahoma"/>
            <family val="2"/>
          </rPr>
          <t>&lt;[[TCDeals] - [TCDeals - User Defined Field Values (Seq: 1)] Scoring - Underwriter Notes - Universal Design - Send]&gt;</t>
        </r>
      </text>
    </comment>
    <comment ref="F379" authorId="2" shapeId="0" xr:uid="{1077AB41-9D41-4D0B-B262-3FFE856D9F11}">
      <text>
        <r>
          <rPr>
            <b/>
            <sz val="9"/>
            <color indexed="81"/>
            <rFont val="Tahoma"/>
            <family val="2"/>
          </rPr>
          <t>&lt;[[TCDeals] - [TCDeals - User Defined Field Values (Seq: 1)] Scoring - Is Handrails in Hallways (Sections 505.4 through 505.9) - Y/N - Send]&gt;</t>
        </r>
      </text>
    </comment>
    <comment ref="F380" authorId="2" shapeId="0" xr:uid="{25EDBE4A-7AC2-44C6-B5D8-3B2768D24A9D}">
      <text>
        <r>
          <rPr>
            <b/>
            <sz val="9"/>
            <color indexed="81"/>
            <rFont val="Tahoma"/>
            <family val="2"/>
          </rPr>
          <t>&lt;[[TCDeals] - [TCDeals - User Defined Field Values (Seq: 1)] Scoring - Handrails - Points - Send]&gt;</t>
        </r>
      </text>
    </comment>
    <comment ref="F381" authorId="2" shapeId="0" xr:uid="{FCEF4209-A2BA-4488-9804-BAF9ABFFFF07}">
      <text>
        <r>
          <rPr>
            <b/>
            <sz val="9"/>
            <color indexed="81"/>
            <rFont val="Tahoma"/>
            <family val="2"/>
          </rPr>
          <t>&lt;[[TCDeals] - [TCDeals - User Defined Field Values (Seq: 1)] Scoring - Is Automatic Door Openers at Main Entrances (Section 404.3) - Y/N - Send]&gt;</t>
        </r>
      </text>
    </comment>
    <comment ref="F382" authorId="2" shapeId="0" xr:uid="{A460777C-6747-4E70-93EB-4D371C52BD91}">
      <text>
        <r>
          <rPr>
            <b/>
            <sz val="9"/>
            <color indexed="81"/>
            <rFont val="Tahoma"/>
            <family val="2"/>
          </rPr>
          <t>&lt;[[TCDeals] - [TCDeals - User Defined Field Values (Seq: 1)] Scoring - Automatic Door Openers - Points - Send]&gt;</t>
        </r>
      </text>
    </comment>
    <comment ref="F383" authorId="2" shapeId="0" xr:uid="{AA1C7ABD-8885-4F3F-A358-9359FE7693B7}">
      <text>
        <r>
          <rPr>
            <b/>
            <sz val="9"/>
            <color indexed="81"/>
            <rFont val="Tahoma"/>
            <family val="2"/>
          </rPr>
          <t>&lt;[[TCDeals] - [TCDeals - User Defined Field Values (Seq: 1)] Scoring - Is Accessible Signage - Y/N - Send]&gt;</t>
        </r>
      </text>
    </comment>
    <comment ref="F384" authorId="2" shapeId="0" xr:uid="{A3CF7D08-1624-44E5-8256-4157D57C48C0}">
      <text>
        <r>
          <rPr>
            <b/>
            <sz val="9"/>
            <color indexed="81"/>
            <rFont val="Tahoma"/>
            <family val="2"/>
          </rPr>
          <t>&lt;[[TCDeals] - [TCDeals - User Defined Field Values (Seq: 1)] Scoring - Accessible Signage - Points - Send]&gt;</t>
        </r>
      </text>
    </comment>
    <comment ref="F385" authorId="2" shapeId="0" xr:uid="{109D57F2-0C9B-4F3E-A0C6-7FE6712F7552}">
      <text>
        <r>
          <rPr>
            <b/>
            <sz val="9"/>
            <color indexed="81"/>
            <rFont val="Tahoma"/>
            <family val="2"/>
          </rPr>
          <t>&lt;[[TCDeals] - [TCDeals - User Defined Field Values (Seq: 1)] Scoring - Is Accessible Public Bathroom Adjacent (Section 603) - Y/N - Send]&gt;</t>
        </r>
      </text>
    </comment>
    <comment ref="F386" authorId="2" shapeId="0" xr:uid="{6A2538D6-B48E-40EE-9CCA-D530E6959A11}">
      <text>
        <r>
          <rPr>
            <b/>
            <sz val="9"/>
            <color indexed="81"/>
            <rFont val="Tahoma"/>
            <family val="2"/>
          </rPr>
          <t>&lt;[[TCDeals] - [TCDeals - User Defined Field Values (Seq: 1)] Scoring - Accessible Public Bathroom - Points - Send]&gt;</t>
        </r>
      </text>
    </comment>
    <comment ref="F387" authorId="2" shapeId="0" xr:uid="{64D00332-7489-40FC-A2AD-DE2D6125DE64}">
      <text>
        <r>
          <rPr>
            <b/>
            <sz val="9"/>
            <color indexed="81"/>
            <rFont val="Tahoma"/>
            <family val="2"/>
          </rPr>
          <t>&lt;[[TCDeals] - [TCDeals - User Defined Field Values (Seq: 1)] Scoring - Is Accessible Kitchen and Bathroom (Sections 304, 603.2.3, 1103.12.4) - Y/N - Send]&gt;</t>
        </r>
      </text>
    </comment>
    <comment ref="F388" authorId="2" shapeId="0" xr:uid="{A20726DD-D3FF-4382-BA13-EB836A77B6E5}">
      <text>
        <r>
          <rPr>
            <b/>
            <sz val="9"/>
            <color indexed="81"/>
            <rFont val="Tahoma"/>
            <family val="2"/>
          </rPr>
          <t>&lt;[[TCDeals] - [TCDeals - User Defined Field Values (Seq: 1)] Scoring - Accessible Kitchen and Bathroom - Points - Send]&gt;</t>
        </r>
      </text>
    </comment>
    <comment ref="F389" authorId="2" shapeId="0" xr:uid="{2281A353-5D4D-4A74-81AE-B577BD04D9F6}">
      <text>
        <r>
          <rPr>
            <b/>
            <sz val="9"/>
            <color indexed="81"/>
            <rFont val="Tahoma"/>
            <family val="2"/>
          </rPr>
          <t>&lt;[[TCDeals] - [TCDeals - User Defined Field Values (Seq: 1)] Scoring - Is Roll-In Shower (Section 608.2.2) - Y/N - Send]&gt;</t>
        </r>
      </text>
    </comment>
    <comment ref="F390" authorId="2" shapeId="0" xr:uid="{2C5B9966-4AD0-492B-9878-F046DC4AA4D7}">
      <text>
        <r>
          <rPr>
            <b/>
            <sz val="9"/>
            <color indexed="81"/>
            <rFont val="Tahoma"/>
            <family val="2"/>
          </rPr>
          <t>&lt;[[TCDeals] - [TCDeals - User Defined Field Values (Seq: 1)] Scoring - Roll-In Shower - Points - Send]&gt;</t>
        </r>
      </text>
    </comment>
    <comment ref="F391" authorId="2" shapeId="0" xr:uid="{15949DB2-0030-494E-8D4F-33FE7688D7D8}">
      <text>
        <r>
          <rPr>
            <b/>
            <sz val="9"/>
            <color indexed="81"/>
            <rFont val="Tahoma"/>
            <family val="2"/>
          </rPr>
          <t>&lt;[[TCDeals] - [TCDeals - User Defined Field Values (Seq: 1)] Scoring - Is Closet Door Clearance - Y/N - Send]&gt;</t>
        </r>
      </text>
    </comment>
    <comment ref="F392" authorId="2" shapeId="0" xr:uid="{CF693BF6-B799-4E74-9077-D780CBDFDEC0}">
      <text>
        <r>
          <rPr>
            <b/>
            <sz val="9"/>
            <color indexed="81"/>
            <rFont val="Tahoma"/>
            <family val="2"/>
          </rPr>
          <t>&lt;[[TCDeals] - [TCDeals - User Defined Field Values (Seq: 1)] Scoring - Closet Door Clearance - Points - Send]&gt;</t>
        </r>
      </text>
    </comment>
    <comment ref="F393" authorId="2" shapeId="0" xr:uid="{5BDFB95B-75F9-45A5-9545-C03BCC7D8106}">
      <text>
        <r>
          <rPr>
            <b/>
            <sz val="9"/>
            <color indexed="81"/>
            <rFont val="Tahoma"/>
            <family val="2"/>
          </rPr>
          <t>&lt;[[TCDeals] - [TCDeals - User Defined Field Values (Seq: 1)] Scoring - Is Mirror Height - Y/N - Send]&gt;</t>
        </r>
      </text>
    </comment>
    <comment ref="F394" authorId="2" shapeId="0" xr:uid="{ACAA43EE-C49A-4B61-AA55-084DF040C939}">
      <text>
        <r>
          <rPr>
            <b/>
            <sz val="9"/>
            <color indexed="81"/>
            <rFont val="Tahoma"/>
            <family val="2"/>
          </rPr>
          <t>&lt;[[TCDeals] - [TCDeals - User Defined Field Values (Seq: 1)] Scoring - Mirror Height - Points - Send]&gt;</t>
        </r>
      </text>
    </comment>
    <comment ref="F395" authorId="2" shapeId="0" xr:uid="{6FD93454-07DD-4DB8-86D4-0902BFDA81C8}">
      <text>
        <r>
          <rPr>
            <b/>
            <sz val="9"/>
            <color indexed="81"/>
            <rFont val="Tahoma"/>
            <family val="2"/>
          </rPr>
          <t>&lt;[[TCDeals] - [TCDeals - User Defined Field Values (Seq: 1)] Scoring - Is Interior Door Passage (Section 1103.5 and 404) - Y/N - Send]&gt;</t>
        </r>
      </text>
    </comment>
    <comment ref="F396" authorId="2" shapeId="0" xr:uid="{8D85F3CE-6ADC-4C9B-915C-503F90C4E148}">
      <text>
        <r>
          <rPr>
            <b/>
            <sz val="9"/>
            <color indexed="81"/>
            <rFont val="Tahoma"/>
            <family val="2"/>
          </rPr>
          <t>&lt;[[TCDeals] - [TCDeals - User Defined Field Values (Seq: 1)] Scoring - Interior Door Passage - Points - Send]&gt;</t>
        </r>
      </text>
    </comment>
    <comment ref="F397" authorId="2" shapeId="0" xr:uid="{5DA370C7-0E13-427F-92FB-74127DAA1B53}">
      <text>
        <r>
          <rPr>
            <b/>
            <sz val="9"/>
            <color indexed="81"/>
            <rFont val="Tahoma"/>
            <family val="2"/>
          </rPr>
          <t>&lt;[[TCDeals] - [TCDeals - User Defined Field Values (Seq: 1)] Scoring - Is Kitchen Counter Electrical Appliances (Sections 308 and 309) - Y/N - Send]&gt;</t>
        </r>
      </text>
    </comment>
    <comment ref="F398" authorId="2" shapeId="0" xr:uid="{AEAD2142-D1C1-4C69-B29B-2DD04B791B0B}">
      <text>
        <r>
          <rPr>
            <b/>
            <sz val="9"/>
            <color indexed="81"/>
            <rFont val="Tahoma"/>
            <family val="2"/>
          </rPr>
          <t>&lt;[[TCDeals] - [TCDeals - User Defined Field Values (Seq: 1)] Scoring - Kitchen Counter Electrical Appliances - Points - Send]&gt;</t>
        </r>
      </text>
    </comment>
    <comment ref="F399" authorId="2" shapeId="0" xr:uid="{EFEA79AF-5EEF-4D8E-A09C-69ECE6971965}">
      <text>
        <r>
          <rPr>
            <b/>
            <sz val="9"/>
            <color indexed="81"/>
            <rFont val="Tahoma"/>
            <family val="2"/>
          </rPr>
          <t>&lt;[[TCDeals] - [TCDeals - User Defined Field Values (Seq: 1)] Scoring - Is Accessible Kitchen Work Surface (Sections 308 and 309) - Y/N - Send]&gt;</t>
        </r>
      </text>
    </comment>
    <comment ref="F400" authorId="2" shapeId="0" xr:uid="{7F34CA77-9342-443B-9482-02DEA99DB432}">
      <text>
        <r>
          <rPr>
            <b/>
            <sz val="9"/>
            <color indexed="81"/>
            <rFont val="Tahoma"/>
            <family val="2"/>
          </rPr>
          <t>&lt;[[TCDeals] - [TCDeals - User Defined Field Values (Seq: 1)] Scoring - Accessible Kitchen Work Surface - Points - Send]&gt;</t>
        </r>
      </text>
    </comment>
    <comment ref="F401" authorId="2" shapeId="0" xr:uid="{C2B95133-C695-4B5D-B1B7-1B5A014609E8}">
      <text>
        <r>
          <rPr>
            <b/>
            <sz val="9"/>
            <color indexed="81"/>
            <rFont val="Tahoma"/>
            <family val="2"/>
          </rPr>
          <t>&lt;[[TCDeals] - [TCDeals - User Defined Field Values (Seq: 1)] Scoring - Is Entrance doors (Section 404) - Y/N - Send]&gt;</t>
        </r>
      </text>
    </comment>
    <comment ref="F402" authorId="2" shapeId="0" xr:uid="{6515CE5E-3CED-4ADE-81F5-71F13193A995}">
      <text>
        <r>
          <rPr>
            <b/>
            <sz val="9"/>
            <color indexed="81"/>
            <rFont val="Tahoma"/>
            <family val="2"/>
          </rPr>
          <t>&lt;[[TCDeals] - [TCDeals - User Defined Field Values (Seq: 1)] Scoring - Entrance doors - Points - Send]&gt;</t>
        </r>
      </text>
    </comment>
    <comment ref="F403" authorId="2" shapeId="0" xr:uid="{3949C687-0677-42DE-B459-C4938E5439A0}">
      <text>
        <r>
          <rPr>
            <b/>
            <sz val="9"/>
            <color indexed="81"/>
            <rFont val="Tahoma"/>
            <family val="2"/>
          </rPr>
          <t>&lt;[[TCDeals] - [TCDeals - User Defined Field Values (Seq: 1)] Scoring - Is Windows (Section 309) - Y/N - Send]&gt;</t>
        </r>
      </text>
    </comment>
    <comment ref="F404" authorId="2" shapeId="0" xr:uid="{6F163494-5E3C-4D16-BA7B-55BD29AE2A8D}">
      <text>
        <r>
          <rPr>
            <b/>
            <sz val="9"/>
            <color indexed="81"/>
            <rFont val="Tahoma"/>
            <family val="2"/>
          </rPr>
          <t>&lt;[[TCDeals] - [TCDeals - User Defined Field Values (Seq: 1)] Scoring - Windows - Points - Send]&gt;</t>
        </r>
      </text>
    </comment>
    <comment ref="F405" authorId="2" shapeId="0" xr:uid="{CEFD9CEB-46CF-42AF-BA2E-547E64EF7206}">
      <text>
        <r>
          <rPr>
            <b/>
            <sz val="9"/>
            <color indexed="81"/>
            <rFont val="Tahoma"/>
            <family val="2"/>
          </rPr>
          <t>&lt;[[TCDeals] - [TCDeals - User Defined Field Values (Seq: 1)] Scoring - Is Carpeting (Section 302.2) - Y/N - Send]&gt;</t>
        </r>
      </text>
    </comment>
    <comment ref="F406" authorId="2" shapeId="0" xr:uid="{DC5A24F8-9A16-4192-9D9C-6A7C52E07DB0}">
      <text>
        <r>
          <rPr>
            <b/>
            <sz val="9"/>
            <color indexed="81"/>
            <rFont val="Tahoma"/>
            <family val="2"/>
          </rPr>
          <t>&lt;[[TCDeals] - [TCDeals - User Defined Field Values (Seq: 1)] Scoring - Carpet - Points - Send]&gt;</t>
        </r>
      </text>
    </comment>
    <comment ref="F407" authorId="2" shapeId="0" xr:uid="{24E24349-A1A9-40B6-82E0-57F040069094}">
      <text>
        <r>
          <rPr>
            <b/>
            <sz val="9"/>
            <color indexed="81"/>
            <rFont val="Tahoma"/>
            <family val="2"/>
          </rPr>
          <t>&lt;[[TCDeals] - [TCDeals - User Defined Field Values (Seq: 1)] Scoring - Is Rocker Light Switches - Y/N - Send]&gt;</t>
        </r>
      </text>
    </comment>
    <comment ref="F408" authorId="2" shapeId="0" xr:uid="{0863A108-B894-4EC3-A106-6C38B552F0A0}">
      <text>
        <r>
          <rPr>
            <b/>
            <sz val="9"/>
            <color indexed="81"/>
            <rFont val="Tahoma"/>
            <family val="2"/>
          </rPr>
          <t>&lt;[[TCDeals] - [TCDeals - User Defined Field Values (Seq: 1)] Scoring - Rocker Light Switches - Points - Send]&gt;</t>
        </r>
      </text>
    </comment>
    <comment ref="F409" authorId="2" shapeId="0" xr:uid="{D1DC4CC2-5754-4DF6-9FC2-3875B30C75B8}">
      <text>
        <r>
          <rPr>
            <b/>
            <sz val="9"/>
            <color indexed="81"/>
            <rFont val="Tahoma"/>
            <family val="2"/>
          </rPr>
          <t>&lt;[[TCDeals] - [TCDeals - User Defined Field Values (Seq: 1)] Scoring - Is Bath and Shower Controls - Y/N - Send]&gt;</t>
        </r>
      </text>
    </comment>
    <comment ref="F410" authorId="2" shapeId="0" xr:uid="{1357CB7C-9EFF-47F1-9CB6-2F7A7B2C3278}">
      <text>
        <r>
          <rPr>
            <b/>
            <sz val="9"/>
            <color indexed="81"/>
            <rFont val="Tahoma"/>
            <family val="2"/>
          </rPr>
          <t>&lt;[[TCDeals] - [TCDeals - User Defined Field Values (Seq: 1)] Scoring - Bath and Shower Controls - Points - Send]&gt;</t>
        </r>
      </text>
    </comment>
    <comment ref="F411" authorId="2" shapeId="0" xr:uid="{3B3174C9-5028-411F-8380-7AA9A47F4FDB}">
      <text>
        <r>
          <rPr>
            <b/>
            <sz val="9"/>
            <color indexed="81"/>
            <rFont val="Tahoma"/>
            <family val="2"/>
          </rPr>
          <t>&lt;[[TCDeals] - [TCDeals - User Defined Field Values (Seq: 1)] Scoring - Is Electrical Outlets - Y/N - Send]&gt;</t>
        </r>
      </text>
    </comment>
    <comment ref="F412" authorId="2" shapeId="0" xr:uid="{730C0348-8B28-4779-AF76-A6140D544AF7}">
      <text>
        <r>
          <rPr>
            <b/>
            <sz val="9"/>
            <color indexed="81"/>
            <rFont val="Tahoma"/>
            <family val="2"/>
          </rPr>
          <t>&lt;[[TCDeals] - [TCDeals - User Defined Field Values (Seq: 1)] Scoring - Electrical Outlets - Points - Send]&gt;</t>
        </r>
      </text>
    </comment>
    <comment ref="F413" authorId="2" shapeId="0" xr:uid="{6DAACA12-996E-4B16-8D35-FD5DC3201C4C}">
      <text>
        <r>
          <rPr>
            <b/>
            <sz val="9"/>
            <color indexed="81"/>
            <rFont val="Tahoma"/>
            <family val="2"/>
          </rPr>
          <t>&lt;[[TCDeals] - [TCDeals - User Defined Field Values (Seq: 1)] Scoring - Is Thermostats - Y/N - Send]&gt;</t>
        </r>
      </text>
    </comment>
    <comment ref="F414" authorId="2" shapeId="0" xr:uid="{D02DCD71-72D9-4223-A3D9-CEB596F4EE44}">
      <text>
        <r>
          <rPr>
            <b/>
            <sz val="9"/>
            <color indexed="81"/>
            <rFont val="Tahoma"/>
            <family val="2"/>
          </rPr>
          <t>&lt;[[TCDeals] - [TCDeals - User Defined Field Values (Seq: 1)] Scoring - Thermostats - Points - Send]&gt;</t>
        </r>
      </text>
    </comment>
    <comment ref="F415" authorId="2" shapeId="0" xr:uid="{0540B14C-62D8-4462-B3E0-F29F6ECB5801}">
      <text>
        <r>
          <rPr>
            <b/>
            <sz val="9"/>
            <color indexed="81"/>
            <rFont val="Tahoma"/>
            <family val="2"/>
          </rPr>
          <t>&lt;[[TCDeals] - [TCDeals - User Defined Field Values (Seq: 1)] Scoring - Is Parking Accessibility (Sections 402, 404, and 1104.11) - Y/N - Send]&gt;</t>
        </r>
      </text>
    </comment>
    <comment ref="F416" authorId="2" shapeId="0" xr:uid="{1B93CFF6-0C3C-415F-A723-E7C761E0DD50}">
      <text>
        <r>
          <rPr>
            <b/>
            <sz val="9"/>
            <color indexed="81"/>
            <rFont val="Tahoma"/>
            <family val="2"/>
          </rPr>
          <t>&lt;[[TCDeals] - [TCDeals - User Defined Field Values (Seq: 1)] Scoring - Parking Accessibility - Points - Send]&gt;</t>
        </r>
      </text>
    </comment>
    <comment ref="F417" authorId="2" shapeId="0" xr:uid="{A0749034-748C-437A-8272-3279AEC130BD}">
      <text>
        <r>
          <rPr>
            <b/>
            <sz val="9"/>
            <color indexed="81"/>
            <rFont val="Tahoma"/>
            <family val="2"/>
          </rPr>
          <t>&lt;[[TCDeals] - [TCDeals - User Defined Field Values (Seq: 1)] Scoring - Is Toilet Clearance (Section 1104.11.3.1.2) - Y/N - Send]&gt;</t>
        </r>
      </text>
    </comment>
    <comment ref="F418" authorId="2" shapeId="0" xr:uid="{22207CBD-1211-44F3-A5A9-2D7E4EDD0BF4}">
      <text>
        <r>
          <rPr>
            <b/>
            <sz val="9"/>
            <color indexed="81"/>
            <rFont val="Tahoma"/>
            <family val="2"/>
          </rPr>
          <t>&lt;[[TCDeals] - [TCDeals - User Defined Field Values (Seq: 1)] Scoring - Toilet Clearance - Points - Send]&gt;</t>
        </r>
      </text>
    </comment>
    <comment ref="F419" authorId="2" shapeId="0" xr:uid="{A07E6712-00FC-4493-A05B-C600A50A5BE0}">
      <text>
        <r>
          <rPr>
            <b/>
            <sz val="9"/>
            <color indexed="81"/>
            <rFont val="Tahoma"/>
            <family val="2"/>
          </rPr>
          <t>&lt;[[TCDeals] - [TCDeals - User Defined Field Values (Seq: 1)] Scoring - Is Low-Profile Thresholds (Sections 303.2 and 303.3) - Y/N - Send]&gt;</t>
        </r>
      </text>
    </comment>
    <comment ref="F420" authorId="2" shapeId="0" xr:uid="{DBF80F9D-B377-4A2C-BFA6-FC48D20696D0}">
      <text>
        <r>
          <rPr>
            <b/>
            <sz val="9"/>
            <color indexed="81"/>
            <rFont val="Tahoma"/>
            <family val="2"/>
          </rPr>
          <t>&lt;[[TCDeals] - [TCDeals - User Defined Field Values (Seq: 1)] Scoring - Low-Profile Thresholds - Points - Send]&gt;</t>
        </r>
      </text>
    </comment>
    <comment ref="F421" authorId="2" shapeId="0" xr:uid="{ACA4ED89-12CA-486B-BE3C-D7A8BBBCFA51}">
      <text>
        <r>
          <rPr>
            <b/>
            <sz val="9"/>
            <color indexed="81"/>
            <rFont val="Tahoma"/>
            <family val="2"/>
          </rPr>
          <t>&lt;[[TCDeals] - [TCDeals - User Defined Field Values (Seq: 1)] Scoring - Is Reinforcement for Grab Bars (Section 103.11.1) - Y/N - Send]&gt;</t>
        </r>
      </text>
    </comment>
    <comment ref="F422" authorId="2" shapeId="0" xr:uid="{4DD1243F-7685-4096-91B0-44C03B9749AF}">
      <text>
        <r>
          <rPr>
            <b/>
            <sz val="9"/>
            <color indexed="81"/>
            <rFont val="Tahoma"/>
            <family val="2"/>
          </rPr>
          <t>&lt;[[TCDeals] - [TCDeals - User Defined Field Values (Seq: 1)] Scoring - Reinforcement for Grab Bars - Points - Send]&gt;</t>
        </r>
      </text>
    </comment>
    <comment ref="F423" authorId="2" shapeId="0" xr:uid="{918B9AF5-906D-41EF-9292-D074D8A93E3D}">
      <text>
        <r>
          <rPr>
            <b/>
            <sz val="9"/>
            <color indexed="81"/>
            <rFont val="Tahoma"/>
            <family val="2"/>
          </rPr>
          <t>&lt;[[TCDeals] - [TCDeals - User Defined Field Values (Seq: 1)] Scoring - Is Permanently Non-Skid Bathroom Shower - Y/N - Send]&gt;</t>
        </r>
      </text>
    </comment>
    <comment ref="F424" authorId="2" shapeId="0" xr:uid="{1DEAF169-126E-4522-ADAF-26F24E7B3676}">
      <text>
        <r>
          <rPr>
            <b/>
            <sz val="9"/>
            <color indexed="81"/>
            <rFont val="Tahoma"/>
            <family val="2"/>
          </rPr>
          <t>&lt;[[TCDeals] - [TCDeals - User Defined Field Values (Seq: 1)] Scoring - Permanently Non-Skid Bathroom Shower - Points - Send]&gt;</t>
        </r>
      </text>
    </comment>
    <comment ref="F427" authorId="2" shapeId="0" xr:uid="{7B6403E7-148A-4ABD-9684-60DE018DDDA1}">
      <text>
        <r>
          <rPr>
            <b/>
            <sz val="9"/>
            <color indexed="81"/>
            <rFont val="Tahoma"/>
            <family val="2"/>
          </rPr>
          <t>&lt;[[TCDeals] - [TCDeals - User Defined Field Values (Seq: 1)] Scoring - Is Claim Points Y/N - Financial Leverage - Send]&gt;</t>
        </r>
      </text>
    </comment>
    <comment ref="F428" authorId="2" shapeId="0" xr:uid="{CF94748C-C6C9-4AA8-AA67-1EA8879CFA10}">
      <text>
        <r>
          <rPr>
            <b/>
            <sz val="9"/>
            <color indexed="81"/>
            <rFont val="Tahoma"/>
            <family val="2"/>
          </rPr>
          <t>&lt;[[TCDeals] - [TCDeals - User Defined Field Values (Seq: 1)] Scoring - Total Applicant Score - Financial Leverage (Max 36) - Send]&gt;</t>
        </r>
      </text>
    </comment>
    <comment ref="F429" authorId="2" shapeId="0" xr:uid="{2C9D6094-0336-4B8C-955A-9EE2DC7C2D15}">
      <text>
        <r>
          <rPr>
            <b/>
            <sz val="9"/>
            <color indexed="81"/>
            <rFont val="Tahoma"/>
            <family val="2"/>
          </rPr>
          <t>&lt;[[TCDeals] - [TCDeals - User Defined Field Values (Seq: 1)] Scoring - WHEDA Score - Financial Leverage - Send]&gt;</t>
        </r>
      </text>
    </comment>
    <comment ref="F430" authorId="2" shapeId="0" xr:uid="{51250986-F334-42F7-ACBF-6689B9617390}">
      <text>
        <r>
          <rPr>
            <b/>
            <sz val="9"/>
            <color indexed="81"/>
            <rFont val="Tahoma"/>
            <family val="2"/>
          </rPr>
          <t>&lt;[[TCDeals] - [TCDeals - User Defined Field Values (Seq: 1)] Scoring - Underwriter Notes - Financial Leverage - Send]&gt;</t>
        </r>
      </text>
    </comment>
    <comment ref="F433" authorId="2" shapeId="0" xr:uid="{0380A16A-A56B-40FE-B262-31A5C80A4158}">
      <text>
        <r>
          <rPr>
            <b/>
            <sz val="9"/>
            <color indexed="81"/>
            <rFont val="Tahoma"/>
            <family val="2"/>
          </rPr>
          <t>&lt;[[TCDeals] - [TCDeals - User Defined Field Values (Seq: 1)] Scoring - Is Claim Points Y/N - Eventual Tenant Ownership - Send]&gt;</t>
        </r>
      </text>
    </comment>
    <comment ref="F434" authorId="2" shapeId="0" xr:uid="{DD39EFC1-6D86-4DB3-9FAE-494D870F5227}">
      <text>
        <r>
          <rPr>
            <b/>
            <sz val="9"/>
            <color indexed="81"/>
            <rFont val="Tahoma"/>
            <family val="2"/>
          </rPr>
          <t>&lt;[[TCDeals] - [TCDeals - User Defined Field Values (Seq: 1)] Scoring - Total Applicant Score - Eventual Tenant Ownership (Max 3) - Send]&gt;</t>
        </r>
      </text>
    </comment>
    <comment ref="F435" authorId="2" shapeId="0" xr:uid="{4AEA50BE-71F1-4B33-B79B-50F01451DE8E}">
      <text>
        <r>
          <rPr>
            <b/>
            <sz val="9"/>
            <color indexed="81"/>
            <rFont val="Tahoma"/>
            <family val="2"/>
          </rPr>
          <t>&lt;[[TCDeals] - [TCDeals - User Defined Field Values (Seq: 1)] Scoring - WHEDA Score - Eventual Tenant Ownership - Send]&gt;</t>
        </r>
      </text>
    </comment>
    <comment ref="F436" authorId="2" shapeId="0" xr:uid="{E1F96396-FC47-4E64-8518-27C4C2B100A4}">
      <text>
        <r>
          <rPr>
            <b/>
            <sz val="9"/>
            <color indexed="81"/>
            <rFont val="Tahoma"/>
            <family val="2"/>
          </rPr>
          <t>&lt;[[TCDeals] - [TCDeals - User Defined Field Values (Seq: 1)] Scoring - Underwriter Notes - Eventual Tenant Ownership - Send]&gt;</t>
        </r>
      </text>
    </comment>
    <comment ref="F439" authorId="2" shapeId="0" xr:uid="{47406D07-4BAA-470C-8008-640BC1DCE41E}">
      <text>
        <r>
          <rPr>
            <b/>
            <sz val="9"/>
            <color indexed="81"/>
            <rFont val="Tahoma"/>
            <family val="2"/>
          </rPr>
          <t>&lt;[[TCDeals] - [TCDeals - User Defined Field Values (Seq: 1)] Scoring - Is Claim Points Y/N - Development Team - Send]&gt;</t>
        </r>
      </text>
    </comment>
    <comment ref="F440" authorId="2" shapeId="0" xr:uid="{FA900901-A90D-4062-A134-44657CC187FC}">
      <text>
        <r>
          <rPr>
            <b/>
            <sz val="9"/>
            <color indexed="81"/>
            <rFont val="Tahoma"/>
            <family val="2"/>
          </rPr>
          <t>&lt;[[TCDeals] - [TCDeals - User Defined Field Values (Seq: 1)] Scoring - Total Applicant Score - Development Team (Max 12) - Send]&gt;</t>
        </r>
      </text>
    </comment>
    <comment ref="F441" authorId="4" shapeId="0" xr:uid="{D5ECE603-1ED3-44FB-A2CE-B029F2D9F3AD}">
      <text>
        <r>
          <rPr>
            <b/>
            <sz val="9"/>
            <color indexed="81"/>
            <rFont val="Tahoma"/>
            <family val="2"/>
          </rPr>
          <t>&lt;[[TCDeals] - [TCDeals - User Defined Field Values (Seq: 1)] Scoring - Primary - Emerging Developers Points - Send]&gt;</t>
        </r>
      </text>
    </comment>
    <comment ref="F442" authorId="4" shapeId="0" xr:uid="{F4F47CF9-FCE7-4B7C-857E-F0DE683CBB84}">
      <text>
        <r>
          <rPr>
            <b/>
            <sz val="9"/>
            <color indexed="81"/>
            <rFont val="Tahoma"/>
            <family val="2"/>
          </rPr>
          <t>&lt;[[TCDeals] - [TCDeals - User Defined Field Values (Seq: 1)] Scoring - Primary - WHEDA Capacity Points - Send]&gt;</t>
        </r>
      </text>
    </comment>
    <comment ref="F443" authorId="4" shapeId="0" xr:uid="{7C0DC824-E62F-4312-93CC-3C1669E485FE}">
      <text>
        <r>
          <rPr>
            <b/>
            <sz val="9"/>
            <color indexed="81"/>
            <rFont val="Tahoma"/>
            <family val="2"/>
          </rPr>
          <t>&lt;[[TCDeals] - [TCDeals - User Defined Field Values (Seq: 1)] Scoring - Primary - Nonprofit Developers Points - Send]&gt;</t>
        </r>
      </text>
    </comment>
    <comment ref="F444" authorId="4" shapeId="0" xr:uid="{3D4D2F8B-AC9D-488B-954B-A09C08BCD46E}">
      <text>
        <r>
          <rPr>
            <b/>
            <sz val="9"/>
            <color indexed="81"/>
            <rFont val="Tahoma"/>
            <family val="2"/>
          </rPr>
          <t>&lt;[[TCDeals] - [TCDeals - User Defined Field Values (Seq: 1)] Scoring - Primary - Subtotal Points - Send]&gt;</t>
        </r>
      </text>
    </comment>
    <comment ref="F445" authorId="4" shapeId="0" xr:uid="{1CC9A182-E51C-4EAA-84A3-DF7827FFDBBA}">
      <text>
        <r>
          <rPr>
            <b/>
            <sz val="9"/>
            <color indexed="81"/>
            <rFont val="Tahoma"/>
            <family val="2"/>
          </rPr>
          <t>&lt;[[TCDeals] - [TCDeals - User Defined Field Values (Seq: 1)] Scoring - Co-Developer - Emerging Developers Points - Send]&gt;</t>
        </r>
      </text>
    </comment>
    <comment ref="F446" authorId="4" shapeId="0" xr:uid="{BAF2CE22-67BB-4D61-96EE-0E0B6D631C20}">
      <text>
        <r>
          <rPr>
            <b/>
            <sz val="9"/>
            <color indexed="81"/>
            <rFont val="Tahoma"/>
            <family val="2"/>
          </rPr>
          <t>&lt;[[TCDeals] - [TCDeals - User Defined Field Values (Seq: 1)] Scoring - Co-Developer - WHEDA Capacity Points - Send]&gt;</t>
        </r>
      </text>
    </comment>
    <comment ref="F447" authorId="4" shapeId="0" xr:uid="{17C0973E-AE97-48F2-ABFC-DECEBA74D247}">
      <text>
        <r>
          <rPr>
            <b/>
            <sz val="9"/>
            <color indexed="81"/>
            <rFont val="Tahoma"/>
            <family val="2"/>
          </rPr>
          <t>&lt;[[TCDeals] - [TCDeals - User Defined Field Values (Seq: 1)] Scoring - Co-Developer - Nonprofit Developers Points - Send]&gt;</t>
        </r>
      </text>
    </comment>
    <comment ref="F448" authorId="4" shapeId="0" xr:uid="{747054BE-6654-484C-B802-D44B7A600E30}">
      <text>
        <r>
          <rPr>
            <b/>
            <sz val="9"/>
            <color indexed="81"/>
            <rFont val="Tahoma"/>
            <family val="2"/>
          </rPr>
          <t>&lt;[[TCDeals] - [TCDeals - User Defined Field Values (Seq: 1)] Scoring - Co-Developer - Subtotal Points - Send]&gt;</t>
        </r>
      </text>
    </comment>
    <comment ref="F449" authorId="4" shapeId="0" xr:uid="{A246B07B-1F3F-4765-8356-07A5A0EBB8EC}">
      <text>
        <r>
          <rPr>
            <b/>
            <sz val="9"/>
            <color indexed="81"/>
            <rFont val="Tahoma"/>
            <family val="2"/>
          </rPr>
          <t>&lt;[[TCDeals] - [TCDeals - User Defined Field Values (Seq: 1)] Scoring - 2nd Co-Developer - Emerging Developers Points - Send]&gt;</t>
        </r>
      </text>
    </comment>
    <comment ref="F450" authorId="4" shapeId="0" xr:uid="{76BFEC6B-406F-4307-9327-0E5D043A44FD}">
      <text>
        <r>
          <rPr>
            <b/>
            <sz val="9"/>
            <color indexed="81"/>
            <rFont val="Tahoma"/>
            <family val="2"/>
          </rPr>
          <t>&lt;[[TCDeals] - [TCDeals - User Defined Field Values (Seq: 1)] Scoring - 2nd Co-Developer - WHEDA Capacity Points - Send]&gt;</t>
        </r>
      </text>
    </comment>
    <comment ref="F451" authorId="4" shapeId="0" xr:uid="{125C7B39-E243-49C5-AA3E-5012B0ECA301}">
      <text>
        <r>
          <rPr>
            <b/>
            <sz val="9"/>
            <color indexed="81"/>
            <rFont val="Tahoma"/>
            <family val="2"/>
          </rPr>
          <t>&lt;[[TCDeals] - [TCDeals - User Defined Field Values (Seq: 1)] Scoring - 2nd Co-Developer - Nonprofit Developers Points - Send]&gt;</t>
        </r>
      </text>
    </comment>
    <comment ref="F452" authorId="4" shapeId="0" xr:uid="{0DE2069A-C150-48BD-9F87-433B799C7474}">
      <text>
        <r>
          <rPr>
            <b/>
            <sz val="9"/>
            <color indexed="81"/>
            <rFont val="Tahoma"/>
            <family val="2"/>
          </rPr>
          <t>&lt;[[TCDeals] - [TCDeals - User Defined Field Values (Seq: 1)] Scoring - 2nd Co-Developer - Subtotal Points - Send]&gt;</t>
        </r>
      </text>
    </comment>
    <comment ref="F453" authorId="2" shapeId="0" xr:uid="{60D58963-33FE-423E-9BE4-ED909F283C35}">
      <text>
        <r>
          <rPr>
            <b/>
            <sz val="9"/>
            <color indexed="81"/>
            <rFont val="Tahoma"/>
            <family val="2"/>
          </rPr>
          <t>&lt;[[TCDeals] - [TCDeals - User Defined Field Values (Seq: 1)] Scoring - WHEDA Score - Development Team - Send]&gt;</t>
        </r>
      </text>
    </comment>
    <comment ref="F454" authorId="2" shapeId="0" xr:uid="{22880F48-312E-42F7-9767-738F76EBA6CE}">
      <text>
        <r>
          <rPr>
            <b/>
            <sz val="9"/>
            <color indexed="81"/>
            <rFont val="Tahoma"/>
            <family val="2"/>
          </rPr>
          <t>&lt;[[TCDeals] - [TCDeals - User Defined Field Values (Seq: 1)] Scoring - Underwriter Notes - Development Team - Send]&gt;</t>
        </r>
      </text>
    </comment>
    <comment ref="F457" authorId="2" shapeId="0" xr:uid="{5388E022-E8C3-4519-AA4F-233A451C9B7D}">
      <text>
        <r>
          <rPr>
            <b/>
            <sz val="9"/>
            <color indexed="81"/>
            <rFont val="Tahoma"/>
            <family val="2"/>
          </rPr>
          <t>&lt;[[TCDeals] - [TCDeals - User Defined Field Values (Seq: 1)] Scoring - Is Claim Points Y/N - Areas of Economic Opportunity - Send]&gt;</t>
        </r>
      </text>
    </comment>
    <comment ref="F458" authorId="2" shapeId="0" xr:uid="{41FD12BB-38D2-4A19-A5AD-A0526FD7941C}">
      <text>
        <r>
          <rPr>
            <b/>
            <sz val="9"/>
            <color indexed="81"/>
            <rFont val="Tahoma"/>
            <family val="2"/>
          </rPr>
          <t>&lt;[[TCDeals] - [TCDeals - User Defined Field Values (Seq: 1)] Scoring - Total Applicant Score - Areas of Economic Opportunity (Max 28) - Send]&gt;</t>
        </r>
      </text>
    </comment>
    <comment ref="F459" authorId="4" shapeId="0" xr:uid="{B1D3A5CD-4402-4609-BB0D-59B66CE5151D}">
      <text>
        <r>
          <rPr>
            <b/>
            <sz val="9"/>
            <color indexed="81"/>
            <rFont val="Tahoma"/>
            <family val="2"/>
          </rPr>
          <t>&lt;[[TCDeals] - [TCDeals - User Defined Field Values (Seq: 1)] Scoring - Median Income Points - Send]&gt;</t>
        </r>
      </text>
    </comment>
    <comment ref="F460" authorId="4" shapeId="0" xr:uid="{79D6306E-CFED-411B-B23C-384459077B3A}">
      <text>
        <r>
          <rPr>
            <b/>
            <sz val="9"/>
            <color indexed="81"/>
            <rFont val="Tahoma"/>
            <family val="2"/>
          </rPr>
          <t>&lt;[[TCDeals] - [TCDeals - User Defined Field Values (Seq: 1)] Scoring - School District Points - Send]&gt;</t>
        </r>
      </text>
    </comment>
    <comment ref="F461" authorId="4" shapeId="0" xr:uid="{01FA123A-D805-42FA-AB25-2CD11DADA62B}">
      <text>
        <r>
          <rPr>
            <b/>
            <sz val="9"/>
            <color indexed="81"/>
            <rFont val="Tahoma"/>
            <family val="2"/>
          </rPr>
          <t>&lt;[[TCDeals] - [TCDeals - User Defined Field Values (Seq: 1)] Scoring - Rent Burden Points - Send]&gt;</t>
        </r>
      </text>
    </comment>
    <comment ref="F462" authorId="4" shapeId="0" xr:uid="{3DB1B583-B465-48A2-8335-A6D82A4E6C8A}">
      <text>
        <r>
          <rPr>
            <b/>
            <sz val="9"/>
            <color indexed="81"/>
            <rFont val="Tahoma"/>
            <family val="2"/>
          </rPr>
          <t>&lt;[[TCDeals] - [TCDeals - User Defined Field Values (Seq: 1)] Scoring - Federally Designated Tribal Lands Points - Send]&gt;</t>
        </r>
      </text>
    </comment>
    <comment ref="F463" authorId="4" shapeId="0" xr:uid="{6A31ED57-2D49-4965-8CA4-5A66D8E61BB2}">
      <text>
        <r>
          <rPr>
            <b/>
            <sz val="9"/>
            <color indexed="81"/>
            <rFont val="Tahoma"/>
            <family val="2"/>
          </rPr>
          <t>&lt;[[TCDeals] - [TCDeals - User Defined Field Values (Seq: 1)] Scoring - Full Service Grocery Points - Send]&gt;</t>
        </r>
      </text>
    </comment>
    <comment ref="F464" authorId="4" shapeId="0" xr:uid="{B290C81C-B7E2-4B53-9706-77E8631B957B}">
      <text>
        <r>
          <rPr>
            <b/>
            <sz val="9"/>
            <color indexed="81"/>
            <rFont val="Tahoma"/>
            <family val="2"/>
          </rPr>
          <t>&lt;[[TCDeals] - [TCDeals - User Defined Field Values (Seq: 1)] Scoring - Public School Points - Send]&gt;</t>
        </r>
      </text>
    </comment>
    <comment ref="F465" authorId="4" shapeId="0" xr:uid="{7AAE9841-BE52-41AE-BFCF-A7E7493DC2B3}">
      <text>
        <r>
          <rPr>
            <b/>
            <sz val="9"/>
            <color indexed="81"/>
            <rFont val="Tahoma"/>
            <family val="2"/>
          </rPr>
          <t>&lt;[[TCDeals] - [TCDeals - User Defined Field Values (Seq: 1)] Scoring - Senior Center Points - Send]&gt;</t>
        </r>
      </text>
    </comment>
    <comment ref="F466" authorId="4" shapeId="0" xr:uid="{A37810BA-885B-433C-9DC9-555237B28135}">
      <text>
        <r>
          <rPr>
            <b/>
            <sz val="9"/>
            <color indexed="81"/>
            <rFont val="Tahoma"/>
            <family val="2"/>
          </rPr>
          <t>&lt;[[TCDeals] - [TCDeals - User Defined Field Values (Seq: 1)] Scoring - Full Service Medical Clinic or Hospital Points - Send]&gt;</t>
        </r>
      </text>
    </comment>
    <comment ref="F467" authorId="4" shapeId="0" xr:uid="{D521F726-F21A-4772-8FAE-85B0919187EF}">
      <text>
        <r>
          <rPr>
            <b/>
            <sz val="9"/>
            <color indexed="81"/>
            <rFont val="Tahoma"/>
            <family val="2"/>
          </rPr>
          <t>&lt;[[TCDeals] - [TCDeals - User Defined Field Values (Seq: 1)] Scoring - Library Points - Send]&gt;</t>
        </r>
      </text>
    </comment>
    <comment ref="F468" authorId="4" shapeId="0" xr:uid="{CE1BBFF4-DEE5-44EA-B14B-4ABAB2C1D3EB}">
      <text>
        <r>
          <rPr>
            <b/>
            <sz val="9"/>
            <color indexed="81"/>
            <rFont val="Tahoma"/>
            <family val="2"/>
          </rPr>
          <t>&lt;[[TCDeals] - [TCDeals - User Defined Field Values (Seq: 1)] Scoring - Public Park Points - Send]&gt;</t>
        </r>
      </text>
    </comment>
    <comment ref="F469" authorId="4" shapeId="0" xr:uid="{87E8359D-0114-43E4-A3B7-C45B66E61C8F}">
      <text>
        <r>
          <rPr>
            <b/>
            <sz val="9"/>
            <color indexed="81"/>
            <rFont val="Tahoma"/>
            <family val="2"/>
          </rPr>
          <t>&lt;[[TCDeals] - [TCDeals - User Defined Field Values (Seq: 1)] Scoring - Job Training or Education Points - Send]&gt;</t>
        </r>
      </text>
    </comment>
    <comment ref="F470" authorId="4" shapeId="0" xr:uid="{E4633242-D6A7-4913-944A-2DF4097B23C7}">
      <text>
        <r>
          <rPr>
            <b/>
            <sz val="9"/>
            <color indexed="81"/>
            <rFont val="Tahoma"/>
            <family val="2"/>
          </rPr>
          <t>&lt;[[TCDeals] - [TCDeals - User Defined Field Values (Seq: 1)] Scoring - In Unit Internet No Cost Points - Send]&gt;</t>
        </r>
      </text>
    </comment>
    <comment ref="F471" authorId="4" shapeId="0" xr:uid="{15D14B8A-E598-4713-A846-05976447F796}">
      <text>
        <r>
          <rPr>
            <b/>
            <sz val="9"/>
            <color indexed="81"/>
            <rFont val="Tahoma"/>
            <family val="2"/>
          </rPr>
          <t>&lt;[[TCDeals] - [TCDeals - User Defined Field Values (Seq: 1)] Scoring - On Site Community Room Points - Send]&gt;</t>
        </r>
      </text>
    </comment>
    <comment ref="F472" authorId="2" shapeId="0" xr:uid="{07CEFA6E-7214-44EE-8E3F-4D5F873A5098}">
      <text>
        <r>
          <rPr>
            <b/>
            <sz val="9"/>
            <color indexed="81"/>
            <rFont val="Tahoma"/>
            <family val="2"/>
          </rPr>
          <t>&lt;[[TCDeals] - [TCDeals - User Defined Field Values (Seq: 1)] Scoring - WHEDA Score - Areas of Economic Opportunity - Send]&gt;</t>
        </r>
      </text>
    </comment>
    <comment ref="F473" authorId="2" shapeId="0" xr:uid="{C5A12850-CFBA-465C-AA8A-E69179EFCB25}">
      <text>
        <r>
          <rPr>
            <b/>
            <sz val="9"/>
            <color indexed="81"/>
            <rFont val="Tahoma"/>
            <family val="2"/>
          </rPr>
          <t>&lt;[[TCDeals] - [TCDeals - User Defined Field Values (Seq: 1)] Scoring - Underwriter Notes - Areas of Economic Opportunity - Send]&gt;</t>
        </r>
      </text>
    </comment>
    <comment ref="F476" authorId="2" shapeId="0" xr:uid="{77E55107-4007-4DF7-8F06-E6411D5FB7D2}">
      <text>
        <r>
          <rPr>
            <b/>
            <sz val="9"/>
            <color indexed="81"/>
            <rFont val="Tahoma"/>
            <family val="2"/>
          </rPr>
          <t>&lt;[[TCDeals] - [TCDeals - User Defined Field Values (Seq: 1)] Scoring - Is Claim Points Y/N - Rural Areas without Recent Tax Credit Awards - Send]&gt;</t>
        </r>
      </text>
    </comment>
    <comment ref="F477" authorId="2" shapeId="0" xr:uid="{CA8EAF51-F0E7-4A43-999B-7F315E67DA37}">
      <text>
        <r>
          <rPr>
            <b/>
            <sz val="9"/>
            <color indexed="81"/>
            <rFont val="Tahoma"/>
            <family val="2"/>
          </rPr>
          <t>&lt;[[TCDeals] - [TCDeals - User Defined Field Values (Seq: 1)] Scoring - Total Applicant Score - Rural Areas without Recent Tax Credit Awards (Max 8) - Send]&gt;</t>
        </r>
      </text>
    </comment>
    <comment ref="F478" authorId="2" shapeId="0" xr:uid="{ADE85B83-3A87-4C6A-8C51-9A38B48A7E60}">
      <text>
        <r>
          <rPr>
            <b/>
            <sz val="9"/>
            <color indexed="81"/>
            <rFont val="Tahoma"/>
            <family val="2"/>
          </rPr>
          <t>&lt;[[TCDeals] - [TCDeals - User Defined Field Values (Seq: 1)] Scoring - WHEDA Score - Rural Areas without Recent Tax Credit Awards - Send]&gt;</t>
        </r>
      </text>
    </comment>
    <comment ref="F479" authorId="2" shapeId="0" xr:uid="{86E4F405-288D-4D69-926C-9E38B8B62445}">
      <text>
        <r>
          <rPr>
            <b/>
            <sz val="9"/>
            <color indexed="81"/>
            <rFont val="Tahoma"/>
            <family val="2"/>
          </rPr>
          <t>&lt;[[TCDeals] - [TCDeals - User Defined Field Values (Seq: 1)] Scoring - Underwriter Notes - Rural Areas without Recent Tax Credit Awards - Send]&gt;</t>
        </r>
      </text>
    </comment>
    <comment ref="F482" authorId="2" shapeId="0" xr:uid="{57A5133E-7DE5-4240-9869-01ACDD887B0D}">
      <text>
        <r>
          <rPr>
            <b/>
            <sz val="9"/>
            <color indexed="81"/>
            <rFont val="Tahoma"/>
            <family val="2"/>
          </rPr>
          <t>&lt;[[TCDeals] - [TCDeals - User Defined Field Values (Seq: 1)] Scoring - Is Claim Points Y/N - Workforce Housing - Send]&gt;</t>
        </r>
      </text>
    </comment>
    <comment ref="F483" authorId="2" shapeId="0" xr:uid="{8BCEF4A5-B142-42A1-AA30-C3A90F9CDA92}">
      <text>
        <r>
          <rPr>
            <b/>
            <sz val="9"/>
            <color indexed="81"/>
            <rFont val="Tahoma"/>
            <family val="2"/>
          </rPr>
          <t>&lt;[[TCDeals] - [TCDeals - User Defined Field Values (Seq: 1)] Scoring - Total Applicant Score - Workforce Housing (Max 12) - Send]&gt;</t>
        </r>
      </text>
    </comment>
    <comment ref="F484" authorId="4" shapeId="0" xr:uid="{83ACBD54-CA94-4B64-98AA-4E9B47A15266}">
      <text>
        <r>
          <rPr>
            <b/>
            <sz val="9"/>
            <color indexed="81"/>
            <rFont val="Tahoma"/>
            <family val="2"/>
          </rPr>
          <t>&lt;[[TCDeals] - [TCDeals - User Defined Field Values (Seq: 1)] Scoring - Job Center Points - Send]&gt;</t>
        </r>
      </text>
    </comment>
    <comment ref="F485" authorId="4" shapeId="0" xr:uid="{8DB756C5-5A1F-40C2-A258-EE7050F1CFC4}">
      <text>
        <r>
          <rPr>
            <b/>
            <sz val="9"/>
            <color indexed="81"/>
            <rFont val="Tahoma"/>
            <family val="2"/>
          </rPr>
          <t>&lt;[[TCDeals] - [TCDeals - User Defined Field Values (Seq: 1)] Scoring - Net Job Growth Points - Send]&gt;</t>
        </r>
      </text>
    </comment>
    <comment ref="F486" authorId="4" shapeId="0" xr:uid="{862D6B6B-9630-4488-AC32-583CCECFD05B}">
      <text>
        <r>
          <rPr>
            <b/>
            <sz val="9"/>
            <color indexed="81"/>
            <rFont val="Tahoma"/>
            <family val="2"/>
          </rPr>
          <t>&lt;[[TCDeals] - [TCDeals - User Defined Field Values (Seq: 1)] Scoring - Individual Employer Growth Points - Send]&gt;</t>
        </r>
      </text>
    </comment>
    <comment ref="F487" authorId="2" shapeId="0" xr:uid="{A431442B-EB9F-4DC7-8F1A-3946A829CA8F}">
      <text>
        <r>
          <rPr>
            <b/>
            <sz val="9"/>
            <color indexed="81"/>
            <rFont val="Tahoma"/>
            <family val="2"/>
          </rPr>
          <t>&lt;[[TCDeals] - [TCDeals - User Defined Field Values (Seq: 1)] Scoring - WHEDA Score - Workforce Housing - Send]&gt;</t>
        </r>
      </text>
    </comment>
    <comment ref="F488" authorId="2" shapeId="0" xr:uid="{6C744EFE-31CB-41C2-A2C2-DE5673BAAA7A}">
      <text>
        <r>
          <rPr>
            <b/>
            <sz val="9"/>
            <color indexed="81"/>
            <rFont val="Tahoma"/>
            <family val="2"/>
          </rPr>
          <t>&lt;[[TCDeals] - [TCDeals - User Defined Field Values (Seq: 1)] Scoring - Underwriter Notes - Workforce Housing - Send]&gt;</t>
        </r>
      </text>
    </comment>
    <comment ref="F491" authorId="2" shapeId="0" xr:uid="{C9BC179F-EC8F-4BAA-9794-EF38CACED791}">
      <text>
        <r>
          <rPr>
            <b/>
            <sz val="9"/>
            <color indexed="81"/>
            <rFont val="Tahoma"/>
            <family val="2"/>
          </rPr>
          <t>&lt;[[TCDeals] - [TCDeals - User Defined Field Values (Seq: 1)] Scoring - Is Claim Points Y/N - Community Service Facilities - Send]&gt;</t>
        </r>
      </text>
    </comment>
    <comment ref="F492" authorId="2" shapeId="0" xr:uid="{94A55980-52D2-4CA5-B3B5-41F077C28173}">
      <text>
        <r>
          <rPr>
            <b/>
            <sz val="9"/>
            <color indexed="81"/>
            <rFont val="Tahoma"/>
            <family val="2"/>
          </rPr>
          <t>&lt;[[TCDeals] - [TCDeals - User Defined Field Values (Seq: 1)] Scoring - Total Applicant Score - Community Service Facilities (Max 5) - Send]&gt;</t>
        </r>
      </text>
    </comment>
    <comment ref="F493" authorId="2" shapeId="0" xr:uid="{B7F1BE44-024A-469B-AC61-39650F451D20}">
      <text>
        <r>
          <rPr>
            <b/>
            <sz val="9"/>
            <color indexed="81"/>
            <rFont val="Tahoma"/>
            <family val="2"/>
          </rPr>
          <t>&lt;[[TCDeals] - [TCDeals - User Defined Field Values (Seq: 1)] Scoring - WHEDA Score - Community Service Facilities - Send]&gt;</t>
        </r>
      </text>
    </comment>
    <comment ref="F494" authorId="2" shapeId="0" xr:uid="{743B2ACB-8585-40F5-BCFB-0B0A61295719}">
      <text>
        <r>
          <rPr>
            <b/>
            <sz val="9"/>
            <color indexed="81"/>
            <rFont val="Tahoma"/>
            <family val="2"/>
          </rPr>
          <t>&lt;[[TCDeals] - [TCDeals - User Defined Field Values (Seq: 1)] Scoring - Underwriter Notes - Community Service Facilities - Send]&gt;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Leslie DiMichele</author>
    <author>Michael H. Sawyer</author>
    <author>Matt Case</author>
    <author>Mat D. Murn</author>
  </authors>
  <commentList>
    <comment ref="Z2" authorId="0" shapeId="0" xr:uid="{4448415B-394F-4413-BCC6-38B9D9EA7B62}">
      <text>
        <r>
          <rPr>
            <b/>
            <sz val="9"/>
            <color indexed="81"/>
            <rFont val="Tahoma"/>
            <family val="2"/>
          </rPr>
          <t>&lt;[[TCDeals] - [Associated DEV Deal (Seq: 1)] Deal Name - Get]&gt;</t>
        </r>
      </text>
    </comment>
    <comment ref="AB2" authorId="0" shapeId="0" xr:uid="{2ED32994-D255-43B0-BBDB-1CB676250170}">
      <text>
        <r>
          <rPr>
            <b/>
            <sz val="9"/>
            <color indexed="81"/>
            <rFont val="Tahoma"/>
            <family val="2"/>
          </rPr>
          <t>&lt;[[TCDeals] - [Associated DEV Deal (Seq: 1)] Deal Name - Send]&gt;</t>
        </r>
      </text>
    </comment>
    <comment ref="Z3" authorId="0" shapeId="0" xr:uid="{0A8DFE0E-6FF7-46F3-94EF-0C3B0DAAD6A0}">
      <text>
        <r>
          <rPr>
            <b/>
            <sz val="9"/>
            <color indexed="81"/>
            <rFont val="Tahoma"/>
            <family val="2"/>
          </rPr>
          <t>&lt;[[TCDeals] - [Associated DEV Deal (Seq: 1)] - [Property (Seq: 1)] Address1 - Send]&gt;</t>
        </r>
      </text>
    </comment>
    <comment ref="Z4" authorId="0" shapeId="0" xr:uid="{06EA3297-9B7A-49D4-9482-47B27CC56430}">
      <text>
        <r>
          <rPr>
            <b/>
            <sz val="9"/>
            <color indexed="81"/>
            <rFont val="Tahoma"/>
            <family val="2"/>
          </rPr>
          <t>&lt;[[TCDeals] - [Associated DEV Deal (Seq: 1)] - [Property (Seq: 1)] City - Send]&gt;</t>
        </r>
      </text>
    </comment>
    <comment ref="Z5" authorId="0" shapeId="0" xr:uid="{558F4E96-2F60-42F5-AC71-1EA23922ECA2}">
      <text>
        <r>
          <rPr>
            <b/>
            <sz val="9"/>
            <color indexed="81"/>
            <rFont val="Tahoma"/>
            <family val="2"/>
          </rPr>
          <t>&lt;[[TCDeals] - [Associated DEV Deal (Seq: 1)] - [Property (Seq: 1)] Jurisdiction - Send]&gt;</t>
        </r>
      </text>
    </comment>
    <comment ref="Z6" authorId="0" shapeId="0" xr:uid="{9B6963E8-ADC8-4EF9-8DD4-1D0CBE371A4F}">
      <text>
        <r>
          <rPr>
            <b/>
            <sz val="9"/>
            <color indexed="81"/>
            <rFont val="Tahoma"/>
            <family val="2"/>
          </rPr>
          <t>&lt;[[TCDeals] - [Associated DEV Deal (Seq: 1)] - [Property (Seq: 1)] State - Send]&gt;</t>
        </r>
      </text>
    </comment>
    <comment ref="Z11" authorId="0" shapeId="0" xr:uid="{B8B93987-9366-4DAC-B339-1D54574F5589}">
      <text>
        <r>
          <rPr>
            <b/>
            <sz val="9"/>
            <color indexed="81"/>
            <rFont val="Tahoma"/>
            <family val="2"/>
          </rPr>
          <t>&lt;[[TCDeals] - [Associated DEV Deal (Seq: 1)] - [Property (Seq: 1)] Zip Code - Send]&gt;</t>
        </r>
      </text>
    </comment>
    <comment ref="Z20" authorId="0" shapeId="0" xr:uid="{513496FD-1120-4392-B352-C459B6C0DF8D}">
      <text>
        <r>
          <rPr>
            <b/>
            <sz val="9"/>
            <color indexed="81"/>
            <rFont val="Tahoma"/>
            <family val="2"/>
          </rPr>
          <t>&lt;[[TCDeals] - [Associated DEV Deal (Seq: 1)] - [Property (Seq: 1)] Is Adaptive Reuse - Send]&gt;</t>
        </r>
      </text>
    </comment>
    <comment ref="Z39" authorId="0" shapeId="0" xr:uid="{EA21AE73-0F7E-43F1-B325-0543DD5D7233}">
      <text>
        <r>
          <rPr>
            <b/>
            <sz val="9"/>
            <color indexed="81"/>
            <rFont val="Tahoma"/>
            <family val="2"/>
          </rPr>
          <t>&lt;[[TCDeals] - [Associated DEV Deal (Seq: 1)] Developer Name - Send]&gt;</t>
        </r>
      </text>
    </comment>
    <comment ref="C51" authorId="0" shapeId="0" xr:uid="{5794F4BD-DF45-4537-BAD3-7FF05FB65DC8}">
      <text>
        <r>
          <rPr>
            <b/>
            <sz val="9"/>
            <color indexed="81"/>
            <rFont val="Tahoma"/>
            <family val="2"/>
          </rPr>
          <t>&lt;[[TCDeals] - [TC Property Current Stage (Seq: 1)] Site Acreage - Send]&gt;</t>
        </r>
      </text>
    </comment>
    <comment ref="Z52" authorId="0" shapeId="0" xr:uid="{29D53B0D-777F-4C0C-9DC3-3850B9D1602C}">
      <text>
        <r>
          <rPr>
            <b/>
            <sz val="9"/>
            <color indexed="81"/>
            <rFont val="Tahoma"/>
            <family val="2"/>
          </rPr>
          <t>&lt;[[TCDeals] - [Associated DEV Deal (Seq: 1)] - [Property (Seq: 1)] Year Built - Send]&gt;</t>
        </r>
      </text>
    </comment>
    <comment ref="C53" authorId="0" shapeId="0" xr:uid="{A3478FEC-48C1-46EE-98FB-6EBA3ED36FD3}">
      <text>
        <r>
          <rPr>
            <b/>
            <sz val="9"/>
            <color indexed="81"/>
            <rFont val="Tahoma"/>
            <family val="2"/>
          </rPr>
          <t>&lt;[[TCDeals] - [TC Property Current Stage (Seq: 1)] Description - Send]&gt;</t>
        </r>
      </text>
    </comment>
    <comment ref="Z53" authorId="0" shapeId="0" xr:uid="{4BFBE33F-2C9F-4071-8A7E-7CC87D4FA6ED}">
      <text>
        <r>
          <rPr>
            <b/>
            <sz val="9"/>
            <color indexed="81"/>
            <rFont val="Tahoma"/>
            <family val="2"/>
          </rPr>
          <t>&lt;[[TCDeals] - [Associated DEV Deal (Seq: 1)] - [Property (Seq: 1)] Overall Site Description - Send]&gt;</t>
        </r>
      </text>
    </comment>
    <comment ref="C54" authorId="0" shapeId="0" xr:uid="{96F4592F-DC0D-4CEF-9A9F-2823D6AB81A7}">
      <text>
        <r>
          <rPr>
            <b/>
            <sz val="9"/>
            <color indexed="81"/>
            <rFont val="Tahoma"/>
            <family val="2"/>
          </rPr>
          <t>&lt;[[TCDeals] - [TC Property Current Stage (Seq: 1)] - [Property Points (Seq: 1)] Multi Family Application - Total Buildable Acreage - Send]&gt;</t>
        </r>
      </text>
    </comment>
    <comment ref="C55" authorId="0" shapeId="0" xr:uid="{49DD646E-0CF0-4958-80AC-A012D9645F77}">
      <text>
        <r>
          <rPr>
            <b/>
            <sz val="9"/>
            <color indexed="81"/>
            <rFont val="Tahoma"/>
            <family val="2"/>
          </rPr>
          <t>&lt;[[TCDeals] - [TC Property Current Stage (Seq: 1)] - [Property Points (Seq: 1)] Multi Family Application - Demolition Required? - Send]&gt;</t>
        </r>
      </text>
    </comment>
    <comment ref="C56" authorId="0" shapeId="0" xr:uid="{98F5B703-1597-4708-9730-B1EE57A73019}">
      <text>
        <r>
          <rPr>
            <b/>
            <sz val="9"/>
            <color indexed="81"/>
            <rFont val="Tahoma"/>
            <family val="2"/>
          </rPr>
          <t>&lt;[[TCDeals] - [TC Property Current Stage (Seq: 1)] - [Property Points (Seq: 1)] Multi Family Application - Existing buildings currently occupied? - Send]&gt;</t>
        </r>
      </text>
    </comment>
    <comment ref="C57" authorId="0" shapeId="0" xr:uid="{172C841E-EE18-43C2-96AD-67F48F618C60}">
      <text>
        <r>
          <rPr>
            <b/>
            <sz val="9"/>
            <color indexed="81"/>
            <rFont val="Tahoma"/>
            <family val="2"/>
          </rPr>
          <t>&lt;[[TCDeals] - [TC Property Current Stage (Seq: 1)] - [Property Points (Seq: 1)] Multi Family Application - Will tenant be temporarily displaced? - Send]&gt;</t>
        </r>
      </text>
    </comment>
    <comment ref="C58" authorId="0" shapeId="0" xr:uid="{5D7810B5-9405-442B-BD59-88F9402B8E95}">
      <text>
        <r>
          <rPr>
            <b/>
            <sz val="9"/>
            <color indexed="81"/>
            <rFont val="Tahoma"/>
            <family val="2"/>
          </rPr>
          <t>&lt;[[TCDeals] - [TC Property Current Stage (Seq: 1)] - [Property Points (Seq: 1)] Multi Family Application - Will tenant be permanently displaced? - Send]&gt;</t>
        </r>
      </text>
    </comment>
    <comment ref="C59" authorId="0" shapeId="0" xr:uid="{5DEE4C55-181B-4595-A89C-6DD097C832EB}">
      <text>
        <r>
          <rPr>
            <b/>
            <sz val="9"/>
            <color indexed="81"/>
            <rFont val="Tahoma"/>
            <family val="2"/>
          </rPr>
          <t>&lt;[[TCDeals] - [TC Property Current Stage (Seq: 1)] - [Property Points (Seq: 1)] Multi Family Application - Any part of site located in flood zone? - Send]&gt;</t>
        </r>
      </text>
    </comment>
    <comment ref="C64" authorId="0" shapeId="0" xr:uid="{41050759-5AB9-4669-9D19-7AD12F2999A7}">
      <text>
        <r>
          <rPr>
            <b/>
            <sz val="9"/>
            <color indexed="81"/>
            <rFont val="Tahoma"/>
            <family val="2"/>
          </rPr>
          <t>&lt;[[TCDeals] - [TC Property Current Stage (Seq: 1)] - [Buildings (Seq: 1)] Address 1 - Send]&gt;</t>
        </r>
      </text>
    </comment>
    <comment ref="E64" authorId="0" shapeId="0" xr:uid="{BCA21FEF-5932-41DB-B611-2E40BF295C4D}">
      <text>
        <r>
          <rPr>
            <b/>
            <sz val="9"/>
            <color indexed="81"/>
            <rFont val="Tahoma"/>
            <family val="2"/>
          </rPr>
          <t>&lt;[[TCDeals] - [TC Property Current Stage (Seq: 1)] - [Buildings (Seq: 1)] City - Send]&gt;</t>
        </r>
      </text>
    </comment>
    <comment ref="H64" authorId="0" shapeId="0" xr:uid="{1A16B92E-DC01-4B5C-90A8-477858748A76}">
      <text>
        <r>
          <rPr>
            <b/>
            <sz val="9"/>
            <color indexed="81"/>
            <rFont val="Tahoma"/>
            <family val="2"/>
          </rPr>
          <t>&lt;[[TCDeals] - [TC Property Current Stage (Seq: 1)] - [Buildings (Seq: 1)] State - Send]&gt;</t>
        </r>
      </text>
    </comment>
    <comment ref="J64" authorId="0" shapeId="0" xr:uid="{A2CED64B-71DC-4FD1-A881-522932AC7208}">
      <text>
        <r>
          <rPr>
            <b/>
            <sz val="9"/>
            <color indexed="81"/>
            <rFont val="Tahoma"/>
            <family val="2"/>
          </rPr>
          <t>&lt;[[TCDeals] - [TC Property Current Stage (Seq: 1)] - [Buildings (Seq: 1)] Zip Code - Send]&gt;</t>
        </r>
      </text>
    </comment>
    <comment ref="L64" authorId="0" shapeId="0" xr:uid="{76E5E59E-BEAF-4E74-86B8-745808C4DEFE}">
      <text>
        <r>
          <rPr>
            <b/>
            <sz val="9"/>
            <color indexed="81"/>
            <rFont val="Tahoma"/>
            <family val="2"/>
          </rPr>
          <t>&lt;[[TCDeals] - [TC Property Current Stage (Seq: 1)] - [Buildings (Seq: 1)] Num Mkt Units - Send]&gt;</t>
        </r>
      </text>
    </comment>
    <comment ref="N64" authorId="0" shapeId="0" xr:uid="{8F0E0D13-DC6B-4AA8-A37C-993DBC52799C}">
      <text>
        <r>
          <rPr>
            <b/>
            <sz val="9"/>
            <color indexed="81"/>
            <rFont val="Tahoma"/>
            <family val="2"/>
          </rPr>
          <t>&lt;[[TCDeals] - [TC Property Current Stage (Seq: 1)] - [Buildings (Seq: 1)] Num TC Units - Send]&gt;</t>
        </r>
      </text>
    </comment>
    <comment ref="C65" authorId="0" shapeId="0" xr:uid="{C1D51804-7E44-417F-BE9E-1C565CFC328B}">
      <text>
        <r>
          <rPr>
            <b/>
            <sz val="9"/>
            <color indexed="81"/>
            <rFont val="Tahoma"/>
            <family val="2"/>
          </rPr>
          <t>&lt;[[TCDeals] - [TC Property Current Stage (Seq: 1)] - [Buildings (Seq: 2)] Address 1 - Send]&gt;</t>
        </r>
      </text>
    </comment>
    <comment ref="E65" authorId="0" shapeId="0" xr:uid="{E2D93865-D2A3-48E1-A6CB-C531DBF2CBA0}">
      <text>
        <r>
          <rPr>
            <b/>
            <sz val="9"/>
            <color indexed="81"/>
            <rFont val="Tahoma"/>
            <family val="2"/>
          </rPr>
          <t>&lt;[[TCDeals] - [TC Property Current Stage (Seq: 1)] - [Buildings (Seq: 2)] City - Send]&gt;</t>
        </r>
      </text>
    </comment>
    <comment ref="H65" authorId="0" shapeId="0" xr:uid="{B525C2F5-7579-49FB-B7C8-79F6E5BFBB34}">
      <text>
        <r>
          <rPr>
            <b/>
            <sz val="9"/>
            <color indexed="81"/>
            <rFont val="Tahoma"/>
            <family val="2"/>
          </rPr>
          <t>&lt;[[TCDeals] - [TC Property Current Stage (Seq: 1)] - [Buildings (Seq: 2)] State - Send]&gt;</t>
        </r>
      </text>
    </comment>
    <comment ref="J65" authorId="0" shapeId="0" xr:uid="{39A402BC-7553-4394-ACB2-696035041BD8}">
      <text>
        <r>
          <rPr>
            <b/>
            <sz val="9"/>
            <color indexed="81"/>
            <rFont val="Tahoma"/>
            <family val="2"/>
          </rPr>
          <t>&lt;[[TCDeals] - [TC Property Current Stage (Seq: 1)] - [Buildings (Seq: 2)] Zip Code - Send]&gt;</t>
        </r>
      </text>
    </comment>
    <comment ref="L65" authorId="0" shapeId="0" xr:uid="{4775E5C5-C150-44E8-BB9E-B1A5C1E1D1F1}">
      <text>
        <r>
          <rPr>
            <b/>
            <sz val="9"/>
            <color indexed="81"/>
            <rFont val="Tahoma"/>
            <family val="2"/>
          </rPr>
          <t>&lt;[[TCDeals] - [TC Property Current Stage (Seq: 1)] - [Buildings (Seq: 2)] Num Mkt Units - Send]&gt;</t>
        </r>
      </text>
    </comment>
    <comment ref="N65" authorId="0" shapeId="0" xr:uid="{9DC0F8A2-F2A7-46C0-A865-4D7F57757B55}">
      <text>
        <r>
          <rPr>
            <b/>
            <sz val="9"/>
            <color indexed="81"/>
            <rFont val="Tahoma"/>
            <family val="2"/>
          </rPr>
          <t>&lt;[[TCDeals] - [TC Property Current Stage (Seq: 1)] - [Buildings (Seq: 2)] Num TC Units - Send]&gt;</t>
        </r>
      </text>
    </comment>
    <comment ref="C66" authorId="0" shapeId="0" xr:uid="{CCE64777-7B56-46C1-B17D-4BB6928659A5}">
      <text>
        <r>
          <rPr>
            <b/>
            <sz val="9"/>
            <color indexed="81"/>
            <rFont val="Tahoma"/>
            <family val="2"/>
          </rPr>
          <t>&lt;[[TCDeals] - [TC Property Current Stage (Seq: 1)] - [Buildings (Seq: 3)] Address 1 - Send]&gt;</t>
        </r>
      </text>
    </comment>
    <comment ref="E66" authorId="0" shapeId="0" xr:uid="{EA78658F-EC4A-4D24-87F7-C3C33DE83E37}">
      <text>
        <r>
          <rPr>
            <b/>
            <sz val="9"/>
            <color indexed="81"/>
            <rFont val="Tahoma"/>
            <family val="2"/>
          </rPr>
          <t>&lt;[[TCDeals] - [TC Property Current Stage (Seq: 1)] - [Buildings (Seq: 3)] City - Send]&gt;</t>
        </r>
      </text>
    </comment>
    <comment ref="H66" authorId="0" shapeId="0" xr:uid="{D07C1BE7-E333-4835-86E9-F87DDFD9871B}">
      <text>
        <r>
          <rPr>
            <b/>
            <sz val="9"/>
            <color indexed="81"/>
            <rFont val="Tahoma"/>
            <family val="2"/>
          </rPr>
          <t>&lt;[[TCDeals] - [TC Property Current Stage (Seq: 1)] - [Buildings (Seq: 3)] State - Send]&gt;</t>
        </r>
      </text>
    </comment>
    <comment ref="J66" authorId="0" shapeId="0" xr:uid="{50635060-3E41-438B-A559-59E536269015}">
      <text>
        <r>
          <rPr>
            <b/>
            <sz val="9"/>
            <color indexed="81"/>
            <rFont val="Tahoma"/>
            <family val="2"/>
          </rPr>
          <t>&lt;[[TCDeals] - [TC Property Current Stage (Seq: 1)] - [Buildings (Seq: 3)] Zip Code - Send]&gt;</t>
        </r>
      </text>
    </comment>
    <comment ref="L66" authorId="0" shapeId="0" xr:uid="{306B8B7D-659E-4C1F-9AE2-A5F7B6C24059}">
      <text>
        <r>
          <rPr>
            <b/>
            <sz val="9"/>
            <color indexed="81"/>
            <rFont val="Tahoma"/>
            <family val="2"/>
          </rPr>
          <t>&lt;[[TCDeals] - [TC Property Current Stage (Seq: 1)] - [Buildings (Seq: 3)] Num Mkt Units - Send]&gt;</t>
        </r>
      </text>
    </comment>
    <comment ref="N66" authorId="0" shapeId="0" xr:uid="{88DAEBC3-82CC-4024-83E0-E0EF2E7A2B8E}">
      <text>
        <r>
          <rPr>
            <b/>
            <sz val="9"/>
            <color indexed="81"/>
            <rFont val="Tahoma"/>
            <family val="2"/>
          </rPr>
          <t>&lt;[[TCDeals] - [TC Property Current Stage (Seq: 1)] - [Buildings (Seq: 3)] Num TC Units - Send]&gt;</t>
        </r>
      </text>
    </comment>
    <comment ref="C67" authorId="0" shapeId="0" xr:uid="{30F0AD25-419F-4EC3-BC81-3AC9584854E8}">
      <text>
        <r>
          <rPr>
            <b/>
            <sz val="9"/>
            <color indexed="81"/>
            <rFont val="Tahoma"/>
            <family val="2"/>
          </rPr>
          <t>&lt;[[TCDeals] - [TC Property Current Stage (Seq: 1)] - [Buildings (Seq: 4)] Address 1 - Send]&gt;</t>
        </r>
      </text>
    </comment>
    <comment ref="E67" authorId="0" shapeId="0" xr:uid="{0345B891-6345-4702-812A-2AC09D05232D}">
      <text>
        <r>
          <rPr>
            <b/>
            <sz val="9"/>
            <color indexed="81"/>
            <rFont val="Tahoma"/>
            <family val="2"/>
          </rPr>
          <t>&lt;[[TCDeals] - [TC Property Current Stage (Seq: 1)] - [Buildings (Seq: 4)] City - Send]&gt;</t>
        </r>
      </text>
    </comment>
    <comment ref="H67" authorId="0" shapeId="0" xr:uid="{525AF6FB-E246-45FB-AC7A-099397CCCB21}">
      <text>
        <r>
          <rPr>
            <b/>
            <sz val="9"/>
            <color indexed="81"/>
            <rFont val="Tahoma"/>
            <family val="2"/>
          </rPr>
          <t>&lt;[[TCDeals] - [TC Property Current Stage (Seq: 1)] - [Buildings (Seq: 4)] State - Send]&gt;</t>
        </r>
      </text>
    </comment>
    <comment ref="J67" authorId="0" shapeId="0" xr:uid="{3D92DCA1-C36A-4949-A770-861B09D17043}">
      <text>
        <r>
          <rPr>
            <b/>
            <sz val="9"/>
            <color indexed="81"/>
            <rFont val="Tahoma"/>
            <family val="2"/>
          </rPr>
          <t>&lt;[[TCDeals] - [TC Property Current Stage (Seq: 1)] - [Buildings (Seq: 4)] Zip Code - Send]&gt;</t>
        </r>
      </text>
    </comment>
    <comment ref="L67" authorId="0" shapeId="0" xr:uid="{161646EB-75D2-49A2-BAA4-CA9CD508FF77}">
      <text>
        <r>
          <rPr>
            <b/>
            <sz val="9"/>
            <color indexed="81"/>
            <rFont val="Tahoma"/>
            <family val="2"/>
          </rPr>
          <t>&lt;[[TCDeals] - [TC Property Current Stage (Seq: 1)] - [Buildings (Seq: 4)] Num Mkt Units - Send]&gt;</t>
        </r>
      </text>
    </comment>
    <comment ref="N67" authorId="0" shapeId="0" xr:uid="{537A9877-2B2C-445E-895A-968AC2C2370A}">
      <text>
        <r>
          <rPr>
            <b/>
            <sz val="9"/>
            <color indexed="81"/>
            <rFont val="Tahoma"/>
            <family val="2"/>
          </rPr>
          <t>&lt;[[TCDeals] - [TC Property Current Stage (Seq: 1)] - [Buildings (Seq: 4)] Num TC Units - Send]&gt;</t>
        </r>
      </text>
    </comment>
    <comment ref="C68" authorId="0" shapeId="0" xr:uid="{DC29C882-970C-47FD-9EFF-2DEFBBE15546}">
      <text>
        <r>
          <rPr>
            <b/>
            <sz val="9"/>
            <color indexed="81"/>
            <rFont val="Tahoma"/>
            <family val="2"/>
          </rPr>
          <t>&lt;[[TCDeals] - [TC Property Current Stage (Seq: 1)] - [Buildings (Seq: 5)] Address 1 - Send]&gt;</t>
        </r>
      </text>
    </comment>
    <comment ref="E68" authorId="0" shapeId="0" xr:uid="{58CAFA5C-F055-4438-9AA6-803E5D8B5D35}">
      <text>
        <r>
          <rPr>
            <b/>
            <sz val="9"/>
            <color indexed="81"/>
            <rFont val="Tahoma"/>
            <family val="2"/>
          </rPr>
          <t>&lt;[[TCDeals] - [TC Property Current Stage (Seq: 1)] - [Buildings (Seq: 5)] City - Send]&gt;</t>
        </r>
      </text>
    </comment>
    <comment ref="H68" authorId="0" shapeId="0" xr:uid="{4428B3F2-445A-4578-9B2C-E834AF580E42}">
      <text>
        <r>
          <rPr>
            <b/>
            <sz val="9"/>
            <color indexed="81"/>
            <rFont val="Tahoma"/>
            <family val="2"/>
          </rPr>
          <t>&lt;[[TCDeals] - [TC Property Current Stage (Seq: 1)] - [Buildings (Seq: 5)] State - Send]&gt;</t>
        </r>
      </text>
    </comment>
    <comment ref="J68" authorId="0" shapeId="0" xr:uid="{25A600CE-B927-4930-9922-53EA6515CD3E}">
      <text>
        <r>
          <rPr>
            <b/>
            <sz val="9"/>
            <color indexed="81"/>
            <rFont val="Tahoma"/>
            <family val="2"/>
          </rPr>
          <t>&lt;[[TCDeals] - [TC Property Current Stage (Seq: 1)] - [Buildings (Seq: 5)] Zip Code - Send]&gt;</t>
        </r>
      </text>
    </comment>
    <comment ref="L68" authorId="0" shapeId="0" xr:uid="{B38ED7B7-2A0B-4267-B4F3-1B4469319E5D}">
      <text>
        <r>
          <rPr>
            <b/>
            <sz val="9"/>
            <color indexed="81"/>
            <rFont val="Tahoma"/>
            <family val="2"/>
          </rPr>
          <t>&lt;[[TCDeals] - [TC Property Current Stage (Seq: 1)] - [Buildings (Seq: 5)] Num Mkt Units - Send]&gt;</t>
        </r>
      </text>
    </comment>
    <comment ref="N68" authorId="0" shapeId="0" xr:uid="{4557FCCF-A521-40B5-9CB0-78F97D93CBD3}">
      <text>
        <r>
          <rPr>
            <b/>
            <sz val="9"/>
            <color indexed="81"/>
            <rFont val="Tahoma"/>
            <family val="2"/>
          </rPr>
          <t>&lt;[[TCDeals] - [TC Property Current Stage (Seq: 1)] - [Buildings (Seq: 5)] Num TC Units - Send]&gt;</t>
        </r>
      </text>
    </comment>
    <comment ref="C69" authorId="0" shapeId="0" xr:uid="{BB2E2A04-E772-404D-8629-959862EDBCE2}">
      <text>
        <r>
          <rPr>
            <b/>
            <sz val="9"/>
            <color indexed="81"/>
            <rFont val="Tahoma"/>
            <family val="2"/>
          </rPr>
          <t>&lt;[[TCDeals] - [TC Property Current Stage (Seq: 1)] - [Buildings (Seq: 6)] Address 1 - Send]&gt;</t>
        </r>
      </text>
    </comment>
    <comment ref="E69" authorId="0" shapeId="0" xr:uid="{53BCF62E-415E-4B1B-B8BA-B2872B79C922}">
      <text>
        <r>
          <rPr>
            <b/>
            <sz val="9"/>
            <color indexed="81"/>
            <rFont val="Tahoma"/>
            <family val="2"/>
          </rPr>
          <t>&lt;[[TCDeals] - [TC Property Current Stage (Seq: 1)] - [Buildings (Seq: 6)] City - Send]&gt;</t>
        </r>
      </text>
    </comment>
    <comment ref="H69" authorId="0" shapeId="0" xr:uid="{B8A036D5-93DB-4C44-B35E-9F6F15D60F2B}">
      <text>
        <r>
          <rPr>
            <b/>
            <sz val="9"/>
            <color indexed="81"/>
            <rFont val="Tahoma"/>
            <family val="2"/>
          </rPr>
          <t>&lt;[[TCDeals] - [TC Property Current Stage (Seq: 1)] - [Buildings (Seq: 6)] State - Send]&gt;</t>
        </r>
      </text>
    </comment>
    <comment ref="J69" authorId="0" shapeId="0" xr:uid="{CB662742-058B-4BE0-A038-FFC57D61617E}">
      <text>
        <r>
          <rPr>
            <b/>
            <sz val="9"/>
            <color indexed="81"/>
            <rFont val="Tahoma"/>
            <family val="2"/>
          </rPr>
          <t>&lt;[[TCDeals] - [TC Property Current Stage (Seq: 1)] - [Buildings (Seq: 6)] Zip Code - Send]&gt;</t>
        </r>
      </text>
    </comment>
    <comment ref="L69" authorId="0" shapeId="0" xr:uid="{5467729E-5629-4D20-9D4C-E797C6910F35}">
      <text>
        <r>
          <rPr>
            <b/>
            <sz val="9"/>
            <color indexed="81"/>
            <rFont val="Tahoma"/>
            <family val="2"/>
          </rPr>
          <t>&lt;[[TCDeals] - [TC Property Current Stage (Seq: 1)] - [Buildings (Seq: 6)] Num Mkt Units - Send]&gt;</t>
        </r>
      </text>
    </comment>
    <comment ref="N69" authorId="0" shapeId="0" xr:uid="{C9D4C024-F20A-4C1E-9294-3159001C0C2A}">
      <text>
        <r>
          <rPr>
            <b/>
            <sz val="9"/>
            <color indexed="81"/>
            <rFont val="Tahoma"/>
            <family val="2"/>
          </rPr>
          <t>&lt;[[TCDeals] - [TC Property Current Stage (Seq: 1)] - [Buildings (Seq: 6)] Num TC Units - Send]&gt;</t>
        </r>
      </text>
    </comment>
    <comment ref="C70" authorId="0" shapeId="0" xr:uid="{EEE03659-650E-4AF1-9503-998EF08F59BE}">
      <text>
        <r>
          <rPr>
            <b/>
            <sz val="9"/>
            <color indexed="81"/>
            <rFont val="Tahoma"/>
            <family val="2"/>
          </rPr>
          <t>&lt;[[TCDeals] - [TC Property Current Stage (Seq: 1)] - [Buildings (Seq: 7)] Address 1 - Send]&gt;</t>
        </r>
      </text>
    </comment>
    <comment ref="E70" authorId="0" shapeId="0" xr:uid="{BFB45803-1285-4972-800E-E4575494B7F7}">
      <text>
        <r>
          <rPr>
            <b/>
            <sz val="9"/>
            <color indexed="81"/>
            <rFont val="Tahoma"/>
            <family val="2"/>
          </rPr>
          <t>&lt;[[TCDeals] - [TC Property Current Stage (Seq: 1)] - [Buildings (Seq: 7)] City - Send]&gt;</t>
        </r>
      </text>
    </comment>
    <comment ref="H70" authorId="0" shapeId="0" xr:uid="{4E16AAC1-AEA9-4972-BD0B-D11CD6AA6633}">
      <text>
        <r>
          <rPr>
            <b/>
            <sz val="9"/>
            <color indexed="81"/>
            <rFont val="Tahoma"/>
            <family val="2"/>
          </rPr>
          <t>&lt;[[TCDeals] - [TC Property Current Stage (Seq: 1)] - [Buildings (Seq: 7)] State - Send]&gt;</t>
        </r>
      </text>
    </comment>
    <comment ref="J70" authorId="0" shapeId="0" xr:uid="{694CFDD5-5B81-4B27-8D75-3CEB41268897}">
      <text>
        <r>
          <rPr>
            <b/>
            <sz val="9"/>
            <color indexed="81"/>
            <rFont val="Tahoma"/>
            <family val="2"/>
          </rPr>
          <t>&lt;[[TCDeals] - [TC Property Current Stage (Seq: 1)] - [Buildings (Seq: 7)] Zip Code - Send]&gt;</t>
        </r>
      </text>
    </comment>
    <comment ref="L70" authorId="0" shapeId="0" xr:uid="{85909EF5-F08F-411F-83D1-48F8602D8B5B}">
      <text>
        <r>
          <rPr>
            <b/>
            <sz val="9"/>
            <color indexed="81"/>
            <rFont val="Tahoma"/>
            <family val="2"/>
          </rPr>
          <t>&lt;[[TCDeals] - [TC Property Current Stage (Seq: 1)] - [Buildings (Seq: 7)] Num Mkt Units - Send]&gt;</t>
        </r>
      </text>
    </comment>
    <comment ref="N70" authorId="0" shapeId="0" xr:uid="{6F61AAEB-BB65-4288-9B2A-F12999E4FB2C}">
      <text>
        <r>
          <rPr>
            <b/>
            <sz val="9"/>
            <color indexed="81"/>
            <rFont val="Tahoma"/>
            <family val="2"/>
          </rPr>
          <t>&lt;[[TCDeals] - [TC Property Current Stage (Seq: 1)] - [Buildings (Seq: 7)] Num TC Units - Send]&gt;</t>
        </r>
      </text>
    </comment>
    <comment ref="C71" authorId="0" shapeId="0" xr:uid="{52AC20F1-838A-42A4-8457-015B3CF886DE}">
      <text>
        <r>
          <rPr>
            <b/>
            <sz val="9"/>
            <color indexed="81"/>
            <rFont val="Tahoma"/>
            <family val="2"/>
          </rPr>
          <t>&lt;[[TCDeals] - [TC Property Current Stage (Seq: 1)] - [Buildings (Seq: 8)] Address 1 - Send]&gt;</t>
        </r>
      </text>
    </comment>
    <comment ref="E71" authorId="0" shapeId="0" xr:uid="{4906EA4C-4212-4D97-BF9E-E16DD63F8567}">
      <text>
        <r>
          <rPr>
            <b/>
            <sz val="9"/>
            <color indexed="81"/>
            <rFont val="Tahoma"/>
            <family val="2"/>
          </rPr>
          <t>&lt;[[TCDeals] - [TC Property Current Stage (Seq: 1)] - [Buildings (Seq: 8)] City - Send]&gt;</t>
        </r>
      </text>
    </comment>
    <comment ref="H71" authorId="0" shapeId="0" xr:uid="{452B6310-9EC8-4F84-ACD1-12C7D85ED315}">
      <text>
        <r>
          <rPr>
            <b/>
            <sz val="9"/>
            <color indexed="81"/>
            <rFont val="Tahoma"/>
            <family val="2"/>
          </rPr>
          <t>&lt;[[TCDeals] - [TC Property Current Stage (Seq: 1)] - [Buildings (Seq: 8)] State - Send]&gt;</t>
        </r>
      </text>
    </comment>
    <comment ref="J71" authorId="0" shapeId="0" xr:uid="{350AF07C-8C29-4A85-BE39-0A5C58E32406}">
      <text>
        <r>
          <rPr>
            <b/>
            <sz val="9"/>
            <color indexed="81"/>
            <rFont val="Tahoma"/>
            <family val="2"/>
          </rPr>
          <t>&lt;[[TCDeals] - [TC Property Current Stage (Seq: 1)] - [Buildings (Seq: 8)] Zip Code - Send]&gt;</t>
        </r>
      </text>
    </comment>
    <comment ref="L71" authorId="0" shapeId="0" xr:uid="{ED1C0E7E-143A-4DDA-9397-16586EA5F17B}">
      <text>
        <r>
          <rPr>
            <b/>
            <sz val="9"/>
            <color indexed="81"/>
            <rFont val="Tahoma"/>
            <family val="2"/>
          </rPr>
          <t>&lt;[[TCDeals] - [TC Property Current Stage (Seq: 1)] - [Buildings (Seq: 8)] Num Mkt Units - Send]&gt;</t>
        </r>
      </text>
    </comment>
    <comment ref="N71" authorId="0" shapeId="0" xr:uid="{51062CE5-8E71-4B52-8374-D1A28E040E12}">
      <text>
        <r>
          <rPr>
            <b/>
            <sz val="9"/>
            <color indexed="81"/>
            <rFont val="Tahoma"/>
            <family val="2"/>
          </rPr>
          <t>&lt;[[TCDeals] - [TC Property Current Stage (Seq: 1)] - [Buildings (Seq: 8)] Num TC Units - Send]&gt;</t>
        </r>
      </text>
    </comment>
    <comment ref="C72" authorId="0" shapeId="0" xr:uid="{768F507F-509B-4680-A2E8-989153AFE358}">
      <text>
        <r>
          <rPr>
            <b/>
            <sz val="9"/>
            <color indexed="81"/>
            <rFont val="Tahoma"/>
            <family val="2"/>
          </rPr>
          <t>&lt;[[TCDeals] - [TC Property Current Stage (Seq: 1)] - [Buildings (Seq: 9)] Address 1 - Send]&gt;</t>
        </r>
      </text>
    </comment>
    <comment ref="E72" authorId="0" shapeId="0" xr:uid="{A30F858A-8F59-4C34-8DD0-78D8496D3A82}">
      <text>
        <r>
          <rPr>
            <b/>
            <sz val="9"/>
            <color indexed="81"/>
            <rFont val="Tahoma"/>
            <family val="2"/>
          </rPr>
          <t>&lt;[[TCDeals] - [TC Property Current Stage (Seq: 1)] - [Buildings (Seq: 9)] City - Send]&gt;</t>
        </r>
      </text>
    </comment>
    <comment ref="H72" authorId="0" shapeId="0" xr:uid="{371DDC38-E58D-4045-B856-9C6C95498F14}">
      <text>
        <r>
          <rPr>
            <b/>
            <sz val="9"/>
            <color indexed="81"/>
            <rFont val="Tahoma"/>
            <family val="2"/>
          </rPr>
          <t>&lt;[[TCDeals] - [TC Property Current Stage (Seq: 1)] - [Buildings (Seq: 9)] State - Send]&gt;</t>
        </r>
      </text>
    </comment>
    <comment ref="J72" authorId="0" shapeId="0" xr:uid="{428019D1-BDA4-4229-B2FD-A6ABB494E321}">
      <text>
        <r>
          <rPr>
            <b/>
            <sz val="9"/>
            <color indexed="81"/>
            <rFont val="Tahoma"/>
            <family val="2"/>
          </rPr>
          <t>&lt;[[TCDeals] - [TC Property Current Stage (Seq: 1)] - [Buildings (Seq: 9)] Zip Code - Send]&gt;</t>
        </r>
      </text>
    </comment>
    <comment ref="L72" authorId="0" shapeId="0" xr:uid="{54DBCD1E-6213-4BAA-B418-54ADACC536C6}">
      <text>
        <r>
          <rPr>
            <b/>
            <sz val="9"/>
            <color indexed="81"/>
            <rFont val="Tahoma"/>
            <family val="2"/>
          </rPr>
          <t>&lt;[[TCDeals] - [TC Property Current Stage (Seq: 1)] - [Buildings (Seq: 9)] Num Mkt Units - Send]&gt;</t>
        </r>
      </text>
    </comment>
    <comment ref="N72" authorId="0" shapeId="0" xr:uid="{DD61B09F-51DD-49B6-8C3E-93CA816CF069}">
      <text>
        <r>
          <rPr>
            <b/>
            <sz val="9"/>
            <color indexed="81"/>
            <rFont val="Tahoma"/>
            <family val="2"/>
          </rPr>
          <t>&lt;[[TCDeals] - [TC Property Current Stage (Seq: 1)] - [Buildings (Seq: 9)] Num TC Units - Send]&gt;</t>
        </r>
      </text>
    </comment>
    <comment ref="C73" authorId="0" shapeId="0" xr:uid="{4FA77CBF-C8EB-4D86-B7F3-9AE2C23933E1}">
      <text>
        <r>
          <rPr>
            <b/>
            <sz val="9"/>
            <color indexed="81"/>
            <rFont val="Tahoma"/>
            <family val="2"/>
          </rPr>
          <t>&lt;[[TCDeals] - [TC Property Current Stage (Seq: 1)] - [Buildings (Seq: 10)] Address 1 - Send]&gt;</t>
        </r>
      </text>
    </comment>
    <comment ref="E73" authorId="0" shapeId="0" xr:uid="{3BD0A859-721C-4CE7-87A6-EA2F0CD2F768}">
      <text>
        <r>
          <rPr>
            <b/>
            <sz val="9"/>
            <color indexed="81"/>
            <rFont val="Tahoma"/>
            <family val="2"/>
          </rPr>
          <t>&lt;[[TCDeals] - [TC Property Current Stage (Seq: 1)] - [Buildings (Seq: 10)] City - Send]&gt;</t>
        </r>
      </text>
    </comment>
    <comment ref="H73" authorId="0" shapeId="0" xr:uid="{6D7536E7-0287-48ED-83E6-3EF13C0F793B}">
      <text>
        <r>
          <rPr>
            <b/>
            <sz val="9"/>
            <color indexed="81"/>
            <rFont val="Tahoma"/>
            <family val="2"/>
          </rPr>
          <t>&lt;[[TCDeals] - [TC Property Current Stage (Seq: 1)] - [Buildings (Seq: 10)] State - Send]&gt;</t>
        </r>
      </text>
    </comment>
    <comment ref="J73" authorId="0" shapeId="0" xr:uid="{99944F90-9CFF-4E59-9D5D-BE928639FC6C}">
      <text>
        <r>
          <rPr>
            <b/>
            <sz val="9"/>
            <color indexed="81"/>
            <rFont val="Tahoma"/>
            <family val="2"/>
          </rPr>
          <t>&lt;[[TCDeals] - [TC Property Current Stage (Seq: 1)] - [Buildings (Seq: 10)] Zip Code - Send]&gt;</t>
        </r>
      </text>
    </comment>
    <comment ref="L73" authorId="0" shapeId="0" xr:uid="{19A8A311-C687-4B66-88AE-33AB3826FAD6}">
      <text>
        <r>
          <rPr>
            <b/>
            <sz val="9"/>
            <color indexed="81"/>
            <rFont val="Tahoma"/>
            <family val="2"/>
          </rPr>
          <t>&lt;[[TCDeals] - [TC Property Current Stage (Seq: 1)] - [Buildings (Seq: 10)] Num Mkt Units - Send]&gt;</t>
        </r>
      </text>
    </comment>
    <comment ref="N73" authorId="0" shapeId="0" xr:uid="{4BC5E6D1-9D81-47B0-85A9-7A546A289DB1}">
      <text>
        <r>
          <rPr>
            <b/>
            <sz val="9"/>
            <color indexed="81"/>
            <rFont val="Tahoma"/>
            <family val="2"/>
          </rPr>
          <t>&lt;[[TCDeals] - [TC Property Current Stage (Seq: 1)] - [Buildings (Seq: 10)] Num TC Units - Send]&gt;</t>
        </r>
      </text>
    </comment>
    <comment ref="C74" authorId="0" shapeId="0" xr:uid="{53E93A3C-59CF-4451-80AF-722EF6EF9DE8}">
      <text>
        <r>
          <rPr>
            <b/>
            <sz val="9"/>
            <color indexed="81"/>
            <rFont val="Tahoma"/>
            <family val="2"/>
          </rPr>
          <t>&lt;[[TCDeals] - [TC Property Current Stage (Seq: 1)] - [Buildings (Seq: 11)] Address 1 - Send]&gt;</t>
        </r>
      </text>
    </comment>
    <comment ref="E74" authorId="0" shapeId="0" xr:uid="{6AF06254-F103-4502-B845-8B3E27362632}">
      <text>
        <r>
          <rPr>
            <b/>
            <sz val="9"/>
            <color indexed="81"/>
            <rFont val="Tahoma"/>
            <family val="2"/>
          </rPr>
          <t>&lt;[[TCDeals] - [TC Property Current Stage (Seq: 1)] - [Buildings (Seq: 11)] City - Send]&gt;</t>
        </r>
      </text>
    </comment>
    <comment ref="H74" authorId="0" shapeId="0" xr:uid="{0A2E224C-DB66-4D1E-9E3B-3F8CDCA77FD2}">
      <text>
        <r>
          <rPr>
            <b/>
            <sz val="9"/>
            <color indexed="81"/>
            <rFont val="Tahoma"/>
            <family val="2"/>
          </rPr>
          <t>&lt;[[TCDeals] - [TC Property Current Stage (Seq: 1)] - [Buildings (Seq: 11)] State - Send]&gt;</t>
        </r>
      </text>
    </comment>
    <comment ref="J74" authorId="0" shapeId="0" xr:uid="{08B8992A-8807-4DB0-85A0-6F0390BEACE1}">
      <text>
        <r>
          <rPr>
            <b/>
            <sz val="9"/>
            <color indexed="81"/>
            <rFont val="Tahoma"/>
            <family val="2"/>
          </rPr>
          <t>&lt;[[TCDeals] - [TC Property Current Stage (Seq: 1)] - [Buildings (Seq: 11)] Zip Code - Send]&gt;</t>
        </r>
      </text>
    </comment>
    <comment ref="L74" authorId="0" shapeId="0" xr:uid="{2F27B047-B2AF-445E-ADCF-C6F3BF4F606C}">
      <text>
        <r>
          <rPr>
            <b/>
            <sz val="9"/>
            <color indexed="81"/>
            <rFont val="Tahoma"/>
            <family val="2"/>
          </rPr>
          <t>&lt;[[TCDeals] - [TC Property Current Stage (Seq: 1)] - [Buildings (Seq: 11)] Num Mkt Units - Send]&gt;</t>
        </r>
      </text>
    </comment>
    <comment ref="N74" authorId="0" shapeId="0" xr:uid="{ADDA4B72-5B3B-4939-91CD-A5E17C44AE5E}">
      <text>
        <r>
          <rPr>
            <b/>
            <sz val="9"/>
            <color indexed="81"/>
            <rFont val="Tahoma"/>
            <family val="2"/>
          </rPr>
          <t>&lt;[[TCDeals] - [TC Property Current Stage (Seq: 1)] - [Buildings (Seq: 11)] Num TC Units - Send]&gt;</t>
        </r>
      </text>
    </comment>
    <comment ref="C75" authorId="0" shapeId="0" xr:uid="{677AE3EC-C77F-4D71-8954-48CAAA11AEDB}">
      <text>
        <r>
          <rPr>
            <b/>
            <sz val="9"/>
            <color indexed="81"/>
            <rFont val="Tahoma"/>
            <family val="2"/>
          </rPr>
          <t>&lt;[[TCDeals] - [TC Property Current Stage (Seq: 1)] - [Buildings (Seq: 12)] Address 1 - Send]&gt;</t>
        </r>
      </text>
    </comment>
    <comment ref="E75" authorId="0" shapeId="0" xr:uid="{01DA4A53-DBF0-436D-B825-DBC5BE2B4FD9}">
      <text>
        <r>
          <rPr>
            <b/>
            <sz val="9"/>
            <color indexed="81"/>
            <rFont val="Tahoma"/>
            <family val="2"/>
          </rPr>
          <t>&lt;[[TCDeals] - [TC Property Current Stage (Seq: 1)] - [Buildings (Seq: 12)] City - Send]&gt;</t>
        </r>
      </text>
    </comment>
    <comment ref="H75" authorId="0" shapeId="0" xr:uid="{6864553C-99AF-464E-9652-138873B2FC8E}">
      <text>
        <r>
          <rPr>
            <b/>
            <sz val="9"/>
            <color indexed="81"/>
            <rFont val="Tahoma"/>
            <family val="2"/>
          </rPr>
          <t>&lt;[[TCDeals] - [TC Property Current Stage (Seq: 1)] - [Buildings (Seq: 12)] State - Send]&gt;</t>
        </r>
      </text>
    </comment>
    <comment ref="J75" authorId="0" shapeId="0" xr:uid="{A5F5419A-9B78-48FA-942C-EEE8AC6276D4}">
      <text>
        <r>
          <rPr>
            <b/>
            <sz val="9"/>
            <color indexed="81"/>
            <rFont val="Tahoma"/>
            <family val="2"/>
          </rPr>
          <t>&lt;[[TCDeals] - [TC Property Current Stage (Seq: 1)] - [Buildings (Seq: 12)] Zip Code - Send]&gt;</t>
        </r>
      </text>
    </comment>
    <comment ref="L75" authorId="0" shapeId="0" xr:uid="{50C044C8-E899-436F-AAF9-593CEB07C0EC}">
      <text>
        <r>
          <rPr>
            <b/>
            <sz val="9"/>
            <color indexed="81"/>
            <rFont val="Tahoma"/>
            <family val="2"/>
          </rPr>
          <t>&lt;[[TCDeals] - [TC Property Current Stage (Seq: 1)] - [Buildings (Seq: 12)] Num Mkt Units - Send]&gt;</t>
        </r>
      </text>
    </comment>
    <comment ref="N75" authorId="0" shapeId="0" xr:uid="{6CFB4F57-1F5D-4E45-A007-3C415FA246C4}">
      <text>
        <r>
          <rPr>
            <b/>
            <sz val="9"/>
            <color indexed="81"/>
            <rFont val="Tahoma"/>
            <family val="2"/>
          </rPr>
          <t>&lt;[[TCDeals] - [TC Property Current Stage (Seq: 1)] - [Buildings (Seq: 12)] Num TC Units - Send]&gt;</t>
        </r>
      </text>
    </comment>
    <comment ref="C76" authorId="0" shapeId="0" xr:uid="{6AB24CB3-1B7B-4810-B548-AE92D5A8B688}">
      <text>
        <r>
          <rPr>
            <b/>
            <sz val="9"/>
            <color indexed="81"/>
            <rFont val="Tahoma"/>
            <family val="2"/>
          </rPr>
          <t>&lt;[[TCDeals] - [TC Property Current Stage (Seq: 1)] - [Buildings (Seq: 13)] Address 1 - Send]&gt;</t>
        </r>
      </text>
    </comment>
    <comment ref="E76" authorId="0" shapeId="0" xr:uid="{727FEFEE-D755-41D2-9F7C-7A75F538F939}">
      <text>
        <r>
          <rPr>
            <b/>
            <sz val="9"/>
            <color indexed="81"/>
            <rFont val="Tahoma"/>
            <family val="2"/>
          </rPr>
          <t>&lt;[[TCDeals] - [TC Property Current Stage (Seq: 1)] - [Buildings (Seq: 13)] City - Send]&gt;</t>
        </r>
      </text>
    </comment>
    <comment ref="H76" authorId="0" shapeId="0" xr:uid="{AA9B783F-6246-4E3F-9C09-9E47F9CDC5CC}">
      <text>
        <r>
          <rPr>
            <b/>
            <sz val="9"/>
            <color indexed="81"/>
            <rFont val="Tahoma"/>
            <family val="2"/>
          </rPr>
          <t>&lt;[[TCDeals] - [TC Property Current Stage (Seq: 1)] - [Buildings (Seq: 13)] State - Send]&gt;</t>
        </r>
      </text>
    </comment>
    <comment ref="J76" authorId="0" shapeId="0" xr:uid="{AABA369A-BBCC-4FFC-8A70-75407DD6A219}">
      <text>
        <r>
          <rPr>
            <b/>
            <sz val="9"/>
            <color indexed="81"/>
            <rFont val="Tahoma"/>
            <family val="2"/>
          </rPr>
          <t>&lt;[[TCDeals] - [TC Property Current Stage (Seq: 1)] - [Buildings (Seq: 13)] Zip Code - Send]&gt;</t>
        </r>
      </text>
    </comment>
    <comment ref="L76" authorId="0" shapeId="0" xr:uid="{E9D979D5-E8AC-4B7A-AC43-2FEB6D2459EF}">
      <text>
        <r>
          <rPr>
            <b/>
            <sz val="9"/>
            <color indexed="81"/>
            <rFont val="Tahoma"/>
            <family val="2"/>
          </rPr>
          <t>&lt;[[TCDeals] - [TC Property Current Stage (Seq: 1)] - [Buildings (Seq: 13)] Num Mkt Units - Send]&gt;</t>
        </r>
      </text>
    </comment>
    <comment ref="N76" authorId="0" shapeId="0" xr:uid="{9D60284A-73FC-4B1D-B3DC-7448F92127B3}">
      <text>
        <r>
          <rPr>
            <b/>
            <sz val="9"/>
            <color indexed="81"/>
            <rFont val="Tahoma"/>
            <family val="2"/>
          </rPr>
          <t>&lt;[[TCDeals] - [TC Property Current Stage (Seq: 1)] - [Buildings (Seq: 13)] Num TC Units - Send]&gt;</t>
        </r>
      </text>
    </comment>
    <comment ref="C77" authorId="0" shapeId="0" xr:uid="{0E05C471-425F-496B-88C6-03BEFA3C2C8C}">
      <text>
        <r>
          <rPr>
            <b/>
            <sz val="9"/>
            <color indexed="81"/>
            <rFont val="Tahoma"/>
            <family val="2"/>
          </rPr>
          <t>&lt;[[TCDeals] - [TC Property Current Stage (Seq: 1)] - [Buildings (Seq: 14)] Address 1 - Send]&gt;</t>
        </r>
      </text>
    </comment>
    <comment ref="E77" authorId="0" shapeId="0" xr:uid="{2FB9D8CD-7C90-42C3-BEB6-1C9A8C6D17F4}">
      <text>
        <r>
          <rPr>
            <b/>
            <sz val="9"/>
            <color indexed="81"/>
            <rFont val="Tahoma"/>
            <family val="2"/>
          </rPr>
          <t>&lt;[[TCDeals] - [TC Property Current Stage (Seq: 1)] - [Buildings (Seq: 14)] City - Send]&gt;</t>
        </r>
      </text>
    </comment>
    <comment ref="H77" authorId="0" shapeId="0" xr:uid="{40A3DE13-BD14-4C57-84B2-1FC6F814B9AD}">
      <text>
        <r>
          <rPr>
            <b/>
            <sz val="9"/>
            <color indexed="81"/>
            <rFont val="Tahoma"/>
            <family val="2"/>
          </rPr>
          <t>&lt;[[TCDeals] - [TC Property Current Stage (Seq: 1)] - [Buildings (Seq: 14)] State - Send]&gt;</t>
        </r>
      </text>
    </comment>
    <comment ref="J77" authorId="0" shapeId="0" xr:uid="{3C131815-F0FD-4EF2-A3F0-577BCB047929}">
      <text>
        <r>
          <rPr>
            <b/>
            <sz val="9"/>
            <color indexed="81"/>
            <rFont val="Tahoma"/>
            <family val="2"/>
          </rPr>
          <t>&lt;[[TCDeals] - [TC Property Current Stage (Seq: 1)] - [Buildings (Seq: 14)] Zip Code - Send]&gt;</t>
        </r>
      </text>
    </comment>
    <comment ref="L77" authorId="0" shapeId="0" xr:uid="{2AE2759F-B183-44FA-9CEA-CCD158506790}">
      <text>
        <r>
          <rPr>
            <b/>
            <sz val="9"/>
            <color indexed="81"/>
            <rFont val="Tahoma"/>
            <family val="2"/>
          </rPr>
          <t>&lt;[[TCDeals] - [TC Property Current Stage (Seq: 1)] - [Buildings (Seq: 14)] Num Mkt Units - Send]&gt;</t>
        </r>
      </text>
    </comment>
    <comment ref="N77" authorId="0" shapeId="0" xr:uid="{2E43B74F-8D99-4D76-AC6D-660A0F4DC2DD}">
      <text>
        <r>
          <rPr>
            <b/>
            <sz val="9"/>
            <color indexed="81"/>
            <rFont val="Tahoma"/>
            <family val="2"/>
          </rPr>
          <t>&lt;[[TCDeals] - [TC Property Current Stage (Seq: 1)] - [Buildings (Seq: 14)] Num TC Units - Send]&gt;</t>
        </r>
      </text>
    </comment>
    <comment ref="C78" authorId="0" shapeId="0" xr:uid="{8B1B7349-5233-49E7-A804-5317C5AF4C97}">
      <text>
        <r>
          <rPr>
            <b/>
            <sz val="9"/>
            <color indexed="81"/>
            <rFont val="Tahoma"/>
            <family val="2"/>
          </rPr>
          <t>&lt;[[TCDeals] - [TC Property Current Stage (Seq: 1)] - [Buildings (Seq: 15)] Address 1 - Send]&gt;</t>
        </r>
      </text>
    </comment>
    <comment ref="E78" authorId="0" shapeId="0" xr:uid="{3E97F7E2-2F27-4F28-AE28-7602DAB9F0CE}">
      <text>
        <r>
          <rPr>
            <b/>
            <sz val="9"/>
            <color indexed="81"/>
            <rFont val="Tahoma"/>
            <family val="2"/>
          </rPr>
          <t>&lt;[[TCDeals] - [TC Property Current Stage (Seq: 1)] - [Buildings (Seq: 15)] City - Send]&gt;</t>
        </r>
      </text>
    </comment>
    <comment ref="H78" authorId="0" shapeId="0" xr:uid="{1B835E22-3EE6-4F28-8679-297E9EFD54B5}">
      <text>
        <r>
          <rPr>
            <b/>
            <sz val="9"/>
            <color indexed="81"/>
            <rFont val="Tahoma"/>
            <family val="2"/>
          </rPr>
          <t>&lt;[[TCDeals] - [TC Property Current Stage (Seq: 1)] - [Buildings (Seq: 15)] State - Send]&gt;</t>
        </r>
      </text>
    </comment>
    <comment ref="J78" authorId="0" shapeId="0" xr:uid="{F146B904-27C6-41B5-9FE9-8FE1327E0BF6}">
      <text>
        <r>
          <rPr>
            <b/>
            <sz val="9"/>
            <color indexed="81"/>
            <rFont val="Tahoma"/>
            <family val="2"/>
          </rPr>
          <t>&lt;[[TCDeals] - [TC Property Current Stage (Seq: 1)] - [Buildings (Seq: 15)] Zip Code - Send]&gt;</t>
        </r>
      </text>
    </comment>
    <comment ref="L78" authorId="0" shapeId="0" xr:uid="{6EAA2583-63CF-4E5E-80AE-8913F714C0BD}">
      <text>
        <r>
          <rPr>
            <b/>
            <sz val="9"/>
            <color indexed="81"/>
            <rFont val="Tahoma"/>
            <family val="2"/>
          </rPr>
          <t>&lt;[[TCDeals] - [TC Property Current Stage (Seq: 1)] - [Buildings (Seq: 15)] Num Mkt Units - Send]&gt;</t>
        </r>
      </text>
    </comment>
    <comment ref="N78" authorId="0" shapeId="0" xr:uid="{4B063713-B324-4265-AB98-E0734633DB35}">
      <text>
        <r>
          <rPr>
            <b/>
            <sz val="9"/>
            <color indexed="81"/>
            <rFont val="Tahoma"/>
            <family val="2"/>
          </rPr>
          <t>&lt;[[TCDeals] - [TC Property Current Stage (Seq: 1)] - [Buildings (Seq: 15)] Num TC Units - Send]&gt;</t>
        </r>
      </text>
    </comment>
    <comment ref="C79" authorId="0" shapeId="0" xr:uid="{ED4606DD-3AE7-4C95-9F3B-CB9BDDF666AA}">
      <text>
        <r>
          <rPr>
            <b/>
            <sz val="9"/>
            <color indexed="81"/>
            <rFont val="Tahoma"/>
            <family val="2"/>
          </rPr>
          <t>&lt;[[TCDeals] - [TC Property Current Stage (Seq: 1)] - [Buildings (Seq: 16)] Address 1 - Send]&gt;</t>
        </r>
      </text>
    </comment>
    <comment ref="E79" authorId="0" shapeId="0" xr:uid="{52ED8D72-C3E6-45B2-B0E3-2A42677BAF1C}">
      <text>
        <r>
          <rPr>
            <b/>
            <sz val="9"/>
            <color indexed="81"/>
            <rFont val="Tahoma"/>
            <family val="2"/>
          </rPr>
          <t>&lt;[[TCDeals] - [TC Property Current Stage (Seq: 1)] - [Buildings (Seq: 16)] City - Send]&gt;</t>
        </r>
      </text>
    </comment>
    <comment ref="H79" authorId="0" shapeId="0" xr:uid="{BD1B3BCE-3324-4CE4-B46E-C81A9D41E23C}">
      <text>
        <r>
          <rPr>
            <b/>
            <sz val="9"/>
            <color indexed="81"/>
            <rFont val="Tahoma"/>
            <family val="2"/>
          </rPr>
          <t>&lt;[[TCDeals] - [TC Property Current Stage (Seq: 1)] - [Buildings (Seq: 16)] State - Send]&gt;</t>
        </r>
      </text>
    </comment>
    <comment ref="J79" authorId="0" shapeId="0" xr:uid="{FC79CFF9-6146-423A-B071-B2BB5222DB7E}">
      <text>
        <r>
          <rPr>
            <b/>
            <sz val="9"/>
            <color indexed="81"/>
            <rFont val="Tahoma"/>
            <family val="2"/>
          </rPr>
          <t>&lt;[[TCDeals] - [TC Property Current Stage (Seq: 1)] - [Buildings (Seq: 16)] Zip Code - Send]&gt;</t>
        </r>
      </text>
    </comment>
    <comment ref="L79" authorId="0" shapeId="0" xr:uid="{C4E3F643-340B-4B7F-9F65-19B6FF724AE5}">
      <text>
        <r>
          <rPr>
            <b/>
            <sz val="9"/>
            <color indexed="81"/>
            <rFont val="Tahoma"/>
            <family val="2"/>
          </rPr>
          <t>&lt;[[TCDeals] - [TC Property Current Stage (Seq: 1)] - [Buildings (Seq: 16)] Num Mkt Units - Send]&gt;</t>
        </r>
      </text>
    </comment>
    <comment ref="N79" authorId="0" shapeId="0" xr:uid="{C9EF463E-ADC6-4712-B471-132C295F01E1}">
      <text>
        <r>
          <rPr>
            <b/>
            <sz val="9"/>
            <color indexed="81"/>
            <rFont val="Tahoma"/>
            <family val="2"/>
          </rPr>
          <t>&lt;[[TCDeals] - [TC Property Current Stage (Seq: 1)] - [Buildings (Seq: 16)] Num TC Units - Send]&gt;</t>
        </r>
      </text>
    </comment>
    <comment ref="C80" authorId="0" shapeId="0" xr:uid="{1B3F09FE-7887-44A4-9833-3D4491F61769}">
      <text>
        <r>
          <rPr>
            <b/>
            <sz val="9"/>
            <color indexed="81"/>
            <rFont val="Tahoma"/>
            <family val="2"/>
          </rPr>
          <t>&lt;[[TCDeals] - [TC Property Current Stage (Seq: 1)] - [Buildings (Seq: 17)] Address 1 - Send]&gt;</t>
        </r>
      </text>
    </comment>
    <comment ref="E80" authorId="0" shapeId="0" xr:uid="{0F18A4AA-D99E-4B45-8A21-1C491732943B}">
      <text>
        <r>
          <rPr>
            <b/>
            <sz val="9"/>
            <color indexed="81"/>
            <rFont val="Tahoma"/>
            <family val="2"/>
          </rPr>
          <t>&lt;[[TCDeals] - [TC Property Current Stage (Seq: 1)] - [Buildings (Seq: 17)] City - Send]&gt;</t>
        </r>
      </text>
    </comment>
    <comment ref="H80" authorId="0" shapeId="0" xr:uid="{40367F5C-92BA-45B2-8895-C1EE18D3CC81}">
      <text>
        <r>
          <rPr>
            <b/>
            <sz val="9"/>
            <color indexed="81"/>
            <rFont val="Tahoma"/>
            <family val="2"/>
          </rPr>
          <t>&lt;[[TCDeals] - [TC Property Current Stage (Seq: 1)] - [Buildings (Seq: 17)] State - Send]&gt;</t>
        </r>
      </text>
    </comment>
    <comment ref="J80" authorId="0" shapeId="0" xr:uid="{A78C67CB-ABEE-41E8-B2C6-6C3FEAA48370}">
      <text>
        <r>
          <rPr>
            <b/>
            <sz val="9"/>
            <color indexed="81"/>
            <rFont val="Tahoma"/>
            <family val="2"/>
          </rPr>
          <t>&lt;[[TCDeals] - [TC Property Current Stage (Seq: 1)] - [Buildings (Seq: 17)] Zip Code - Send]&gt;</t>
        </r>
      </text>
    </comment>
    <comment ref="L80" authorId="0" shapeId="0" xr:uid="{FA00BFFD-DB80-4FBE-B79E-E8CB41A0B98B}">
      <text>
        <r>
          <rPr>
            <b/>
            <sz val="9"/>
            <color indexed="81"/>
            <rFont val="Tahoma"/>
            <family val="2"/>
          </rPr>
          <t>&lt;[[TCDeals] - [TC Property Current Stage (Seq: 1)] - [Buildings (Seq: 17)] Num Mkt Units - Send]&gt;</t>
        </r>
      </text>
    </comment>
    <comment ref="N80" authorId="0" shapeId="0" xr:uid="{3471426B-C096-4CA9-9057-0AB90935E84C}">
      <text>
        <r>
          <rPr>
            <b/>
            <sz val="9"/>
            <color indexed="81"/>
            <rFont val="Tahoma"/>
            <family val="2"/>
          </rPr>
          <t>&lt;[[TCDeals] - [TC Property Current Stage (Seq: 1)] - [Buildings (Seq: 17)] Num TC Units - Send]&gt;</t>
        </r>
      </text>
    </comment>
    <comment ref="C81" authorId="0" shapeId="0" xr:uid="{15A9BEEF-15C4-4843-853C-1E96724BD9A9}">
      <text>
        <r>
          <rPr>
            <b/>
            <sz val="9"/>
            <color indexed="81"/>
            <rFont val="Tahoma"/>
            <family val="2"/>
          </rPr>
          <t>&lt;[[TCDeals] - [TC Property Current Stage (Seq: 1)] - [Buildings (Seq: 18)] Address 1 - Send]&gt;</t>
        </r>
      </text>
    </comment>
    <comment ref="E81" authorId="0" shapeId="0" xr:uid="{AF1397B4-F751-4358-B97C-2B211D64B8FA}">
      <text>
        <r>
          <rPr>
            <b/>
            <sz val="9"/>
            <color indexed="81"/>
            <rFont val="Tahoma"/>
            <family val="2"/>
          </rPr>
          <t>&lt;[[TCDeals] - [TC Property Current Stage (Seq: 1)] - [Buildings (Seq: 18)] City - Send]&gt;</t>
        </r>
      </text>
    </comment>
    <comment ref="H81" authorId="0" shapeId="0" xr:uid="{5733FCE3-42E8-4BF4-980F-FAFC12E0E58B}">
      <text>
        <r>
          <rPr>
            <b/>
            <sz val="9"/>
            <color indexed="81"/>
            <rFont val="Tahoma"/>
            <family val="2"/>
          </rPr>
          <t>&lt;[[TCDeals] - [TC Property Current Stage (Seq: 1)] - [Buildings (Seq: 18)] State - Send]&gt;</t>
        </r>
      </text>
    </comment>
    <comment ref="J81" authorId="0" shapeId="0" xr:uid="{EE94DBEF-146A-4600-A1DF-4075141A7B91}">
      <text>
        <r>
          <rPr>
            <b/>
            <sz val="9"/>
            <color indexed="81"/>
            <rFont val="Tahoma"/>
            <family val="2"/>
          </rPr>
          <t>&lt;[[TCDeals] - [TC Property Current Stage (Seq: 1)] - [Buildings (Seq: 18)] Zip Code - Send]&gt;</t>
        </r>
      </text>
    </comment>
    <comment ref="L81" authorId="0" shapeId="0" xr:uid="{5D204D03-3DCA-46A4-BE8E-FBE33351C418}">
      <text>
        <r>
          <rPr>
            <b/>
            <sz val="9"/>
            <color indexed="81"/>
            <rFont val="Tahoma"/>
            <family val="2"/>
          </rPr>
          <t>&lt;[[TCDeals] - [TC Property Current Stage (Seq: 1)] - [Buildings (Seq: 18)] Num Mkt Units - Send]&gt;</t>
        </r>
      </text>
    </comment>
    <comment ref="N81" authorId="0" shapeId="0" xr:uid="{78A6A297-C21A-4210-B8B0-FE0993CE0AA3}">
      <text>
        <r>
          <rPr>
            <b/>
            <sz val="9"/>
            <color indexed="81"/>
            <rFont val="Tahoma"/>
            <family val="2"/>
          </rPr>
          <t>&lt;[[TCDeals] - [TC Property Current Stage (Seq: 1)] - [Buildings (Seq: 18)] Num TC Units - Send]&gt;</t>
        </r>
      </text>
    </comment>
    <comment ref="C82" authorId="0" shapeId="0" xr:uid="{8CD0D905-9C3B-4630-91D6-6793B2E56DAC}">
      <text>
        <r>
          <rPr>
            <b/>
            <sz val="9"/>
            <color indexed="81"/>
            <rFont val="Tahoma"/>
            <family val="2"/>
          </rPr>
          <t>&lt;[[TCDeals] - [TC Property Current Stage (Seq: 1)] - [Buildings (Seq: 19)] Address 1 - Send]&gt;</t>
        </r>
      </text>
    </comment>
    <comment ref="E82" authorId="0" shapeId="0" xr:uid="{A353EE74-6073-41EF-B425-CDF71FCD5E55}">
      <text>
        <r>
          <rPr>
            <b/>
            <sz val="9"/>
            <color indexed="81"/>
            <rFont val="Tahoma"/>
            <family val="2"/>
          </rPr>
          <t>&lt;[[TCDeals] - [TC Property Current Stage (Seq: 1)] - [Buildings (Seq: 19)] City - Send]&gt;</t>
        </r>
      </text>
    </comment>
    <comment ref="H82" authorId="0" shapeId="0" xr:uid="{9793F1F0-05C6-4EC5-9ABE-01379993F795}">
      <text>
        <r>
          <rPr>
            <b/>
            <sz val="9"/>
            <color indexed="81"/>
            <rFont val="Tahoma"/>
            <family val="2"/>
          </rPr>
          <t>&lt;[[TCDeals] - [TC Property Current Stage (Seq: 1)] - [Buildings (Seq: 19)] State - Send]&gt;</t>
        </r>
      </text>
    </comment>
    <comment ref="J82" authorId="0" shapeId="0" xr:uid="{8F1A07B9-534B-44F2-AC5D-E2BDFC0DE168}">
      <text>
        <r>
          <rPr>
            <b/>
            <sz val="9"/>
            <color indexed="81"/>
            <rFont val="Tahoma"/>
            <family val="2"/>
          </rPr>
          <t>&lt;[[TCDeals] - [TC Property Current Stage (Seq: 1)] - [Buildings (Seq: 19)] Zip Code - Send]&gt;</t>
        </r>
      </text>
    </comment>
    <comment ref="L82" authorId="0" shapeId="0" xr:uid="{9B615EF3-17CC-455A-BA7D-5EB94E473DD6}">
      <text>
        <r>
          <rPr>
            <b/>
            <sz val="9"/>
            <color indexed="81"/>
            <rFont val="Tahoma"/>
            <family val="2"/>
          </rPr>
          <t>&lt;[[TCDeals] - [TC Property Current Stage (Seq: 1)] - [Buildings (Seq: 19)] Num Mkt Units - Send]&gt;</t>
        </r>
      </text>
    </comment>
    <comment ref="N82" authorId="0" shapeId="0" xr:uid="{94095D6A-E796-4FCA-8884-743453B95806}">
      <text>
        <r>
          <rPr>
            <b/>
            <sz val="9"/>
            <color indexed="81"/>
            <rFont val="Tahoma"/>
            <family val="2"/>
          </rPr>
          <t>&lt;[[TCDeals] - [TC Property Current Stage (Seq: 1)] - [Buildings (Seq: 19)] Num TC Units - Send]&gt;</t>
        </r>
      </text>
    </comment>
    <comment ref="C83" authorId="0" shapeId="0" xr:uid="{BF87D02D-11E7-4C6E-A4F5-3CF156FE1F7E}">
      <text>
        <r>
          <rPr>
            <b/>
            <sz val="9"/>
            <color indexed="81"/>
            <rFont val="Tahoma"/>
            <family val="2"/>
          </rPr>
          <t>&lt;[[TCDeals] - [TC Property Current Stage (Seq: 1)] - [Buildings (Seq: 20)] Address 1 - Send]&gt;</t>
        </r>
      </text>
    </comment>
    <comment ref="E83" authorId="0" shapeId="0" xr:uid="{3D192511-A5BD-4CD7-9CEA-A3D2B8970BE4}">
      <text>
        <r>
          <rPr>
            <b/>
            <sz val="9"/>
            <color indexed="81"/>
            <rFont val="Tahoma"/>
            <family val="2"/>
          </rPr>
          <t>&lt;[[TCDeals] - [TC Property Current Stage (Seq: 1)] - [Buildings (Seq: 20)] City - Send]&gt;</t>
        </r>
      </text>
    </comment>
    <comment ref="H83" authorId="0" shapeId="0" xr:uid="{964B02E5-E19A-4903-AD5D-A5A4D1C450F1}">
      <text>
        <r>
          <rPr>
            <b/>
            <sz val="9"/>
            <color indexed="81"/>
            <rFont val="Tahoma"/>
            <family val="2"/>
          </rPr>
          <t>&lt;[[TCDeals] - [TC Property Current Stage (Seq: 1)] - [Buildings (Seq: 20)] State - Send]&gt;</t>
        </r>
      </text>
    </comment>
    <comment ref="J83" authorId="0" shapeId="0" xr:uid="{F36E5CFF-764C-432A-B724-169763571BD8}">
      <text>
        <r>
          <rPr>
            <b/>
            <sz val="9"/>
            <color indexed="81"/>
            <rFont val="Tahoma"/>
            <family val="2"/>
          </rPr>
          <t>&lt;[[TCDeals] - [TC Property Current Stage (Seq: 1)] - [Buildings (Seq: 20)] Zip Code - Send]&gt;</t>
        </r>
      </text>
    </comment>
    <comment ref="L83" authorId="0" shapeId="0" xr:uid="{503CE0EA-29C5-4D0E-A295-34E4594E9A51}">
      <text>
        <r>
          <rPr>
            <b/>
            <sz val="9"/>
            <color indexed="81"/>
            <rFont val="Tahoma"/>
            <family val="2"/>
          </rPr>
          <t>&lt;[[TCDeals] - [TC Property Current Stage (Seq: 1)] - [Buildings (Seq: 20)] Num Mkt Units - Send]&gt;</t>
        </r>
      </text>
    </comment>
    <comment ref="N83" authorId="0" shapeId="0" xr:uid="{7ADC4F88-1A19-4B3D-9A48-07EFFED4208D}">
      <text>
        <r>
          <rPr>
            <b/>
            <sz val="9"/>
            <color indexed="81"/>
            <rFont val="Tahoma"/>
            <family val="2"/>
          </rPr>
          <t>&lt;[[TCDeals] - [TC Property Current Stage (Seq: 1)] - [Buildings (Seq: 20)] Num TC Units - Send]&gt;</t>
        </r>
      </text>
    </comment>
    <comment ref="C84" authorId="0" shapeId="0" xr:uid="{B4265758-7808-4200-8605-2FE133152574}">
      <text>
        <r>
          <rPr>
            <b/>
            <sz val="9"/>
            <color indexed="81"/>
            <rFont val="Tahoma"/>
            <family val="2"/>
          </rPr>
          <t>&lt;[[TCDeals] - [TC Property Current Stage (Seq: 1)] - [Buildings (Seq: 21)] Address 1 - Send]&gt;</t>
        </r>
      </text>
    </comment>
    <comment ref="E84" authorId="0" shapeId="0" xr:uid="{A9485D5B-1B10-416C-8BDE-4D5D2CF1F38D}">
      <text>
        <r>
          <rPr>
            <b/>
            <sz val="9"/>
            <color indexed="81"/>
            <rFont val="Tahoma"/>
            <family val="2"/>
          </rPr>
          <t>&lt;[[TCDeals] - [TC Property Current Stage (Seq: 1)] - [Buildings (Seq: 21)] City - Send]&gt;</t>
        </r>
      </text>
    </comment>
    <comment ref="H84" authorId="0" shapeId="0" xr:uid="{FF83DBE6-0A9A-46C1-80B0-6107815E55A4}">
      <text>
        <r>
          <rPr>
            <b/>
            <sz val="9"/>
            <color indexed="81"/>
            <rFont val="Tahoma"/>
            <family val="2"/>
          </rPr>
          <t>&lt;[[TCDeals] - [TC Property Current Stage (Seq: 1)] - [Buildings (Seq: 21)] State - Send]&gt;</t>
        </r>
      </text>
    </comment>
    <comment ref="J84" authorId="0" shapeId="0" xr:uid="{9FF28F18-02AC-490F-808A-2EB173533E91}">
      <text>
        <r>
          <rPr>
            <b/>
            <sz val="9"/>
            <color indexed="81"/>
            <rFont val="Tahoma"/>
            <family val="2"/>
          </rPr>
          <t>&lt;[[TCDeals] - [TC Property Current Stage (Seq: 1)] - [Buildings (Seq: 21)] Zip Code - Send]&gt;</t>
        </r>
      </text>
    </comment>
    <comment ref="L84" authorId="0" shapeId="0" xr:uid="{D971A3D3-95C6-401B-867C-86C74B38F704}">
      <text>
        <r>
          <rPr>
            <b/>
            <sz val="9"/>
            <color indexed="81"/>
            <rFont val="Tahoma"/>
            <family val="2"/>
          </rPr>
          <t>&lt;[[TCDeals] - [TC Property Current Stage (Seq: 1)] - [Buildings (Seq: 21)] Num Mkt Units - Send]&gt;</t>
        </r>
      </text>
    </comment>
    <comment ref="N84" authorId="0" shapeId="0" xr:uid="{F734BF58-E269-48D3-880C-3585BD92C5C0}">
      <text>
        <r>
          <rPr>
            <b/>
            <sz val="9"/>
            <color indexed="81"/>
            <rFont val="Tahoma"/>
            <family val="2"/>
          </rPr>
          <t>&lt;[[TCDeals] - [TC Property Current Stage (Seq: 1)] - [Buildings (Seq: 21)] Num TC Units - Send]&gt;</t>
        </r>
      </text>
    </comment>
    <comment ref="C85" authorId="0" shapeId="0" xr:uid="{13A5D1FC-F8B8-4F10-9217-3310DE6A1624}">
      <text>
        <r>
          <rPr>
            <b/>
            <sz val="9"/>
            <color indexed="81"/>
            <rFont val="Tahoma"/>
            <family val="2"/>
          </rPr>
          <t>&lt;[[TCDeals] - [TC Property Current Stage (Seq: 1)] - [Buildings (Seq: 22)] Address 1 - Send]&gt;</t>
        </r>
      </text>
    </comment>
    <comment ref="E85" authorId="0" shapeId="0" xr:uid="{531C1125-F9F0-4A73-90B0-96AD6A227BFA}">
      <text>
        <r>
          <rPr>
            <b/>
            <sz val="9"/>
            <color indexed="81"/>
            <rFont val="Tahoma"/>
            <family val="2"/>
          </rPr>
          <t>&lt;[[TCDeals] - [TC Property Current Stage (Seq: 1)] - [Buildings (Seq: 22)] City - Send]&gt;</t>
        </r>
      </text>
    </comment>
    <comment ref="H85" authorId="0" shapeId="0" xr:uid="{D0CB37B2-7A0A-4CA3-BE86-97223D3574C2}">
      <text>
        <r>
          <rPr>
            <b/>
            <sz val="9"/>
            <color indexed="81"/>
            <rFont val="Tahoma"/>
            <family val="2"/>
          </rPr>
          <t>&lt;[[TCDeals] - [TC Property Current Stage (Seq: 1)] - [Buildings (Seq: 22)] State - Send]&gt;</t>
        </r>
      </text>
    </comment>
    <comment ref="J85" authorId="0" shapeId="0" xr:uid="{D36C0741-DF67-4AD4-85E5-A7EEEEECC67D}">
      <text>
        <r>
          <rPr>
            <b/>
            <sz val="9"/>
            <color indexed="81"/>
            <rFont val="Tahoma"/>
            <family val="2"/>
          </rPr>
          <t>&lt;[[TCDeals] - [TC Property Current Stage (Seq: 1)] - [Buildings (Seq: 22)] Zip Code - Send]&gt;</t>
        </r>
      </text>
    </comment>
    <comment ref="L85" authorId="0" shapeId="0" xr:uid="{A048401F-F678-4B61-B00D-7F5A7D314EAE}">
      <text>
        <r>
          <rPr>
            <b/>
            <sz val="9"/>
            <color indexed="81"/>
            <rFont val="Tahoma"/>
            <family val="2"/>
          </rPr>
          <t>&lt;[[TCDeals] - [TC Property Current Stage (Seq: 1)] - [Buildings (Seq: 22)] Num Mkt Units - Send]&gt;</t>
        </r>
      </text>
    </comment>
    <comment ref="N85" authorId="0" shapeId="0" xr:uid="{63113B8E-AD95-49D6-A8DC-C2E14227D0E1}">
      <text>
        <r>
          <rPr>
            <b/>
            <sz val="9"/>
            <color indexed="81"/>
            <rFont val="Tahoma"/>
            <family val="2"/>
          </rPr>
          <t>&lt;[[TCDeals] - [TC Property Current Stage (Seq: 1)] - [Buildings (Seq: 22)] Num TC Units - Send]&gt;</t>
        </r>
      </text>
    </comment>
    <comment ref="C86" authorId="0" shapeId="0" xr:uid="{48B00088-A131-4D80-B548-3EDD6641E2D5}">
      <text>
        <r>
          <rPr>
            <b/>
            <sz val="9"/>
            <color indexed="81"/>
            <rFont val="Tahoma"/>
            <family val="2"/>
          </rPr>
          <t>&lt;[[TCDeals] - [TC Property Current Stage (Seq: 1)] - [Buildings (Seq: 23)] Address 1 - Send]&gt;</t>
        </r>
      </text>
    </comment>
    <comment ref="E86" authorId="0" shapeId="0" xr:uid="{907CAD46-12D8-4321-BB06-943BE8E9763E}">
      <text>
        <r>
          <rPr>
            <b/>
            <sz val="9"/>
            <color indexed="81"/>
            <rFont val="Tahoma"/>
            <family val="2"/>
          </rPr>
          <t>&lt;[[TCDeals] - [TC Property Current Stage (Seq: 1)] - [Buildings (Seq: 23)] City - Send]&gt;</t>
        </r>
      </text>
    </comment>
    <comment ref="H86" authorId="0" shapeId="0" xr:uid="{CA5D2211-2864-4BBA-941F-BD152D822C18}">
      <text>
        <r>
          <rPr>
            <b/>
            <sz val="9"/>
            <color indexed="81"/>
            <rFont val="Tahoma"/>
            <family val="2"/>
          </rPr>
          <t>&lt;[[TCDeals] - [TC Property Current Stage (Seq: 1)] - [Buildings (Seq: 23)] State - Send]&gt;</t>
        </r>
      </text>
    </comment>
    <comment ref="J86" authorId="0" shapeId="0" xr:uid="{650C7941-211D-4459-834F-9AA968613617}">
      <text>
        <r>
          <rPr>
            <b/>
            <sz val="9"/>
            <color indexed="81"/>
            <rFont val="Tahoma"/>
            <family val="2"/>
          </rPr>
          <t>&lt;[[TCDeals] - [TC Property Current Stage (Seq: 1)] - [Buildings (Seq: 23)] Zip Code - Send]&gt;</t>
        </r>
      </text>
    </comment>
    <comment ref="L86" authorId="0" shapeId="0" xr:uid="{1E99BBE9-481A-4739-9BED-05EB44227BEE}">
      <text>
        <r>
          <rPr>
            <b/>
            <sz val="9"/>
            <color indexed="81"/>
            <rFont val="Tahoma"/>
            <family val="2"/>
          </rPr>
          <t>&lt;[[TCDeals] - [TC Property Current Stage (Seq: 1)] - [Buildings (Seq: 23)] Num Mkt Units - Send]&gt;</t>
        </r>
      </text>
    </comment>
    <comment ref="N86" authorId="0" shapeId="0" xr:uid="{B876C3C1-02DA-4E74-9EC4-830DC5B7D3DA}">
      <text>
        <r>
          <rPr>
            <b/>
            <sz val="9"/>
            <color indexed="81"/>
            <rFont val="Tahoma"/>
            <family val="2"/>
          </rPr>
          <t>&lt;[[TCDeals] - [TC Property Current Stage (Seq: 1)] - [Buildings (Seq: 23)] Num TC Units - Send]&gt;</t>
        </r>
      </text>
    </comment>
    <comment ref="C87" authorId="0" shapeId="0" xr:uid="{02318F83-9C7B-484F-8BD4-DF2889C179C7}">
      <text>
        <r>
          <rPr>
            <b/>
            <sz val="9"/>
            <color indexed="81"/>
            <rFont val="Tahoma"/>
            <family val="2"/>
          </rPr>
          <t>&lt;[[TCDeals] - [TC Property Current Stage (Seq: 1)] - [Buildings (Seq: 24)] Address 1 - Send]&gt;</t>
        </r>
      </text>
    </comment>
    <comment ref="E87" authorId="0" shapeId="0" xr:uid="{68886123-E61B-4996-9B2F-458C49C280BC}">
      <text>
        <r>
          <rPr>
            <b/>
            <sz val="9"/>
            <color indexed="81"/>
            <rFont val="Tahoma"/>
            <family val="2"/>
          </rPr>
          <t>&lt;[[TCDeals] - [TC Property Current Stage (Seq: 1)] - [Buildings (Seq: 24)] City - Send]&gt;</t>
        </r>
      </text>
    </comment>
    <comment ref="H87" authorId="0" shapeId="0" xr:uid="{22505CC4-70A9-4923-BBC7-E0EF8C3A64D5}">
      <text>
        <r>
          <rPr>
            <b/>
            <sz val="9"/>
            <color indexed="81"/>
            <rFont val="Tahoma"/>
            <family val="2"/>
          </rPr>
          <t>&lt;[[TCDeals] - [TC Property Current Stage (Seq: 1)] - [Buildings (Seq: 24)] State - Send]&gt;</t>
        </r>
      </text>
    </comment>
    <comment ref="J87" authorId="0" shapeId="0" xr:uid="{2751C6BA-5B96-4290-8560-0340365D4D9A}">
      <text>
        <r>
          <rPr>
            <b/>
            <sz val="9"/>
            <color indexed="81"/>
            <rFont val="Tahoma"/>
            <family val="2"/>
          </rPr>
          <t>&lt;[[TCDeals] - [TC Property Current Stage (Seq: 1)] - [Buildings (Seq: 24)] Zip Code - Send]&gt;</t>
        </r>
      </text>
    </comment>
    <comment ref="L87" authorId="0" shapeId="0" xr:uid="{B68D0CF8-1866-4633-BC94-537CDC3F8264}">
      <text>
        <r>
          <rPr>
            <b/>
            <sz val="9"/>
            <color indexed="81"/>
            <rFont val="Tahoma"/>
            <family val="2"/>
          </rPr>
          <t>&lt;[[TCDeals] - [TC Property Current Stage (Seq: 1)] - [Buildings (Seq: 24)] Num Mkt Units - Send]&gt;</t>
        </r>
      </text>
    </comment>
    <comment ref="N87" authorId="0" shapeId="0" xr:uid="{ABAE9D27-4940-4993-A26A-1ADEC17B0A00}">
      <text>
        <r>
          <rPr>
            <b/>
            <sz val="9"/>
            <color indexed="81"/>
            <rFont val="Tahoma"/>
            <family val="2"/>
          </rPr>
          <t>&lt;[[TCDeals] - [TC Property Current Stage (Seq: 1)] - [Buildings (Seq: 24)] Num TC Units - Send]&gt;</t>
        </r>
      </text>
    </comment>
    <comment ref="C88" authorId="0" shapeId="0" xr:uid="{97426EE3-4F15-4794-ADA7-204E912F29A8}">
      <text>
        <r>
          <rPr>
            <b/>
            <sz val="9"/>
            <color indexed="81"/>
            <rFont val="Tahoma"/>
            <family val="2"/>
          </rPr>
          <t>&lt;[[TCDeals] - [TC Property Current Stage (Seq: 1)] - [Buildings (Seq: 25)] Address 1 - Send]&gt;</t>
        </r>
      </text>
    </comment>
    <comment ref="E88" authorId="0" shapeId="0" xr:uid="{AE142AC8-9C87-43EB-9374-BEC49F291646}">
      <text>
        <r>
          <rPr>
            <b/>
            <sz val="9"/>
            <color indexed="81"/>
            <rFont val="Tahoma"/>
            <family val="2"/>
          </rPr>
          <t>&lt;[[TCDeals] - [TC Property Current Stage (Seq: 1)] - [Buildings (Seq: 25)] City - Send]&gt;</t>
        </r>
      </text>
    </comment>
    <comment ref="H88" authorId="0" shapeId="0" xr:uid="{FFC6CD9E-C02D-449C-9378-924D6283D55F}">
      <text>
        <r>
          <rPr>
            <b/>
            <sz val="9"/>
            <color indexed="81"/>
            <rFont val="Tahoma"/>
            <family val="2"/>
          </rPr>
          <t>&lt;[[TCDeals] - [TC Property Current Stage (Seq: 1)] - [Buildings (Seq: 25)] State - Send]&gt;</t>
        </r>
      </text>
    </comment>
    <comment ref="J88" authorId="0" shapeId="0" xr:uid="{CEB3D179-A33D-430B-B4A3-B77C9F7F432E}">
      <text>
        <r>
          <rPr>
            <b/>
            <sz val="9"/>
            <color indexed="81"/>
            <rFont val="Tahoma"/>
            <family val="2"/>
          </rPr>
          <t>&lt;[[TCDeals] - [TC Property Current Stage (Seq: 1)] - [Buildings (Seq: 25)] Zip Code - Send]&gt;</t>
        </r>
      </text>
    </comment>
    <comment ref="L88" authorId="0" shapeId="0" xr:uid="{168CD7E7-E208-44A3-A9EA-415D0D7B087F}">
      <text>
        <r>
          <rPr>
            <b/>
            <sz val="9"/>
            <color indexed="81"/>
            <rFont val="Tahoma"/>
            <family val="2"/>
          </rPr>
          <t>&lt;[[TCDeals] - [TC Property Current Stage (Seq: 1)] - [Buildings (Seq: 25)] Num Mkt Units - Send]&gt;</t>
        </r>
      </text>
    </comment>
    <comment ref="N88" authorId="0" shapeId="0" xr:uid="{E47594BF-E272-434D-ABCF-5AC5243F9126}">
      <text>
        <r>
          <rPr>
            <b/>
            <sz val="9"/>
            <color indexed="81"/>
            <rFont val="Tahoma"/>
            <family val="2"/>
          </rPr>
          <t>&lt;[[TCDeals] - [TC Property Current Stage (Seq: 1)] - [Buildings (Seq: 25)] Num TC Units - Send]&gt;</t>
        </r>
      </text>
    </comment>
    <comment ref="C89" authorId="0" shapeId="0" xr:uid="{B8E0C398-FB5A-45CA-B1EB-F99471A93705}">
      <text>
        <r>
          <rPr>
            <b/>
            <sz val="9"/>
            <color indexed="81"/>
            <rFont val="Tahoma"/>
            <family val="2"/>
          </rPr>
          <t>&lt;[[TCDeals] - [TC Property Current Stage (Seq: 1)] - [Buildings (Seq: 26)] Address 1 - Send]&gt;</t>
        </r>
      </text>
    </comment>
    <comment ref="E89" authorId="0" shapeId="0" xr:uid="{6E646404-B15D-4535-9299-2FBF6F148B6A}">
      <text>
        <r>
          <rPr>
            <b/>
            <sz val="9"/>
            <color indexed="81"/>
            <rFont val="Tahoma"/>
            <family val="2"/>
          </rPr>
          <t>&lt;[[TCDeals] - [TC Property Current Stage (Seq: 1)] - [Buildings (Seq: 26)] City - Send]&gt;</t>
        </r>
      </text>
    </comment>
    <comment ref="H89" authorId="0" shapeId="0" xr:uid="{78A8137F-F10E-47F3-88A2-7254A3623527}">
      <text>
        <r>
          <rPr>
            <b/>
            <sz val="9"/>
            <color indexed="81"/>
            <rFont val="Tahoma"/>
            <family val="2"/>
          </rPr>
          <t>&lt;[[TCDeals] - [TC Property Current Stage (Seq: 1)] - [Buildings (Seq: 26)] State - Send]&gt;</t>
        </r>
      </text>
    </comment>
    <comment ref="J89" authorId="0" shapeId="0" xr:uid="{407D291D-D993-4C42-B6B7-1FC2A9F72F5A}">
      <text>
        <r>
          <rPr>
            <b/>
            <sz val="9"/>
            <color indexed="81"/>
            <rFont val="Tahoma"/>
            <family val="2"/>
          </rPr>
          <t>&lt;[[TCDeals] - [TC Property Current Stage (Seq: 1)] - [Buildings (Seq: 26)] Zip Code - Send]&gt;</t>
        </r>
      </text>
    </comment>
    <comment ref="L89" authorId="0" shapeId="0" xr:uid="{EFBEBB22-35EE-4CEF-AD59-3DD383D03B70}">
      <text>
        <r>
          <rPr>
            <b/>
            <sz val="9"/>
            <color indexed="81"/>
            <rFont val="Tahoma"/>
            <family val="2"/>
          </rPr>
          <t>&lt;[[TCDeals] - [TC Property Current Stage (Seq: 1)] - [Buildings (Seq: 26)] Num Mkt Units - Send]&gt;</t>
        </r>
      </text>
    </comment>
    <comment ref="N89" authorId="0" shapeId="0" xr:uid="{9925B449-1836-46D7-879F-D5A652217BD2}">
      <text>
        <r>
          <rPr>
            <b/>
            <sz val="9"/>
            <color indexed="81"/>
            <rFont val="Tahoma"/>
            <family val="2"/>
          </rPr>
          <t>&lt;[[TCDeals] - [TC Property Current Stage (Seq: 1)] - [Buildings (Seq: 26)] Num TC Units - Send]&gt;</t>
        </r>
      </text>
    </comment>
    <comment ref="C90" authorId="0" shapeId="0" xr:uid="{64415375-3034-4E10-8C58-2826B8B564BA}">
      <text>
        <r>
          <rPr>
            <b/>
            <sz val="9"/>
            <color indexed="81"/>
            <rFont val="Tahoma"/>
            <family val="2"/>
          </rPr>
          <t>&lt;[[TCDeals] - [TC Property Current Stage (Seq: 1)] - [Buildings (Seq: 27)] Address 1 - Send]&gt;</t>
        </r>
      </text>
    </comment>
    <comment ref="E90" authorId="0" shapeId="0" xr:uid="{1F39E658-8A62-4205-A5D2-B7E347AF5606}">
      <text>
        <r>
          <rPr>
            <b/>
            <sz val="9"/>
            <color indexed="81"/>
            <rFont val="Tahoma"/>
            <family val="2"/>
          </rPr>
          <t>&lt;[[TCDeals] - [TC Property Current Stage (Seq: 1)] - [Buildings (Seq: 27)] City - Send]&gt;</t>
        </r>
      </text>
    </comment>
    <comment ref="H90" authorId="0" shapeId="0" xr:uid="{D5F61E30-0D2A-41DA-A9E7-D055DE38E732}">
      <text>
        <r>
          <rPr>
            <b/>
            <sz val="9"/>
            <color indexed="81"/>
            <rFont val="Tahoma"/>
            <family val="2"/>
          </rPr>
          <t>&lt;[[TCDeals] - [TC Property Current Stage (Seq: 1)] - [Buildings (Seq: 27)] State - Send]&gt;</t>
        </r>
      </text>
    </comment>
    <comment ref="J90" authorId="0" shapeId="0" xr:uid="{23B93723-E4AB-4E62-8FB6-B8BEFAEFA567}">
      <text>
        <r>
          <rPr>
            <b/>
            <sz val="9"/>
            <color indexed="81"/>
            <rFont val="Tahoma"/>
            <family val="2"/>
          </rPr>
          <t>&lt;[[TCDeals] - [TC Property Current Stage (Seq: 1)] - [Buildings (Seq: 27)] Zip Code - Send]&gt;</t>
        </r>
      </text>
    </comment>
    <comment ref="L90" authorId="0" shapeId="0" xr:uid="{52D193B3-A271-444D-85D6-E19C554253BF}">
      <text>
        <r>
          <rPr>
            <b/>
            <sz val="9"/>
            <color indexed="81"/>
            <rFont val="Tahoma"/>
            <family val="2"/>
          </rPr>
          <t>&lt;[[TCDeals] - [TC Property Current Stage (Seq: 1)] - [Buildings (Seq: 27)] Num Mkt Units - Send]&gt;</t>
        </r>
      </text>
    </comment>
    <comment ref="N90" authorId="0" shapeId="0" xr:uid="{D11CA485-DCEF-43BC-A104-58D9077CF8FA}">
      <text>
        <r>
          <rPr>
            <b/>
            <sz val="9"/>
            <color indexed="81"/>
            <rFont val="Tahoma"/>
            <family val="2"/>
          </rPr>
          <t>&lt;[[TCDeals] - [TC Property Current Stage (Seq: 1)] - [Buildings (Seq: 27)] Num TC Units - Send]&gt;</t>
        </r>
      </text>
    </comment>
    <comment ref="C91" authorId="0" shapeId="0" xr:uid="{7865D992-EAAE-4936-89F8-66F5066F0BC4}">
      <text>
        <r>
          <rPr>
            <b/>
            <sz val="9"/>
            <color indexed="81"/>
            <rFont val="Tahoma"/>
            <family val="2"/>
          </rPr>
          <t>&lt;[[TCDeals] - [TC Property Current Stage (Seq: 1)] - [Buildings (Seq: 28)] Address 1 - Send]&gt;</t>
        </r>
      </text>
    </comment>
    <comment ref="E91" authorId="0" shapeId="0" xr:uid="{87D67548-676B-4566-AF5C-699AE8E92A8C}">
      <text>
        <r>
          <rPr>
            <b/>
            <sz val="9"/>
            <color indexed="81"/>
            <rFont val="Tahoma"/>
            <family val="2"/>
          </rPr>
          <t>&lt;[[TCDeals] - [TC Property Current Stage (Seq: 1)] - [Buildings (Seq: 28)] City - Send]&gt;</t>
        </r>
      </text>
    </comment>
    <comment ref="H91" authorId="0" shapeId="0" xr:uid="{F1B991EB-D227-421F-BD65-8283F9E61AE2}">
      <text>
        <r>
          <rPr>
            <b/>
            <sz val="9"/>
            <color indexed="81"/>
            <rFont val="Tahoma"/>
            <family val="2"/>
          </rPr>
          <t>&lt;[[TCDeals] - [TC Property Current Stage (Seq: 1)] - [Buildings (Seq: 28)] State - Send]&gt;</t>
        </r>
      </text>
    </comment>
    <comment ref="J91" authorId="0" shapeId="0" xr:uid="{ECB1859F-51A0-4B4B-8EBC-4CE5AB3BA545}">
      <text>
        <r>
          <rPr>
            <b/>
            <sz val="9"/>
            <color indexed="81"/>
            <rFont val="Tahoma"/>
            <family val="2"/>
          </rPr>
          <t>&lt;[[TCDeals] - [TC Property Current Stage (Seq: 1)] - [Buildings (Seq: 28)] Zip Code - Send]&gt;</t>
        </r>
      </text>
    </comment>
    <comment ref="L91" authorId="0" shapeId="0" xr:uid="{10CA5F2B-7967-4A2E-A200-5E6FDFFFFE50}">
      <text>
        <r>
          <rPr>
            <b/>
            <sz val="9"/>
            <color indexed="81"/>
            <rFont val="Tahoma"/>
            <family val="2"/>
          </rPr>
          <t>&lt;[[TCDeals] - [TC Property Current Stage (Seq: 1)] - [Buildings (Seq: 28)] Num Mkt Units - Send]&gt;</t>
        </r>
      </text>
    </comment>
    <comment ref="N91" authorId="0" shapeId="0" xr:uid="{03316B0F-BF04-4AC5-B595-C3BC3AF02B54}">
      <text>
        <r>
          <rPr>
            <b/>
            <sz val="9"/>
            <color indexed="81"/>
            <rFont val="Tahoma"/>
            <family val="2"/>
          </rPr>
          <t>&lt;[[TCDeals] - [TC Property Current Stage (Seq: 1)] - [Buildings (Seq: 28)] Num TC Units - Send]&gt;</t>
        </r>
      </text>
    </comment>
    <comment ref="C92" authorId="0" shapeId="0" xr:uid="{D0697983-796C-47CC-BC48-CCD43707BB3E}">
      <text>
        <r>
          <rPr>
            <b/>
            <sz val="9"/>
            <color indexed="81"/>
            <rFont val="Tahoma"/>
            <family val="2"/>
          </rPr>
          <t>&lt;[[TCDeals] - [TC Property Current Stage (Seq: 1)] - [Buildings (Seq: 29)] Address 1 - Send]&gt;</t>
        </r>
      </text>
    </comment>
    <comment ref="E92" authorId="0" shapeId="0" xr:uid="{3E7B3A30-61E3-4000-BA89-7DEDCE38EF0A}">
      <text>
        <r>
          <rPr>
            <b/>
            <sz val="9"/>
            <color indexed="81"/>
            <rFont val="Tahoma"/>
            <family val="2"/>
          </rPr>
          <t>&lt;[[TCDeals] - [TC Property Current Stage (Seq: 1)] - [Buildings (Seq: 29)] City - Send]&gt;</t>
        </r>
      </text>
    </comment>
    <comment ref="H92" authorId="0" shapeId="0" xr:uid="{95ACDEF8-EE31-46CD-8C38-3CCFC3CCD25F}">
      <text>
        <r>
          <rPr>
            <b/>
            <sz val="9"/>
            <color indexed="81"/>
            <rFont val="Tahoma"/>
            <family val="2"/>
          </rPr>
          <t>&lt;[[TCDeals] - [TC Property Current Stage (Seq: 1)] - [Buildings (Seq: 29)] State - Send]&gt;</t>
        </r>
      </text>
    </comment>
    <comment ref="J92" authorId="0" shapeId="0" xr:uid="{72D82188-EF03-44CC-8548-7E0A137F61CE}">
      <text>
        <r>
          <rPr>
            <b/>
            <sz val="9"/>
            <color indexed="81"/>
            <rFont val="Tahoma"/>
            <family val="2"/>
          </rPr>
          <t>&lt;[[TCDeals] - [TC Property Current Stage (Seq: 1)] - [Buildings (Seq: 29)] Zip Code - Send]&gt;</t>
        </r>
      </text>
    </comment>
    <comment ref="L92" authorId="0" shapeId="0" xr:uid="{A123FD3D-0AE4-4BAD-8D66-B71D5722D311}">
      <text>
        <r>
          <rPr>
            <b/>
            <sz val="9"/>
            <color indexed="81"/>
            <rFont val="Tahoma"/>
            <family val="2"/>
          </rPr>
          <t>&lt;[[TCDeals] - [TC Property Current Stage (Seq: 1)] - [Buildings (Seq: 29)] Num Mkt Units - Send]&gt;</t>
        </r>
      </text>
    </comment>
    <comment ref="N92" authorId="0" shapeId="0" xr:uid="{64E89650-30C5-402E-8AFC-414D429ECC24}">
      <text>
        <r>
          <rPr>
            <b/>
            <sz val="9"/>
            <color indexed="81"/>
            <rFont val="Tahoma"/>
            <family val="2"/>
          </rPr>
          <t>&lt;[[TCDeals] - [TC Property Current Stage (Seq: 1)] - [Buildings (Seq: 29)] Num TC Units - Send]&gt;</t>
        </r>
      </text>
    </comment>
    <comment ref="C93" authorId="0" shapeId="0" xr:uid="{981CFEE2-6A77-423F-9FE2-D481BF773C67}">
      <text>
        <r>
          <rPr>
            <b/>
            <sz val="9"/>
            <color indexed="81"/>
            <rFont val="Tahoma"/>
            <family val="2"/>
          </rPr>
          <t>&lt;[[TCDeals] - [TC Property Current Stage (Seq: 1)] - [Buildings (Seq: 30)] Address 1 - Send]&gt;</t>
        </r>
      </text>
    </comment>
    <comment ref="E93" authorId="0" shapeId="0" xr:uid="{BFC108C4-625E-4B36-80CC-F1B6E3152FE8}">
      <text>
        <r>
          <rPr>
            <b/>
            <sz val="9"/>
            <color indexed="81"/>
            <rFont val="Tahoma"/>
            <family val="2"/>
          </rPr>
          <t>&lt;[[TCDeals] - [TC Property Current Stage (Seq: 1)] - [Buildings (Seq: 30)] City - Send]&gt;</t>
        </r>
      </text>
    </comment>
    <comment ref="H93" authorId="0" shapeId="0" xr:uid="{0622238B-41F8-4AEA-B88C-2098721681CF}">
      <text>
        <r>
          <rPr>
            <b/>
            <sz val="9"/>
            <color indexed="81"/>
            <rFont val="Tahoma"/>
            <family val="2"/>
          </rPr>
          <t>&lt;[[TCDeals] - [TC Property Current Stage (Seq: 1)] - [Buildings (Seq: 30)] State - Send]&gt;</t>
        </r>
      </text>
    </comment>
    <comment ref="J93" authorId="0" shapeId="0" xr:uid="{A8C54C7A-963A-40D3-BDB8-2440DCFB757C}">
      <text>
        <r>
          <rPr>
            <b/>
            <sz val="9"/>
            <color indexed="81"/>
            <rFont val="Tahoma"/>
            <family val="2"/>
          </rPr>
          <t>&lt;[[TCDeals] - [TC Property Current Stage (Seq: 1)] - [Buildings (Seq: 30)] Zip Code - Send]&gt;</t>
        </r>
      </text>
    </comment>
    <comment ref="L93" authorId="0" shapeId="0" xr:uid="{938CD4BF-6FAD-490E-887A-5C5C89B150AD}">
      <text>
        <r>
          <rPr>
            <b/>
            <sz val="9"/>
            <color indexed="81"/>
            <rFont val="Tahoma"/>
            <family val="2"/>
          </rPr>
          <t>&lt;[[TCDeals] - [TC Property Current Stage (Seq: 1)] - [Buildings (Seq: 30)] Num Mkt Units - Send]&gt;</t>
        </r>
      </text>
    </comment>
    <comment ref="N93" authorId="0" shapeId="0" xr:uid="{CA6E16D0-4F69-4671-A933-4D1B21C4F6EC}">
      <text>
        <r>
          <rPr>
            <b/>
            <sz val="9"/>
            <color indexed="81"/>
            <rFont val="Tahoma"/>
            <family val="2"/>
          </rPr>
          <t>&lt;[[TCDeals] - [TC Property Current Stage (Seq: 1)] - [Buildings (Seq: 30)] Num TC Units - Send]&gt;</t>
        </r>
      </text>
    </comment>
    <comment ref="C94" authorId="0" shapeId="0" xr:uid="{2C9C15E5-CE2D-4E3B-B9E8-46EAA84B6B2A}">
      <text>
        <r>
          <rPr>
            <b/>
            <sz val="9"/>
            <color indexed="81"/>
            <rFont val="Tahoma"/>
            <family val="2"/>
          </rPr>
          <t>&lt;[[TCDeals] - [TC Property Current Stage (Seq: 1)] - [Buildings (Seq: 31)] Address 1 - Send]&gt;</t>
        </r>
      </text>
    </comment>
    <comment ref="E94" authorId="0" shapeId="0" xr:uid="{25862F78-9B1B-45DA-9910-DFAB4895E460}">
      <text>
        <r>
          <rPr>
            <b/>
            <sz val="9"/>
            <color indexed="81"/>
            <rFont val="Tahoma"/>
            <family val="2"/>
          </rPr>
          <t>&lt;[[TCDeals] - [TC Property Current Stage (Seq: 1)] - [Buildings (Seq: 31)] City - Send]&gt;</t>
        </r>
      </text>
    </comment>
    <comment ref="H94" authorId="0" shapeId="0" xr:uid="{E5539F6F-7B7E-4A14-9A31-16E1A9278D6E}">
      <text>
        <r>
          <rPr>
            <b/>
            <sz val="9"/>
            <color indexed="81"/>
            <rFont val="Tahoma"/>
            <family val="2"/>
          </rPr>
          <t>&lt;[[TCDeals] - [TC Property Current Stage (Seq: 1)] - [Buildings (Seq: 31)] State - Send]&gt;</t>
        </r>
      </text>
    </comment>
    <comment ref="J94" authorId="0" shapeId="0" xr:uid="{A04B598D-C29B-444A-958B-479B3EF49EB8}">
      <text>
        <r>
          <rPr>
            <b/>
            <sz val="9"/>
            <color indexed="81"/>
            <rFont val="Tahoma"/>
            <family val="2"/>
          </rPr>
          <t>&lt;[[TCDeals] - [TC Property Current Stage (Seq: 1)] - [Buildings (Seq: 31)] Zip Code - Send]&gt;</t>
        </r>
      </text>
    </comment>
    <comment ref="L94" authorId="0" shapeId="0" xr:uid="{A0D0BE5B-04C0-47AD-98F8-4E10EB6345A1}">
      <text>
        <r>
          <rPr>
            <b/>
            <sz val="9"/>
            <color indexed="81"/>
            <rFont val="Tahoma"/>
            <family val="2"/>
          </rPr>
          <t>&lt;[[TCDeals] - [TC Property Current Stage (Seq: 1)] - [Buildings (Seq: 31)] Num Mkt Units - Send]&gt;</t>
        </r>
      </text>
    </comment>
    <comment ref="N94" authorId="0" shapeId="0" xr:uid="{63B1E402-F336-4B3D-A77A-04E86F83CABC}">
      <text>
        <r>
          <rPr>
            <b/>
            <sz val="9"/>
            <color indexed="81"/>
            <rFont val="Tahoma"/>
            <family val="2"/>
          </rPr>
          <t>&lt;[[TCDeals] - [TC Property Current Stage (Seq: 1)] - [Buildings (Seq: 31)] Num TC Units - Send]&gt;</t>
        </r>
      </text>
    </comment>
    <comment ref="C95" authorId="0" shapeId="0" xr:uid="{DD87370E-C49C-41F8-B9AE-19E5868EB620}">
      <text>
        <r>
          <rPr>
            <b/>
            <sz val="9"/>
            <color indexed="81"/>
            <rFont val="Tahoma"/>
            <family val="2"/>
          </rPr>
          <t>&lt;[[TCDeals] - [TC Property Current Stage (Seq: 1)] - [Buildings (Seq: 32)] Address 1 - Send]&gt;</t>
        </r>
      </text>
    </comment>
    <comment ref="E95" authorId="0" shapeId="0" xr:uid="{DE720DE8-0DFA-4D52-B5F6-866982C50B55}">
      <text>
        <r>
          <rPr>
            <b/>
            <sz val="9"/>
            <color indexed="81"/>
            <rFont val="Tahoma"/>
            <family val="2"/>
          </rPr>
          <t>&lt;[[TCDeals] - [TC Property Current Stage (Seq: 1)] - [Buildings (Seq: 32)] City - Send]&gt;</t>
        </r>
      </text>
    </comment>
    <comment ref="H95" authorId="0" shapeId="0" xr:uid="{2B22E6A8-C9E1-4E5B-BAE6-095979F82505}">
      <text>
        <r>
          <rPr>
            <b/>
            <sz val="9"/>
            <color indexed="81"/>
            <rFont val="Tahoma"/>
            <family val="2"/>
          </rPr>
          <t>&lt;[[TCDeals] - [TC Property Current Stage (Seq: 1)] - [Buildings (Seq: 32)] State - Send]&gt;</t>
        </r>
      </text>
    </comment>
    <comment ref="J95" authorId="0" shapeId="0" xr:uid="{199E95D2-BFAE-4A31-A936-43D24ABEC6F3}">
      <text>
        <r>
          <rPr>
            <b/>
            <sz val="9"/>
            <color indexed="81"/>
            <rFont val="Tahoma"/>
            <family val="2"/>
          </rPr>
          <t>&lt;[[TCDeals] - [TC Property Current Stage (Seq: 1)] - [Buildings (Seq: 32)] Zip Code - Send]&gt;</t>
        </r>
      </text>
    </comment>
    <comment ref="L95" authorId="0" shapeId="0" xr:uid="{9AA1BECC-3202-4A89-80D2-D2D8417855EF}">
      <text>
        <r>
          <rPr>
            <b/>
            <sz val="9"/>
            <color indexed="81"/>
            <rFont val="Tahoma"/>
            <family val="2"/>
          </rPr>
          <t>&lt;[[TCDeals] - [TC Property Current Stage (Seq: 1)] - [Buildings (Seq: 32)] Num Mkt Units - Send]&gt;</t>
        </r>
      </text>
    </comment>
    <comment ref="N95" authorId="0" shapeId="0" xr:uid="{2A3067BF-DB13-4BBF-A528-FA06C3E91BE2}">
      <text>
        <r>
          <rPr>
            <b/>
            <sz val="9"/>
            <color indexed="81"/>
            <rFont val="Tahoma"/>
            <family val="2"/>
          </rPr>
          <t>&lt;[[TCDeals] - [TC Property Current Stage (Seq: 1)] - [Buildings (Seq: 32)] Num TC Units - Send]&gt;</t>
        </r>
      </text>
    </comment>
    <comment ref="C96" authorId="0" shapeId="0" xr:uid="{06FDF335-B158-47C5-9BEC-13CD88C49C88}">
      <text>
        <r>
          <rPr>
            <b/>
            <sz val="9"/>
            <color indexed="81"/>
            <rFont val="Tahoma"/>
            <family val="2"/>
          </rPr>
          <t>&lt;[[TCDeals] - [TC Property Current Stage (Seq: 1)] - [Buildings (Seq: 33)] Address 1 - Send]&gt;</t>
        </r>
      </text>
    </comment>
    <comment ref="E96" authorId="0" shapeId="0" xr:uid="{C3BC2D6B-E4FE-4040-B33D-AC588598717A}">
      <text>
        <r>
          <rPr>
            <b/>
            <sz val="9"/>
            <color indexed="81"/>
            <rFont val="Tahoma"/>
            <family val="2"/>
          </rPr>
          <t>&lt;[[TCDeals] - [TC Property Current Stage (Seq: 1)] - [Buildings (Seq: 33)] City - Send]&gt;</t>
        </r>
      </text>
    </comment>
    <comment ref="H96" authorId="0" shapeId="0" xr:uid="{C1CD18BE-37BA-4859-BC33-0347C7CB2661}">
      <text>
        <r>
          <rPr>
            <b/>
            <sz val="9"/>
            <color indexed="81"/>
            <rFont val="Tahoma"/>
            <family val="2"/>
          </rPr>
          <t>&lt;[[TCDeals] - [TC Property Current Stage (Seq: 1)] - [Buildings (Seq: 33)] State - Send]&gt;</t>
        </r>
      </text>
    </comment>
    <comment ref="J96" authorId="0" shapeId="0" xr:uid="{EE2E2895-DA73-424E-A0E7-3D4E92FAF4FD}">
      <text>
        <r>
          <rPr>
            <b/>
            <sz val="9"/>
            <color indexed="81"/>
            <rFont val="Tahoma"/>
            <family val="2"/>
          </rPr>
          <t>&lt;[[TCDeals] - [TC Property Current Stage (Seq: 1)] - [Buildings (Seq: 33)] Zip Code - Send]&gt;</t>
        </r>
      </text>
    </comment>
    <comment ref="L96" authorId="0" shapeId="0" xr:uid="{4BB2D95B-5869-4263-B426-3237DFB0DF91}">
      <text>
        <r>
          <rPr>
            <b/>
            <sz val="9"/>
            <color indexed="81"/>
            <rFont val="Tahoma"/>
            <family val="2"/>
          </rPr>
          <t>&lt;[[TCDeals] - [TC Property Current Stage (Seq: 1)] - [Buildings (Seq: 33)] Num Mkt Units - Send]&gt;</t>
        </r>
      </text>
    </comment>
    <comment ref="N96" authorId="0" shapeId="0" xr:uid="{FBAD0619-D000-4E13-BF07-92BEBC0D4D20}">
      <text>
        <r>
          <rPr>
            <b/>
            <sz val="9"/>
            <color indexed="81"/>
            <rFont val="Tahoma"/>
            <family val="2"/>
          </rPr>
          <t>&lt;[[TCDeals] - [TC Property Current Stage (Seq: 1)] - [Buildings (Seq: 33)] Num TC Units - Send]&gt;</t>
        </r>
      </text>
    </comment>
    <comment ref="C97" authorId="0" shapeId="0" xr:uid="{4F8BE63C-7898-4560-87CE-333D08B2D049}">
      <text>
        <r>
          <rPr>
            <b/>
            <sz val="9"/>
            <color indexed="81"/>
            <rFont val="Tahoma"/>
            <family val="2"/>
          </rPr>
          <t>&lt;[[TCDeals] - [TC Property Current Stage (Seq: 1)] - [Buildings (Seq: 34)] Address 1 - Send]&gt;</t>
        </r>
      </text>
    </comment>
    <comment ref="E97" authorId="0" shapeId="0" xr:uid="{2C77AE70-1B1F-4F2C-8B25-B38981C3FD3F}">
      <text>
        <r>
          <rPr>
            <b/>
            <sz val="9"/>
            <color indexed="81"/>
            <rFont val="Tahoma"/>
            <family val="2"/>
          </rPr>
          <t>&lt;[[TCDeals] - [TC Property Current Stage (Seq: 1)] - [Buildings (Seq: 34)] City - Send]&gt;</t>
        </r>
      </text>
    </comment>
    <comment ref="H97" authorId="0" shapeId="0" xr:uid="{BD6EC1F9-60C3-4DDC-9FB4-46E7A604A8B6}">
      <text>
        <r>
          <rPr>
            <b/>
            <sz val="9"/>
            <color indexed="81"/>
            <rFont val="Tahoma"/>
            <family val="2"/>
          </rPr>
          <t>&lt;[[TCDeals] - [TC Property Current Stage (Seq: 1)] - [Buildings (Seq: 34)] State - Send]&gt;</t>
        </r>
      </text>
    </comment>
    <comment ref="J97" authorId="0" shapeId="0" xr:uid="{AFDC4873-9DB1-45CF-9D22-9EAB3D5F23D4}">
      <text>
        <r>
          <rPr>
            <b/>
            <sz val="9"/>
            <color indexed="81"/>
            <rFont val="Tahoma"/>
            <family val="2"/>
          </rPr>
          <t>&lt;[[TCDeals] - [TC Property Current Stage (Seq: 1)] - [Buildings (Seq: 34)] Zip Code - Send]&gt;</t>
        </r>
      </text>
    </comment>
    <comment ref="L97" authorId="0" shapeId="0" xr:uid="{D656F5D0-9220-42AB-AE38-1CFC513C1D41}">
      <text>
        <r>
          <rPr>
            <b/>
            <sz val="9"/>
            <color indexed="81"/>
            <rFont val="Tahoma"/>
            <family val="2"/>
          </rPr>
          <t>&lt;[[TCDeals] - [TC Property Current Stage (Seq: 1)] - [Buildings (Seq: 34)] Num Mkt Units - Send]&gt;</t>
        </r>
      </text>
    </comment>
    <comment ref="N97" authorId="0" shapeId="0" xr:uid="{CCA2148C-1DCE-41C1-9483-C57E0E9C441E}">
      <text>
        <r>
          <rPr>
            <b/>
            <sz val="9"/>
            <color indexed="81"/>
            <rFont val="Tahoma"/>
            <family val="2"/>
          </rPr>
          <t>&lt;[[TCDeals] - [TC Property Current Stage (Seq: 1)] - [Buildings (Seq: 34)] Num TC Units - Send]&gt;</t>
        </r>
      </text>
    </comment>
    <comment ref="C98" authorId="0" shapeId="0" xr:uid="{6CBB639C-2FE9-4BBC-8E9D-7BE5351EFBD2}">
      <text>
        <r>
          <rPr>
            <b/>
            <sz val="9"/>
            <color indexed="81"/>
            <rFont val="Tahoma"/>
            <family val="2"/>
          </rPr>
          <t>&lt;[[TCDeals] - [TC Property Current Stage (Seq: 1)] Num Buildings - Send]&gt;</t>
        </r>
      </text>
    </comment>
    <comment ref="C100" authorId="0" shapeId="0" xr:uid="{6457545F-BCEA-4014-82FA-545BEF6BC916}">
      <text>
        <r>
          <rPr>
            <b/>
            <sz val="9"/>
            <color indexed="81"/>
            <rFont val="Tahoma"/>
            <family val="2"/>
          </rPr>
          <t>&lt;[[TCDeals] - [TCDeals - User Defined Field Values (Seq: 1)] Multi Family Application - Does an Identity of Ownership exist between owner and principal? - Send]&gt;</t>
        </r>
      </text>
    </comment>
    <comment ref="C101" authorId="0" shapeId="0" xr:uid="{BAF8ED61-2597-4FEB-8276-7A79BD136C94}">
      <text>
        <r>
          <rPr>
            <b/>
            <sz val="9"/>
            <color indexed="81"/>
            <rFont val="Tahoma"/>
            <family val="2"/>
          </rPr>
          <t>&lt;[[TCDeals] - [TCDeals - User Defined Field Values (Seq: 1)] Multi Family Application - Rehab expenditures allocable to low-income units - Send]&gt;</t>
        </r>
      </text>
    </comment>
    <comment ref="C102" authorId="0" shapeId="0" xr:uid="{E4CA4EDA-31CE-4EAB-ACB7-493FE2ACB952}">
      <text>
        <r>
          <rPr>
            <b/>
            <sz val="9"/>
            <color indexed="81"/>
            <rFont val="Tahoma"/>
            <family val="2"/>
          </rPr>
          <t>&lt;[[TCDeals] - [TCDeals - User Defined Field Values (Seq: 1)] Multi Family Application - Adjusted building basis - Send]&gt;</t>
        </r>
      </text>
    </comment>
    <comment ref="C106" authorId="0" shapeId="0" xr:uid="{D8ADEAB6-19EA-4CB4-8C08-2085EA93053A}">
      <text>
        <r>
          <rPr>
            <b/>
            <sz val="9"/>
            <color indexed="81"/>
            <rFont val="Tahoma"/>
            <family val="2"/>
          </rPr>
          <t>&lt;[[TCDeals] - [TC Property Current Stage (Seq: 1)] Owner Name - Send]&gt;</t>
        </r>
      </text>
    </comment>
    <comment ref="C107" authorId="0" shapeId="0" xr:uid="{92FDFB9D-850F-48CC-81F0-83CBF08C2933}">
      <text>
        <r>
          <rPr>
            <b/>
            <sz val="9"/>
            <color indexed="81"/>
            <rFont val="Tahoma"/>
            <family val="2"/>
          </rPr>
          <t>&lt;[[TCDeals] - [TC Property Current Stage (Seq: 1)] Owner Address - Send]&gt;</t>
        </r>
      </text>
    </comment>
    <comment ref="C108" authorId="0" shapeId="0" xr:uid="{D2A53A56-6FDE-4323-BC9F-11B29AAB9C53}">
      <text>
        <r>
          <rPr>
            <b/>
            <sz val="9"/>
            <color indexed="81"/>
            <rFont val="Tahoma"/>
            <family val="2"/>
          </rPr>
          <t>&lt;[[TCDeals] - [TC Property Current Stage (Seq: 1)] Owner City - Send]&gt;</t>
        </r>
      </text>
    </comment>
    <comment ref="C109" authorId="0" shapeId="0" xr:uid="{7EE39DE6-C72D-4B0C-8D56-188F53193F3F}">
      <text>
        <r>
          <rPr>
            <b/>
            <sz val="9"/>
            <color indexed="81"/>
            <rFont val="Tahoma"/>
            <family val="2"/>
          </rPr>
          <t>&lt;[[TCDeals] - [TC Property Current Stage (Seq: 1)] Owner State - Send]&gt;</t>
        </r>
      </text>
    </comment>
    <comment ref="C110" authorId="0" shapeId="0" xr:uid="{D711C0AA-A405-43FA-A9E8-E0558FF31CC4}">
      <text>
        <r>
          <rPr>
            <b/>
            <sz val="9"/>
            <color indexed="81"/>
            <rFont val="Tahoma"/>
            <family val="2"/>
          </rPr>
          <t>&lt;[[TCDeals] - [TC Property Current Stage (Seq: 1)] Owner Zip - Send]&gt;</t>
        </r>
      </text>
    </comment>
    <comment ref="C111" authorId="0" shapeId="0" xr:uid="{57B37720-A0BF-43EB-AE8B-74A67C3A3FD3}">
      <text>
        <r>
          <rPr>
            <b/>
            <sz val="9"/>
            <color indexed="81"/>
            <rFont val="Tahoma"/>
            <family val="2"/>
          </rPr>
          <t>&lt;[[TCDeals] - [TC Property Current Stage (Seq: 1)] Owner Fed Tax Id Number - Send]&gt;</t>
        </r>
      </text>
    </comment>
    <comment ref="C114" authorId="0" shapeId="0" xr:uid="{716F0EA7-8769-4A96-AD8A-6502B2BF25D3}">
      <text>
        <r>
          <rPr>
            <b/>
            <sz val="9"/>
            <color indexed="81"/>
            <rFont val="Tahoma"/>
            <family val="2"/>
          </rPr>
          <t>&lt;[[TCDeals] - [TC Property Current Stage (Seq: 1)] Owner Contact First Name - Send]&gt;</t>
        </r>
      </text>
    </comment>
    <comment ref="C115" authorId="0" shapeId="0" xr:uid="{131D7C43-B5B5-4FC7-9C10-3A2C4AE877A9}">
      <text>
        <r>
          <rPr>
            <b/>
            <sz val="9"/>
            <color indexed="81"/>
            <rFont val="Tahoma"/>
            <family val="2"/>
          </rPr>
          <t>&lt;[[TCDeals] - [TC Property Current Stage (Seq: 1)] Owner Contact Last Name - Send]&gt;</t>
        </r>
      </text>
    </comment>
    <comment ref="C120" authorId="0" shapeId="0" xr:uid="{8CA82430-DA6E-4CD7-848F-E9B745DB100A}">
      <text>
        <r>
          <rPr>
            <b/>
            <sz val="9"/>
            <color indexed="81"/>
            <rFont val="Tahoma"/>
            <family val="2"/>
          </rPr>
          <t>&lt;[[TCDeals] - [TC Property Current Stage (Seq: 1)] Mgt Entity Firm Name - Send]&gt;</t>
        </r>
      </text>
    </comment>
    <comment ref="C121" authorId="0" shapeId="0" xr:uid="{F4E4F5F0-F911-4BB6-849C-6AEF4A288A9C}">
      <text>
        <r>
          <rPr>
            <b/>
            <sz val="9"/>
            <color indexed="81"/>
            <rFont val="Tahoma"/>
            <family val="2"/>
          </rPr>
          <t>&lt;[[TCDeals] - [TC Property Current Stage (Seq: 1)] Mgt Entity Contact Name - Send]&gt;</t>
        </r>
      </text>
    </comment>
    <comment ref="C122" authorId="0" shapeId="0" xr:uid="{77FDE358-72F1-4859-8D9A-A88770BC4887}">
      <text>
        <r>
          <rPr>
            <b/>
            <sz val="9"/>
            <color indexed="81"/>
            <rFont val="Tahoma"/>
            <family val="2"/>
          </rPr>
          <t>&lt;[[TCDeals] - [TC Property Current Stage (Seq: 1)] Consultant Firm Name - Send]&gt;</t>
        </r>
      </text>
    </comment>
    <comment ref="C123" authorId="0" shapeId="0" xr:uid="{7D0A6970-3E90-4CB0-B781-AE1BB386411B}">
      <text>
        <r>
          <rPr>
            <b/>
            <sz val="9"/>
            <color indexed="81"/>
            <rFont val="Tahoma"/>
            <family val="2"/>
          </rPr>
          <t>&lt;[[TCDeals] - [TC Property Current Stage (Seq: 1)] Consultant Contact Name - Send]&gt;</t>
        </r>
      </text>
    </comment>
    <comment ref="C124" authorId="0" shapeId="0" xr:uid="{0D8AFC62-D858-41A8-BC6C-AEB5CE831021}">
      <text>
        <r>
          <rPr>
            <b/>
            <sz val="9"/>
            <color indexed="81"/>
            <rFont val="Tahoma"/>
            <family val="2"/>
          </rPr>
          <t>&lt;[[TCDeals] - [TC Property Current Stage (Seq: 1)] Contractor Firm Name - Send]&gt;</t>
        </r>
      </text>
    </comment>
    <comment ref="D124" authorId="0" shapeId="0" xr:uid="{967496FC-383D-4F70-9929-DFF007C9ADDC}">
      <text>
        <r>
          <rPr>
            <b/>
            <sz val="9"/>
            <color indexed="81"/>
            <rFont val="Tahoma"/>
            <family val="2"/>
          </rPr>
          <t>&lt;[[TCDeals] - [TC Construction Control (Seq: 1)] General Contractor - Send]&gt;</t>
        </r>
      </text>
    </comment>
    <comment ref="E124" authorId="0" shapeId="0" xr:uid="{D5F8BC7A-77CA-4527-8AD4-498B3AB01B26}">
      <text>
        <r>
          <rPr>
            <b/>
            <sz val="9"/>
            <color indexed="81"/>
            <rFont val="Tahoma"/>
            <family val="2"/>
          </rPr>
          <t>&lt;[[TCDeals] - [TC Construction Control (Seq: 1)] General Contractor Phone - Send]&gt;</t>
        </r>
      </text>
    </comment>
    <comment ref="C125" authorId="0" shapeId="0" xr:uid="{2F63F102-DA02-426A-8D05-5F48E31C5DA2}">
      <text>
        <r>
          <rPr>
            <b/>
            <sz val="9"/>
            <color indexed="81"/>
            <rFont val="Tahoma"/>
            <family val="2"/>
          </rPr>
          <t>&lt;[[TCDeals] - [TC Property Current Stage (Seq: 1)] Contractor Contact Name - Send]&gt;</t>
        </r>
      </text>
    </comment>
    <comment ref="D125" authorId="0" shapeId="0" xr:uid="{58F74838-97BD-483E-BFD1-044EDC4E7659}">
      <text>
        <r>
          <rPr>
            <b/>
            <sz val="9"/>
            <color indexed="81"/>
            <rFont val="Tahoma"/>
            <family val="2"/>
          </rPr>
          <t>&lt;[[TCDeals] - [TC Construction Control (Seq: 1)] General Contractor Contact - Send]&gt;</t>
        </r>
      </text>
    </comment>
    <comment ref="C126" authorId="0" shapeId="0" xr:uid="{80705BAF-C003-4AA9-AEFA-B57830EA9BE0}">
      <text>
        <r>
          <rPr>
            <b/>
            <sz val="9"/>
            <color indexed="81"/>
            <rFont val="Tahoma"/>
            <family val="2"/>
          </rPr>
          <t>&lt;[[TCDeals] - [TC Property Current Stage (Seq: 1)] Syndicator - Send]&gt;</t>
        </r>
      </text>
    </comment>
    <comment ref="C127" authorId="0" shapeId="0" xr:uid="{6B887CB7-9269-41C6-89DA-26F91BCD874E}">
      <text>
        <r>
          <rPr>
            <b/>
            <sz val="9"/>
            <color indexed="81"/>
            <rFont val="Tahoma"/>
            <family val="2"/>
          </rPr>
          <t>&lt;[[TCDeals] - [TC Property Current Stage (Seq: 1)] Architect Firm Name - Send]&gt;</t>
        </r>
      </text>
    </comment>
    <comment ref="C128" authorId="0" shapeId="0" xr:uid="{DD8B6E54-817B-4E20-ABC3-06934A3D372C}">
      <text>
        <r>
          <rPr>
            <b/>
            <sz val="9"/>
            <color indexed="81"/>
            <rFont val="Tahoma"/>
            <family val="2"/>
          </rPr>
          <t>&lt;[[TCDeals] - [TC Property Current Stage (Seq: 1)] Architect Contact Name - Send]&gt;</t>
        </r>
      </text>
    </comment>
    <comment ref="D128" authorId="0" shapeId="0" xr:uid="{5845C4E0-4B96-42B2-9487-9F9D7A07A168}">
      <text>
        <r>
          <rPr>
            <b/>
            <sz val="9"/>
            <color indexed="81"/>
            <rFont val="Tahoma"/>
            <family val="2"/>
          </rPr>
          <t>&lt;[[TCDeals] - [TC Construction Control (Seq: 1)] Architect Primary Contact - Send]&gt;</t>
        </r>
      </text>
    </comment>
    <comment ref="C129" authorId="0" shapeId="0" xr:uid="{43300A1D-D911-4E94-A3D6-1599F4EC0AEE}">
      <text>
        <r>
          <rPr>
            <b/>
            <sz val="9"/>
            <color indexed="81"/>
            <rFont val="Tahoma"/>
            <family val="2"/>
          </rPr>
          <t>&lt;[[TCDeals] - [TC Property Current Stage (Seq: 1)] Tax Accountant Firm Name - Send]&gt;</t>
        </r>
      </text>
    </comment>
    <comment ref="C130" authorId="0" shapeId="0" xr:uid="{22C01B67-FBFC-4482-9AFA-3248C29089B1}">
      <text>
        <r>
          <rPr>
            <b/>
            <sz val="9"/>
            <color indexed="81"/>
            <rFont val="Tahoma"/>
            <family val="2"/>
          </rPr>
          <t>&lt;[[TCDeals] - [TC Property Current Stage (Seq: 1)] Tax Accountant Contact Name - Send]&gt;</t>
        </r>
      </text>
    </comment>
    <comment ref="M133" authorId="0" shapeId="0" xr:uid="{A295D5F6-00A2-4A53-A2ED-A1A8254FC83E}">
      <text>
        <r>
          <rPr>
            <b/>
            <sz val="9"/>
            <color indexed="81"/>
            <rFont val="Tahoma"/>
            <family val="2"/>
          </rPr>
          <t>&lt;[[TCDeals] - [Proxy Entities (Seq: 1)] Company or Individual? - Send]&gt;</t>
        </r>
      </text>
    </comment>
    <comment ref="N133" authorId="0" shapeId="0" xr:uid="{6544C0DE-F829-4015-BA54-830FE032B26A}">
      <text>
        <r>
          <rPr>
            <b/>
            <sz val="9"/>
            <color indexed="81"/>
            <rFont val="Tahoma"/>
            <family val="2"/>
          </rPr>
          <t>&lt;[[TCDeals] - [Proxy Entities (Seq: 1)] Deal Entity Role - Send]&gt;</t>
        </r>
      </text>
    </comment>
    <comment ref="O133" authorId="0" shapeId="0" xr:uid="{DCF58F57-2EE1-4B6B-8513-D8AD61302315}">
      <text>
        <r>
          <rPr>
            <b/>
            <sz val="9"/>
            <color indexed="81"/>
            <rFont val="Tahoma"/>
            <family val="2"/>
          </rPr>
          <t>&lt;[[TCDeals] - [Proxy Entities (Seq: 1)] Name (Doing Business As) - Send]&gt;</t>
        </r>
      </text>
    </comment>
    <comment ref="P133" authorId="0" shapeId="0" xr:uid="{06ABE5E7-D276-44D8-B9C2-4204D6960C69}">
      <text>
        <r>
          <rPr>
            <b/>
            <sz val="9"/>
            <color indexed="81"/>
            <rFont val="Tahoma"/>
            <family val="2"/>
          </rPr>
          <t>&lt;[[TCDeals] - [Proxy Entities (Seq: 1)] First Name - Send]&gt;</t>
        </r>
      </text>
    </comment>
    <comment ref="Q133" authorId="0" shapeId="0" xr:uid="{C679CC06-FB61-479F-8B97-495ACEAFC1CB}">
      <text>
        <r>
          <rPr>
            <b/>
            <sz val="9"/>
            <color indexed="81"/>
            <rFont val="Tahoma"/>
            <family val="2"/>
          </rPr>
          <t>&lt;[[TCDeals] - [Proxy Entities (Seq: 1)] Last Name - Send]&gt;</t>
        </r>
      </text>
    </comment>
    <comment ref="R133" authorId="0" shapeId="0" xr:uid="{81E788F5-FA1A-4C6F-BC14-5EC0C1FF8094}">
      <text>
        <r>
          <rPr>
            <b/>
            <sz val="9"/>
            <color indexed="81"/>
            <rFont val="Tahoma"/>
            <family val="2"/>
          </rPr>
          <t>&lt;[[TCDeals] - [Proxy Entities (Seq: 1)] Email Address 1 - Send]&gt;</t>
        </r>
      </text>
    </comment>
    <comment ref="S133" authorId="0" shapeId="0" xr:uid="{29A9B8C5-3266-45BB-BC65-13FB0B11C3EE}">
      <text>
        <r>
          <rPr>
            <b/>
            <sz val="9"/>
            <color indexed="81"/>
            <rFont val="Tahoma"/>
            <family val="2"/>
          </rPr>
          <t>&lt;[[TCDeals] - [Proxy Entities (Seq: 1)] Address 1 - Send]&gt;</t>
        </r>
      </text>
    </comment>
    <comment ref="T133" authorId="0" shapeId="0" xr:uid="{842EF29A-158E-4BAF-9A52-B93EA61BC095}">
      <text>
        <r>
          <rPr>
            <b/>
            <sz val="9"/>
            <color indexed="81"/>
            <rFont val="Tahoma"/>
            <family val="2"/>
          </rPr>
          <t>&lt;[[TCDeals] - [Proxy Entities (Seq: 1)] City - Send]&gt;</t>
        </r>
      </text>
    </comment>
    <comment ref="U133" authorId="0" shapeId="0" xr:uid="{96750412-5486-4231-B29D-14D2BFF09AD7}">
      <text>
        <r>
          <rPr>
            <b/>
            <sz val="9"/>
            <color indexed="81"/>
            <rFont val="Tahoma"/>
            <family val="2"/>
          </rPr>
          <t>&lt;[[TCDeals] - [Proxy Entities (Seq: 1)] State - Send]&gt;</t>
        </r>
      </text>
    </comment>
    <comment ref="V133" authorId="0" shapeId="0" xr:uid="{C77BC3CF-5EAB-4830-AF04-B97A2358EFF6}">
      <text>
        <r>
          <rPr>
            <b/>
            <sz val="9"/>
            <color indexed="81"/>
            <rFont val="Tahoma"/>
            <family val="2"/>
          </rPr>
          <t>&lt;[[TCDeals] - [Proxy Entities (Seq: 1)] Zip Code - Send]&gt;</t>
        </r>
      </text>
    </comment>
    <comment ref="W133" authorId="0" shapeId="0" xr:uid="{826FEC76-232D-4E9D-8C51-B8BA74034A0B}">
      <text>
        <r>
          <rPr>
            <b/>
            <sz val="9"/>
            <color indexed="81"/>
            <rFont val="Tahoma"/>
            <family val="2"/>
          </rPr>
          <t>&lt;[[TCDeals] - [Proxy Entities (Seq: 1)] Direct Phone - Send]&gt;</t>
        </r>
      </text>
    </comment>
    <comment ref="AA133" authorId="0" shapeId="0" xr:uid="{6B1F9681-86C8-4DBD-B23F-150835251C61}">
      <text>
        <r>
          <rPr>
            <b/>
            <sz val="9"/>
            <color indexed="81"/>
            <rFont val="Tahoma"/>
            <family val="2"/>
          </rPr>
          <t>&lt;[[TCDeals] - [Associated DEV Deal (Seq: 1)] - [Proxy Entities (Seq: 1)] Name (Doing Business As) - Send]&gt;</t>
        </r>
      </text>
    </comment>
    <comment ref="AB133" authorId="0" shapeId="0" xr:uid="{E9CCA356-C95E-4BB3-BF22-BFE4DB2A7266}">
      <text>
        <r>
          <rPr>
            <b/>
            <sz val="9"/>
            <color indexed="81"/>
            <rFont val="Tahoma"/>
            <family val="2"/>
          </rPr>
          <t>&lt;[[TCDeals] - [Associated DEV Deal (Seq: 1)] - [Proxy Entities (Seq: 1)] Company or Individual? - Send]&gt;</t>
        </r>
      </text>
    </comment>
    <comment ref="AC133" authorId="0" shapeId="0" xr:uid="{ADA7ED9A-F3DF-4955-B4D8-F61BEFE69EEE}">
      <text>
        <r>
          <rPr>
            <b/>
            <sz val="9"/>
            <color indexed="81"/>
            <rFont val="Tahoma"/>
            <family val="2"/>
          </rPr>
          <t>&lt;[[TCDeals] - [Associated DEV Deal (Seq: 1)] - [Proxy Entities (Seq: 1)] Deal Entity Role - Send]&gt;</t>
        </r>
      </text>
    </comment>
    <comment ref="AD133" authorId="0" shapeId="0" xr:uid="{7BBAA20E-5C1E-4CCD-8327-3CCBF8E9A48F}">
      <text>
        <r>
          <rPr>
            <b/>
            <sz val="9"/>
            <color indexed="81"/>
            <rFont val="Tahoma"/>
            <family val="2"/>
          </rPr>
          <t>&lt;[[TCDeals] - [Associated DEV Deal (Seq: 1)] - [Proxy Entities (Seq: 1)] First Name - Send]&gt;</t>
        </r>
      </text>
    </comment>
    <comment ref="AE133" authorId="0" shapeId="0" xr:uid="{1DDE0118-B596-4044-A81D-7E005D0AF89C}">
      <text>
        <r>
          <rPr>
            <b/>
            <sz val="9"/>
            <color indexed="81"/>
            <rFont val="Tahoma"/>
            <family val="2"/>
          </rPr>
          <t>&lt;[[TCDeals] - [Associated DEV Deal (Seq: 1)] - [Proxy Entities (Seq: 1)] Last Name - Send]&gt;</t>
        </r>
      </text>
    </comment>
    <comment ref="AF133" authorId="0" shapeId="0" xr:uid="{15CEB56F-817B-43A6-A707-1A6C548DAD35}">
      <text>
        <r>
          <rPr>
            <b/>
            <sz val="9"/>
            <color indexed="81"/>
            <rFont val="Tahoma"/>
            <family val="2"/>
          </rPr>
          <t>&lt;[[TCDeals] - [Associated DEV Deal (Seq: 1)] - [Proxy Entities (Seq: 1)] Email Address 1 - Send]&gt;</t>
        </r>
      </text>
    </comment>
    <comment ref="AG133" authorId="0" shapeId="0" xr:uid="{3C2D6647-5E1D-49D4-8028-2E393CCE8F64}">
      <text>
        <r>
          <rPr>
            <b/>
            <sz val="9"/>
            <color indexed="81"/>
            <rFont val="Tahoma"/>
            <family val="2"/>
          </rPr>
          <t>&lt;[[TCDeals] - [Associated DEV Deal (Seq: 1)] - [Proxy Entities (Seq: 1)] Address 1 - Send]&gt;</t>
        </r>
      </text>
    </comment>
    <comment ref="AH133" authorId="0" shapeId="0" xr:uid="{7845A2D8-587E-4787-ACDF-1A4659DFC489}">
      <text>
        <r>
          <rPr>
            <b/>
            <sz val="9"/>
            <color indexed="81"/>
            <rFont val="Tahoma"/>
            <family val="2"/>
          </rPr>
          <t>&lt;[[TCDeals] - [Associated DEV Deal (Seq: 1)] - [Proxy Entities (Seq: 1)] City - Send]&gt;</t>
        </r>
      </text>
    </comment>
    <comment ref="AI133" authorId="0" shapeId="0" xr:uid="{FC891232-4A2B-4DEB-B8EC-A3D16F9C9186}">
      <text>
        <r>
          <rPr>
            <b/>
            <sz val="9"/>
            <color indexed="81"/>
            <rFont val="Tahoma"/>
            <family val="2"/>
          </rPr>
          <t>&lt;[[TCDeals] - [Associated DEV Deal (Seq: 1)] - [Proxy Entities (Seq: 1)] State - Send]&gt;</t>
        </r>
      </text>
    </comment>
    <comment ref="AJ133" authorId="0" shapeId="0" xr:uid="{BA9CBB62-AF64-4C1A-8A62-2EAFBAC440BD}">
      <text>
        <r>
          <rPr>
            <b/>
            <sz val="9"/>
            <color indexed="81"/>
            <rFont val="Tahoma"/>
            <family val="2"/>
          </rPr>
          <t>&lt;[[TCDeals] - [Associated DEV Deal (Seq: 1)] - [Proxy Entities (Seq: 1)] Zip Code - Send]&gt;</t>
        </r>
      </text>
    </comment>
    <comment ref="AK133" authorId="0" shapeId="0" xr:uid="{AF60FB38-E6F7-4CA6-82F9-5BFE13327F8F}">
      <text>
        <r>
          <rPr>
            <b/>
            <sz val="9"/>
            <color indexed="81"/>
            <rFont val="Tahoma"/>
            <family val="2"/>
          </rPr>
          <t>&lt;[[TCDeals] - [Associated DEV Deal (Seq: 1)] - [Proxy Entities (Seq: 1)] Direct Phone - Send]&gt;</t>
        </r>
      </text>
    </comment>
    <comment ref="M134" authorId="0" shapeId="0" xr:uid="{E22BEE2B-9545-46D8-B487-4356671200B4}">
      <text>
        <r>
          <rPr>
            <b/>
            <sz val="9"/>
            <color indexed="81"/>
            <rFont val="Tahoma"/>
            <family val="2"/>
          </rPr>
          <t>&lt;[[TCDeals] - [Proxy Entities (Seq: 2)] Company or Individual? - Send]&gt;</t>
        </r>
      </text>
    </comment>
    <comment ref="N134" authorId="0" shapeId="0" xr:uid="{98E7140E-21D4-4F72-8067-52D6C2D87B4C}">
      <text>
        <r>
          <rPr>
            <b/>
            <sz val="9"/>
            <color indexed="81"/>
            <rFont val="Tahoma"/>
            <family val="2"/>
          </rPr>
          <t>&lt;[[TCDeals] - [Proxy Entities (Seq: 2)] Deal Entity Role - Send]&gt;</t>
        </r>
      </text>
    </comment>
    <comment ref="O134" authorId="0" shapeId="0" xr:uid="{E860D77F-86CD-493E-A335-60C18DFE7684}">
      <text>
        <r>
          <rPr>
            <b/>
            <sz val="9"/>
            <color indexed="81"/>
            <rFont val="Tahoma"/>
            <family val="2"/>
          </rPr>
          <t>&lt;[[TCDeals] - [Proxy Entities (Seq: 2)] Name (Doing Business As) - Send]&gt;</t>
        </r>
      </text>
    </comment>
    <comment ref="P134" authorId="0" shapeId="0" xr:uid="{7517CA3D-93C6-4183-9776-D6EE0F514F94}">
      <text>
        <r>
          <rPr>
            <b/>
            <sz val="9"/>
            <color indexed="81"/>
            <rFont val="Tahoma"/>
            <family val="2"/>
          </rPr>
          <t>&lt;[[TCDeals] - [Proxy Entities (Seq: 2)] First Name - Send]&gt;</t>
        </r>
      </text>
    </comment>
    <comment ref="Q134" authorId="0" shapeId="0" xr:uid="{E9DAE771-BEA0-4D50-9BC3-A2E2FFDBD7EA}">
      <text>
        <r>
          <rPr>
            <b/>
            <sz val="9"/>
            <color indexed="81"/>
            <rFont val="Tahoma"/>
            <family val="2"/>
          </rPr>
          <t>&lt;[[TCDeals] - [Proxy Entities (Seq: 2)] Last Name - Send]&gt;</t>
        </r>
      </text>
    </comment>
    <comment ref="R134" authorId="0" shapeId="0" xr:uid="{FCBAF3A1-27E8-4637-AD9B-D623A9775948}">
      <text>
        <r>
          <rPr>
            <b/>
            <sz val="9"/>
            <color indexed="81"/>
            <rFont val="Tahoma"/>
            <family val="2"/>
          </rPr>
          <t>&lt;[[TCDeals] - [Proxy Entities (Seq: 2)] Email Address 1 - Send]&gt;</t>
        </r>
      </text>
    </comment>
    <comment ref="S134" authorId="0" shapeId="0" xr:uid="{7AC7E39B-8C6D-4E1A-9E87-314C1E6ABCFC}">
      <text>
        <r>
          <rPr>
            <b/>
            <sz val="9"/>
            <color indexed="81"/>
            <rFont val="Tahoma"/>
            <family val="2"/>
          </rPr>
          <t>&lt;[[TCDeals] - [Proxy Entities (Seq: 2)] Address 1 - Send]&gt;</t>
        </r>
      </text>
    </comment>
    <comment ref="T134" authorId="0" shapeId="0" xr:uid="{B93355AD-8F40-4631-BE09-DECE2A4D9011}">
      <text>
        <r>
          <rPr>
            <b/>
            <sz val="9"/>
            <color indexed="81"/>
            <rFont val="Tahoma"/>
            <family val="2"/>
          </rPr>
          <t>&lt;[[TCDeals] - [Proxy Entities (Seq: 2)] City - Send]&gt;</t>
        </r>
      </text>
    </comment>
    <comment ref="U134" authorId="0" shapeId="0" xr:uid="{09036B3B-10C1-4058-9607-F8994955317A}">
      <text>
        <r>
          <rPr>
            <b/>
            <sz val="9"/>
            <color indexed="81"/>
            <rFont val="Tahoma"/>
            <family val="2"/>
          </rPr>
          <t>&lt;[[TCDeals] - [Proxy Entities (Seq: 2)] State - Send]&gt;</t>
        </r>
      </text>
    </comment>
    <comment ref="V134" authorId="0" shapeId="0" xr:uid="{24763AF0-36A4-48B9-9127-E515FB2AD584}">
      <text>
        <r>
          <rPr>
            <b/>
            <sz val="9"/>
            <color indexed="81"/>
            <rFont val="Tahoma"/>
            <family val="2"/>
          </rPr>
          <t>&lt;[[TCDeals] - [Proxy Entities (Seq: 2)] Zip Code - Send]&gt;</t>
        </r>
      </text>
    </comment>
    <comment ref="W134" authorId="0" shapeId="0" xr:uid="{32E54CB8-9A1F-4AA2-905E-0C3D321AA455}">
      <text>
        <r>
          <rPr>
            <b/>
            <sz val="9"/>
            <color indexed="81"/>
            <rFont val="Tahoma"/>
            <family val="2"/>
          </rPr>
          <t>&lt;[[TCDeals] - [Proxy Entities (Seq: 2)] Direct Phone - Send]&gt;</t>
        </r>
      </text>
    </comment>
    <comment ref="AA134" authorId="0" shapeId="0" xr:uid="{F3CB4A5E-8749-4D53-BCA8-42933A5CC009}">
      <text>
        <r>
          <rPr>
            <b/>
            <sz val="9"/>
            <color indexed="81"/>
            <rFont val="Tahoma"/>
            <family val="2"/>
          </rPr>
          <t>&lt;[[TCDeals] - [Associated DEV Deal (Seq: 1)] - [Proxy Entities (Seq: 2)] Name (Doing Business As) - Send]&gt;</t>
        </r>
      </text>
    </comment>
    <comment ref="AB134" authorId="0" shapeId="0" xr:uid="{06482A3F-E280-4BA3-A5F5-159C5D9B62DF}">
      <text>
        <r>
          <rPr>
            <b/>
            <sz val="9"/>
            <color indexed="81"/>
            <rFont val="Tahoma"/>
            <family val="2"/>
          </rPr>
          <t>&lt;[[TCDeals] - [Associated DEV Deal (Seq: 1)] - [Proxy Entities (Seq: 2)] Company or Individual? - Send]&gt;</t>
        </r>
      </text>
    </comment>
    <comment ref="AC134" authorId="0" shapeId="0" xr:uid="{3D8B0C49-FB45-4818-BC49-41594FA94667}">
      <text>
        <r>
          <rPr>
            <b/>
            <sz val="9"/>
            <color indexed="81"/>
            <rFont val="Tahoma"/>
            <family val="2"/>
          </rPr>
          <t>&lt;[[TCDeals] - [Associated DEV Deal (Seq: 1)] - [Proxy Entities (Seq: 2)] Deal Entity Role - Send]&gt;</t>
        </r>
      </text>
    </comment>
    <comment ref="AD134" authorId="0" shapeId="0" xr:uid="{EF2F045F-35EE-4B18-90E9-E02A6724F61C}">
      <text>
        <r>
          <rPr>
            <b/>
            <sz val="9"/>
            <color indexed="81"/>
            <rFont val="Tahoma"/>
            <family val="2"/>
          </rPr>
          <t>&lt;[[TCDeals] - [Associated DEV Deal (Seq: 1)] - [Proxy Entities (Seq: 2)] First Name - Send]&gt;</t>
        </r>
      </text>
    </comment>
    <comment ref="AE134" authorId="0" shapeId="0" xr:uid="{0F5E4CEE-A839-4BBC-A2D4-C5F576B2B33E}">
      <text>
        <r>
          <rPr>
            <b/>
            <sz val="9"/>
            <color indexed="81"/>
            <rFont val="Tahoma"/>
            <family val="2"/>
          </rPr>
          <t>&lt;[[TCDeals] - [Associated DEV Deal (Seq: 1)] - [Proxy Entities (Seq: 2)] Last Name - Send]&gt;</t>
        </r>
      </text>
    </comment>
    <comment ref="AF134" authorId="0" shapeId="0" xr:uid="{3460D226-ECD9-4A0E-B00E-CD2E00A849AB}">
      <text>
        <r>
          <rPr>
            <b/>
            <sz val="9"/>
            <color indexed="81"/>
            <rFont val="Tahoma"/>
            <family val="2"/>
          </rPr>
          <t>&lt;[[TCDeals] - [Associated DEV Deal (Seq: 1)] - [Proxy Entities (Seq: 2)] Email Address 1 - Send]&gt;</t>
        </r>
      </text>
    </comment>
    <comment ref="AG134" authorId="0" shapeId="0" xr:uid="{22C99C18-5877-454E-8A73-A3743EA5FF96}">
      <text>
        <r>
          <rPr>
            <b/>
            <sz val="9"/>
            <color indexed="81"/>
            <rFont val="Tahoma"/>
            <family val="2"/>
          </rPr>
          <t>&lt;[[TCDeals] - [Associated DEV Deal (Seq: 1)] - [Proxy Entities (Seq: 2)] Address 1 - Send]&gt;</t>
        </r>
      </text>
    </comment>
    <comment ref="AH134" authorId="0" shapeId="0" xr:uid="{8FEAF706-6267-4106-A219-EB1BAC2F0BFB}">
      <text>
        <r>
          <rPr>
            <b/>
            <sz val="9"/>
            <color indexed="81"/>
            <rFont val="Tahoma"/>
            <family val="2"/>
          </rPr>
          <t>&lt;[[TCDeals] - [Associated DEV Deal (Seq: 1)] - [Proxy Entities (Seq: 2)] City - Send]&gt;</t>
        </r>
      </text>
    </comment>
    <comment ref="AI134" authorId="0" shapeId="0" xr:uid="{66DC985C-0DCF-4A0D-A452-67A3D2679C2D}">
      <text>
        <r>
          <rPr>
            <b/>
            <sz val="9"/>
            <color indexed="81"/>
            <rFont val="Tahoma"/>
            <family val="2"/>
          </rPr>
          <t>&lt;[[TCDeals] - [Associated DEV Deal (Seq: 1)] - [Proxy Entities (Seq: 2)] State - Send]&gt;</t>
        </r>
      </text>
    </comment>
    <comment ref="AJ134" authorId="0" shapeId="0" xr:uid="{34B76BC7-6EA1-4000-830D-B48F11606A41}">
      <text>
        <r>
          <rPr>
            <b/>
            <sz val="9"/>
            <color indexed="81"/>
            <rFont val="Tahoma"/>
            <family val="2"/>
          </rPr>
          <t>&lt;[[TCDeals] - [Associated DEV Deal (Seq: 1)] - [Proxy Entities (Seq: 2)] Zip Code - Send]&gt;</t>
        </r>
      </text>
    </comment>
    <comment ref="AK134" authorId="0" shapeId="0" xr:uid="{B93D499B-F566-49D1-9571-203B8747B3A0}">
      <text>
        <r>
          <rPr>
            <b/>
            <sz val="9"/>
            <color indexed="81"/>
            <rFont val="Tahoma"/>
            <family val="2"/>
          </rPr>
          <t>&lt;[[TCDeals] - [Associated DEV Deal (Seq: 1)] - [Proxy Entities (Seq: 2)] Direct Phone - Send]&gt;</t>
        </r>
      </text>
    </comment>
    <comment ref="M135" authorId="0" shapeId="0" xr:uid="{A15E7C18-CF32-4886-89C4-118FD0F0BADF}">
      <text>
        <r>
          <rPr>
            <b/>
            <sz val="9"/>
            <color indexed="81"/>
            <rFont val="Tahoma"/>
            <family val="2"/>
          </rPr>
          <t>&lt;[[TCDeals] - [Proxy Entities (Seq: 3)] Company or Individual? - Send]&gt;</t>
        </r>
      </text>
    </comment>
    <comment ref="N135" authorId="0" shapeId="0" xr:uid="{C15DA0FA-9F1F-474C-9E34-8D696A72F252}">
      <text>
        <r>
          <rPr>
            <b/>
            <sz val="9"/>
            <color indexed="81"/>
            <rFont val="Tahoma"/>
            <family val="2"/>
          </rPr>
          <t>&lt;[[TCDeals] - [Proxy Entities (Seq: 3)] Deal Entity Role - Send]&gt;</t>
        </r>
      </text>
    </comment>
    <comment ref="O135" authorId="0" shapeId="0" xr:uid="{36A6BDF8-64BF-48FA-AF38-3D65FEDA5936}">
      <text>
        <r>
          <rPr>
            <b/>
            <sz val="9"/>
            <color indexed="81"/>
            <rFont val="Tahoma"/>
            <family val="2"/>
          </rPr>
          <t>&lt;[[TCDeals] - [Proxy Entities (Seq: 3)] Name (Doing Business As) - Send]&gt;</t>
        </r>
      </text>
    </comment>
    <comment ref="P135" authorId="0" shapeId="0" xr:uid="{0A941620-8E56-4F7B-AB2E-2F3BAD999F74}">
      <text>
        <r>
          <rPr>
            <b/>
            <sz val="9"/>
            <color indexed="81"/>
            <rFont val="Tahoma"/>
            <family val="2"/>
          </rPr>
          <t>&lt;[[TCDeals] - [Proxy Entities (Seq: 3)] First Name - Send]&gt;</t>
        </r>
      </text>
    </comment>
    <comment ref="Q135" authorId="0" shapeId="0" xr:uid="{0E49E3C8-68D7-485A-AA9A-B62B80CC459C}">
      <text>
        <r>
          <rPr>
            <b/>
            <sz val="9"/>
            <color indexed="81"/>
            <rFont val="Tahoma"/>
            <family val="2"/>
          </rPr>
          <t>&lt;[[TCDeals] - [Proxy Entities (Seq: 3)] Last Name - Send]&gt;</t>
        </r>
      </text>
    </comment>
    <comment ref="R135" authorId="0" shapeId="0" xr:uid="{84F750B3-F676-4C24-BD91-8D98FC9E4B71}">
      <text>
        <r>
          <rPr>
            <b/>
            <sz val="9"/>
            <color indexed="81"/>
            <rFont val="Tahoma"/>
            <family val="2"/>
          </rPr>
          <t>&lt;[[TCDeals] - [Proxy Entities (Seq: 3)] Email Address 1 - Send]&gt;</t>
        </r>
      </text>
    </comment>
    <comment ref="S135" authorId="0" shapeId="0" xr:uid="{0CCDB2F6-BFC2-4C4D-92D1-3BB8D3B2AF0E}">
      <text>
        <r>
          <rPr>
            <b/>
            <sz val="9"/>
            <color indexed="81"/>
            <rFont val="Tahoma"/>
            <family val="2"/>
          </rPr>
          <t>&lt;[[TCDeals] - [Proxy Entities (Seq: 3)] Address 1 - Send]&gt;</t>
        </r>
      </text>
    </comment>
    <comment ref="T135" authorId="0" shapeId="0" xr:uid="{3294106A-E856-47D6-89C6-ADB1DCA24AAD}">
      <text>
        <r>
          <rPr>
            <b/>
            <sz val="9"/>
            <color indexed="81"/>
            <rFont val="Tahoma"/>
            <family val="2"/>
          </rPr>
          <t>&lt;[[TCDeals] - [Proxy Entities (Seq: 3)] City - Send]&gt;</t>
        </r>
      </text>
    </comment>
    <comment ref="U135" authorId="0" shapeId="0" xr:uid="{DC4C10D4-EE6F-421B-8081-97E4F8F6D80F}">
      <text>
        <r>
          <rPr>
            <b/>
            <sz val="9"/>
            <color indexed="81"/>
            <rFont val="Tahoma"/>
            <family val="2"/>
          </rPr>
          <t>&lt;[[TCDeals] - [Proxy Entities (Seq: 3)] State - Send]&gt;</t>
        </r>
      </text>
    </comment>
    <comment ref="V135" authorId="0" shapeId="0" xr:uid="{72FBADAA-A04F-4408-ACB1-E12D0D4900BC}">
      <text>
        <r>
          <rPr>
            <b/>
            <sz val="9"/>
            <color indexed="81"/>
            <rFont val="Tahoma"/>
            <family val="2"/>
          </rPr>
          <t>&lt;[[TCDeals] - [Proxy Entities (Seq: 3)] Zip Code - Send]&gt;</t>
        </r>
      </text>
    </comment>
    <comment ref="W135" authorId="0" shapeId="0" xr:uid="{8C23D4A2-3307-44E8-96A2-02960B7B605B}">
      <text>
        <r>
          <rPr>
            <b/>
            <sz val="9"/>
            <color indexed="81"/>
            <rFont val="Tahoma"/>
            <family val="2"/>
          </rPr>
          <t>&lt;[[TCDeals] - [Proxy Entities (Seq: 3)] Direct Phone - Send]&gt;</t>
        </r>
      </text>
    </comment>
    <comment ref="AA135" authorId="0" shapeId="0" xr:uid="{20C3A71F-0661-4307-A36A-4079798CEFF2}">
      <text>
        <r>
          <rPr>
            <b/>
            <sz val="9"/>
            <color indexed="81"/>
            <rFont val="Tahoma"/>
            <family val="2"/>
          </rPr>
          <t>&lt;[[TCDeals] - [Associated DEV Deal (Seq: 1)] - [Proxy Entities (Seq: 3)] Name (Doing Business As) - Send]&gt;</t>
        </r>
      </text>
    </comment>
    <comment ref="AB135" authorId="0" shapeId="0" xr:uid="{014D4256-54AC-456A-B1B4-3DCD1F6BAED6}">
      <text>
        <r>
          <rPr>
            <b/>
            <sz val="9"/>
            <color indexed="81"/>
            <rFont val="Tahoma"/>
            <family val="2"/>
          </rPr>
          <t>&lt;[[TCDeals] - [Associated DEV Deal (Seq: 1)] - [Proxy Entities (Seq: 3)] Company or Individual? - Send]&gt;</t>
        </r>
      </text>
    </comment>
    <comment ref="AC135" authorId="0" shapeId="0" xr:uid="{A687F1B7-9047-4AFB-86FE-1F840CC34FC8}">
      <text>
        <r>
          <rPr>
            <b/>
            <sz val="9"/>
            <color indexed="81"/>
            <rFont val="Tahoma"/>
            <family val="2"/>
          </rPr>
          <t>&lt;[[TCDeals] - [Associated DEV Deal (Seq: 1)] - [Proxy Entities (Seq: 3)] Deal Entity Role - Send]&gt;</t>
        </r>
      </text>
    </comment>
    <comment ref="AD135" authorId="0" shapeId="0" xr:uid="{E846E49E-B580-49C8-BC8F-B7ABC5096E04}">
      <text>
        <r>
          <rPr>
            <b/>
            <sz val="9"/>
            <color indexed="81"/>
            <rFont val="Tahoma"/>
            <family val="2"/>
          </rPr>
          <t>&lt;[[TCDeals] - [Associated DEV Deal (Seq: 1)] - [Proxy Entities (Seq: 3)] First Name - Send]&gt;</t>
        </r>
      </text>
    </comment>
    <comment ref="AE135" authorId="0" shapeId="0" xr:uid="{1C074AB0-F584-4309-B98F-0B403830CA70}">
      <text>
        <r>
          <rPr>
            <b/>
            <sz val="9"/>
            <color indexed="81"/>
            <rFont val="Tahoma"/>
            <family val="2"/>
          </rPr>
          <t>&lt;[[TCDeals] - [Associated DEV Deal (Seq: 1)] - [Proxy Entities (Seq: 3)] Last Name - Send]&gt;</t>
        </r>
      </text>
    </comment>
    <comment ref="AF135" authorId="0" shapeId="0" xr:uid="{DFAE9F77-6916-465F-B32F-081D16FD049E}">
      <text>
        <r>
          <rPr>
            <b/>
            <sz val="9"/>
            <color indexed="81"/>
            <rFont val="Tahoma"/>
            <family val="2"/>
          </rPr>
          <t>&lt;[[TCDeals] - [Associated DEV Deal (Seq: 1)] - [Proxy Entities (Seq: 3)] Email Address 1 - Send]&gt;</t>
        </r>
      </text>
    </comment>
    <comment ref="AG135" authorId="0" shapeId="0" xr:uid="{D7E5D453-DF30-49D4-9DF0-BD9A63C9C516}">
      <text>
        <r>
          <rPr>
            <b/>
            <sz val="9"/>
            <color indexed="81"/>
            <rFont val="Tahoma"/>
            <family val="2"/>
          </rPr>
          <t>&lt;[[TCDeals] - [Associated DEV Deal (Seq: 1)] - [Proxy Entities (Seq: 3)] Address 1 - Send]&gt;</t>
        </r>
      </text>
    </comment>
    <comment ref="AH135" authorId="0" shapeId="0" xr:uid="{241E56EC-7798-4D96-B14D-252C5DB28888}">
      <text>
        <r>
          <rPr>
            <b/>
            <sz val="9"/>
            <color indexed="81"/>
            <rFont val="Tahoma"/>
            <family val="2"/>
          </rPr>
          <t>&lt;[[TCDeals] - [Associated DEV Deal (Seq: 1)] - [Proxy Entities (Seq: 3)] City - Send]&gt;</t>
        </r>
      </text>
    </comment>
    <comment ref="AI135" authorId="0" shapeId="0" xr:uid="{60E49471-3428-400A-B8F8-3F73E208473A}">
      <text>
        <r>
          <rPr>
            <b/>
            <sz val="9"/>
            <color indexed="81"/>
            <rFont val="Tahoma"/>
            <family val="2"/>
          </rPr>
          <t>&lt;[[TCDeals] - [Associated DEV Deal (Seq: 1)] - [Proxy Entities (Seq: 3)] State - Send]&gt;</t>
        </r>
      </text>
    </comment>
    <comment ref="AJ135" authorId="0" shapeId="0" xr:uid="{6DF85BC6-0DAC-4D94-ADF0-473061D5FD69}">
      <text>
        <r>
          <rPr>
            <b/>
            <sz val="9"/>
            <color indexed="81"/>
            <rFont val="Tahoma"/>
            <family val="2"/>
          </rPr>
          <t>&lt;[[TCDeals] - [Associated DEV Deal (Seq: 1)] - [Proxy Entities (Seq: 3)] Zip Code - Send]&gt;</t>
        </r>
      </text>
    </comment>
    <comment ref="AK135" authorId="0" shapeId="0" xr:uid="{97AF8E66-C112-4FC9-AEDD-A4ABBD7F3A7E}">
      <text>
        <r>
          <rPr>
            <b/>
            <sz val="9"/>
            <color indexed="81"/>
            <rFont val="Tahoma"/>
            <family val="2"/>
          </rPr>
          <t>&lt;[[TCDeals] - [Associated DEV Deal (Seq: 1)] - [Proxy Entities (Seq: 3)] Direct Phone - Send]&gt;</t>
        </r>
      </text>
    </comment>
    <comment ref="M136" authorId="0" shapeId="0" xr:uid="{19B80AA4-5838-432B-B633-91AD9256B6A4}">
      <text>
        <r>
          <rPr>
            <b/>
            <sz val="9"/>
            <color indexed="81"/>
            <rFont val="Tahoma"/>
            <family val="2"/>
          </rPr>
          <t>&lt;[[TCDeals] - [Proxy Entities (Seq: 4)] Company or Individual? - Send]&gt;</t>
        </r>
      </text>
    </comment>
    <comment ref="N136" authorId="0" shapeId="0" xr:uid="{0189B647-2DA9-45B7-B145-083059DE9756}">
      <text>
        <r>
          <rPr>
            <b/>
            <sz val="9"/>
            <color indexed="81"/>
            <rFont val="Tahoma"/>
            <family val="2"/>
          </rPr>
          <t>&lt;[[TCDeals] - [Proxy Entities (Seq: 4)] Deal Entity Role - Send]&gt;</t>
        </r>
      </text>
    </comment>
    <comment ref="O136" authorId="0" shapeId="0" xr:uid="{E73A31F6-382B-4848-933C-B4491497F81E}">
      <text>
        <r>
          <rPr>
            <b/>
            <sz val="9"/>
            <color indexed="81"/>
            <rFont val="Tahoma"/>
            <family val="2"/>
          </rPr>
          <t>&lt;[[TCDeals] - [Proxy Entities (Seq: 4)] Name (Doing Business As) - Send]&gt;</t>
        </r>
      </text>
    </comment>
    <comment ref="P136" authorId="0" shapeId="0" xr:uid="{6A1622AC-9B64-46E0-BDC1-D906D2A70712}">
      <text>
        <r>
          <rPr>
            <b/>
            <sz val="9"/>
            <color indexed="81"/>
            <rFont val="Tahoma"/>
            <family val="2"/>
          </rPr>
          <t>&lt;[[TCDeals] - [Proxy Entities (Seq: 4)] First Name - Send]&gt;</t>
        </r>
      </text>
    </comment>
    <comment ref="Q136" authorId="0" shapeId="0" xr:uid="{6F164101-ACEB-4654-9063-C697814D7B51}">
      <text>
        <r>
          <rPr>
            <b/>
            <sz val="9"/>
            <color indexed="81"/>
            <rFont val="Tahoma"/>
            <family val="2"/>
          </rPr>
          <t>&lt;[[TCDeals] - [Proxy Entities (Seq: 4)] Last Name - Send]&gt;</t>
        </r>
      </text>
    </comment>
    <comment ref="R136" authorId="0" shapeId="0" xr:uid="{96E45BFE-6C68-4E8C-BAB7-1AF2FC79E9A0}">
      <text>
        <r>
          <rPr>
            <b/>
            <sz val="9"/>
            <color indexed="81"/>
            <rFont val="Tahoma"/>
            <family val="2"/>
          </rPr>
          <t>&lt;[[TCDeals] - [Proxy Entities (Seq: 4)] Email Address 1 - Send]&gt;</t>
        </r>
      </text>
    </comment>
    <comment ref="S136" authorId="0" shapeId="0" xr:uid="{16ED77D4-5CB0-48E4-9A38-627A0C978374}">
      <text>
        <r>
          <rPr>
            <b/>
            <sz val="9"/>
            <color indexed="81"/>
            <rFont val="Tahoma"/>
            <family val="2"/>
          </rPr>
          <t>&lt;[[TCDeals] - [Proxy Entities (Seq: 4)] Address 1 - Send]&gt;</t>
        </r>
      </text>
    </comment>
    <comment ref="T136" authorId="0" shapeId="0" xr:uid="{E8CCAFDB-6FD3-4A92-918C-46C7851764CD}">
      <text>
        <r>
          <rPr>
            <b/>
            <sz val="9"/>
            <color indexed="81"/>
            <rFont val="Tahoma"/>
            <family val="2"/>
          </rPr>
          <t>&lt;[[TCDeals] - [Proxy Entities (Seq: 4)] City - Send]&gt;</t>
        </r>
      </text>
    </comment>
    <comment ref="U136" authorId="0" shapeId="0" xr:uid="{4C50CE7F-B8CA-4FFF-BEDE-BB6A99C24AC6}">
      <text>
        <r>
          <rPr>
            <b/>
            <sz val="9"/>
            <color indexed="81"/>
            <rFont val="Tahoma"/>
            <family val="2"/>
          </rPr>
          <t>&lt;[[TCDeals] - [Proxy Entities (Seq: 4)] State - Send]&gt;</t>
        </r>
      </text>
    </comment>
    <comment ref="V136" authorId="0" shapeId="0" xr:uid="{4D00ED99-3AC0-4F26-91AE-BEFDC7FC17B3}">
      <text>
        <r>
          <rPr>
            <b/>
            <sz val="9"/>
            <color indexed="81"/>
            <rFont val="Tahoma"/>
            <family val="2"/>
          </rPr>
          <t>&lt;[[TCDeals] - [Proxy Entities (Seq: 4)] Zip Code - Send]&gt;</t>
        </r>
      </text>
    </comment>
    <comment ref="W136" authorId="0" shapeId="0" xr:uid="{6706425A-6A0E-4DFE-BBFE-36FA213C0FB9}">
      <text>
        <r>
          <rPr>
            <b/>
            <sz val="9"/>
            <color indexed="81"/>
            <rFont val="Tahoma"/>
            <family val="2"/>
          </rPr>
          <t>&lt;[[TCDeals] - [Proxy Entities (Seq: 4)] Direct Phone - Send]&gt;</t>
        </r>
      </text>
    </comment>
    <comment ref="AA136" authorId="0" shapeId="0" xr:uid="{80C1F6BC-D637-4271-975C-1E039BF17979}">
      <text>
        <r>
          <rPr>
            <b/>
            <sz val="9"/>
            <color indexed="81"/>
            <rFont val="Tahoma"/>
            <family val="2"/>
          </rPr>
          <t>&lt;[[TCDeals] - [Associated DEV Deal (Seq: 1)] - [Proxy Entities (Seq: 4)] Name (Doing Business As) - Send]&gt;</t>
        </r>
      </text>
    </comment>
    <comment ref="AB136" authorId="0" shapeId="0" xr:uid="{027DF002-FD3E-4B15-B2CA-510E22F382EA}">
      <text>
        <r>
          <rPr>
            <b/>
            <sz val="9"/>
            <color indexed="81"/>
            <rFont val="Tahoma"/>
            <family val="2"/>
          </rPr>
          <t>&lt;[[TCDeals] - [Associated DEV Deal (Seq: 1)] - [Proxy Entities (Seq: 4)] Company or Individual? - Send]&gt;</t>
        </r>
      </text>
    </comment>
    <comment ref="AC136" authorId="0" shapeId="0" xr:uid="{1862332D-F099-4099-AF07-83A995421476}">
      <text>
        <r>
          <rPr>
            <b/>
            <sz val="9"/>
            <color indexed="81"/>
            <rFont val="Tahoma"/>
            <family val="2"/>
          </rPr>
          <t>&lt;[[TCDeals] - [Associated DEV Deal (Seq: 1)] - [Proxy Entities (Seq: 4)] Deal Entity Role - Send]&gt;</t>
        </r>
      </text>
    </comment>
    <comment ref="AD136" authorId="0" shapeId="0" xr:uid="{53E5FD33-036C-495A-A357-A56881D7C262}">
      <text>
        <r>
          <rPr>
            <b/>
            <sz val="9"/>
            <color indexed="81"/>
            <rFont val="Tahoma"/>
            <family val="2"/>
          </rPr>
          <t>&lt;[[TCDeals] - [Associated DEV Deal (Seq: 1)] - [Proxy Entities (Seq: 4)] First Name - Send]&gt;</t>
        </r>
      </text>
    </comment>
    <comment ref="AE136" authorId="0" shapeId="0" xr:uid="{9127C732-6614-4294-93B8-28CD7E14E516}">
      <text>
        <r>
          <rPr>
            <b/>
            <sz val="9"/>
            <color indexed="81"/>
            <rFont val="Tahoma"/>
            <family val="2"/>
          </rPr>
          <t>&lt;[[TCDeals] - [Associated DEV Deal (Seq: 1)] - [Proxy Entities (Seq: 4)] Last Name - Send]&gt;</t>
        </r>
      </text>
    </comment>
    <comment ref="AF136" authorId="0" shapeId="0" xr:uid="{6530E39F-FC82-4494-B433-C6CF9D6D72F8}">
      <text>
        <r>
          <rPr>
            <b/>
            <sz val="9"/>
            <color indexed="81"/>
            <rFont val="Tahoma"/>
            <family val="2"/>
          </rPr>
          <t>&lt;[[TCDeals] - [Associated DEV Deal (Seq: 1)] - [Proxy Entities (Seq: 4)] Email Address 1 - Send]&gt;</t>
        </r>
      </text>
    </comment>
    <comment ref="AG136" authorId="0" shapeId="0" xr:uid="{A6F61FAB-64F5-4806-BD5B-CBAF2725578C}">
      <text>
        <r>
          <rPr>
            <b/>
            <sz val="9"/>
            <color indexed="81"/>
            <rFont val="Tahoma"/>
            <family val="2"/>
          </rPr>
          <t>&lt;[[TCDeals] - [Associated DEV Deal (Seq: 1)] - [Proxy Entities (Seq: 4)] Address 1 - Send]&gt;</t>
        </r>
      </text>
    </comment>
    <comment ref="AH136" authorId="0" shapeId="0" xr:uid="{2DC55FBB-E53C-4347-9344-4C6E00B4FBFC}">
      <text>
        <r>
          <rPr>
            <b/>
            <sz val="9"/>
            <color indexed="81"/>
            <rFont val="Tahoma"/>
            <family val="2"/>
          </rPr>
          <t>&lt;[[TCDeals] - [Associated DEV Deal (Seq: 1)] - [Proxy Entities (Seq: 4)] City - Send]&gt;</t>
        </r>
      </text>
    </comment>
    <comment ref="AI136" authorId="0" shapeId="0" xr:uid="{EE7E49B0-D41A-46CA-A1CE-7B719F1F7AA2}">
      <text>
        <r>
          <rPr>
            <b/>
            <sz val="9"/>
            <color indexed="81"/>
            <rFont val="Tahoma"/>
            <family val="2"/>
          </rPr>
          <t>&lt;[[TCDeals] - [Associated DEV Deal (Seq: 1)] - [Proxy Entities (Seq: 4)] State - Send]&gt;</t>
        </r>
      </text>
    </comment>
    <comment ref="AJ136" authorId="0" shapeId="0" xr:uid="{E7726637-0674-444C-89E4-1890676D5EC8}">
      <text>
        <r>
          <rPr>
            <b/>
            <sz val="9"/>
            <color indexed="81"/>
            <rFont val="Tahoma"/>
            <family val="2"/>
          </rPr>
          <t>&lt;[[TCDeals] - [Associated DEV Deal (Seq: 1)] - [Proxy Entities (Seq: 4)] Zip Code - Send]&gt;</t>
        </r>
      </text>
    </comment>
    <comment ref="AK136" authorId="0" shapeId="0" xr:uid="{35E28AA6-F32C-4428-A14F-949D8714D167}">
      <text>
        <r>
          <rPr>
            <b/>
            <sz val="9"/>
            <color indexed="81"/>
            <rFont val="Tahoma"/>
            <family val="2"/>
          </rPr>
          <t>&lt;[[TCDeals] - [Associated DEV Deal (Seq: 1)] - [Proxy Entities (Seq: 4)] Direct Phone - Send]&gt;</t>
        </r>
      </text>
    </comment>
    <comment ref="M137" authorId="0" shapeId="0" xr:uid="{7B5B17CF-B3F2-4EB8-84EC-C480BF5204EA}">
      <text>
        <r>
          <rPr>
            <b/>
            <sz val="9"/>
            <color indexed="81"/>
            <rFont val="Tahoma"/>
            <family val="2"/>
          </rPr>
          <t>&lt;[[TCDeals] - [Proxy Entities (Seq: 5)] Company or Individual? - Send]&gt;</t>
        </r>
      </text>
    </comment>
    <comment ref="N137" authorId="0" shapeId="0" xr:uid="{81991A0C-89C3-463E-9044-3A7C7B70C733}">
      <text>
        <r>
          <rPr>
            <b/>
            <sz val="9"/>
            <color indexed="81"/>
            <rFont val="Tahoma"/>
            <family val="2"/>
          </rPr>
          <t>&lt;[[TCDeals] - [Proxy Entities (Seq: 5)] Deal Entity Role - Send]&gt;</t>
        </r>
      </text>
    </comment>
    <comment ref="O137" authorId="0" shapeId="0" xr:uid="{95585978-C8CD-4150-9C45-9047D1F90A13}">
      <text>
        <r>
          <rPr>
            <b/>
            <sz val="9"/>
            <color indexed="81"/>
            <rFont val="Tahoma"/>
            <family val="2"/>
          </rPr>
          <t>&lt;[[TCDeals] - [Proxy Entities (Seq: 5)] Name (Doing Business As) - Send]&gt;</t>
        </r>
      </text>
    </comment>
    <comment ref="P137" authorId="0" shapeId="0" xr:uid="{B24B9C22-7DEE-4736-BF73-0DF8CA518D74}">
      <text>
        <r>
          <rPr>
            <b/>
            <sz val="9"/>
            <color indexed="81"/>
            <rFont val="Tahoma"/>
            <family val="2"/>
          </rPr>
          <t>&lt;[[TCDeals] - [Proxy Entities (Seq: 5)] First Name - Send]&gt;</t>
        </r>
      </text>
    </comment>
    <comment ref="Q137" authorId="0" shapeId="0" xr:uid="{609A5261-6309-441B-9942-4C8913FE09BE}">
      <text>
        <r>
          <rPr>
            <b/>
            <sz val="9"/>
            <color indexed="81"/>
            <rFont val="Tahoma"/>
            <family val="2"/>
          </rPr>
          <t>&lt;[[TCDeals] - [Proxy Entities (Seq: 5)] Last Name - Send]&gt;</t>
        </r>
      </text>
    </comment>
    <comment ref="R137" authorId="0" shapeId="0" xr:uid="{217269D5-403D-47D1-8B70-F202296D85AA}">
      <text>
        <r>
          <rPr>
            <b/>
            <sz val="9"/>
            <color indexed="81"/>
            <rFont val="Tahoma"/>
            <family val="2"/>
          </rPr>
          <t>&lt;[[TCDeals] - [Proxy Entities (Seq: 5)] Email Address 1 - Send]&gt;</t>
        </r>
      </text>
    </comment>
    <comment ref="S137" authorId="0" shapeId="0" xr:uid="{3450C784-E961-4ADD-BFE6-17127F692C17}">
      <text>
        <r>
          <rPr>
            <b/>
            <sz val="9"/>
            <color indexed="81"/>
            <rFont val="Tahoma"/>
            <family val="2"/>
          </rPr>
          <t>&lt;[[TCDeals] - [Proxy Entities (Seq: 5)] Address 1 - Send]&gt;</t>
        </r>
      </text>
    </comment>
    <comment ref="T137" authorId="0" shapeId="0" xr:uid="{2C60A4D4-9273-4A6C-8D40-8C39F36F58DE}">
      <text>
        <r>
          <rPr>
            <b/>
            <sz val="9"/>
            <color indexed="81"/>
            <rFont val="Tahoma"/>
            <family val="2"/>
          </rPr>
          <t>&lt;[[TCDeals] - [Proxy Entities (Seq: 5)] City - Send]&gt;</t>
        </r>
      </text>
    </comment>
    <comment ref="U137" authorId="0" shapeId="0" xr:uid="{3527C683-DDA9-4CAC-8F93-323EFCEC24BD}">
      <text>
        <r>
          <rPr>
            <b/>
            <sz val="9"/>
            <color indexed="81"/>
            <rFont val="Tahoma"/>
            <family val="2"/>
          </rPr>
          <t>&lt;[[TCDeals] - [Proxy Entities (Seq: 5)] State - Send]&gt;</t>
        </r>
      </text>
    </comment>
    <comment ref="V137" authorId="0" shapeId="0" xr:uid="{5BDE2923-0E8F-4CBF-A89A-1009C4B3AAFE}">
      <text>
        <r>
          <rPr>
            <b/>
            <sz val="9"/>
            <color indexed="81"/>
            <rFont val="Tahoma"/>
            <family val="2"/>
          </rPr>
          <t>&lt;[[TCDeals] - [Proxy Entities (Seq: 5)] Zip Code - Send]&gt;</t>
        </r>
      </text>
    </comment>
    <comment ref="W137" authorId="0" shapeId="0" xr:uid="{020C6F5F-B9D5-4229-A6D1-769CBB90A388}">
      <text>
        <r>
          <rPr>
            <b/>
            <sz val="9"/>
            <color indexed="81"/>
            <rFont val="Tahoma"/>
            <family val="2"/>
          </rPr>
          <t>&lt;[[TCDeals] - [Proxy Entities (Seq: 5)] Direct Phone - Send]&gt;</t>
        </r>
      </text>
    </comment>
    <comment ref="AA137" authorId="0" shapeId="0" xr:uid="{A4B5C84F-8DE9-41EC-B9A2-FF3092337FBB}">
      <text>
        <r>
          <rPr>
            <b/>
            <sz val="9"/>
            <color indexed="81"/>
            <rFont val="Tahoma"/>
            <family val="2"/>
          </rPr>
          <t>&lt;[[TCDeals] - [Associated DEV Deal (Seq: 1)] - [Proxy Entities (Seq: 5)] Name (Doing Business As) - Send]&gt;</t>
        </r>
      </text>
    </comment>
    <comment ref="AB137" authorId="0" shapeId="0" xr:uid="{B51B4278-7644-416E-85F3-6A9805A46269}">
      <text>
        <r>
          <rPr>
            <b/>
            <sz val="9"/>
            <color indexed="81"/>
            <rFont val="Tahoma"/>
            <family val="2"/>
          </rPr>
          <t>&lt;[[TCDeals] - [Associated DEV Deal (Seq: 1)] - [Proxy Entities (Seq: 5)] Company or Individual? - Send]&gt;</t>
        </r>
      </text>
    </comment>
    <comment ref="AC137" authorId="0" shapeId="0" xr:uid="{D6D16D09-0F34-468C-9807-38ADAE941782}">
      <text>
        <r>
          <rPr>
            <b/>
            <sz val="9"/>
            <color indexed="81"/>
            <rFont val="Tahoma"/>
            <family val="2"/>
          </rPr>
          <t>&lt;[[TCDeals] - [Associated DEV Deal (Seq: 1)] - [Proxy Entities (Seq: 5)] Deal Entity Role - Send]&gt;</t>
        </r>
      </text>
    </comment>
    <comment ref="AD137" authorId="0" shapeId="0" xr:uid="{8FAEB2B3-187A-4E0D-840D-E4498FD9ADF5}">
      <text>
        <r>
          <rPr>
            <b/>
            <sz val="9"/>
            <color indexed="81"/>
            <rFont val="Tahoma"/>
            <family val="2"/>
          </rPr>
          <t>&lt;[[TCDeals] - [Associated DEV Deal (Seq: 1)] - [Proxy Entities (Seq: 5)] First Name - Send]&gt;</t>
        </r>
      </text>
    </comment>
    <comment ref="AE137" authorId="0" shapeId="0" xr:uid="{2E273C8D-2AD5-4B3F-BAAF-3BE95B923A7E}">
      <text>
        <r>
          <rPr>
            <b/>
            <sz val="9"/>
            <color indexed="81"/>
            <rFont val="Tahoma"/>
            <family val="2"/>
          </rPr>
          <t>&lt;[[TCDeals] - [Associated DEV Deal (Seq: 1)] - [Proxy Entities (Seq: 5)] Last Name - Send]&gt;</t>
        </r>
      </text>
    </comment>
    <comment ref="AF137" authorId="0" shapeId="0" xr:uid="{C535A6AF-C838-4776-BE10-EFC717278231}">
      <text>
        <r>
          <rPr>
            <b/>
            <sz val="9"/>
            <color indexed="81"/>
            <rFont val="Tahoma"/>
            <family val="2"/>
          </rPr>
          <t>&lt;[[TCDeals] - [Associated DEV Deal (Seq: 1)] - [Proxy Entities (Seq: 5)] Email Address 1 - Send]&gt;</t>
        </r>
      </text>
    </comment>
    <comment ref="AG137" authorId="0" shapeId="0" xr:uid="{4726511A-2AAC-4C1F-9FFA-9E0E005696A5}">
      <text>
        <r>
          <rPr>
            <b/>
            <sz val="9"/>
            <color indexed="81"/>
            <rFont val="Tahoma"/>
            <family val="2"/>
          </rPr>
          <t>&lt;[[TCDeals] - [Associated DEV Deal (Seq: 1)] - [Proxy Entities (Seq: 5)] Address 1 - Send]&gt;</t>
        </r>
      </text>
    </comment>
    <comment ref="AH137" authorId="0" shapeId="0" xr:uid="{17277D84-5E45-41F0-AC52-0F21A726A1EE}">
      <text>
        <r>
          <rPr>
            <b/>
            <sz val="9"/>
            <color indexed="81"/>
            <rFont val="Tahoma"/>
            <family val="2"/>
          </rPr>
          <t>&lt;[[TCDeals] - [Associated DEV Deal (Seq: 1)] - [Proxy Entities (Seq: 5)] City - Send]&gt;</t>
        </r>
      </text>
    </comment>
    <comment ref="AI137" authorId="0" shapeId="0" xr:uid="{5A82422C-A911-4BC6-8826-71588527EF37}">
      <text>
        <r>
          <rPr>
            <b/>
            <sz val="9"/>
            <color indexed="81"/>
            <rFont val="Tahoma"/>
            <family val="2"/>
          </rPr>
          <t>&lt;[[TCDeals] - [Associated DEV Deal (Seq: 1)] - [Proxy Entities (Seq: 5)] State - Send]&gt;</t>
        </r>
      </text>
    </comment>
    <comment ref="AJ137" authorId="0" shapeId="0" xr:uid="{9D3A4200-A5BF-4B86-B2D8-435436ACA57F}">
      <text>
        <r>
          <rPr>
            <b/>
            <sz val="9"/>
            <color indexed="81"/>
            <rFont val="Tahoma"/>
            <family val="2"/>
          </rPr>
          <t>&lt;[[TCDeals] - [Associated DEV Deal (Seq: 1)] - [Proxy Entities (Seq: 5)] Zip Code - Send]&gt;</t>
        </r>
      </text>
    </comment>
    <comment ref="AK137" authorId="0" shapeId="0" xr:uid="{948158B0-3C4C-429F-85BA-2D6FB7A89924}">
      <text>
        <r>
          <rPr>
            <b/>
            <sz val="9"/>
            <color indexed="81"/>
            <rFont val="Tahoma"/>
            <family val="2"/>
          </rPr>
          <t>&lt;[[TCDeals] - [Associated DEV Deal (Seq: 1)] - [Proxy Entities (Seq: 5)] Direct Phone - Send]&gt;</t>
        </r>
      </text>
    </comment>
    <comment ref="M138" authorId="0" shapeId="0" xr:uid="{BAC25E39-E47C-49E1-8B38-5B5F19CC7984}">
      <text>
        <r>
          <rPr>
            <b/>
            <sz val="9"/>
            <color indexed="81"/>
            <rFont val="Tahoma"/>
            <family val="2"/>
          </rPr>
          <t>&lt;[[TCDeals] - [Proxy Entities (Seq: 6)] Company or Individual? - Send]&gt;</t>
        </r>
      </text>
    </comment>
    <comment ref="N138" authorId="0" shapeId="0" xr:uid="{01A6A639-DC1D-439C-936D-8C6869A01F44}">
      <text>
        <r>
          <rPr>
            <b/>
            <sz val="9"/>
            <color indexed="81"/>
            <rFont val="Tahoma"/>
            <family val="2"/>
          </rPr>
          <t>&lt;[[TCDeals] - [Proxy Entities (Seq: 6)] Deal Entity Role - Send]&gt;</t>
        </r>
      </text>
    </comment>
    <comment ref="O138" authorId="0" shapeId="0" xr:uid="{87BF09CB-6283-4B17-9351-9EC23CB7BFA7}">
      <text>
        <r>
          <rPr>
            <b/>
            <sz val="9"/>
            <color indexed="81"/>
            <rFont val="Tahoma"/>
            <family val="2"/>
          </rPr>
          <t>&lt;[[TCDeals] - [Proxy Entities (Seq: 6)] Name (Doing Business As) - Send]&gt;</t>
        </r>
      </text>
    </comment>
    <comment ref="P138" authorId="0" shapeId="0" xr:uid="{2A3FB127-1594-45EE-975E-769CAD3D06AD}">
      <text>
        <r>
          <rPr>
            <b/>
            <sz val="9"/>
            <color indexed="81"/>
            <rFont val="Tahoma"/>
            <family val="2"/>
          </rPr>
          <t>&lt;[[TCDeals] - [Proxy Entities (Seq: 6)] First Name - Send]&gt;</t>
        </r>
      </text>
    </comment>
    <comment ref="Q138" authorId="0" shapeId="0" xr:uid="{68D83417-9975-4E02-B65B-8ABBA4AEDBD0}">
      <text>
        <r>
          <rPr>
            <b/>
            <sz val="9"/>
            <color indexed="81"/>
            <rFont val="Tahoma"/>
            <family val="2"/>
          </rPr>
          <t>&lt;[[TCDeals] - [Proxy Entities (Seq: 6)] Last Name - Send]&gt;</t>
        </r>
      </text>
    </comment>
    <comment ref="R138" authorId="0" shapeId="0" xr:uid="{AE29B42F-A078-408C-A8F3-927FFA5A8E48}">
      <text>
        <r>
          <rPr>
            <b/>
            <sz val="9"/>
            <color indexed="81"/>
            <rFont val="Tahoma"/>
            <family val="2"/>
          </rPr>
          <t>&lt;[[TCDeals] - [Proxy Entities (Seq: 6)] Email Address 1 - Send]&gt;</t>
        </r>
      </text>
    </comment>
    <comment ref="S138" authorId="0" shapeId="0" xr:uid="{EEC92743-A0CD-4929-A623-FEF39DCEC2E8}">
      <text>
        <r>
          <rPr>
            <b/>
            <sz val="9"/>
            <color indexed="81"/>
            <rFont val="Tahoma"/>
            <family val="2"/>
          </rPr>
          <t>&lt;[[TCDeals] - [Proxy Entities (Seq: 6)] Address 1 - Send]&gt;</t>
        </r>
      </text>
    </comment>
    <comment ref="T138" authorId="0" shapeId="0" xr:uid="{2CE6287A-87F0-4840-B077-E3D551A488F7}">
      <text>
        <r>
          <rPr>
            <b/>
            <sz val="9"/>
            <color indexed="81"/>
            <rFont val="Tahoma"/>
            <family val="2"/>
          </rPr>
          <t>&lt;[[TCDeals] - [Proxy Entities (Seq: 6)] City - Send]&gt;</t>
        </r>
      </text>
    </comment>
    <comment ref="U138" authorId="0" shapeId="0" xr:uid="{C9ACDDDA-F3E5-4618-A366-8AF7AAC57E3C}">
      <text>
        <r>
          <rPr>
            <b/>
            <sz val="9"/>
            <color indexed="81"/>
            <rFont val="Tahoma"/>
            <family val="2"/>
          </rPr>
          <t>&lt;[[TCDeals] - [Proxy Entities (Seq: 6)] State - Send]&gt;</t>
        </r>
      </text>
    </comment>
    <comment ref="V138" authorId="0" shapeId="0" xr:uid="{8F586134-4F93-413F-829F-9AD9098D8807}">
      <text>
        <r>
          <rPr>
            <b/>
            <sz val="9"/>
            <color indexed="81"/>
            <rFont val="Tahoma"/>
            <family val="2"/>
          </rPr>
          <t>&lt;[[TCDeals] - [Proxy Entities (Seq: 6)] Zip Code - Send]&gt;</t>
        </r>
      </text>
    </comment>
    <comment ref="W138" authorId="0" shapeId="0" xr:uid="{CD389993-E7F5-4F02-BC0B-F205085EB5D9}">
      <text>
        <r>
          <rPr>
            <b/>
            <sz val="9"/>
            <color indexed="81"/>
            <rFont val="Tahoma"/>
            <family val="2"/>
          </rPr>
          <t>&lt;[[TCDeals] - [Proxy Entities (Seq: 6)] Direct Phone - Send]&gt;</t>
        </r>
      </text>
    </comment>
    <comment ref="AA138" authorId="0" shapeId="0" xr:uid="{32D4DA1B-76BC-494E-8C64-87F3AAA34FBD}">
      <text>
        <r>
          <rPr>
            <b/>
            <sz val="9"/>
            <color indexed="81"/>
            <rFont val="Tahoma"/>
            <family val="2"/>
          </rPr>
          <t>&lt;[[TCDeals] - [Associated DEV Deal (Seq: 1)] - [Proxy Entities (Seq: 6)] Name (Doing Business As) - Send]&gt;</t>
        </r>
      </text>
    </comment>
    <comment ref="AB138" authorId="0" shapeId="0" xr:uid="{E9306F7D-23C8-48F9-B4ED-7AF650020FC5}">
      <text>
        <r>
          <rPr>
            <b/>
            <sz val="9"/>
            <color indexed="81"/>
            <rFont val="Tahoma"/>
            <family val="2"/>
          </rPr>
          <t>&lt;[[TCDeals] - [Associated DEV Deal (Seq: 1)] - [Proxy Entities (Seq: 6)] Company or Individual? - Send]&gt;</t>
        </r>
      </text>
    </comment>
    <comment ref="AC138" authorId="0" shapeId="0" xr:uid="{7F4B1470-E1A0-416F-8D35-DD770713829F}">
      <text>
        <r>
          <rPr>
            <b/>
            <sz val="9"/>
            <color indexed="81"/>
            <rFont val="Tahoma"/>
            <family val="2"/>
          </rPr>
          <t>&lt;[[TCDeals] - [Associated DEV Deal (Seq: 1)] - [Proxy Entities (Seq: 6)] Deal Entity Role - Send]&gt;</t>
        </r>
      </text>
    </comment>
    <comment ref="AD138" authorId="0" shapeId="0" xr:uid="{CA8E78AB-293B-42A2-90DB-D1037A425C86}">
      <text>
        <r>
          <rPr>
            <b/>
            <sz val="9"/>
            <color indexed="81"/>
            <rFont val="Tahoma"/>
            <family val="2"/>
          </rPr>
          <t>&lt;[[TCDeals] - [Associated DEV Deal (Seq: 1)] - [Proxy Entities (Seq: 6)] First Name - Send]&gt;</t>
        </r>
      </text>
    </comment>
    <comment ref="AE138" authorId="0" shapeId="0" xr:uid="{369D529C-AB86-43AD-A537-9FA7986F4E10}">
      <text>
        <r>
          <rPr>
            <b/>
            <sz val="9"/>
            <color indexed="81"/>
            <rFont val="Tahoma"/>
            <family val="2"/>
          </rPr>
          <t>&lt;[[TCDeals] - [Associated DEV Deal (Seq: 1)] - [Proxy Entities (Seq: 6)] Last Name - Send]&gt;</t>
        </r>
      </text>
    </comment>
    <comment ref="AF138" authorId="0" shapeId="0" xr:uid="{A802BC75-C193-41DF-B264-BFF1CDCCB0A0}">
      <text>
        <r>
          <rPr>
            <b/>
            <sz val="9"/>
            <color indexed="81"/>
            <rFont val="Tahoma"/>
            <family val="2"/>
          </rPr>
          <t>&lt;[[TCDeals] - [Associated DEV Deal (Seq: 1)] - [Proxy Entities (Seq: 6)] Email Address 1 - Send]&gt;</t>
        </r>
      </text>
    </comment>
    <comment ref="AG138" authorId="0" shapeId="0" xr:uid="{1C2F865F-7821-48D1-A475-7E5486254596}">
      <text>
        <r>
          <rPr>
            <b/>
            <sz val="9"/>
            <color indexed="81"/>
            <rFont val="Tahoma"/>
            <family val="2"/>
          </rPr>
          <t>&lt;[[TCDeals] - [Associated DEV Deal (Seq: 1)] - [Proxy Entities (Seq: 6)] Address 1 - Send]&gt;</t>
        </r>
      </text>
    </comment>
    <comment ref="AH138" authorId="0" shapeId="0" xr:uid="{1244A7C7-1F63-49F8-8FA5-E669D64A04F4}">
      <text>
        <r>
          <rPr>
            <b/>
            <sz val="9"/>
            <color indexed="81"/>
            <rFont val="Tahoma"/>
            <family val="2"/>
          </rPr>
          <t>&lt;[[TCDeals] - [Associated DEV Deal (Seq: 1)] - [Proxy Entities (Seq: 6)] City - Send]&gt;</t>
        </r>
      </text>
    </comment>
    <comment ref="AI138" authorId="0" shapeId="0" xr:uid="{60BC46FF-53A5-42FB-8B5D-F367938292B7}">
      <text>
        <r>
          <rPr>
            <b/>
            <sz val="9"/>
            <color indexed="81"/>
            <rFont val="Tahoma"/>
            <family val="2"/>
          </rPr>
          <t>&lt;[[TCDeals] - [Associated DEV Deal (Seq: 1)] - [Proxy Entities (Seq: 6)] State - Send]&gt;</t>
        </r>
      </text>
    </comment>
    <comment ref="AJ138" authorId="0" shapeId="0" xr:uid="{185B01C5-0477-4E8E-BF14-9590585FA5C2}">
      <text>
        <r>
          <rPr>
            <b/>
            <sz val="9"/>
            <color indexed="81"/>
            <rFont val="Tahoma"/>
            <family val="2"/>
          </rPr>
          <t>&lt;[[TCDeals] - [Associated DEV Deal (Seq: 1)] - [Proxy Entities (Seq: 6)] Zip Code - Send]&gt;</t>
        </r>
      </text>
    </comment>
    <comment ref="AK138" authorId="0" shapeId="0" xr:uid="{1A05BCEE-F8B2-4178-BC8D-11B00D9A99D4}">
      <text>
        <r>
          <rPr>
            <b/>
            <sz val="9"/>
            <color indexed="81"/>
            <rFont val="Tahoma"/>
            <family val="2"/>
          </rPr>
          <t>&lt;[[TCDeals] - [Associated DEV Deal (Seq: 1)] - [Proxy Entities (Seq: 6)] Direct Phone - Send]&gt;</t>
        </r>
      </text>
    </comment>
    <comment ref="M139" authorId="0" shapeId="0" xr:uid="{EC825436-04ED-4BBE-B332-7A4B1D5D36D1}">
      <text>
        <r>
          <rPr>
            <b/>
            <sz val="9"/>
            <color indexed="81"/>
            <rFont val="Tahoma"/>
            <family val="2"/>
          </rPr>
          <t>&lt;[[TCDeals] - [Proxy Entities (Seq: 7)] Company or Individual? - Send]&gt;</t>
        </r>
      </text>
    </comment>
    <comment ref="N139" authorId="0" shapeId="0" xr:uid="{F1C4F999-7C79-4BDA-AD67-97351C4E1F48}">
      <text>
        <r>
          <rPr>
            <b/>
            <sz val="9"/>
            <color indexed="81"/>
            <rFont val="Tahoma"/>
            <family val="2"/>
          </rPr>
          <t>&lt;[[TCDeals] - [Proxy Entities (Seq: 7)] Deal Entity Role - Send]&gt;</t>
        </r>
      </text>
    </comment>
    <comment ref="O139" authorId="0" shapeId="0" xr:uid="{E182D1D2-BF87-4E1F-ACC0-0C0AA448F55F}">
      <text>
        <r>
          <rPr>
            <b/>
            <sz val="9"/>
            <color indexed="81"/>
            <rFont val="Tahoma"/>
            <family val="2"/>
          </rPr>
          <t>&lt;[[TCDeals] - [Proxy Entities (Seq: 7)] Name (Doing Business As) - Send]&gt;</t>
        </r>
      </text>
    </comment>
    <comment ref="P139" authorId="0" shapeId="0" xr:uid="{E2284E25-6B6C-467C-BF04-FF83525F7EDC}">
      <text>
        <r>
          <rPr>
            <b/>
            <sz val="9"/>
            <color indexed="81"/>
            <rFont val="Tahoma"/>
            <family val="2"/>
          </rPr>
          <t>&lt;[[TCDeals] - [Proxy Entities (Seq: 7)] First Name - Send]&gt;</t>
        </r>
      </text>
    </comment>
    <comment ref="Q139" authorId="0" shapeId="0" xr:uid="{E1D8FC43-9B53-4417-A146-6317C90A56AA}">
      <text>
        <r>
          <rPr>
            <b/>
            <sz val="9"/>
            <color indexed="81"/>
            <rFont val="Tahoma"/>
            <family val="2"/>
          </rPr>
          <t>&lt;[[TCDeals] - [Proxy Entities (Seq: 7)] Last Name - Send]&gt;</t>
        </r>
      </text>
    </comment>
    <comment ref="R139" authorId="0" shapeId="0" xr:uid="{86597F50-51C4-4616-BC9B-F5F3D6D9DA97}">
      <text>
        <r>
          <rPr>
            <b/>
            <sz val="9"/>
            <color indexed="81"/>
            <rFont val="Tahoma"/>
            <family val="2"/>
          </rPr>
          <t>&lt;[[TCDeals] - [Proxy Entities (Seq: 7)] Email Address 1 - Send]&gt;</t>
        </r>
      </text>
    </comment>
    <comment ref="S139" authorId="0" shapeId="0" xr:uid="{0E738AD5-E444-4555-BB77-0C45B6582B14}">
      <text>
        <r>
          <rPr>
            <b/>
            <sz val="9"/>
            <color indexed="81"/>
            <rFont val="Tahoma"/>
            <family val="2"/>
          </rPr>
          <t>&lt;[[TCDeals] - [Proxy Entities (Seq: 7)] Address 1 - Send]&gt;</t>
        </r>
      </text>
    </comment>
    <comment ref="T139" authorId="0" shapeId="0" xr:uid="{5C064012-F01E-4ED1-8AFF-C6448F934E03}">
      <text>
        <r>
          <rPr>
            <b/>
            <sz val="9"/>
            <color indexed="81"/>
            <rFont val="Tahoma"/>
            <family val="2"/>
          </rPr>
          <t>&lt;[[TCDeals] - [Proxy Entities (Seq: 7)] City - Send]&gt;</t>
        </r>
      </text>
    </comment>
    <comment ref="U139" authorId="0" shapeId="0" xr:uid="{46065785-2FC4-4CAA-A1E8-84BC080E0E59}">
      <text>
        <r>
          <rPr>
            <b/>
            <sz val="9"/>
            <color indexed="81"/>
            <rFont val="Tahoma"/>
            <family val="2"/>
          </rPr>
          <t>&lt;[[TCDeals] - [Proxy Entities (Seq: 7)] State - Send]&gt;</t>
        </r>
      </text>
    </comment>
    <comment ref="V139" authorId="0" shapeId="0" xr:uid="{E8834F47-88FC-48E4-8A25-DD9C3ABE251F}">
      <text>
        <r>
          <rPr>
            <b/>
            <sz val="9"/>
            <color indexed="81"/>
            <rFont val="Tahoma"/>
            <family val="2"/>
          </rPr>
          <t>&lt;[[TCDeals] - [Proxy Entities (Seq: 7)] Zip Code - Send]&gt;</t>
        </r>
      </text>
    </comment>
    <comment ref="W139" authorId="0" shapeId="0" xr:uid="{25111A8E-F1A7-455B-9C28-5884493C434C}">
      <text>
        <r>
          <rPr>
            <b/>
            <sz val="9"/>
            <color indexed="81"/>
            <rFont val="Tahoma"/>
            <family val="2"/>
          </rPr>
          <t>&lt;[[TCDeals] - [Proxy Entities (Seq: 7)] Direct Phone - Send]&gt;</t>
        </r>
      </text>
    </comment>
    <comment ref="AA139" authorId="0" shapeId="0" xr:uid="{B3C27415-7014-4E41-9BC8-3ECAA490B349}">
      <text>
        <r>
          <rPr>
            <b/>
            <sz val="9"/>
            <color indexed="81"/>
            <rFont val="Tahoma"/>
            <family val="2"/>
          </rPr>
          <t>&lt;[[TCDeals] - [Associated DEV Deal (Seq: 1)] - [Proxy Entities (Seq: 7)] Name (Doing Business As) - Send]&gt;</t>
        </r>
      </text>
    </comment>
    <comment ref="AB139" authorId="0" shapeId="0" xr:uid="{43A4B576-6679-4782-B251-82FA93D88DD8}">
      <text>
        <r>
          <rPr>
            <b/>
            <sz val="9"/>
            <color indexed="81"/>
            <rFont val="Tahoma"/>
            <family val="2"/>
          </rPr>
          <t>&lt;[[TCDeals] - [Associated DEV Deal (Seq: 1)] - [Proxy Entities (Seq: 7)] Company or Individual? - Send]&gt;</t>
        </r>
      </text>
    </comment>
    <comment ref="AC139" authorId="0" shapeId="0" xr:uid="{172022A8-4B3A-4144-88FC-F6E8D241BB58}">
      <text>
        <r>
          <rPr>
            <b/>
            <sz val="9"/>
            <color indexed="81"/>
            <rFont val="Tahoma"/>
            <family val="2"/>
          </rPr>
          <t>&lt;[[TCDeals] - [Associated DEV Deal (Seq: 1)] - [Proxy Entities (Seq: 7)] Deal Entity Role - Send]&gt;</t>
        </r>
      </text>
    </comment>
    <comment ref="AD139" authorId="0" shapeId="0" xr:uid="{71F1461E-F912-4328-9BFD-5DAAD819A043}">
      <text>
        <r>
          <rPr>
            <b/>
            <sz val="9"/>
            <color indexed="81"/>
            <rFont val="Tahoma"/>
            <family val="2"/>
          </rPr>
          <t>&lt;[[TCDeals] - [Associated DEV Deal (Seq: 1)] - [Proxy Entities (Seq: 7)] First Name - Send]&gt;</t>
        </r>
      </text>
    </comment>
    <comment ref="AE139" authorId="0" shapeId="0" xr:uid="{92B6352A-C803-4B2B-ACE8-5338993C76A7}">
      <text>
        <r>
          <rPr>
            <b/>
            <sz val="9"/>
            <color indexed="81"/>
            <rFont val="Tahoma"/>
            <family val="2"/>
          </rPr>
          <t>&lt;[[TCDeals] - [Associated DEV Deal (Seq: 1)] - [Proxy Entities (Seq: 7)] Last Name - Send]&gt;</t>
        </r>
      </text>
    </comment>
    <comment ref="AF139" authorId="0" shapeId="0" xr:uid="{02FE0506-1E64-483F-B695-CD5CF3B9CE9E}">
      <text>
        <r>
          <rPr>
            <b/>
            <sz val="9"/>
            <color indexed="81"/>
            <rFont val="Tahoma"/>
            <family val="2"/>
          </rPr>
          <t>&lt;[[TCDeals] - [Associated DEV Deal (Seq: 1)] - [Proxy Entities (Seq: 7)] Email Address 1 - Send]&gt;</t>
        </r>
      </text>
    </comment>
    <comment ref="AG139" authorId="0" shapeId="0" xr:uid="{B42AF36B-28E3-45A3-A55D-86794B1F835D}">
      <text>
        <r>
          <rPr>
            <b/>
            <sz val="9"/>
            <color indexed="81"/>
            <rFont val="Tahoma"/>
            <family val="2"/>
          </rPr>
          <t>&lt;[[TCDeals] - [Associated DEV Deal (Seq: 1)] - [Proxy Entities (Seq: 7)] Address 1 - Send]&gt;</t>
        </r>
      </text>
    </comment>
    <comment ref="AH139" authorId="0" shapeId="0" xr:uid="{3B7C3452-C5D7-463C-8236-D80B77A314B3}">
      <text>
        <r>
          <rPr>
            <b/>
            <sz val="9"/>
            <color indexed="81"/>
            <rFont val="Tahoma"/>
            <family val="2"/>
          </rPr>
          <t>&lt;[[TCDeals] - [Associated DEV Deal (Seq: 1)] - [Proxy Entities (Seq: 7)] City - Send]&gt;</t>
        </r>
      </text>
    </comment>
    <comment ref="AI139" authorId="0" shapeId="0" xr:uid="{903E9EEB-1D8D-483B-A519-80170377AC84}">
      <text>
        <r>
          <rPr>
            <b/>
            <sz val="9"/>
            <color indexed="81"/>
            <rFont val="Tahoma"/>
            <family val="2"/>
          </rPr>
          <t>&lt;[[TCDeals] - [Associated DEV Deal (Seq: 1)] - [Proxy Entities (Seq: 7)] State - Send]&gt;</t>
        </r>
      </text>
    </comment>
    <comment ref="AJ139" authorId="0" shapeId="0" xr:uid="{1A3CF5CA-ADAB-456F-8453-1F693B327F83}">
      <text>
        <r>
          <rPr>
            <b/>
            <sz val="9"/>
            <color indexed="81"/>
            <rFont val="Tahoma"/>
            <family val="2"/>
          </rPr>
          <t>&lt;[[TCDeals] - [Associated DEV Deal (Seq: 1)] - [Proxy Entities (Seq: 7)] Zip Code - Send]&gt;</t>
        </r>
      </text>
    </comment>
    <comment ref="AK139" authorId="0" shapeId="0" xr:uid="{9EB03F4C-EEF7-4EC0-9C09-F15C962F3529}">
      <text>
        <r>
          <rPr>
            <b/>
            <sz val="9"/>
            <color indexed="81"/>
            <rFont val="Tahoma"/>
            <family val="2"/>
          </rPr>
          <t>&lt;[[TCDeals] - [Associated DEV Deal (Seq: 1)] - [Proxy Entities (Seq: 7)] Direct Phone - Send]&gt;</t>
        </r>
      </text>
    </comment>
    <comment ref="M140" authorId="0" shapeId="0" xr:uid="{E1A64BBF-12CC-4579-9259-10300A764665}">
      <text>
        <r>
          <rPr>
            <b/>
            <sz val="9"/>
            <color indexed="81"/>
            <rFont val="Tahoma"/>
            <family val="2"/>
          </rPr>
          <t>&lt;[[TCDeals] - [Proxy Entities (Seq: 8)] Company or Individual? - Send]&gt;</t>
        </r>
      </text>
    </comment>
    <comment ref="N140" authorId="0" shapeId="0" xr:uid="{E42B7C12-4063-45BB-A5F1-D55CDCF52CF4}">
      <text>
        <r>
          <rPr>
            <b/>
            <sz val="9"/>
            <color indexed="81"/>
            <rFont val="Tahoma"/>
            <family val="2"/>
          </rPr>
          <t>&lt;[[TCDeals] - [Proxy Entities (Seq: 8)] Deal Entity Role - Send]&gt;</t>
        </r>
      </text>
    </comment>
    <comment ref="O140" authorId="0" shapeId="0" xr:uid="{4414562D-EA8A-492D-87E6-F20A67B1F35C}">
      <text>
        <r>
          <rPr>
            <b/>
            <sz val="9"/>
            <color indexed="81"/>
            <rFont val="Tahoma"/>
            <family val="2"/>
          </rPr>
          <t>&lt;[[TCDeals] - [Proxy Entities (Seq: 8)] Name (Doing Business As) - Send]&gt;</t>
        </r>
      </text>
    </comment>
    <comment ref="P140" authorId="0" shapeId="0" xr:uid="{8DA0B22A-3708-4AE9-ACBE-EF90E1DB432A}">
      <text>
        <r>
          <rPr>
            <b/>
            <sz val="9"/>
            <color indexed="81"/>
            <rFont val="Tahoma"/>
            <family val="2"/>
          </rPr>
          <t>&lt;[[TCDeals] - [Proxy Entities (Seq: 8)] First Name - Send]&gt;</t>
        </r>
      </text>
    </comment>
    <comment ref="Q140" authorId="0" shapeId="0" xr:uid="{547A3D3A-BA48-4BB5-ADCD-D8E95FBE4C7C}">
      <text>
        <r>
          <rPr>
            <b/>
            <sz val="9"/>
            <color indexed="81"/>
            <rFont val="Tahoma"/>
            <family val="2"/>
          </rPr>
          <t>&lt;[[TCDeals] - [Proxy Entities (Seq: 8)] Last Name - Send]&gt;</t>
        </r>
      </text>
    </comment>
    <comment ref="R140" authorId="0" shapeId="0" xr:uid="{C63C8A61-DD5B-481E-9478-32F6D6F9A776}">
      <text>
        <r>
          <rPr>
            <b/>
            <sz val="9"/>
            <color indexed="81"/>
            <rFont val="Tahoma"/>
            <family val="2"/>
          </rPr>
          <t>&lt;[[TCDeals] - [Proxy Entities (Seq: 8)] Email Address 1 - Send]&gt;</t>
        </r>
      </text>
    </comment>
    <comment ref="S140" authorId="0" shapeId="0" xr:uid="{6E971C41-2C0F-4065-8F27-CB7611566F03}">
      <text>
        <r>
          <rPr>
            <b/>
            <sz val="9"/>
            <color indexed="81"/>
            <rFont val="Tahoma"/>
            <family val="2"/>
          </rPr>
          <t>&lt;[[TCDeals] - [Proxy Entities (Seq: 8)] Address 1 - Send]&gt;</t>
        </r>
      </text>
    </comment>
    <comment ref="T140" authorId="0" shapeId="0" xr:uid="{375CC203-75C1-4A0C-BC2F-DC21B09D316A}">
      <text>
        <r>
          <rPr>
            <b/>
            <sz val="9"/>
            <color indexed="81"/>
            <rFont val="Tahoma"/>
            <family val="2"/>
          </rPr>
          <t>&lt;[[TCDeals] - [Proxy Entities (Seq: 8)] City - Send]&gt;</t>
        </r>
      </text>
    </comment>
    <comment ref="U140" authorId="0" shapeId="0" xr:uid="{386517F9-3048-4EBD-AC40-41DE2A217ED8}">
      <text>
        <r>
          <rPr>
            <b/>
            <sz val="9"/>
            <color indexed="81"/>
            <rFont val="Tahoma"/>
            <family val="2"/>
          </rPr>
          <t>&lt;[[TCDeals] - [Proxy Entities (Seq: 8)] State - Send]&gt;</t>
        </r>
      </text>
    </comment>
    <comment ref="V140" authorId="0" shapeId="0" xr:uid="{02BD446E-0464-464A-A686-2CEC34BA167B}">
      <text>
        <r>
          <rPr>
            <b/>
            <sz val="9"/>
            <color indexed="81"/>
            <rFont val="Tahoma"/>
            <family val="2"/>
          </rPr>
          <t>&lt;[[TCDeals] - [Proxy Entities (Seq: 8)] Zip Code - Send]&gt;</t>
        </r>
      </text>
    </comment>
    <comment ref="W140" authorId="0" shapeId="0" xr:uid="{FF93B041-2092-406B-86D7-71CFA2D938A6}">
      <text>
        <r>
          <rPr>
            <b/>
            <sz val="9"/>
            <color indexed="81"/>
            <rFont val="Tahoma"/>
            <family val="2"/>
          </rPr>
          <t>&lt;[[TCDeals] - [Proxy Entities (Seq: 8)] Direct Phone - Send]&gt;</t>
        </r>
      </text>
    </comment>
    <comment ref="AA140" authorId="0" shapeId="0" xr:uid="{A75D84EF-A992-4A38-AE4F-70B7BC951CE7}">
      <text>
        <r>
          <rPr>
            <b/>
            <sz val="9"/>
            <color indexed="81"/>
            <rFont val="Tahoma"/>
            <family val="2"/>
          </rPr>
          <t>&lt;[[TCDeals] - [Associated DEV Deal (Seq: 1)] - [Proxy Entities (Seq: 8)] Name (Doing Business As) - Send]&gt;</t>
        </r>
      </text>
    </comment>
    <comment ref="AB140" authorId="0" shapeId="0" xr:uid="{52F3637B-AF74-4A32-B0C4-4921C54EB099}">
      <text>
        <r>
          <rPr>
            <b/>
            <sz val="9"/>
            <color indexed="81"/>
            <rFont val="Tahoma"/>
            <family val="2"/>
          </rPr>
          <t>&lt;[[TCDeals] - [Associated DEV Deal (Seq: 1)] - [Proxy Entities (Seq: 8)] Company or Individual? - Send]&gt;</t>
        </r>
      </text>
    </comment>
    <comment ref="AC140" authorId="0" shapeId="0" xr:uid="{8CFDEC4B-5AD9-4273-92FE-0FA9C16B3974}">
      <text>
        <r>
          <rPr>
            <b/>
            <sz val="9"/>
            <color indexed="81"/>
            <rFont val="Tahoma"/>
            <family val="2"/>
          </rPr>
          <t>&lt;[[TCDeals] - [Associated DEV Deal (Seq: 1)] - [Proxy Entities (Seq: 8)] Deal Entity Role - Send]&gt;</t>
        </r>
      </text>
    </comment>
    <comment ref="AD140" authorId="0" shapeId="0" xr:uid="{E6EC0B4F-5E3C-46F5-9841-5577DF592797}">
      <text>
        <r>
          <rPr>
            <b/>
            <sz val="9"/>
            <color indexed="81"/>
            <rFont val="Tahoma"/>
            <family val="2"/>
          </rPr>
          <t>&lt;[[TCDeals] - [Associated DEV Deal (Seq: 1)] - [Proxy Entities (Seq: 8)] First Name - Send]&gt;</t>
        </r>
      </text>
    </comment>
    <comment ref="AE140" authorId="0" shapeId="0" xr:uid="{FB760BEA-399F-46C8-80E8-1072F1BC7486}">
      <text>
        <r>
          <rPr>
            <b/>
            <sz val="9"/>
            <color indexed="81"/>
            <rFont val="Tahoma"/>
            <family val="2"/>
          </rPr>
          <t>&lt;[[TCDeals] - [Associated DEV Deal (Seq: 1)] - [Proxy Entities (Seq: 8)] Last Name - Send]&gt;</t>
        </r>
      </text>
    </comment>
    <comment ref="AF140" authorId="0" shapeId="0" xr:uid="{8A229124-FA40-4419-ADE3-3472C02478FB}">
      <text>
        <r>
          <rPr>
            <b/>
            <sz val="9"/>
            <color indexed="81"/>
            <rFont val="Tahoma"/>
            <family val="2"/>
          </rPr>
          <t>&lt;[[TCDeals] - [Associated DEV Deal (Seq: 1)] - [Proxy Entities (Seq: 8)] Email Address 1 - Send]&gt;</t>
        </r>
      </text>
    </comment>
    <comment ref="AG140" authorId="0" shapeId="0" xr:uid="{8419DBA7-27D5-40D8-A80A-6F4FE933857C}">
      <text>
        <r>
          <rPr>
            <b/>
            <sz val="9"/>
            <color indexed="81"/>
            <rFont val="Tahoma"/>
            <family val="2"/>
          </rPr>
          <t>&lt;[[TCDeals] - [Associated DEV Deal (Seq: 1)] - [Proxy Entities (Seq: 8)] Address 1 - Send]&gt;</t>
        </r>
      </text>
    </comment>
    <comment ref="AH140" authorId="0" shapeId="0" xr:uid="{1AA577A3-1017-49A9-930D-96F3CCF1B04F}">
      <text>
        <r>
          <rPr>
            <b/>
            <sz val="9"/>
            <color indexed="81"/>
            <rFont val="Tahoma"/>
            <family val="2"/>
          </rPr>
          <t>&lt;[[TCDeals] - [Associated DEV Deal (Seq: 1)] - [Proxy Entities (Seq: 8)] City - Send]&gt;</t>
        </r>
      </text>
    </comment>
    <comment ref="AI140" authorId="0" shapeId="0" xr:uid="{18A0EE81-8ABE-412D-A499-101918505C67}">
      <text>
        <r>
          <rPr>
            <b/>
            <sz val="9"/>
            <color indexed="81"/>
            <rFont val="Tahoma"/>
            <family val="2"/>
          </rPr>
          <t>&lt;[[TCDeals] - [Associated DEV Deal (Seq: 1)] - [Proxy Entities (Seq: 8)] State - Send]&gt;</t>
        </r>
      </text>
    </comment>
    <comment ref="AJ140" authorId="0" shapeId="0" xr:uid="{B598D03B-077F-4691-AE5B-6F82BC0384D6}">
      <text>
        <r>
          <rPr>
            <b/>
            <sz val="9"/>
            <color indexed="81"/>
            <rFont val="Tahoma"/>
            <family val="2"/>
          </rPr>
          <t>&lt;[[TCDeals] - [Associated DEV Deal (Seq: 1)] - [Proxy Entities (Seq: 8)] Zip Code - Send]&gt;</t>
        </r>
      </text>
    </comment>
    <comment ref="AK140" authorId="0" shapeId="0" xr:uid="{35B008AF-A817-40A1-8504-B4C256D5B159}">
      <text>
        <r>
          <rPr>
            <b/>
            <sz val="9"/>
            <color indexed="81"/>
            <rFont val="Tahoma"/>
            <family val="2"/>
          </rPr>
          <t>&lt;[[TCDeals] - [Associated DEV Deal (Seq: 1)] - [Proxy Entities (Seq: 8)] Direct Phone - Send]&gt;</t>
        </r>
      </text>
    </comment>
    <comment ref="M141" authorId="0" shapeId="0" xr:uid="{430F0AB4-6409-4A57-9A4A-A949EF935F2C}">
      <text>
        <r>
          <rPr>
            <b/>
            <sz val="9"/>
            <color indexed="81"/>
            <rFont val="Tahoma"/>
            <family val="2"/>
          </rPr>
          <t>&lt;[[TCDeals] - [Proxy Entities (Seq: 9)] Company or Individual? - Send]&gt;</t>
        </r>
      </text>
    </comment>
    <comment ref="N141" authorId="0" shapeId="0" xr:uid="{3C68EC6F-B078-458A-93ED-DD8CFA773255}">
      <text>
        <r>
          <rPr>
            <b/>
            <sz val="9"/>
            <color indexed="81"/>
            <rFont val="Tahoma"/>
            <family val="2"/>
          </rPr>
          <t>&lt;[[TCDeals] - [Proxy Entities (Seq: 9)] Deal Entity Role - Send]&gt;</t>
        </r>
      </text>
    </comment>
    <comment ref="O141" authorId="0" shapeId="0" xr:uid="{BE401B31-C1E6-4B0F-9E1D-7E1A1335419F}">
      <text>
        <r>
          <rPr>
            <b/>
            <sz val="9"/>
            <color indexed="81"/>
            <rFont val="Tahoma"/>
            <family val="2"/>
          </rPr>
          <t>&lt;[[TCDeals] - [Proxy Entities (Seq: 9)] Name (Doing Business As) - Send]&gt;</t>
        </r>
      </text>
    </comment>
    <comment ref="P141" authorId="0" shapeId="0" xr:uid="{5A51975E-52C1-4585-92B5-46F5AB085CDC}">
      <text>
        <r>
          <rPr>
            <b/>
            <sz val="9"/>
            <color indexed="81"/>
            <rFont val="Tahoma"/>
            <family val="2"/>
          </rPr>
          <t>&lt;[[TCDeals] - [Proxy Entities (Seq: 9)] First Name - Send]&gt;</t>
        </r>
      </text>
    </comment>
    <comment ref="Q141" authorId="0" shapeId="0" xr:uid="{35C62FE2-61E0-4DD6-A8A1-9E75422ED949}">
      <text>
        <r>
          <rPr>
            <b/>
            <sz val="9"/>
            <color indexed="81"/>
            <rFont val="Tahoma"/>
            <family val="2"/>
          </rPr>
          <t>&lt;[[TCDeals] - [Proxy Entities (Seq: 9)] Last Name - Send]&gt;</t>
        </r>
      </text>
    </comment>
    <comment ref="R141" authorId="0" shapeId="0" xr:uid="{A93B997A-238C-465D-BA26-567C9601D75D}">
      <text>
        <r>
          <rPr>
            <b/>
            <sz val="9"/>
            <color indexed="81"/>
            <rFont val="Tahoma"/>
            <family val="2"/>
          </rPr>
          <t>&lt;[[TCDeals] - [Proxy Entities (Seq: 9)] Email Address 1 - Send]&gt;</t>
        </r>
      </text>
    </comment>
    <comment ref="S141" authorId="0" shapeId="0" xr:uid="{6C93CE59-3A97-44FB-8766-229E616E6DFB}">
      <text>
        <r>
          <rPr>
            <b/>
            <sz val="9"/>
            <color indexed="81"/>
            <rFont val="Tahoma"/>
            <family val="2"/>
          </rPr>
          <t>&lt;[[TCDeals] - [Proxy Entities (Seq: 9)] Address 1 - Send]&gt;</t>
        </r>
      </text>
    </comment>
    <comment ref="T141" authorId="0" shapeId="0" xr:uid="{31381332-BF99-4495-8125-9C58DE47CA0B}">
      <text>
        <r>
          <rPr>
            <b/>
            <sz val="9"/>
            <color indexed="81"/>
            <rFont val="Tahoma"/>
            <family val="2"/>
          </rPr>
          <t>&lt;[[TCDeals] - [Proxy Entities (Seq: 9)] City - Send]&gt;</t>
        </r>
      </text>
    </comment>
    <comment ref="U141" authorId="0" shapeId="0" xr:uid="{19084FF5-5C01-4FDE-A085-C088168D16FF}">
      <text>
        <r>
          <rPr>
            <b/>
            <sz val="9"/>
            <color indexed="81"/>
            <rFont val="Tahoma"/>
            <family val="2"/>
          </rPr>
          <t>&lt;[[TCDeals] - [Proxy Entities (Seq: 9)] State - Send]&gt;</t>
        </r>
      </text>
    </comment>
    <comment ref="V141" authorId="0" shapeId="0" xr:uid="{82FAE81D-AE04-46CF-B293-8D99866469FA}">
      <text>
        <r>
          <rPr>
            <b/>
            <sz val="9"/>
            <color indexed="81"/>
            <rFont val="Tahoma"/>
            <family val="2"/>
          </rPr>
          <t>&lt;[[TCDeals] - [Proxy Entities (Seq: 9)] Zip Code - Send]&gt;</t>
        </r>
      </text>
    </comment>
    <comment ref="W141" authorId="0" shapeId="0" xr:uid="{88D65000-787C-4D05-9E5F-E1FFB84E1ED7}">
      <text>
        <r>
          <rPr>
            <b/>
            <sz val="9"/>
            <color indexed="81"/>
            <rFont val="Tahoma"/>
            <family val="2"/>
          </rPr>
          <t>&lt;[[TCDeals] - [Proxy Entities (Seq: 9)] Direct Phone - Send]&gt;</t>
        </r>
      </text>
    </comment>
    <comment ref="AA141" authorId="0" shapeId="0" xr:uid="{1AC3FFC2-E5C8-4DFB-BCD7-D09B1E3C6D2D}">
      <text>
        <r>
          <rPr>
            <b/>
            <sz val="9"/>
            <color indexed="81"/>
            <rFont val="Tahoma"/>
            <family val="2"/>
          </rPr>
          <t>&lt;[[TCDeals] - [Associated DEV Deal (Seq: 1)] - [Proxy Entities (Seq: 9)] Name (Doing Business As) - Send]&gt;</t>
        </r>
      </text>
    </comment>
    <comment ref="AB141" authorId="0" shapeId="0" xr:uid="{12DDF056-12B6-4515-AEA8-9F1EB845927F}">
      <text>
        <r>
          <rPr>
            <b/>
            <sz val="9"/>
            <color indexed="81"/>
            <rFont val="Tahoma"/>
            <family val="2"/>
          </rPr>
          <t>&lt;[[TCDeals] - [Associated DEV Deal (Seq: 1)] - [Proxy Entities (Seq: 9)] Company or Individual? - Send]&gt;</t>
        </r>
      </text>
    </comment>
    <comment ref="AC141" authorId="0" shapeId="0" xr:uid="{FFA7B09B-E9E7-4DEC-8696-095E13C8707C}">
      <text>
        <r>
          <rPr>
            <b/>
            <sz val="9"/>
            <color indexed="81"/>
            <rFont val="Tahoma"/>
            <family val="2"/>
          </rPr>
          <t>&lt;[[TCDeals] - [Associated DEV Deal (Seq: 1)] - [Proxy Entities (Seq: 9)] Deal Entity Role - Send]&gt;</t>
        </r>
      </text>
    </comment>
    <comment ref="AD141" authorId="0" shapeId="0" xr:uid="{283690FC-7A22-42C6-A232-51AB01F55F95}">
      <text>
        <r>
          <rPr>
            <b/>
            <sz val="9"/>
            <color indexed="81"/>
            <rFont val="Tahoma"/>
            <family val="2"/>
          </rPr>
          <t>&lt;[[TCDeals] - [Associated DEV Deal (Seq: 1)] - [Proxy Entities (Seq: 9)] First Name - Send]&gt;</t>
        </r>
      </text>
    </comment>
    <comment ref="AE141" authorId="0" shapeId="0" xr:uid="{0A0C2813-069E-4AEF-BCAD-6A70AC4437E1}">
      <text>
        <r>
          <rPr>
            <b/>
            <sz val="9"/>
            <color indexed="81"/>
            <rFont val="Tahoma"/>
            <family val="2"/>
          </rPr>
          <t>&lt;[[TCDeals] - [Associated DEV Deal (Seq: 1)] - [Proxy Entities (Seq: 9)] Last Name - Send]&gt;</t>
        </r>
      </text>
    </comment>
    <comment ref="AF141" authorId="0" shapeId="0" xr:uid="{629D9C5D-21FB-4EA2-BD86-73510761F982}">
      <text>
        <r>
          <rPr>
            <b/>
            <sz val="9"/>
            <color indexed="81"/>
            <rFont val="Tahoma"/>
            <family val="2"/>
          </rPr>
          <t>&lt;[[TCDeals] - [Associated DEV Deal (Seq: 1)] - [Proxy Entities (Seq: 9)] Email Address 1 - Send]&gt;</t>
        </r>
      </text>
    </comment>
    <comment ref="AG141" authorId="0" shapeId="0" xr:uid="{17366F14-487A-4329-B1C8-551E7AD70F4B}">
      <text>
        <r>
          <rPr>
            <b/>
            <sz val="9"/>
            <color indexed="81"/>
            <rFont val="Tahoma"/>
            <family val="2"/>
          </rPr>
          <t>&lt;[[TCDeals] - [Associated DEV Deal (Seq: 1)] - [Proxy Entities (Seq: 9)] Address 1 - Send]&gt;</t>
        </r>
      </text>
    </comment>
    <comment ref="AH141" authorId="0" shapeId="0" xr:uid="{E696BF0A-81E4-452F-8CAF-867316CE523F}">
      <text>
        <r>
          <rPr>
            <b/>
            <sz val="9"/>
            <color indexed="81"/>
            <rFont val="Tahoma"/>
            <family val="2"/>
          </rPr>
          <t>&lt;[[TCDeals] - [Associated DEV Deal (Seq: 1)] - [Proxy Entities (Seq: 9)] City - Send]&gt;</t>
        </r>
      </text>
    </comment>
    <comment ref="AI141" authorId="0" shapeId="0" xr:uid="{AD0BF147-6DA2-4122-8A25-178A800DEB5E}">
      <text>
        <r>
          <rPr>
            <b/>
            <sz val="9"/>
            <color indexed="81"/>
            <rFont val="Tahoma"/>
            <family val="2"/>
          </rPr>
          <t>&lt;[[TCDeals] - [Associated DEV Deal (Seq: 1)] - [Proxy Entities (Seq: 9)] State - Send]&gt;</t>
        </r>
      </text>
    </comment>
    <comment ref="AJ141" authorId="0" shapeId="0" xr:uid="{BF028FBC-FF37-4C79-8CFF-5797DD214D2B}">
      <text>
        <r>
          <rPr>
            <b/>
            <sz val="9"/>
            <color indexed="81"/>
            <rFont val="Tahoma"/>
            <family val="2"/>
          </rPr>
          <t>&lt;[[TCDeals] - [Associated DEV Deal (Seq: 1)] - [Proxy Entities (Seq: 9)] Zip Code - Send]&gt;</t>
        </r>
      </text>
    </comment>
    <comment ref="AK141" authorId="0" shapeId="0" xr:uid="{5001E846-7470-494D-80B1-D0CE1EFB7D18}">
      <text>
        <r>
          <rPr>
            <b/>
            <sz val="9"/>
            <color indexed="81"/>
            <rFont val="Tahoma"/>
            <family val="2"/>
          </rPr>
          <t>&lt;[[TCDeals] - [Associated DEV Deal (Seq: 1)] - [Proxy Entities (Seq: 9)] Direct Phone - Send]&gt;</t>
        </r>
      </text>
    </comment>
    <comment ref="M142" authorId="0" shapeId="0" xr:uid="{51EBDF8C-5936-41D2-A792-BFB2950415F5}">
      <text>
        <r>
          <rPr>
            <b/>
            <sz val="9"/>
            <color indexed="81"/>
            <rFont val="Tahoma"/>
            <family val="2"/>
          </rPr>
          <t>&lt;[[TCDeals] - [Proxy Entities (Seq: 10)] Company or Individual? - Send]&gt;</t>
        </r>
      </text>
    </comment>
    <comment ref="N142" authorId="0" shapeId="0" xr:uid="{4445BDC0-4A27-4947-B518-A96F924D75E1}">
      <text>
        <r>
          <rPr>
            <b/>
            <sz val="9"/>
            <color indexed="81"/>
            <rFont val="Tahoma"/>
            <family val="2"/>
          </rPr>
          <t>&lt;[[TCDeals] - [Proxy Entities (Seq: 10)] Deal Entity Role - Send]&gt;</t>
        </r>
      </text>
    </comment>
    <comment ref="O142" authorId="0" shapeId="0" xr:uid="{6FB6CEF4-A032-4780-A4BA-2C6C6DDFC8DD}">
      <text>
        <r>
          <rPr>
            <b/>
            <sz val="9"/>
            <color indexed="81"/>
            <rFont val="Tahoma"/>
            <family val="2"/>
          </rPr>
          <t>&lt;[[TCDeals] - [Proxy Entities (Seq: 10)] Name (Doing Business As) - Send]&gt;</t>
        </r>
      </text>
    </comment>
    <comment ref="P142" authorId="0" shapeId="0" xr:uid="{9840F503-366E-467C-B4FF-E37DF949B053}">
      <text>
        <r>
          <rPr>
            <b/>
            <sz val="9"/>
            <color indexed="81"/>
            <rFont val="Tahoma"/>
            <family val="2"/>
          </rPr>
          <t>&lt;[[TCDeals] - [Proxy Entities (Seq: 10)] First Name - Send]&gt;</t>
        </r>
      </text>
    </comment>
    <comment ref="Q142" authorId="0" shapeId="0" xr:uid="{CA6C8331-9D48-458E-BB11-AA09C72EB382}">
      <text>
        <r>
          <rPr>
            <b/>
            <sz val="9"/>
            <color indexed="81"/>
            <rFont val="Tahoma"/>
            <family val="2"/>
          </rPr>
          <t>&lt;[[TCDeals] - [Proxy Entities (Seq: 10)] Last Name - Send]&gt;</t>
        </r>
      </text>
    </comment>
    <comment ref="R142" authorId="0" shapeId="0" xr:uid="{D7C27BC3-5231-46DB-A9DB-A4665052D75E}">
      <text>
        <r>
          <rPr>
            <b/>
            <sz val="9"/>
            <color indexed="81"/>
            <rFont val="Tahoma"/>
            <family val="2"/>
          </rPr>
          <t>&lt;[[TCDeals] - [Proxy Entities (Seq: 10)] Email Address 1 - Send]&gt;</t>
        </r>
      </text>
    </comment>
    <comment ref="S142" authorId="0" shapeId="0" xr:uid="{D1428407-EAE5-496F-8926-4CF31EC12165}">
      <text>
        <r>
          <rPr>
            <b/>
            <sz val="9"/>
            <color indexed="81"/>
            <rFont val="Tahoma"/>
            <family val="2"/>
          </rPr>
          <t>&lt;[[TCDeals] - [Proxy Entities (Seq: 10)] Address 1 - Send]&gt;</t>
        </r>
      </text>
    </comment>
    <comment ref="T142" authorId="0" shapeId="0" xr:uid="{72EDFEAB-BD3E-4F46-B12B-19816D554071}">
      <text>
        <r>
          <rPr>
            <b/>
            <sz val="9"/>
            <color indexed="81"/>
            <rFont val="Tahoma"/>
            <family val="2"/>
          </rPr>
          <t>&lt;[[TCDeals] - [Proxy Entities (Seq: 10)] City - Send]&gt;</t>
        </r>
      </text>
    </comment>
    <comment ref="U142" authorId="0" shapeId="0" xr:uid="{9A884240-05E1-4D3F-8895-011427611B21}">
      <text>
        <r>
          <rPr>
            <b/>
            <sz val="9"/>
            <color indexed="81"/>
            <rFont val="Tahoma"/>
            <family val="2"/>
          </rPr>
          <t>&lt;[[TCDeals] - [Proxy Entities (Seq: 10)] State - Send]&gt;</t>
        </r>
      </text>
    </comment>
    <comment ref="V142" authorId="0" shapeId="0" xr:uid="{F9650C52-DBE9-40FE-998D-1D0ED68FEBEF}">
      <text>
        <r>
          <rPr>
            <b/>
            <sz val="9"/>
            <color indexed="81"/>
            <rFont val="Tahoma"/>
            <family val="2"/>
          </rPr>
          <t>&lt;[[TCDeals] - [Proxy Entities (Seq: 10)] Zip Code - Send]&gt;</t>
        </r>
      </text>
    </comment>
    <comment ref="W142" authorId="0" shapeId="0" xr:uid="{9C80328D-5ACA-4380-985B-525F8BFEF7EF}">
      <text>
        <r>
          <rPr>
            <b/>
            <sz val="9"/>
            <color indexed="81"/>
            <rFont val="Tahoma"/>
            <family val="2"/>
          </rPr>
          <t>&lt;[[TCDeals] - [Proxy Entities (Seq: 10)] Direct Phone - Send]&gt;</t>
        </r>
      </text>
    </comment>
    <comment ref="AA142" authorId="0" shapeId="0" xr:uid="{B3DC8B77-8492-4F49-B5B8-8A6D0DB0336E}">
      <text>
        <r>
          <rPr>
            <b/>
            <sz val="9"/>
            <color indexed="81"/>
            <rFont val="Tahoma"/>
            <family val="2"/>
          </rPr>
          <t>&lt;[[TCDeals] - [Associated DEV Deal (Seq: 1)] - [Proxy Entities (Seq: 10)] Name (Doing Business As) - Send]&gt;</t>
        </r>
      </text>
    </comment>
    <comment ref="AB142" authorId="0" shapeId="0" xr:uid="{44B849D0-D563-4BAF-8B31-804E1DDE22FB}">
      <text>
        <r>
          <rPr>
            <b/>
            <sz val="9"/>
            <color indexed="81"/>
            <rFont val="Tahoma"/>
            <family val="2"/>
          </rPr>
          <t>&lt;[[TCDeals] - [Associated DEV Deal (Seq: 1)] - [Proxy Entities (Seq: 10)] Company or Individual? - Send]&gt;</t>
        </r>
      </text>
    </comment>
    <comment ref="AC142" authorId="0" shapeId="0" xr:uid="{317F6D22-B8F4-46D4-AD4F-30CDA2FC3450}">
      <text>
        <r>
          <rPr>
            <b/>
            <sz val="9"/>
            <color indexed="81"/>
            <rFont val="Tahoma"/>
            <family val="2"/>
          </rPr>
          <t>&lt;[[TCDeals] - [Associated DEV Deal (Seq: 1)] - [Proxy Entities (Seq: 10)] Deal Entity Role - Send]&gt;</t>
        </r>
      </text>
    </comment>
    <comment ref="AD142" authorId="0" shapeId="0" xr:uid="{71D77BD2-F75E-4CCF-A1D5-9BB11E524831}">
      <text>
        <r>
          <rPr>
            <b/>
            <sz val="9"/>
            <color indexed="81"/>
            <rFont val="Tahoma"/>
            <family val="2"/>
          </rPr>
          <t>&lt;[[TCDeals] - [Associated DEV Deal (Seq: 1)] - [Proxy Entities (Seq: 10)] First Name - Send]&gt;</t>
        </r>
      </text>
    </comment>
    <comment ref="AE142" authorId="0" shapeId="0" xr:uid="{F16F5A45-CFB0-4ACE-97E5-54B851D172CD}">
      <text>
        <r>
          <rPr>
            <b/>
            <sz val="9"/>
            <color indexed="81"/>
            <rFont val="Tahoma"/>
            <family val="2"/>
          </rPr>
          <t>&lt;[[TCDeals] - [Associated DEV Deal (Seq: 1)] - [Proxy Entities (Seq: 10)] Last Name - Send]&gt;</t>
        </r>
      </text>
    </comment>
    <comment ref="AF142" authorId="0" shapeId="0" xr:uid="{8999C28B-B89F-4769-B9B4-D40B0D79DD3E}">
      <text>
        <r>
          <rPr>
            <b/>
            <sz val="9"/>
            <color indexed="81"/>
            <rFont val="Tahoma"/>
            <family val="2"/>
          </rPr>
          <t>&lt;[[TCDeals] - [Associated DEV Deal (Seq: 1)] - [Proxy Entities (Seq: 10)] Email Address 1 - Send]&gt;</t>
        </r>
      </text>
    </comment>
    <comment ref="AG142" authorId="0" shapeId="0" xr:uid="{AD3F7F04-5174-4182-B96B-FC2F5AD4FFF5}">
      <text>
        <r>
          <rPr>
            <b/>
            <sz val="9"/>
            <color indexed="81"/>
            <rFont val="Tahoma"/>
            <family val="2"/>
          </rPr>
          <t>&lt;[[TCDeals] - [Associated DEV Deal (Seq: 1)] - [Proxy Entities (Seq: 10)] Address 1 - Send]&gt;</t>
        </r>
      </text>
    </comment>
    <comment ref="AH142" authorId="0" shapeId="0" xr:uid="{2AD0D80C-BD56-4B25-B4CB-646F81ED1791}">
      <text>
        <r>
          <rPr>
            <b/>
            <sz val="9"/>
            <color indexed="81"/>
            <rFont val="Tahoma"/>
            <family val="2"/>
          </rPr>
          <t>&lt;[[TCDeals] - [Associated DEV Deal (Seq: 1)] - [Proxy Entities (Seq: 10)] City - Send]&gt;</t>
        </r>
      </text>
    </comment>
    <comment ref="AI142" authorId="0" shapeId="0" xr:uid="{6C0BB364-9B22-4408-A96D-6D1BB9855DB2}">
      <text>
        <r>
          <rPr>
            <b/>
            <sz val="9"/>
            <color indexed="81"/>
            <rFont val="Tahoma"/>
            <family val="2"/>
          </rPr>
          <t>&lt;[[TCDeals] - [Associated DEV Deal (Seq: 1)] - [Proxy Entities (Seq: 10)] State - Send]&gt;</t>
        </r>
      </text>
    </comment>
    <comment ref="AJ142" authorId="0" shapeId="0" xr:uid="{EA3952D3-566C-4773-B7B3-63E8E545F696}">
      <text>
        <r>
          <rPr>
            <b/>
            <sz val="9"/>
            <color indexed="81"/>
            <rFont val="Tahoma"/>
            <family val="2"/>
          </rPr>
          <t>&lt;[[TCDeals] - [Associated DEV Deal (Seq: 1)] - [Proxy Entities (Seq: 10)] Zip Code - Send]&gt;</t>
        </r>
      </text>
    </comment>
    <comment ref="AK142" authorId="0" shapeId="0" xr:uid="{961C9527-360A-47FE-9CE1-BFAAA79DDC3A}">
      <text>
        <r>
          <rPr>
            <b/>
            <sz val="9"/>
            <color indexed="81"/>
            <rFont val="Tahoma"/>
            <family val="2"/>
          </rPr>
          <t>&lt;[[TCDeals] - [Associated DEV Deal (Seq: 1)] - [Proxy Entities (Seq: 10)] Direct Phone - Send]&gt;</t>
        </r>
      </text>
    </comment>
    <comment ref="M143" authorId="0" shapeId="0" xr:uid="{1443AE8E-3032-411E-94D0-7F200A01258C}">
      <text>
        <r>
          <rPr>
            <b/>
            <sz val="9"/>
            <color indexed="81"/>
            <rFont val="Tahoma"/>
            <family val="2"/>
          </rPr>
          <t>&lt;[[TCDeals] - [Proxy Entities (Seq: 11)] Company or Individual? - Send]&gt;</t>
        </r>
      </text>
    </comment>
    <comment ref="N143" authorId="0" shapeId="0" xr:uid="{FD337906-B3E1-4090-9A1E-822E624DCCF0}">
      <text>
        <r>
          <rPr>
            <b/>
            <sz val="9"/>
            <color indexed="81"/>
            <rFont val="Tahoma"/>
            <family val="2"/>
          </rPr>
          <t>&lt;[[TCDeals] - [Proxy Entities (Seq: 11)] Deal Entity Role - Send]&gt;</t>
        </r>
      </text>
    </comment>
    <comment ref="O143" authorId="0" shapeId="0" xr:uid="{AEEBBEE1-FEE9-474D-9516-8EABEA577E47}">
      <text>
        <r>
          <rPr>
            <b/>
            <sz val="9"/>
            <color indexed="81"/>
            <rFont val="Tahoma"/>
            <family val="2"/>
          </rPr>
          <t>&lt;[[TCDeals] - [Proxy Entities (Seq: 11)] Name (Doing Business As) - Send]&gt;</t>
        </r>
      </text>
    </comment>
    <comment ref="P143" authorId="0" shapeId="0" xr:uid="{4162383D-AD2C-4D05-B333-79F4C60BD73B}">
      <text>
        <r>
          <rPr>
            <b/>
            <sz val="9"/>
            <color indexed="81"/>
            <rFont val="Tahoma"/>
            <family val="2"/>
          </rPr>
          <t>&lt;[[TCDeals] - [Proxy Entities (Seq: 11)] First Name - Send]&gt;</t>
        </r>
      </text>
    </comment>
    <comment ref="Q143" authorId="0" shapeId="0" xr:uid="{6783F4E2-70E2-49A3-9432-2405437B77E9}">
      <text>
        <r>
          <rPr>
            <b/>
            <sz val="9"/>
            <color indexed="81"/>
            <rFont val="Tahoma"/>
            <family val="2"/>
          </rPr>
          <t>&lt;[[TCDeals] - [Proxy Entities (Seq: 11)] Last Name - Send]&gt;</t>
        </r>
      </text>
    </comment>
    <comment ref="R143" authorId="0" shapeId="0" xr:uid="{5238B8CA-428E-43DD-B4D9-219E6CEFC82E}">
      <text>
        <r>
          <rPr>
            <b/>
            <sz val="9"/>
            <color indexed="81"/>
            <rFont val="Tahoma"/>
            <family val="2"/>
          </rPr>
          <t>&lt;[[TCDeals] - [Proxy Entities (Seq: 11)] Email Address 1 - Send]&gt;</t>
        </r>
      </text>
    </comment>
    <comment ref="S143" authorId="0" shapeId="0" xr:uid="{406DDBDC-DA20-4AB1-A678-046A775637C9}">
      <text>
        <r>
          <rPr>
            <b/>
            <sz val="9"/>
            <color indexed="81"/>
            <rFont val="Tahoma"/>
            <family val="2"/>
          </rPr>
          <t>&lt;[[TCDeals] - [Proxy Entities (Seq: 11)] Address 1 - Send]&gt;</t>
        </r>
      </text>
    </comment>
    <comment ref="T143" authorId="0" shapeId="0" xr:uid="{949528AD-5730-41AE-9EFA-D0CED31BE979}">
      <text>
        <r>
          <rPr>
            <b/>
            <sz val="9"/>
            <color indexed="81"/>
            <rFont val="Tahoma"/>
            <family val="2"/>
          </rPr>
          <t>&lt;[[TCDeals] - [Proxy Entities (Seq: 11)] City - Send]&gt;</t>
        </r>
      </text>
    </comment>
    <comment ref="U143" authorId="0" shapeId="0" xr:uid="{B4A69DCD-5584-4D9C-A44C-2759B13E1D55}">
      <text>
        <r>
          <rPr>
            <b/>
            <sz val="9"/>
            <color indexed="81"/>
            <rFont val="Tahoma"/>
            <family val="2"/>
          </rPr>
          <t>&lt;[[TCDeals] - [Proxy Entities (Seq: 11)] State - Send]&gt;</t>
        </r>
      </text>
    </comment>
    <comment ref="V143" authorId="0" shapeId="0" xr:uid="{AEDADADA-E4C0-4C98-A194-3982B8CB2030}">
      <text>
        <r>
          <rPr>
            <b/>
            <sz val="9"/>
            <color indexed="81"/>
            <rFont val="Tahoma"/>
            <family val="2"/>
          </rPr>
          <t>&lt;[[TCDeals] - [Proxy Entities (Seq: 11)] Zip Code - Send]&gt;</t>
        </r>
      </text>
    </comment>
    <comment ref="W143" authorId="0" shapeId="0" xr:uid="{8D47930E-057C-408A-A284-5BAFB7E930E7}">
      <text>
        <r>
          <rPr>
            <b/>
            <sz val="9"/>
            <color indexed="81"/>
            <rFont val="Tahoma"/>
            <family val="2"/>
          </rPr>
          <t>&lt;[[TCDeals] - [Proxy Entities (Seq: 11)] Direct Phone - Send]&gt;</t>
        </r>
      </text>
    </comment>
    <comment ref="AA143" authorId="0" shapeId="0" xr:uid="{D055F2A7-31C7-4BAA-BDA9-825E6411D3E4}">
      <text>
        <r>
          <rPr>
            <b/>
            <sz val="9"/>
            <color indexed="81"/>
            <rFont val="Tahoma"/>
            <family val="2"/>
          </rPr>
          <t>&lt;[[TCDeals] - [Associated DEV Deal (Seq: 1)] - [Proxy Entities (Seq: 11)] Name (Doing Business As) - Send]&gt;</t>
        </r>
      </text>
    </comment>
    <comment ref="AB143" authorId="0" shapeId="0" xr:uid="{8D4C9CEB-6C60-45B2-A567-61012B407B33}">
      <text>
        <r>
          <rPr>
            <b/>
            <sz val="9"/>
            <color indexed="81"/>
            <rFont val="Tahoma"/>
            <family val="2"/>
          </rPr>
          <t>&lt;[[TCDeals] - [Associated DEV Deal (Seq: 1)] - [Proxy Entities (Seq: 11)] Company or Individual? - Send]&gt;</t>
        </r>
      </text>
    </comment>
    <comment ref="AC143" authorId="0" shapeId="0" xr:uid="{1CCF9B29-F408-4D21-AB43-3CD7480BF7DE}">
      <text>
        <r>
          <rPr>
            <b/>
            <sz val="9"/>
            <color indexed="81"/>
            <rFont val="Tahoma"/>
            <family val="2"/>
          </rPr>
          <t>&lt;[[TCDeals] - [Associated DEV Deal (Seq: 1)] - [Proxy Entities (Seq: 11)] Deal Entity Role - Send]&gt;</t>
        </r>
      </text>
    </comment>
    <comment ref="AD143" authorId="0" shapeId="0" xr:uid="{BB355E72-25DE-488D-8270-4404BD3024A7}">
      <text>
        <r>
          <rPr>
            <b/>
            <sz val="9"/>
            <color indexed="81"/>
            <rFont val="Tahoma"/>
            <family val="2"/>
          </rPr>
          <t>&lt;[[TCDeals] - [Associated DEV Deal (Seq: 1)] - [Proxy Entities (Seq: 11)] First Name - Send]&gt;</t>
        </r>
      </text>
    </comment>
    <comment ref="AE143" authorId="0" shapeId="0" xr:uid="{11AB9FF6-2895-42A8-AD7A-F54EECBF0EE9}">
      <text>
        <r>
          <rPr>
            <b/>
            <sz val="9"/>
            <color indexed="81"/>
            <rFont val="Tahoma"/>
            <family val="2"/>
          </rPr>
          <t>&lt;[[TCDeals] - [Associated DEV Deal (Seq: 1)] - [Proxy Entities (Seq: 11)] Last Name - Send]&gt;</t>
        </r>
      </text>
    </comment>
    <comment ref="AF143" authorId="0" shapeId="0" xr:uid="{BA0F5BC2-B40F-42A2-B6A2-652A4237159B}">
      <text>
        <r>
          <rPr>
            <b/>
            <sz val="9"/>
            <color indexed="81"/>
            <rFont val="Tahoma"/>
            <family val="2"/>
          </rPr>
          <t>&lt;[[TCDeals] - [Associated DEV Deal (Seq: 1)] - [Proxy Entities (Seq: 11)] Email Address 1 - Send]&gt;</t>
        </r>
      </text>
    </comment>
    <comment ref="AG143" authorId="0" shapeId="0" xr:uid="{E0534730-E5C8-4292-A3E8-3F73399FBE1F}">
      <text>
        <r>
          <rPr>
            <b/>
            <sz val="9"/>
            <color indexed="81"/>
            <rFont val="Tahoma"/>
            <family val="2"/>
          </rPr>
          <t>&lt;[[TCDeals] - [Associated DEV Deal (Seq: 1)] - [Proxy Entities (Seq: 11)] Address 1 - Send]&gt;</t>
        </r>
      </text>
    </comment>
    <comment ref="AH143" authorId="0" shapeId="0" xr:uid="{C5F09132-C126-4130-9903-7904D79626D5}">
      <text>
        <r>
          <rPr>
            <b/>
            <sz val="9"/>
            <color indexed="81"/>
            <rFont val="Tahoma"/>
            <family val="2"/>
          </rPr>
          <t>&lt;[[TCDeals] - [Associated DEV Deal (Seq: 1)] - [Proxy Entities (Seq: 11)] City - Send]&gt;</t>
        </r>
      </text>
    </comment>
    <comment ref="AI143" authorId="0" shapeId="0" xr:uid="{3DDD2DD7-CA53-4CF3-A2EF-D7CA79545D08}">
      <text>
        <r>
          <rPr>
            <b/>
            <sz val="9"/>
            <color indexed="81"/>
            <rFont val="Tahoma"/>
            <family val="2"/>
          </rPr>
          <t>&lt;[[TCDeals] - [Associated DEV Deal (Seq: 1)] - [Proxy Entities (Seq: 11)] State - Send]&gt;</t>
        </r>
      </text>
    </comment>
    <comment ref="AJ143" authorId="0" shapeId="0" xr:uid="{0974821E-1DCE-468A-A850-BC181ED7B7E5}">
      <text>
        <r>
          <rPr>
            <b/>
            <sz val="9"/>
            <color indexed="81"/>
            <rFont val="Tahoma"/>
            <family val="2"/>
          </rPr>
          <t>&lt;[[TCDeals] - [Associated DEV Deal (Seq: 1)] - [Proxy Entities (Seq: 11)] Zip Code - Send]&gt;</t>
        </r>
      </text>
    </comment>
    <comment ref="AK143" authorId="0" shapeId="0" xr:uid="{0C3ED92F-6276-480D-A4DA-7016DCE7357C}">
      <text>
        <r>
          <rPr>
            <b/>
            <sz val="9"/>
            <color indexed="81"/>
            <rFont val="Tahoma"/>
            <family val="2"/>
          </rPr>
          <t>&lt;[[TCDeals] - [Associated DEV Deal (Seq: 1)] - [Proxy Entities (Seq: 11)] Direct Phone - Send]&gt;</t>
        </r>
      </text>
    </comment>
    <comment ref="M144" authorId="0" shapeId="0" xr:uid="{D2ECE667-C45C-4EE8-8479-8849F643B2BD}">
      <text>
        <r>
          <rPr>
            <b/>
            <sz val="9"/>
            <color indexed="81"/>
            <rFont val="Tahoma"/>
            <family val="2"/>
          </rPr>
          <t>&lt;[[TCDeals] - [Proxy Entities (Seq: 12)] Company or Individual? - Send]&gt;</t>
        </r>
      </text>
    </comment>
    <comment ref="N144" authorId="0" shapeId="0" xr:uid="{AB2D268E-4BD3-4434-9CEE-A28FDA1DEE8C}">
      <text>
        <r>
          <rPr>
            <b/>
            <sz val="9"/>
            <color indexed="81"/>
            <rFont val="Tahoma"/>
            <family val="2"/>
          </rPr>
          <t>&lt;[[TCDeals] - [Proxy Entities (Seq: 12)] Deal Entity Role - Send]&gt;</t>
        </r>
      </text>
    </comment>
    <comment ref="O144" authorId="0" shapeId="0" xr:uid="{F2C56422-9684-42D5-B618-3668670852E2}">
      <text>
        <r>
          <rPr>
            <b/>
            <sz val="9"/>
            <color indexed="81"/>
            <rFont val="Tahoma"/>
            <family val="2"/>
          </rPr>
          <t>&lt;[[TCDeals] - [Proxy Entities (Seq: 12)] Name (Doing Business As) - Send]&gt;</t>
        </r>
      </text>
    </comment>
    <comment ref="P144" authorId="0" shapeId="0" xr:uid="{76F059FB-A075-4863-9751-449C8E565FC3}">
      <text>
        <r>
          <rPr>
            <b/>
            <sz val="9"/>
            <color indexed="81"/>
            <rFont val="Tahoma"/>
            <family val="2"/>
          </rPr>
          <t>&lt;[[TCDeals] - [Proxy Entities (Seq: 12)] First Name - Send]&gt;</t>
        </r>
      </text>
    </comment>
    <comment ref="Q144" authorId="0" shapeId="0" xr:uid="{C10B8BC3-EC0D-4C52-B36A-723688F1D6D8}">
      <text>
        <r>
          <rPr>
            <b/>
            <sz val="9"/>
            <color indexed="81"/>
            <rFont val="Tahoma"/>
            <family val="2"/>
          </rPr>
          <t>&lt;[[TCDeals] - [Proxy Entities (Seq: 12)] Last Name - Send]&gt;</t>
        </r>
      </text>
    </comment>
    <comment ref="R144" authorId="0" shapeId="0" xr:uid="{A6EBDB85-4781-4430-BF87-D0A53C17797D}">
      <text>
        <r>
          <rPr>
            <b/>
            <sz val="9"/>
            <color indexed="81"/>
            <rFont val="Tahoma"/>
            <family val="2"/>
          </rPr>
          <t>&lt;[[TCDeals] - [Proxy Entities (Seq: 12)] Email Address 1 - Send]&gt;</t>
        </r>
      </text>
    </comment>
    <comment ref="S144" authorId="0" shapeId="0" xr:uid="{8809CD1E-3E61-4826-8641-C197724D3287}">
      <text>
        <r>
          <rPr>
            <b/>
            <sz val="9"/>
            <color indexed="81"/>
            <rFont val="Tahoma"/>
            <family val="2"/>
          </rPr>
          <t>&lt;[[TCDeals] - [Proxy Entities (Seq: 12)] Address 1 - Send]&gt;</t>
        </r>
      </text>
    </comment>
    <comment ref="T144" authorId="0" shapeId="0" xr:uid="{F57E0D12-A99D-491C-A31E-18238907438D}">
      <text>
        <r>
          <rPr>
            <b/>
            <sz val="9"/>
            <color indexed="81"/>
            <rFont val="Tahoma"/>
            <family val="2"/>
          </rPr>
          <t>&lt;[[TCDeals] - [Proxy Entities (Seq: 12)] City - Send]&gt;</t>
        </r>
      </text>
    </comment>
    <comment ref="U144" authorId="0" shapeId="0" xr:uid="{F7150E95-E75C-491B-A8DD-FF845CDC30D0}">
      <text>
        <r>
          <rPr>
            <b/>
            <sz val="9"/>
            <color indexed="81"/>
            <rFont val="Tahoma"/>
            <family val="2"/>
          </rPr>
          <t>&lt;[[TCDeals] - [Proxy Entities (Seq: 12)] State - Send]&gt;</t>
        </r>
      </text>
    </comment>
    <comment ref="V144" authorId="0" shapeId="0" xr:uid="{43E8D524-83B0-470B-A187-6A2D92472F73}">
      <text>
        <r>
          <rPr>
            <b/>
            <sz val="9"/>
            <color indexed="81"/>
            <rFont val="Tahoma"/>
            <family val="2"/>
          </rPr>
          <t>&lt;[[TCDeals] - [Proxy Entities (Seq: 12)] Zip Code - Send]&gt;</t>
        </r>
      </text>
    </comment>
    <comment ref="W144" authorId="0" shapeId="0" xr:uid="{F9439913-92F3-4BB9-BF93-2CF9C6693C50}">
      <text>
        <r>
          <rPr>
            <b/>
            <sz val="9"/>
            <color indexed="81"/>
            <rFont val="Tahoma"/>
            <family val="2"/>
          </rPr>
          <t>&lt;[[TCDeals] - [Proxy Entities (Seq: 12)] Direct Phone - Send]&gt;</t>
        </r>
      </text>
    </comment>
    <comment ref="AA144" authorId="0" shapeId="0" xr:uid="{D7B00EF9-2A59-4970-8998-48CC08CD7ED2}">
      <text>
        <r>
          <rPr>
            <b/>
            <sz val="9"/>
            <color indexed="81"/>
            <rFont val="Tahoma"/>
            <family val="2"/>
          </rPr>
          <t>&lt;[[TCDeals] - [Associated DEV Deal (Seq: 1)] - [Proxy Entities (Seq: 12)] Name (Doing Business As) - Send]&gt;</t>
        </r>
      </text>
    </comment>
    <comment ref="AB144" authorId="0" shapeId="0" xr:uid="{452E78EA-CE84-486E-9BBE-3482493B60DE}">
      <text>
        <r>
          <rPr>
            <b/>
            <sz val="9"/>
            <color indexed="81"/>
            <rFont val="Tahoma"/>
            <family val="2"/>
          </rPr>
          <t>&lt;[[TCDeals] - [Associated DEV Deal (Seq: 1)] - [Proxy Entities (Seq: 12)] Company or Individual? - Send]&gt;</t>
        </r>
      </text>
    </comment>
    <comment ref="AC144" authorId="0" shapeId="0" xr:uid="{2DCC94F7-7157-4E11-A460-15BC50CE6A00}">
      <text>
        <r>
          <rPr>
            <b/>
            <sz val="9"/>
            <color indexed="81"/>
            <rFont val="Tahoma"/>
            <family val="2"/>
          </rPr>
          <t>&lt;[[TCDeals] - [Associated DEV Deal (Seq: 1)] - [Proxy Entities (Seq: 12)] Deal Entity Role - Send]&gt;</t>
        </r>
      </text>
    </comment>
    <comment ref="AD144" authorId="0" shapeId="0" xr:uid="{CE3372A4-1435-40E6-90E3-AA67311010A5}">
      <text>
        <r>
          <rPr>
            <b/>
            <sz val="9"/>
            <color indexed="81"/>
            <rFont val="Tahoma"/>
            <family val="2"/>
          </rPr>
          <t>&lt;[[TCDeals] - [Associated DEV Deal (Seq: 1)] - [Proxy Entities (Seq: 12)] First Name - Send]&gt;</t>
        </r>
      </text>
    </comment>
    <comment ref="AE144" authorId="0" shapeId="0" xr:uid="{127E746B-75D2-4EC7-95C8-6E2A56381779}">
      <text>
        <r>
          <rPr>
            <b/>
            <sz val="9"/>
            <color indexed="81"/>
            <rFont val="Tahoma"/>
            <family val="2"/>
          </rPr>
          <t>&lt;[[TCDeals] - [Associated DEV Deal (Seq: 1)] - [Proxy Entities (Seq: 12)] Last Name - Send]&gt;</t>
        </r>
      </text>
    </comment>
    <comment ref="AF144" authorId="0" shapeId="0" xr:uid="{42CBEC30-23C4-4A35-9AC4-32E5E23914B9}">
      <text>
        <r>
          <rPr>
            <b/>
            <sz val="9"/>
            <color indexed="81"/>
            <rFont val="Tahoma"/>
            <family val="2"/>
          </rPr>
          <t>&lt;[[TCDeals] - [Associated DEV Deal (Seq: 1)] - [Proxy Entities (Seq: 12)] Email Address 1 - Send]&gt;</t>
        </r>
      </text>
    </comment>
    <comment ref="AG144" authorId="0" shapeId="0" xr:uid="{D6EAF14C-ED11-4CD8-A9CE-A586B86BEF65}">
      <text>
        <r>
          <rPr>
            <b/>
            <sz val="9"/>
            <color indexed="81"/>
            <rFont val="Tahoma"/>
            <family val="2"/>
          </rPr>
          <t>&lt;[[TCDeals] - [Associated DEV Deal (Seq: 1)] - [Proxy Entities (Seq: 12)] Address 1 - Send]&gt;</t>
        </r>
      </text>
    </comment>
    <comment ref="AH144" authorId="0" shapeId="0" xr:uid="{19637F49-BC30-4FB7-A4FF-69C62EF996CE}">
      <text>
        <r>
          <rPr>
            <b/>
            <sz val="9"/>
            <color indexed="81"/>
            <rFont val="Tahoma"/>
            <family val="2"/>
          </rPr>
          <t>&lt;[[TCDeals] - [Associated DEV Deal (Seq: 1)] - [Proxy Entities (Seq: 12)] City - Send]&gt;</t>
        </r>
      </text>
    </comment>
    <comment ref="AI144" authorId="0" shapeId="0" xr:uid="{3DDC911A-38F3-4B58-8E9B-C743B35B4ACB}">
      <text>
        <r>
          <rPr>
            <b/>
            <sz val="9"/>
            <color indexed="81"/>
            <rFont val="Tahoma"/>
            <family val="2"/>
          </rPr>
          <t>&lt;[[TCDeals] - [Associated DEV Deal (Seq: 1)] - [Proxy Entities (Seq: 12)] State - Send]&gt;</t>
        </r>
      </text>
    </comment>
    <comment ref="AJ144" authorId="0" shapeId="0" xr:uid="{01F6F601-C0AB-4E37-9890-C22CDA0BE368}">
      <text>
        <r>
          <rPr>
            <b/>
            <sz val="9"/>
            <color indexed="81"/>
            <rFont val="Tahoma"/>
            <family val="2"/>
          </rPr>
          <t>&lt;[[TCDeals] - [Associated DEV Deal (Seq: 1)] - [Proxy Entities (Seq: 12)] Zip Code - Send]&gt;</t>
        </r>
      </text>
    </comment>
    <comment ref="AK144" authorId="0" shapeId="0" xr:uid="{16F99E9D-ABDA-4C39-9132-9BBCC9AA2F20}">
      <text>
        <r>
          <rPr>
            <b/>
            <sz val="9"/>
            <color indexed="81"/>
            <rFont val="Tahoma"/>
            <family val="2"/>
          </rPr>
          <t>&lt;[[TCDeals] - [Associated DEV Deal (Seq: 1)] - [Proxy Entities (Seq: 12)] Direct Phone - Send]&gt;</t>
        </r>
      </text>
    </comment>
    <comment ref="M145" authorId="0" shapeId="0" xr:uid="{0047B8CA-377D-4C32-9323-55A1575D7816}">
      <text>
        <r>
          <rPr>
            <b/>
            <sz val="9"/>
            <color indexed="81"/>
            <rFont val="Tahoma"/>
            <family val="2"/>
          </rPr>
          <t>&lt;[[TCDeals] - [Proxy Entities (Seq: 13)] Company or Individual? - Send]&gt;</t>
        </r>
      </text>
    </comment>
    <comment ref="N145" authorId="0" shapeId="0" xr:uid="{8F475321-9576-42CE-995B-014BF97B76E7}">
      <text>
        <r>
          <rPr>
            <b/>
            <sz val="9"/>
            <color indexed="81"/>
            <rFont val="Tahoma"/>
            <family val="2"/>
          </rPr>
          <t>&lt;[[TCDeals] - [Proxy Entities (Seq: 13)] Deal Entity Role - Send]&gt;</t>
        </r>
      </text>
    </comment>
    <comment ref="O145" authorId="0" shapeId="0" xr:uid="{FE78162B-F31B-419B-B6EB-400A6E8AE691}">
      <text>
        <r>
          <rPr>
            <b/>
            <sz val="9"/>
            <color indexed="81"/>
            <rFont val="Tahoma"/>
            <family val="2"/>
          </rPr>
          <t>&lt;[[TCDeals] - [Proxy Entities (Seq: 13)] Name (Doing Business As) - Send]&gt;</t>
        </r>
      </text>
    </comment>
    <comment ref="P145" authorId="0" shapeId="0" xr:uid="{6461A342-174C-46EA-9BE3-91E910AE140A}">
      <text>
        <r>
          <rPr>
            <b/>
            <sz val="9"/>
            <color indexed="81"/>
            <rFont val="Tahoma"/>
            <family val="2"/>
          </rPr>
          <t>&lt;[[TCDeals] - [Proxy Entities (Seq: 13)] First Name - Send]&gt;</t>
        </r>
      </text>
    </comment>
    <comment ref="Q145" authorId="0" shapeId="0" xr:uid="{5B93C593-844B-4FDB-A2AE-27B40313956A}">
      <text>
        <r>
          <rPr>
            <b/>
            <sz val="9"/>
            <color indexed="81"/>
            <rFont val="Tahoma"/>
            <family val="2"/>
          </rPr>
          <t>&lt;[[TCDeals] - [Proxy Entities (Seq: 13)] Last Name - Send]&gt;</t>
        </r>
      </text>
    </comment>
    <comment ref="R145" authorId="0" shapeId="0" xr:uid="{4C966A43-158D-4ED4-8793-733E9B36A2C9}">
      <text>
        <r>
          <rPr>
            <b/>
            <sz val="9"/>
            <color indexed="81"/>
            <rFont val="Tahoma"/>
            <family val="2"/>
          </rPr>
          <t>&lt;[[TCDeals] - [Proxy Entities (Seq: 13)] Email Address 1 - Send]&gt;</t>
        </r>
      </text>
    </comment>
    <comment ref="S145" authorId="0" shapeId="0" xr:uid="{C2CC23BC-788F-46FB-95FC-BCC944884F1B}">
      <text>
        <r>
          <rPr>
            <b/>
            <sz val="9"/>
            <color indexed="81"/>
            <rFont val="Tahoma"/>
            <family val="2"/>
          </rPr>
          <t>&lt;[[TCDeals] - [Proxy Entities (Seq: 13)] Address 1 - Send]&gt;</t>
        </r>
      </text>
    </comment>
    <comment ref="T145" authorId="0" shapeId="0" xr:uid="{B6678C8B-7205-448C-84BD-B5680E24F892}">
      <text>
        <r>
          <rPr>
            <b/>
            <sz val="9"/>
            <color indexed="81"/>
            <rFont val="Tahoma"/>
            <family val="2"/>
          </rPr>
          <t>&lt;[[TCDeals] - [Proxy Entities (Seq: 13)] City - Send]&gt;</t>
        </r>
      </text>
    </comment>
    <comment ref="U145" authorId="0" shapeId="0" xr:uid="{8472EC40-639A-4978-B139-E41068D3F702}">
      <text>
        <r>
          <rPr>
            <b/>
            <sz val="9"/>
            <color indexed="81"/>
            <rFont val="Tahoma"/>
            <family val="2"/>
          </rPr>
          <t>&lt;[[TCDeals] - [Proxy Entities (Seq: 13)] State - Send]&gt;</t>
        </r>
      </text>
    </comment>
    <comment ref="V145" authorId="0" shapeId="0" xr:uid="{455F7696-391C-4845-AA3F-8DA7C1F5AEE1}">
      <text>
        <r>
          <rPr>
            <b/>
            <sz val="9"/>
            <color indexed="81"/>
            <rFont val="Tahoma"/>
            <family val="2"/>
          </rPr>
          <t>&lt;[[TCDeals] - [Proxy Entities (Seq: 13)] Zip Code - Send]&gt;</t>
        </r>
      </text>
    </comment>
    <comment ref="W145" authorId="0" shapeId="0" xr:uid="{32F20B50-3290-4048-B789-D3038F20574B}">
      <text>
        <r>
          <rPr>
            <b/>
            <sz val="9"/>
            <color indexed="81"/>
            <rFont val="Tahoma"/>
            <family val="2"/>
          </rPr>
          <t>&lt;[[TCDeals] - [Proxy Entities (Seq: 13)] Direct Phone - Send]&gt;</t>
        </r>
      </text>
    </comment>
    <comment ref="AA145" authorId="0" shapeId="0" xr:uid="{FA3C5D9A-D76D-4C63-8E02-7B0AAB671423}">
      <text>
        <r>
          <rPr>
            <b/>
            <sz val="9"/>
            <color indexed="81"/>
            <rFont val="Tahoma"/>
            <family val="2"/>
          </rPr>
          <t>&lt;[[TCDeals] - [Associated DEV Deal (Seq: 1)] - [Proxy Entities (Seq: 13)] Name (Doing Business As) - Send]&gt;</t>
        </r>
      </text>
    </comment>
    <comment ref="AB145" authorId="0" shapeId="0" xr:uid="{059FC98A-9F14-4D2E-88F8-115FF9C30E70}">
      <text>
        <r>
          <rPr>
            <b/>
            <sz val="9"/>
            <color indexed="81"/>
            <rFont val="Tahoma"/>
            <family val="2"/>
          </rPr>
          <t>&lt;[[TCDeals] - [Associated DEV Deal (Seq: 1)] - [Proxy Entities (Seq: 13)] Company or Individual? - Send]&gt;</t>
        </r>
      </text>
    </comment>
    <comment ref="AC145" authorId="0" shapeId="0" xr:uid="{B68805C9-8425-40E8-9EC4-2002CAEA414F}">
      <text>
        <r>
          <rPr>
            <b/>
            <sz val="9"/>
            <color indexed="81"/>
            <rFont val="Tahoma"/>
            <family val="2"/>
          </rPr>
          <t>&lt;[[TCDeals] - [Associated DEV Deal (Seq: 1)] - [Proxy Entities (Seq: 13)] Deal Entity Role - Send]&gt;</t>
        </r>
      </text>
    </comment>
    <comment ref="AD145" authorId="0" shapeId="0" xr:uid="{1EEA3AF9-BF9C-4858-AD73-5D6B00031ADC}">
      <text>
        <r>
          <rPr>
            <b/>
            <sz val="9"/>
            <color indexed="81"/>
            <rFont val="Tahoma"/>
            <family val="2"/>
          </rPr>
          <t>&lt;[[TCDeals] - [Associated DEV Deal (Seq: 1)] - [Proxy Entities (Seq: 13)] First Name - Send]&gt;</t>
        </r>
      </text>
    </comment>
    <comment ref="AE145" authorId="0" shapeId="0" xr:uid="{B2451569-2284-4267-845C-B5BB1E7CFCA8}">
      <text>
        <r>
          <rPr>
            <b/>
            <sz val="9"/>
            <color indexed="81"/>
            <rFont val="Tahoma"/>
            <family val="2"/>
          </rPr>
          <t>&lt;[[TCDeals] - [Associated DEV Deal (Seq: 1)] - [Proxy Entities (Seq: 13)] Last Name - Send]&gt;</t>
        </r>
      </text>
    </comment>
    <comment ref="AF145" authorId="0" shapeId="0" xr:uid="{AF733AE4-A7AB-4BF8-BB56-D8D8C342ACD7}">
      <text>
        <r>
          <rPr>
            <b/>
            <sz val="9"/>
            <color indexed="81"/>
            <rFont val="Tahoma"/>
            <family val="2"/>
          </rPr>
          <t>&lt;[[TCDeals] - [Associated DEV Deal (Seq: 1)] - [Proxy Entities (Seq: 13)] Email Address 1 - Send]&gt;</t>
        </r>
      </text>
    </comment>
    <comment ref="AG145" authorId="0" shapeId="0" xr:uid="{0C61DA4E-C40C-44D0-8216-6B1B767C7808}">
      <text>
        <r>
          <rPr>
            <b/>
            <sz val="9"/>
            <color indexed="81"/>
            <rFont val="Tahoma"/>
            <family val="2"/>
          </rPr>
          <t>&lt;[[TCDeals] - [Associated DEV Deal (Seq: 1)] - [Proxy Entities (Seq: 13)] Address 1 - Send]&gt;</t>
        </r>
      </text>
    </comment>
    <comment ref="AH145" authorId="0" shapeId="0" xr:uid="{3AEBAA9B-45BB-4C52-9C97-994C21059D7D}">
      <text>
        <r>
          <rPr>
            <b/>
            <sz val="9"/>
            <color indexed="81"/>
            <rFont val="Tahoma"/>
            <family val="2"/>
          </rPr>
          <t>&lt;[[TCDeals] - [Associated DEV Deal (Seq: 1)] - [Proxy Entities (Seq: 13)] City - Send]&gt;</t>
        </r>
      </text>
    </comment>
    <comment ref="AI145" authorId="0" shapeId="0" xr:uid="{F40DB632-C48E-43F2-AC0B-666FA8EF5A1D}">
      <text>
        <r>
          <rPr>
            <b/>
            <sz val="9"/>
            <color indexed="81"/>
            <rFont val="Tahoma"/>
            <family val="2"/>
          </rPr>
          <t>&lt;[[TCDeals] - [Associated DEV Deal (Seq: 1)] - [Proxy Entities (Seq: 13)] State - Send]&gt;</t>
        </r>
      </text>
    </comment>
    <comment ref="AJ145" authorId="0" shapeId="0" xr:uid="{0FF877E6-5D6B-4B42-B1FA-ED9C986EC54F}">
      <text>
        <r>
          <rPr>
            <b/>
            <sz val="9"/>
            <color indexed="81"/>
            <rFont val="Tahoma"/>
            <family val="2"/>
          </rPr>
          <t>&lt;[[TCDeals] - [Associated DEV Deal (Seq: 1)] - [Proxy Entities (Seq: 13)] Zip Code - Send]&gt;</t>
        </r>
      </text>
    </comment>
    <comment ref="AK145" authorId="0" shapeId="0" xr:uid="{B7C3FC0D-9325-4687-AAD7-3173F921D6BD}">
      <text>
        <r>
          <rPr>
            <b/>
            <sz val="9"/>
            <color indexed="81"/>
            <rFont val="Tahoma"/>
            <family val="2"/>
          </rPr>
          <t>&lt;[[TCDeals] - [Associated DEV Deal (Seq: 1)] - [Proxy Entities (Seq: 13)] Direct Phone - Send]&gt;</t>
        </r>
      </text>
    </comment>
    <comment ref="M146" authorId="0" shapeId="0" xr:uid="{CB8832E3-6E17-4BB8-8DD6-9BF70B56BDE9}">
      <text>
        <r>
          <rPr>
            <b/>
            <sz val="9"/>
            <color indexed="81"/>
            <rFont val="Tahoma"/>
            <family val="2"/>
          </rPr>
          <t>&lt;[[TCDeals] - [Proxy Entities (Seq: 14)] Company or Individual? - Send]&gt;</t>
        </r>
      </text>
    </comment>
    <comment ref="N146" authorId="0" shapeId="0" xr:uid="{74863C32-90E8-4194-AFEE-2B94353F3A9F}">
      <text>
        <r>
          <rPr>
            <b/>
            <sz val="9"/>
            <color indexed="81"/>
            <rFont val="Tahoma"/>
            <family val="2"/>
          </rPr>
          <t>&lt;[[TCDeals] - [Proxy Entities (Seq: 14)] Deal Entity Role - Send]&gt;</t>
        </r>
      </text>
    </comment>
    <comment ref="O146" authorId="0" shapeId="0" xr:uid="{5A7B4F39-7781-47D5-A572-47A9C865D767}">
      <text>
        <r>
          <rPr>
            <b/>
            <sz val="9"/>
            <color indexed="81"/>
            <rFont val="Tahoma"/>
            <family val="2"/>
          </rPr>
          <t>&lt;[[TCDeals] - [Proxy Entities (Seq: 14)] Name (Doing Business As) - Send]&gt;</t>
        </r>
      </text>
    </comment>
    <comment ref="P146" authorId="0" shapeId="0" xr:uid="{CDC21B7B-EDE8-435E-BCE9-C39E8225B101}">
      <text>
        <r>
          <rPr>
            <b/>
            <sz val="9"/>
            <color indexed="81"/>
            <rFont val="Tahoma"/>
            <family val="2"/>
          </rPr>
          <t>&lt;[[TCDeals] - [Proxy Entities (Seq: 14)] First Name - Send]&gt;</t>
        </r>
      </text>
    </comment>
    <comment ref="Q146" authorId="0" shapeId="0" xr:uid="{BD0EED04-E999-4DFC-89CC-0182EEAA9B80}">
      <text>
        <r>
          <rPr>
            <b/>
            <sz val="9"/>
            <color indexed="81"/>
            <rFont val="Tahoma"/>
            <family val="2"/>
          </rPr>
          <t>&lt;[[TCDeals] - [Proxy Entities (Seq: 14)] Last Name - Send]&gt;</t>
        </r>
      </text>
    </comment>
    <comment ref="R146" authorId="0" shapeId="0" xr:uid="{8107F81E-0549-49FF-871A-AE9869275B38}">
      <text>
        <r>
          <rPr>
            <b/>
            <sz val="9"/>
            <color indexed="81"/>
            <rFont val="Tahoma"/>
            <family val="2"/>
          </rPr>
          <t>&lt;[[TCDeals] - [Proxy Entities (Seq: 14)] Email Address 1 - Send]&gt;</t>
        </r>
      </text>
    </comment>
    <comment ref="S146" authorId="0" shapeId="0" xr:uid="{251D12FF-39FC-4F7C-9C83-A285EDB69E40}">
      <text>
        <r>
          <rPr>
            <b/>
            <sz val="9"/>
            <color indexed="81"/>
            <rFont val="Tahoma"/>
            <family val="2"/>
          </rPr>
          <t>&lt;[[TCDeals] - [Proxy Entities (Seq: 14)] Address 1 - Send]&gt;</t>
        </r>
      </text>
    </comment>
    <comment ref="T146" authorId="0" shapeId="0" xr:uid="{64969B33-19AD-40C8-AB64-4AAF005D4712}">
      <text>
        <r>
          <rPr>
            <b/>
            <sz val="9"/>
            <color indexed="81"/>
            <rFont val="Tahoma"/>
            <family val="2"/>
          </rPr>
          <t>&lt;[[TCDeals] - [Proxy Entities (Seq: 14)] City - Send]&gt;</t>
        </r>
      </text>
    </comment>
    <comment ref="U146" authorId="0" shapeId="0" xr:uid="{0111B85F-5AB7-439D-B2B5-AFEEB3F5C28F}">
      <text>
        <r>
          <rPr>
            <b/>
            <sz val="9"/>
            <color indexed="81"/>
            <rFont val="Tahoma"/>
            <family val="2"/>
          </rPr>
          <t>&lt;[[TCDeals] - [Proxy Entities (Seq: 14)] State - Send]&gt;</t>
        </r>
      </text>
    </comment>
    <comment ref="V146" authorId="0" shapeId="0" xr:uid="{91EB290C-5A50-49F8-99F7-D5D1D57B25B3}">
      <text>
        <r>
          <rPr>
            <b/>
            <sz val="9"/>
            <color indexed="81"/>
            <rFont val="Tahoma"/>
            <family val="2"/>
          </rPr>
          <t>&lt;[[TCDeals] - [Proxy Entities (Seq: 14)] Zip Code - Send]&gt;</t>
        </r>
      </text>
    </comment>
    <comment ref="W146" authorId="0" shapeId="0" xr:uid="{3BE9A6A0-105E-4490-BE55-4E657AC54E9B}">
      <text>
        <r>
          <rPr>
            <b/>
            <sz val="9"/>
            <color indexed="81"/>
            <rFont val="Tahoma"/>
            <family val="2"/>
          </rPr>
          <t>&lt;[[TCDeals] - [Proxy Entities (Seq: 14)] Direct Phone - Send]&gt;</t>
        </r>
      </text>
    </comment>
    <comment ref="AA146" authorId="0" shapeId="0" xr:uid="{CC4517A7-0A86-4583-9473-692C00BFCDC5}">
      <text>
        <r>
          <rPr>
            <b/>
            <sz val="9"/>
            <color indexed="81"/>
            <rFont val="Tahoma"/>
            <family val="2"/>
          </rPr>
          <t>&lt;[[TCDeals] - [Associated DEV Deal (Seq: 1)] - [Proxy Entities (Seq: 14)] Name (Doing Business As) - Send]&gt;</t>
        </r>
      </text>
    </comment>
    <comment ref="AB146" authorId="0" shapeId="0" xr:uid="{3B41D5D0-E400-4668-9F39-2312962D051F}">
      <text>
        <r>
          <rPr>
            <b/>
            <sz val="9"/>
            <color indexed="81"/>
            <rFont val="Tahoma"/>
            <family val="2"/>
          </rPr>
          <t>&lt;[[TCDeals] - [Associated DEV Deal (Seq: 1)] - [Proxy Entities (Seq: 14)] Company or Individual? - Send]&gt;</t>
        </r>
      </text>
    </comment>
    <comment ref="AC146" authorId="0" shapeId="0" xr:uid="{B688E01A-0AD1-4B7C-BD49-9234EFCE1647}">
      <text>
        <r>
          <rPr>
            <b/>
            <sz val="9"/>
            <color indexed="81"/>
            <rFont val="Tahoma"/>
            <family val="2"/>
          </rPr>
          <t>&lt;[[TCDeals] - [Associated DEV Deal (Seq: 1)] - [Proxy Entities (Seq: 14)] Deal Entity Role - Send]&gt;</t>
        </r>
      </text>
    </comment>
    <comment ref="AD146" authorId="0" shapeId="0" xr:uid="{73062952-0ABA-405B-B077-E427A4A99923}">
      <text>
        <r>
          <rPr>
            <b/>
            <sz val="9"/>
            <color indexed="81"/>
            <rFont val="Tahoma"/>
            <family val="2"/>
          </rPr>
          <t>&lt;[[TCDeals] - [Associated DEV Deal (Seq: 1)] - [Proxy Entities (Seq: 14)] First Name - Send]&gt;</t>
        </r>
      </text>
    </comment>
    <comment ref="AE146" authorId="0" shapeId="0" xr:uid="{FA4D5BFC-12E1-4707-9FDD-BB503C8E0FDD}">
      <text>
        <r>
          <rPr>
            <b/>
            <sz val="9"/>
            <color indexed="81"/>
            <rFont val="Tahoma"/>
            <family val="2"/>
          </rPr>
          <t>&lt;[[TCDeals] - [Associated DEV Deal (Seq: 1)] - [Proxy Entities (Seq: 14)] Last Name - Send]&gt;</t>
        </r>
      </text>
    </comment>
    <comment ref="AF146" authorId="0" shapeId="0" xr:uid="{AF61F9B0-C8DF-4E58-9422-8DE989BC5AF6}">
      <text>
        <r>
          <rPr>
            <b/>
            <sz val="9"/>
            <color indexed="81"/>
            <rFont val="Tahoma"/>
            <family val="2"/>
          </rPr>
          <t>&lt;[[TCDeals] - [Associated DEV Deal (Seq: 1)] - [Proxy Entities (Seq: 14)] Email Address 1 - Send]&gt;</t>
        </r>
      </text>
    </comment>
    <comment ref="AG146" authorId="0" shapeId="0" xr:uid="{5667F54E-C358-41E0-92E8-6F1F2259AA3F}">
      <text>
        <r>
          <rPr>
            <b/>
            <sz val="9"/>
            <color indexed="81"/>
            <rFont val="Tahoma"/>
            <family val="2"/>
          </rPr>
          <t>&lt;[[TCDeals] - [Associated DEV Deal (Seq: 1)] - [Proxy Entities (Seq: 14)] Address 1 - Send]&gt;</t>
        </r>
      </text>
    </comment>
    <comment ref="AH146" authorId="0" shapeId="0" xr:uid="{F40B3AC6-A11B-4B4B-92BB-C7968FC3B102}">
      <text>
        <r>
          <rPr>
            <b/>
            <sz val="9"/>
            <color indexed="81"/>
            <rFont val="Tahoma"/>
            <family val="2"/>
          </rPr>
          <t>&lt;[[TCDeals] - [Associated DEV Deal (Seq: 1)] - [Proxy Entities (Seq: 14)] City - Send]&gt;</t>
        </r>
      </text>
    </comment>
    <comment ref="AI146" authorId="0" shapeId="0" xr:uid="{8BED3D09-D90D-4F32-8128-77EB0A2F26C6}">
      <text>
        <r>
          <rPr>
            <b/>
            <sz val="9"/>
            <color indexed="81"/>
            <rFont val="Tahoma"/>
            <family val="2"/>
          </rPr>
          <t>&lt;[[TCDeals] - [Associated DEV Deal (Seq: 1)] - [Proxy Entities (Seq: 14)] State - Send]&gt;</t>
        </r>
      </text>
    </comment>
    <comment ref="AJ146" authorId="0" shapeId="0" xr:uid="{283A2FD6-C600-4A90-BC58-355AC7E7F189}">
      <text>
        <r>
          <rPr>
            <b/>
            <sz val="9"/>
            <color indexed="81"/>
            <rFont val="Tahoma"/>
            <family val="2"/>
          </rPr>
          <t>&lt;[[TCDeals] - [Associated DEV Deal (Seq: 1)] - [Proxy Entities (Seq: 14)] Zip Code - Send]&gt;</t>
        </r>
      </text>
    </comment>
    <comment ref="AK146" authorId="0" shapeId="0" xr:uid="{D110FD0F-03DD-4D2E-8570-4DB4E9495C3F}">
      <text>
        <r>
          <rPr>
            <b/>
            <sz val="9"/>
            <color indexed="81"/>
            <rFont val="Tahoma"/>
            <family val="2"/>
          </rPr>
          <t>&lt;[[TCDeals] - [Associated DEV Deal (Seq: 1)] - [Proxy Entities (Seq: 14)] Direct Phone - Send]&gt;</t>
        </r>
      </text>
    </comment>
    <comment ref="M147" authorId="0" shapeId="0" xr:uid="{1F816767-107F-49D5-B5F2-A44DE300BFA6}">
      <text>
        <r>
          <rPr>
            <b/>
            <sz val="9"/>
            <color indexed="81"/>
            <rFont val="Tahoma"/>
            <family val="2"/>
          </rPr>
          <t>&lt;[[TCDeals] - [Proxy Entities (Seq: 15)] Company or Individual? - Send]&gt;</t>
        </r>
      </text>
    </comment>
    <comment ref="N147" authorId="0" shapeId="0" xr:uid="{EFA7DFE1-21FA-4D9B-AB20-4FF3814C3F68}">
      <text>
        <r>
          <rPr>
            <b/>
            <sz val="9"/>
            <color indexed="81"/>
            <rFont val="Tahoma"/>
            <family val="2"/>
          </rPr>
          <t>&lt;[[TCDeals] - [Proxy Entities (Seq: 15)] Deal Entity Role - Send]&gt;</t>
        </r>
      </text>
    </comment>
    <comment ref="O147" authorId="0" shapeId="0" xr:uid="{E2DD6696-5A7F-4ECA-846C-BBFA58CE9EBD}">
      <text>
        <r>
          <rPr>
            <b/>
            <sz val="9"/>
            <color indexed="81"/>
            <rFont val="Tahoma"/>
            <family val="2"/>
          </rPr>
          <t>&lt;[[TCDeals] - [Proxy Entities (Seq: 15)] Name (Doing Business As) - Send]&gt;</t>
        </r>
      </text>
    </comment>
    <comment ref="P147" authorId="0" shapeId="0" xr:uid="{60AD3352-89E6-458A-AC5E-F49A42BDC343}">
      <text>
        <r>
          <rPr>
            <b/>
            <sz val="9"/>
            <color indexed="81"/>
            <rFont val="Tahoma"/>
            <family val="2"/>
          </rPr>
          <t>&lt;[[TCDeals] - [Proxy Entities (Seq: 15)] First Name - Send]&gt;</t>
        </r>
      </text>
    </comment>
    <comment ref="Q147" authorId="0" shapeId="0" xr:uid="{6283B88E-FF8F-465C-A359-57BE5FD0E706}">
      <text>
        <r>
          <rPr>
            <b/>
            <sz val="9"/>
            <color indexed="81"/>
            <rFont val="Tahoma"/>
            <family val="2"/>
          </rPr>
          <t>&lt;[[TCDeals] - [Proxy Entities (Seq: 15)] Last Name - Send]&gt;</t>
        </r>
      </text>
    </comment>
    <comment ref="R147" authorId="0" shapeId="0" xr:uid="{8F517C36-C4C2-423F-89F7-79CB929EC91D}">
      <text>
        <r>
          <rPr>
            <b/>
            <sz val="9"/>
            <color indexed="81"/>
            <rFont val="Tahoma"/>
            <family val="2"/>
          </rPr>
          <t>&lt;[[TCDeals] - [Proxy Entities (Seq: 15)] Email Address 1 - Send]&gt;</t>
        </r>
      </text>
    </comment>
    <comment ref="S147" authorId="0" shapeId="0" xr:uid="{E04C32A7-A024-4D52-89DD-A2FF11CAE50D}">
      <text>
        <r>
          <rPr>
            <b/>
            <sz val="9"/>
            <color indexed="81"/>
            <rFont val="Tahoma"/>
            <family val="2"/>
          </rPr>
          <t>&lt;[[TCDeals] - [Proxy Entities (Seq: 15)] Address 1 - Send]&gt;</t>
        </r>
      </text>
    </comment>
    <comment ref="T147" authorId="0" shapeId="0" xr:uid="{4D293EDF-2D4A-46EA-91C5-970650ED2525}">
      <text>
        <r>
          <rPr>
            <b/>
            <sz val="9"/>
            <color indexed="81"/>
            <rFont val="Tahoma"/>
            <family val="2"/>
          </rPr>
          <t>&lt;[[TCDeals] - [Proxy Entities (Seq: 15)] City - Send]&gt;</t>
        </r>
      </text>
    </comment>
    <comment ref="U147" authorId="0" shapeId="0" xr:uid="{3459DD6A-AFD6-48C6-8B8A-0013C9D27272}">
      <text>
        <r>
          <rPr>
            <b/>
            <sz val="9"/>
            <color indexed="81"/>
            <rFont val="Tahoma"/>
            <family val="2"/>
          </rPr>
          <t>&lt;[[TCDeals] - [Proxy Entities (Seq: 15)] State - Send]&gt;</t>
        </r>
      </text>
    </comment>
    <comment ref="V147" authorId="0" shapeId="0" xr:uid="{2D822E68-83E3-4778-81A5-D4A39AFC79A0}">
      <text>
        <r>
          <rPr>
            <b/>
            <sz val="9"/>
            <color indexed="81"/>
            <rFont val="Tahoma"/>
            <family val="2"/>
          </rPr>
          <t>&lt;[[TCDeals] - [Proxy Entities (Seq: 15)] Zip Code - Send]&gt;</t>
        </r>
      </text>
    </comment>
    <comment ref="W147" authorId="0" shapeId="0" xr:uid="{326EDC34-333D-40BC-ABFD-4FA084AF087C}">
      <text>
        <r>
          <rPr>
            <b/>
            <sz val="9"/>
            <color indexed="81"/>
            <rFont val="Tahoma"/>
            <family val="2"/>
          </rPr>
          <t>&lt;[[TCDeals] - [Proxy Entities (Seq: 15)] Direct Phone - Send]&gt;</t>
        </r>
      </text>
    </comment>
    <comment ref="AA147" authorId="0" shapeId="0" xr:uid="{9956D6AD-6EFA-42BB-9267-FCAC86C26A21}">
      <text>
        <r>
          <rPr>
            <b/>
            <sz val="9"/>
            <color indexed="81"/>
            <rFont val="Tahoma"/>
            <family val="2"/>
          </rPr>
          <t>&lt;[[TCDeals] - [Associated DEV Deal (Seq: 1)] - [Proxy Entities (Seq: 15)] Name (Doing Business As) - Send]&gt;</t>
        </r>
      </text>
    </comment>
    <comment ref="AB147" authorId="0" shapeId="0" xr:uid="{744A0F3B-275C-457A-A1F3-5A252F00DFC7}">
      <text>
        <r>
          <rPr>
            <b/>
            <sz val="9"/>
            <color indexed="81"/>
            <rFont val="Tahoma"/>
            <family val="2"/>
          </rPr>
          <t>&lt;[[TCDeals] - [Associated DEV Deal (Seq: 1)] - [Proxy Entities (Seq: 15)] Company or Individual? - Send]&gt;</t>
        </r>
      </text>
    </comment>
    <comment ref="AC147" authorId="0" shapeId="0" xr:uid="{C6C9CD3E-C54B-469A-B4F9-C7C8575E3E2E}">
      <text>
        <r>
          <rPr>
            <b/>
            <sz val="9"/>
            <color indexed="81"/>
            <rFont val="Tahoma"/>
            <family val="2"/>
          </rPr>
          <t>&lt;[[TCDeals] - [Associated DEV Deal (Seq: 1)] - [Proxy Entities (Seq: 15)] Deal Entity Role - Send]&gt;</t>
        </r>
      </text>
    </comment>
    <comment ref="AD147" authorId="0" shapeId="0" xr:uid="{3637D481-E4AC-4A0B-BA0C-E41E939FEE5D}">
      <text>
        <r>
          <rPr>
            <b/>
            <sz val="9"/>
            <color indexed="81"/>
            <rFont val="Tahoma"/>
            <family val="2"/>
          </rPr>
          <t>&lt;[[TCDeals] - [Associated DEV Deal (Seq: 1)] - [Proxy Entities (Seq: 15)] First Name - Send]&gt;</t>
        </r>
      </text>
    </comment>
    <comment ref="AE147" authorId="0" shapeId="0" xr:uid="{C863A095-163F-44AD-9E4E-002F7250066E}">
      <text>
        <r>
          <rPr>
            <b/>
            <sz val="9"/>
            <color indexed="81"/>
            <rFont val="Tahoma"/>
            <family val="2"/>
          </rPr>
          <t>&lt;[[TCDeals] - [Associated DEV Deal (Seq: 1)] - [Proxy Entities (Seq: 15)] Last Name - Send]&gt;</t>
        </r>
      </text>
    </comment>
    <comment ref="AF147" authorId="0" shapeId="0" xr:uid="{5040624C-FD38-4D5C-B5F5-0DE8B1B4C7A4}">
      <text>
        <r>
          <rPr>
            <b/>
            <sz val="9"/>
            <color indexed="81"/>
            <rFont val="Tahoma"/>
            <family val="2"/>
          </rPr>
          <t>&lt;[[TCDeals] - [Associated DEV Deal (Seq: 1)] - [Proxy Entities (Seq: 15)] Email Address 1 - Send]&gt;</t>
        </r>
      </text>
    </comment>
    <comment ref="AG147" authorId="0" shapeId="0" xr:uid="{DB60A447-0362-4479-BEA6-058B282F6674}">
      <text>
        <r>
          <rPr>
            <b/>
            <sz val="9"/>
            <color indexed="81"/>
            <rFont val="Tahoma"/>
            <family val="2"/>
          </rPr>
          <t>&lt;[[TCDeals] - [Associated DEV Deal (Seq: 1)] - [Proxy Entities (Seq: 15)] Address 1 - Send]&gt;</t>
        </r>
      </text>
    </comment>
    <comment ref="AH147" authorId="0" shapeId="0" xr:uid="{8E8E1B27-FBF0-41A0-9E9E-802005987700}">
      <text>
        <r>
          <rPr>
            <b/>
            <sz val="9"/>
            <color indexed="81"/>
            <rFont val="Tahoma"/>
            <family val="2"/>
          </rPr>
          <t>&lt;[[TCDeals] - [Associated DEV Deal (Seq: 1)] - [Proxy Entities (Seq: 15)] City - Send]&gt;</t>
        </r>
      </text>
    </comment>
    <comment ref="AI147" authorId="0" shapeId="0" xr:uid="{1E71B18C-749D-4E7A-810E-B70D2951724F}">
      <text>
        <r>
          <rPr>
            <b/>
            <sz val="9"/>
            <color indexed="81"/>
            <rFont val="Tahoma"/>
            <family val="2"/>
          </rPr>
          <t>&lt;[[TCDeals] - [Associated DEV Deal (Seq: 1)] - [Proxy Entities (Seq: 15)] State - Send]&gt;</t>
        </r>
      </text>
    </comment>
    <comment ref="AJ147" authorId="0" shapeId="0" xr:uid="{9F239833-697F-4D80-9604-09EB2F0285FF}">
      <text>
        <r>
          <rPr>
            <b/>
            <sz val="9"/>
            <color indexed="81"/>
            <rFont val="Tahoma"/>
            <family val="2"/>
          </rPr>
          <t>&lt;[[TCDeals] - [Associated DEV Deal (Seq: 1)] - [Proxy Entities (Seq: 15)] Zip Code - Send]&gt;</t>
        </r>
      </text>
    </comment>
    <comment ref="AK147" authorId="0" shapeId="0" xr:uid="{C1E5D5FE-FAE7-4D04-9438-2A891B7B934D}">
      <text>
        <r>
          <rPr>
            <b/>
            <sz val="9"/>
            <color indexed="81"/>
            <rFont val="Tahoma"/>
            <family val="2"/>
          </rPr>
          <t>&lt;[[TCDeals] - [Associated DEV Deal (Seq: 1)] - [Proxy Entities (Seq: 15)] Direct Phone - Send]&gt;</t>
        </r>
      </text>
    </comment>
    <comment ref="M148" authorId="0" shapeId="0" xr:uid="{11B7BCC5-82AE-499A-9CF3-06077654B2B0}">
      <text>
        <r>
          <rPr>
            <b/>
            <sz val="9"/>
            <color indexed="81"/>
            <rFont val="Tahoma"/>
            <family val="2"/>
          </rPr>
          <t>&lt;[[TCDeals] - [Proxy Entities (Seq: 16)] Company or Individual? - Send]&gt;</t>
        </r>
      </text>
    </comment>
    <comment ref="N148" authorId="0" shapeId="0" xr:uid="{930A6020-5512-4C64-B34B-15957C69128C}">
      <text>
        <r>
          <rPr>
            <b/>
            <sz val="9"/>
            <color indexed="81"/>
            <rFont val="Tahoma"/>
            <family val="2"/>
          </rPr>
          <t>&lt;[[TCDeals] - [Proxy Entities (Seq: 16)] Deal Entity Role - Send]&gt;</t>
        </r>
      </text>
    </comment>
    <comment ref="O148" authorId="0" shapeId="0" xr:uid="{B06D592A-8EE1-4F85-BEB6-D659A72B03AD}">
      <text>
        <r>
          <rPr>
            <b/>
            <sz val="9"/>
            <color indexed="81"/>
            <rFont val="Tahoma"/>
            <family val="2"/>
          </rPr>
          <t>&lt;[[TCDeals] - [Proxy Entities (Seq: 16)] Name (Doing Business As) - Send]&gt;</t>
        </r>
      </text>
    </comment>
    <comment ref="P148" authorId="0" shapeId="0" xr:uid="{BBFB024F-87BF-484A-BC71-68982D34F5E0}">
      <text>
        <r>
          <rPr>
            <b/>
            <sz val="9"/>
            <color indexed="81"/>
            <rFont val="Tahoma"/>
            <family val="2"/>
          </rPr>
          <t>&lt;[[TCDeals] - [Proxy Entities (Seq: 16)] First Name - Send]&gt;</t>
        </r>
      </text>
    </comment>
    <comment ref="Q148" authorId="0" shapeId="0" xr:uid="{BAFE7D84-08F9-4AF1-AF27-7945A1C7AD97}">
      <text>
        <r>
          <rPr>
            <b/>
            <sz val="9"/>
            <color indexed="81"/>
            <rFont val="Tahoma"/>
            <family val="2"/>
          </rPr>
          <t>&lt;[[TCDeals] - [Proxy Entities (Seq: 16)] Last Name - Send]&gt;</t>
        </r>
      </text>
    </comment>
    <comment ref="R148" authorId="0" shapeId="0" xr:uid="{B80C32E0-ABDC-4F97-B7A2-C448F9FC5A41}">
      <text>
        <r>
          <rPr>
            <b/>
            <sz val="9"/>
            <color indexed="81"/>
            <rFont val="Tahoma"/>
            <family val="2"/>
          </rPr>
          <t>&lt;[[TCDeals] - [Proxy Entities (Seq: 16)] Email Address 1 - Send]&gt;</t>
        </r>
      </text>
    </comment>
    <comment ref="S148" authorId="0" shapeId="0" xr:uid="{760316CF-E6BF-4F74-8ECB-56AF871AD5BF}">
      <text>
        <r>
          <rPr>
            <b/>
            <sz val="9"/>
            <color indexed="81"/>
            <rFont val="Tahoma"/>
            <family val="2"/>
          </rPr>
          <t>&lt;[[TCDeals] - [Proxy Entities (Seq: 16)] Address 1 - Send]&gt;</t>
        </r>
      </text>
    </comment>
    <comment ref="T148" authorId="0" shapeId="0" xr:uid="{E4FE8C8F-D649-4B41-BF4A-5EC15EB7A75F}">
      <text>
        <r>
          <rPr>
            <b/>
            <sz val="9"/>
            <color indexed="81"/>
            <rFont val="Tahoma"/>
            <family val="2"/>
          </rPr>
          <t>&lt;[[TCDeals] - [Proxy Entities (Seq: 16)] City - Send]&gt;</t>
        </r>
      </text>
    </comment>
    <comment ref="U148" authorId="0" shapeId="0" xr:uid="{CBD12B22-C5E1-40A9-A009-1315CA6DF466}">
      <text>
        <r>
          <rPr>
            <b/>
            <sz val="9"/>
            <color indexed="81"/>
            <rFont val="Tahoma"/>
            <family val="2"/>
          </rPr>
          <t>&lt;[[TCDeals] - [Proxy Entities (Seq: 16)] State - Send]&gt;</t>
        </r>
      </text>
    </comment>
    <comment ref="V148" authorId="0" shapeId="0" xr:uid="{9A14C116-51A0-4691-A911-696D24ED34E8}">
      <text>
        <r>
          <rPr>
            <b/>
            <sz val="9"/>
            <color indexed="81"/>
            <rFont val="Tahoma"/>
            <family val="2"/>
          </rPr>
          <t>&lt;[[TCDeals] - [Proxy Entities (Seq: 16)] Zip Code - Send]&gt;</t>
        </r>
      </text>
    </comment>
    <comment ref="W148" authorId="0" shapeId="0" xr:uid="{0215B5EA-FB4B-45FB-A85C-4F6E9D8FC7FA}">
      <text>
        <r>
          <rPr>
            <b/>
            <sz val="9"/>
            <color indexed="81"/>
            <rFont val="Tahoma"/>
            <family val="2"/>
          </rPr>
          <t>&lt;[[TCDeals] - [Proxy Entities (Seq: 16)] Direct Phone - Send]&gt;</t>
        </r>
      </text>
    </comment>
    <comment ref="AA148" authorId="0" shapeId="0" xr:uid="{E62C939D-8665-451A-9249-D919BF8295D4}">
      <text>
        <r>
          <rPr>
            <b/>
            <sz val="9"/>
            <color indexed="81"/>
            <rFont val="Tahoma"/>
            <family val="2"/>
          </rPr>
          <t>&lt;[[TCDeals] - [Associated DEV Deal (Seq: 1)] - [Proxy Entities (Seq: 16)] Name (Doing Business As) - Send]&gt;</t>
        </r>
      </text>
    </comment>
    <comment ref="AB148" authorId="0" shapeId="0" xr:uid="{532CCCB6-6B3F-41BC-B814-83A39088FEDB}">
      <text>
        <r>
          <rPr>
            <b/>
            <sz val="9"/>
            <color indexed="81"/>
            <rFont val="Tahoma"/>
            <family val="2"/>
          </rPr>
          <t>&lt;[[TCDeals] - [Associated DEV Deal (Seq: 1)] - [Proxy Entities (Seq: 16)] Company or Individual? - Send]&gt;</t>
        </r>
      </text>
    </comment>
    <comment ref="AC148" authorId="0" shapeId="0" xr:uid="{579C9A5D-F922-466A-B788-D30A145C789F}">
      <text>
        <r>
          <rPr>
            <b/>
            <sz val="9"/>
            <color indexed="81"/>
            <rFont val="Tahoma"/>
            <family val="2"/>
          </rPr>
          <t>&lt;[[TCDeals] - [Associated DEV Deal (Seq: 1)] - [Proxy Entities (Seq: 16)] Deal Entity Role - Send]&gt;</t>
        </r>
      </text>
    </comment>
    <comment ref="AD148" authorId="0" shapeId="0" xr:uid="{A91FE5BA-4891-48FF-8CB6-4DFD25FD179A}">
      <text>
        <r>
          <rPr>
            <b/>
            <sz val="9"/>
            <color indexed="81"/>
            <rFont val="Tahoma"/>
            <family val="2"/>
          </rPr>
          <t>&lt;[[TCDeals] - [Associated DEV Deal (Seq: 1)] - [Proxy Entities (Seq: 16)] First Name - Send]&gt;</t>
        </r>
      </text>
    </comment>
    <comment ref="AE148" authorId="0" shapeId="0" xr:uid="{E0674389-B605-414A-AF21-D7D80CEF8600}">
      <text>
        <r>
          <rPr>
            <b/>
            <sz val="9"/>
            <color indexed="81"/>
            <rFont val="Tahoma"/>
            <family val="2"/>
          </rPr>
          <t>&lt;[[TCDeals] - [Associated DEV Deal (Seq: 1)] - [Proxy Entities (Seq: 16)] Last Name - Send]&gt;</t>
        </r>
      </text>
    </comment>
    <comment ref="AF148" authorId="0" shapeId="0" xr:uid="{E05FF41A-EE80-432C-B41B-0486F88A7813}">
      <text>
        <r>
          <rPr>
            <b/>
            <sz val="9"/>
            <color indexed="81"/>
            <rFont val="Tahoma"/>
            <family val="2"/>
          </rPr>
          <t>&lt;[[TCDeals] - [Associated DEV Deal (Seq: 1)] - [Proxy Entities (Seq: 16)] Email Address 1 - Send]&gt;</t>
        </r>
      </text>
    </comment>
    <comment ref="AG148" authorId="0" shapeId="0" xr:uid="{514F3D2F-7408-4943-93A6-0BA9AE0FD451}">
      <text>
        <r>
          <rPr>
            <b/>
            <sz val="9"/>
            <color indexed="81"/>
            <rFont val="Tahoma"/>
            <family val="2"/>
          </rPr>
          <t>&lt;[[TCDeals] - [Associated DEV Deal (Seq: 1)] - [Proxy Entities (Seq: 16)] Address 1 - Send]&gt;</t>
        </r>
      </text>
    </comment>
    <comment ref="AH148" authorId="0" shapeId="0" xr:uid="{97497469-9FB1-4705-890E-1B71F009B360}">
      <text>
        <r>
          <rPr>
            <b/>
            <sz val="9"/>
            <color indexed="81"/>
            <rFont val="Tahoma"/>
            <family val="2"/>
          </rPr>
          <t>&lt;[[TCDeals] - [Associated DEV Deal (Seq: 1)] - [Proxy Entities (Seq: 16)] City - Send]&gt;</t>
        </r>
      </text>
    </comment>
    <comment ref="AI148" authorId="0" shapeId="0" xr:uid="{9DFF4763-FBC1-4A09-95A7-1DAE516564CC}">
      <text>
        <r>
          <rPr>
            <b/>
            <sz val="9"/>
            <color indexed="81"/>
            <rFont val="Tahoma"/>
            <family val="2"/>
          </rPr>
          <t>&lt;[[TCDeals] - [Associated DEV Deal (Seq: 1)] - [Proxy Entities (Seq: 16)] State - Send]&gt;</t>
        </r>
      </text>
    </comment>
    <comment ref="AJ148" authorId="0" shapeId="0" xr:uid="{F95D84A6-2D39-4AEB-BE83-247A22155452}">
      <text>
        <r>
          <rPr>
            <b/>
            <sz val="9"/>
            <color indexed="81"/>
            <rFont val="Tahoma"/>
            <family val="2"/>
          </rPr>
          <t>&lt;[[TCDeals] - [Associated DEV Deal (Seq: 1)] - [Proxy Entities (Seq: 16)] Zip Code - Send]&gt;</t>
        </r>
      </text>
    </comment>
    <comment ref="AK148" authorId="0" shapeId="0" xr:uid="{48859E16-D7BF-4A67-98FD-023D2FA87C26}">
      <text>
        <r>
          <rPr>
            <b/>
            <sz val="9"/>
            <color indexed="81"/>
            <rFont val="Tahoma"/>
            <family val="2"/>
          </rPr>
          <t>&lt;[[TCDeals] - [Associated DEV Deal (Seq: 1)] - [Proxy Entities (Seq: 16)] Direct Phone - Send]&gt;</t>
        </r>
      </text>
    </comment>
    <comment ref="M149" authorId="0" shapeId="0" xr:uid="{A48C46AB-15B8-433A-9A2A-FD1CE9D6195A}">
      <text>
        <r>
          <rPr>
            <b/>
            <sz val="9"/>
            <color indexed="81"/>
            <rFont val="Tahoma"/>
            <family val="2"/>
          </rPr>
          <t>&lt;[[TCDeals] - [Proxy Entities (Seq: 17)] Company or Individual? - Send]&gt;</t>
        </r>
      </text>
    </comment>
    <comment ref="N149" authorId="0" shapeId="0" xr:uid="{435759A8-2E89-4DBA-9804-38BE1232EAF1}">
      <text>
        <r>
          <rPr>
            <b/>
            <sz val="9"/>
            <color indexed="81"/>
            <rFont val="Tahoma"/>
            <family val="2"/>
          </rPr>
          <t>&lt;[[TCDeals] - [Proxy Entities (Seq: 17)] Deal Entity Role - Send]&gt;</t>
        </r>
      </text>
    </comment>
    <comment ref="O149" authorId="0" shapeId="0" xr:uid="{1EEB113D-EB21-4360-B0C1-518C1AF82287}">
      <text>
        <r>
          <rPr>
            <b/>
            <sz val="9"/>
            <color indexed="81"/>
            <rFont val="Tahoma"/>
            <family val="2"/>
          </rPr>
          <t>&lt;[[TCDeals] - [Proxy Entities (Seq: 17)] Name (Doing Business As) - Send]&gt;</t>
        </r>
      </text>
    </comment>
    <comment ref="P149" authorId="0" shapeId="0" xr:uid="{106FB1D3-1C5B-4C95-BDFF-800A7E597A0C}">
      <text>
        <r>
          <rPr>
            <b/>
            <sz val="9"/>
            <color indexed="81"/>
            <rFont val="Tahoma"/>
            <family val="2"/>
          </rPr>
          <t>&lt;[[TCDeals] - [Proxy Entities (Seq: 17)] First Name - Send]&gt;</t>
        </r>
      </text>
    </comment>
    <comment ref="Q149" authorId="0" shapeId="0" xr:uid="{6E2BE991-1CC7-49B6-AE10-53CECC88DD55}">
      <text>
        <r>
          <rPr>
            <b/>
            <sz val="9"/>
            <color indexed="81"/>
            <rFont val="Tahoma"/>
            <family val="2"/>
          </rPr>
          <t>&lt;[[TCDeals] - [Proxy Entities (Seq: 17)] Last Name - Send]&gt;</t>
        </r>
      </text>
    </comment>
    <comment ref="R149" authorId="0" shapeId="0" xr:uid="{98E5BF1C-FA2B-40B4-A153-2988E502AF96}">
      <text>
        <r>
          <rPr>
            <b/>
            <sz val="9"/>
            <color indexed="81"/>
            <rFont val="Tahoma"/>
            <family val="2"/>
          </rPr>
          <t>&lt;[[TCDeals] - [Proxy Entities (Seq: 17)] Email Address 1 - Send]&gt;</t>
        </r>
      </text>
    </comment>
    <comment ref="S149" authorId="0" shapeId="0" xr:uid="{BAFD6F60-AF89-4B37-8913-B44EA5EA5C3F}">
      <text>
        <r>
          <rPr>
            <b/>
            <sz val="9"/>
            <color indexed="81"/>
            <rFont val="Tahoma"/>
            <family val="2"/>
          </rPr>
          <t>&lt;[[TCDeals] - [Proxy Entities (Seq: 17)] Address 1 - Send]&gt;</t>
        </r>
      </text>
    </comment>
    <comment ref="T149" authorId="0" shapeId="0" xr:uid="{6B228FB5-13BD-4380-9DA4-FCEE9CC18714}">
      <text>
        <r>
          <rPr>
            <b/>
            <sz val="9"/>
            <color indexed="81"/>
            <rFont val="Tahoma"/>
            <family val="2"/>
          </rPr>
          <t>&lt;[[TCDeals] - [Proxy Entities (Seq: 17)] City - Send]&gt;</t>
        </r>
      </text>
    </comment>
    <comment ref="U149" authorId="0" shapeId="0" xr:uid="{B3E237DD-C326-45C1-A8F0-5B3EC761D06B}">
      <text>
        <r>
          <rPr>
            <b/>
            <sz val="9"/>
            <color indexed="81"/>
            <rFont val="Tahoma"/>
            <family val="2"/>
          </rPr>
          <t>&lt;[[TCDeals] - [Proxy Entities (Seq: 17)] State - Send]&gt;</t>
        </r>
      </text>
    </comment>
    <comment ref="V149" authorId="0" shapeId="0" xr:uid="{F24C9A19-8056-4511-B4B8-A35008D24E98}">
      <text>
        <r>
          <rPr>
            <b/>
            <sz val="9"/>
            <color indexed="81"/>
            <rFont val="Tahoma"/>
            <family val="2"/>
          </rPr>
          <t>&lt;[[TCDeals] - [Proxy Entities (Seq: 17)] Zip Code - Send]&gt;</t>
        </r>
      </text>
    </comment>
    <comment ref="W149" authorId="0" shapeId="0" xr:uid="{58671FA8-2EDF-4CB2-8717-304067E74A73}">
      <text>
        <r>
          <rPr>
            <b/>
            <sz val="9"/>
            <color indexed="81"/>
            <rFont val="Tahoma"/>
            <family val="2"/>
          </rPr>
          <t>&lt;[[TCDeals] - [Proxy Entities (Seq: 17)] Direct Phone - Send]&gt;</t>
        </r>
      </text>
    </comment>
    <comment ref="AA149" authorId="0" shapeId="0" xr:uid="{A546479D-1389-4392-BF0D-DA1CB2E2775E}">
      <text>
        <r>
          <rPr>
            <b/>
            <sz val="9"/>
            <color indexed="81"/>
            <rFont val="Tahoma"/>
            <family val="2"/>
          </rPr>
          <t>&lt;[[TCDeals] - [Associated DEV Deal (Seq: 1)] - [Proxy Entities (Seq: 17)] Name (Doing Business As) - Send]&gt;</t>
        </r>
      </text>
    </comment>
    <comment ref="AB149" authorId="0" shapeId="0" xr:uid="{79618856-4A9D-463C-9184-C51A1DD1D613}">
      <text>
        <r>
          <rPr>
            <b/>
            <sz val="9"/>
            <color indexed="81"/>
            <rFont val="Tahoma"/>
            <family val="2"/>
          </rPr>
          <t>&lt;[[TCDeals] - [Associated DEV Deal (Seq: 1)] - [Proxy Entities (Seq: 17)] Company or Individual? - Send]&gt;</t>
        </r>
      </text>
    </comment>
    <comment ref="AC149" authorId="0" shapeId="0" xr:uid="{C6C1DDE6-3ACB-4074-B67D-B7FD1DCEC7D4}">
      <text>
        <r>
          <rPr>
            <b/>
            <sz val="9"/>
            <color indexed="81"/>
            <rFont val="Tahoma"/>
            <family val="2"/>
          </rPr>
          <t>&lt;[[TCDeals] - [Associated DEV Deal (Seq: 1)] - [Proxy Entities (Seq: 17)] Deal Entity Role - Send]&gt;</t>
        </r>
      </text>
    </comment>
    <comment ref="AD149" authorId="0" shapeId="0" xr:uid="{BF1D010E-966F-4BDA-9551-3E97D7BD9695}">
      <text>
        <r>
          <rPr>
            <b/>
            <sz val="9"/>
            <color indexed="81"/>
            <rFont val="Tahoma"/>
            <family val="2"/>
          </rPr>
          <t>&lt;[[TCDeals] - [Associated DEV Deal (Seq: 1)] - [Proxy Entities (Seq: 17)] First Name - Send]&gt;</t>
        </r>
      </text>
    </comment>
    <comment ref="AE149" authorId="0" shapeId="0" xr:uid="{1E6D695F-3BF7-4005-98A3-E6C3A3AFF780}">
      <text>
        <r>
          <rPr>
            <b/>
            <sz val="9"/>
            <color indexed="81"/>
            <rFont val="Tahoma"/>
            <family val="2"/>
          </rPr>
          <t>&lt;[[TCDeals] - [Associated DEV Deal (Seq: 1)] - [Proxy Entities (Seq: 17)] Last Name - Send]&gt;</t>
        </r>
      </text>
    </comment>
    <comment ref="AF149" authorId="0" shapeId="0" xr:uid="{13253A1C-2BB0-498A-8441-718C552DDF18}">
      <text>
        <r>
          <rPr>
            <b/>
            <sz val="9"/>
            <color indexed="81"/>
            <rFont val="Tahoma"/>
            <family val="2"/>
          </rPr>
          <t>&lt;[[TCDeals] - [Associated DEV Deal (Seq: 1)] - [Proxy Entities (Seq: 17)] Email Address 1 - Send]&gt;</t>
        </r>
      </text>
    </comment>
    <comment ref="AG149" authorId="0" shapeId="0" xr:uid="{D7E1006A-01C7-471A-94FA-FBBC38922C71}">
      <text>
        <r>
          <rPr>
            <b/>
            <sz val="9"/>
            <color indexed="81"/>
            <rFont val="Tahoma"/>
            <family val="2"/>
          </rPr>
          <t>&lt;[[TCDeals] - [Associated DEV Deal (Seq: 1)] - [Proxy Entities (Seq: 17)] Address 1 - Send]&gt;</t>
        </r>
      </text>
    </comment>
    <comment ref="AH149" authorId="0" shapeId="0" xr:uid="{D0C4DDCB-DEB4-484B-A3C7-5810303B7B34}">
      <text>
        <r>
          <rPr>
            <b/>
            <sz val="9"/>
            <color indexed="81"/>
            <rFont val="Tahoma"/>
            <family val="2"/>
          </rPr>
          <t>&lt;[[TCDeals] - [Associated DEV Deal (Seq: 1)] - [Proxy Entities (Seq: 17)] City - Send]&gt;</t>
        </r>
      </text>
    </comment>
    <comment ref="AI149" authorId="0" shapeId="0" xr:uid="{EE6D551B-1437-4963-A769-3610E5C71578}">
      <text>
        <r>
          <rPr>
            <b/>
            <sz val="9"/>
            <color indexed="81"/>
            <rFont val="Tahoma"/>
            <family val="2"/>
          </rPr>
          <t>&lt;[[TCDeals] - [Associated DEV Deal (Seq: 1)] - [Proxy Entities (Seq: 17)] State - Send]&gt;</t>
        </r>
      </text>
    </comment>
    <comment ref="AJ149" authorId="0" shapeId="0" xr:uid="{E82EE37D-9AD1-41A2-8B6C-21E8C21BDAA6}">
      <text>
        <r>
          <rPr>
            <b/>
            <sz val="9"/>
            <color indexed="81"/>
            <rFont val="Tahoma"/>
            <family val="2"/>
          </rPr>
          <t>&lt;[[TCDeals] - [Associated DEV Deal (Seq: 1)] - [Proxy Entities (Seq: 17)] Zip Code - Send]&gt;</t>
        </r>
      </text>
    </comment>
    <comment ref="AK149" authorId="0" shapeId="0" xr:uid="{ADD60FDB-2D3B-449E-980C-BE0682BA9CF3}">
      <text>
        <r>
          <rPr>
            <b/>
            <sz val="9"/>
            <color indexed="81"/>
            <rFont val="Tahoma"/>
            <family val="2"/>
          </rPr>
          <t>&lt;[[TCDeals] - [Associated DEV Deal (Seq: 1)] - [Proxy Entities (Seq: 17)] Direct Phone - Send]&gt;</t>
        </r>
      </text>
    </comment>
    <comment ref="M150" authorId="0" shapeId="0" xr:uid="{8C55AFB7-13B2-41DA-BDE4-EEC02D2B8A82}">
      <text>
        <r>
          <rPr>
            <b/>
            <sz val="9"/>
            <color indexed="81"/>
            <rFont val="Tahoma"/>
            <family val="2"/>
          </rPr>
          <t>&lt;[[TCDeals] - [Proxy Entities (Seq: 18)] Company or Individual? - Send]&gt;</t>
        </r>
      </text>
    </comment>
    <comment ref="N150" authorId="0" shapeId="0" xr:uid="{DFCF4F5F-8314-4179-ADD8-92F6E05ADB27}">
      <text>
        <r>
          <rPr>
            <b/>
            <sz val="9"/>
            <color indexed="81"/>
            <rFont val="Tahoma"/>
            <family val="2"/>
          </rPr>
          <t>&lt;[[TCDeals] - [Proxy Entities (Seq: 18)] Deal Entity Role - Send]&gt;</t>
        </r>
      </text>
    </comment>
    <comment ref="O150" authorId="0" shapeId="0" xr:uid="{29E60ACB-BD83-420C-BD83-E35128BAF7BF}">
      <text>
        <r>
          <rPr>
            <b/>
            <sz val="9"/>
            <color indexed="81"/>
            <rFont val="Tahoma"/>
            <family val="2"/>
          </rPr>
          <t>&lt;[[TCDeals] - [Proxy Entities (Seq: 18)] Name (Doing Business As) - Send]&gt;</t>
        </r>
      </text>
    </comment>
    <comment ref="P150" authorId="0" shapeId="0" xr:uid="{7542E3E9-C836-4D66-8E2E-7657CEF0BD5A}">
      <text>
        <r>
          <rPr>
            <b/>
            <sz val="9"/>
            <color indexed="81"/>
            <rFont val="Tahoma"/>
            <family val="2"/>
          </rPr>
          <t>&lt;[[TCDeals] - [Proxy Entities (Seq: 18)] First Name - Send]&gt;</t>
        </r>
      </text>
    </comment>
    <comment ref="Q150" authorId="0" shapeId="0" xr:uid="{A80D8776-17A3-427F-BA6B-5D16E40AB0CF}">
      <text>
        <r>
          <rPr>
            <b/>
            <sz val="9"/>
            <color indexed="81"/>
            <rFont val="Tahoma"/>
            <family val="2"/>
          </rPr>
          <t>&lt;[[TCDeals] - [Proxy Entities (Seq: 18)] Last Name - Send]&gt;</t>
        </r>
      </text>
    </comment>
    <comment ref="R150" authorId="0" shapeId="0" xr:uid="{2754CAEA-F1E1-4BDB-A0CE-22BA4C01E7E2}">
      <text>
        <r>
          <rPr>
            <b/>
            <sz val="9"/>
            <color indexed="81"/>
            <rFont val="Tahoma"/>
            <family val="2"/>
          </rPr>
          <t>&lt;[[TCDeals] - [Proxy Entities (Seq: 18)] Email Address 1 - Send]&gt;</t>
        </r>
      </text>
    </comment>
    <comment ref="S150" authorId="0" shapeId="0" xr:uid="{839860F0-5E16-420A-B9B8-0D4D98121265}">
      <text>
        <r>
          <rPr>
            <b/>
            <sz val="9"/>
            <color indexed="81"/>
            <rFont val="Tahoma"/>
            <family val="2"/>
          </rPr>
          <t>&lt;[[TCDeals] - [Proxy Entities (Seq: 18)] Address 1 - Send]&gt;</t>
        </r>
      </text>
    </comment>
    <comment ref="T150" authorId="0" shapeId="0" xr:uid="{3EF08CF3-2420-42DB-AC83-F345F451862E}">
      <text>
        <r>
          <rPr>
            <b/>
            <sz val="9"/>
            <color indexed="81"/>
            <rFont val="Tahoma"/>
            <family val="2"/>
          </rPr>
          <t>&lt;[[TCDeals] - [Proxy Entities (Seq: 18)] City - Send]&gt;</t>
        </r>
      </text>
    </comment>
    <comment ref="U150" authorId="0" shapeId="0" xr:uid="{793364EA-E066-4AB0-A194-28E6618A15D4}">
      <text>
        <r>
          <rPr>
            <b/>
            <sz val="9"/>
            <color indexed="81"/>
            <rFont val="Tahoma"/>
            <family val="2"/>
          </rPr>
          <t>&lt;[[TCDeals] - [Proxy Entities (Seq: 18)] State - Send]&gt;</t>
        </r>
      </text>
    </comment>
    <comment ref="V150" authorId="0" shapeId="0" xr:uid="{17B3B9D5-6A56-4179-B0BD-5835E28011B5}">
      <text>
        <r>
          <rPr>
            <b/>
            <sz val="9"/>
            <color indexed="81"/>
            <rFont val="Tahoma"/>
            <family val="2"/>
          </rPr>
          <t>&lt;[[TCDeals] - [Proxy Entities (Seq: 18)] Zip Code - Send]&gt;</t>
        </r>
      </text>
    </comment>
    <comment ref="W150" authorId="0" shapeId="0" xr:uid="{90916F55-5D71-43F9-8561-747454CADBAC}">
      <text>
        <r>
          <rPr>
            <b/>
            <sz val="9"/>
            <color indexed="81"/>
            <rFont val="Tahoma"/>
            <family val="2"/>
          </rPr>
          <t>&lt;[[TCDeals] - [Proxy Entities (Seq: 18)] Direct Phone - Send]&gt;</t>
        </r>
      </text>
    </comment>
    <comment ref="AA150" authorId="0" shapeId="0" xr:uid="{A13BE46E-93AC-4ED7-82F2-6EE7E4D8847F}">
      <text>
        <r>
          <rPr>
            <b/>
            <sz val="9"/>
            <color indexed="81"/>
            <rFont val="Tahoma"/>
            <family val="2"/>
          </rPr>
          <t>&lt;[[TCDeals] - [Associated DEV Deal (Seq: 1)] - [Proxy Entities (Seq: 18)] Name (Doing Business As) - Send]&gt;</t>
        </r>
      </text>
    </comment>
    <comment ref="AB150" authorId="0" shapeId="0" xr:uid="{B49F619A-8E5B-45DC-84B5-9804AFA805F0}">
      <text>
        <r>
          <rPr>
            <b/>
            <sz val="9"/>
            <color indexed="81"/>
            <rFont val="Tahoma"/>
            <family val="2"/>
          </rPr>
          <t>&lt;[[TCDeals] - [Associated DEV Deal (Seq: 1)] - [Proxy Entities (Seq: 18)] Company or Individual? - Send]&gt;</t>
        </r>
      </text>
    </comment>
    <comment ref="AC150" authorId="0" shapeId="0" xr:uid="{4689BA02-C1FE-420F-BDB4-53797EB25B1F}">
      <text>
        <r>
          <rPr>
            <b/>
            <sz val="9"/>
            <color indexed="81"/>
            <rFont val="Tahoma"/>
            <family val="2"/>
          </rPr>
          <t>&lt;[[TCDeals] - [Associated DEV Deal (Seq: 1)] - [Proxy Entities (Seq: 18)] Deal Entity Role - Send]&gt;</t>
        </r>
      </text>
    </comment>
    <comment ref="AD150" authorId="0" shapeId="0" xr:uid="{953CDBDA-5DCC-4939-9B4D-096EF611D8CD}">
      <text>
        <r>
          <rPr>
            <b/>
            <sz val="9"/>
            <color indexed="81"/>
            <rFont val="Tahoma"/>
            <family val="2"/>
          </rPr>
          <t>&lt;[[TCDeals] - [Associated DEV Deal (Seq: 1)] - [Proxy Entities (Seq: 18)] First Name - Send]&gt;</t>
        </r>
      </text>
    </comment>
    <comment ref="AE150" authorId="0" shapeId="0" xr:uid="{E0503AE9-611A-4A33-9798-E29C59B82B20}">
      <text>
        <r>
          <rPr>
            <b/>
            <sz val="9"/>
            <color indexed="81"/>
            <rFont val="Tahoma"/>
            <family val="2"/>
          </rPr>
          <t>&lt;[[TCDeals] - [Associated DEV Deal (Seq: 1)] - [Proxy Entities (Seq: 18)] Last Name - Send]&gt;</t>
        </r>
      </text>
    </comment>
    <comment ref="AF150" authorId="0" shapeId="0" xr:uid="{0216FDF9-9446-426C-872A-F9007C570E70}">
      <text>
        <r>
          <rPr>
            <b/>
            <sz val="9"/>
            <color indexed="81"/>
            <rFont val="Tahoma"/>
            <family val="2"/>
          </rPr>
          <t>&lt;[[TCDeals] - [Associated DEV Deal (Seq: 1)] - [Proxy Entities (Seq: 18)] Email Address 1 - Send]&gt;</t>
        </r>
      </text>
    </comment>
    <comment ref="AG150" authorId="0" shapeId="0" xr:uid="{01257952-DD5C-47F7-92EA-1C5E0A0905C2}">
      <text>
        <r>
          <rPr>
            <b/>
            <sz val="9"/>
            <color indexed="81"/>
            <rFont val="Tahoma"/>
            <family val="2"/>
          </rPr>
          <t>&lt;[[TCDeals] - [Associated DEV Deal (Seq: 1)] - [Proxy Entities (Seq: 18)] Address 1 - Send]&gt;</t>
        </r>
      </text>
    </comment>
    <comment ref="AH150" authorId="0" shapeId="0" xr:uid="{D55C5050-3C4D-4BFC-97D7-C9220098BB2A}">
      <text>
        <r>
          <rPr>
            <b/>
            <sz val="9"/>
            <color indexed="81"/>
            <rFont val="Tahoma"/>
            <family val="2"/>
          </rPr>
          <t>&lt;[[TCDeals] - [Associated DEV Deal (Seq: 1)] - [Proxy Entities (Seq: 18)] City - Send]&gt;</t>
        </r>
      </text>
    </comment>
    <comment ref="AI150" authorId="0" shapeId="0" xr:uid="{90D4887E-5FBE-491D-9816-4B6C1B8A58FB}">
      <text>
        <r>
          <rPr>
            <b/>
            <sz val="9"/>
            <color indexed="81"/>
            <rFont val="Tahoma"/>
            <family val="2"/>
          </rPr>
          <t>&lt;[[TCDeals] - [Associated DEV Deal (Seq: 1)] - [Proxy Entities (Seq: 18)] State - Send]&gt;</t>
        </r>
      </text>
    </comment>
    <comment ref="AJ150" authorId="0" shapeId="0" xr:uid="{D70EDC54-E0C9-4419-A02D-001EA1D7D345}">
      <text>
        <r>
          <rPr>
            <b/>
            <sz val="9"/>
            <color indexed="81"/>
            <rFont val="Tahoma"/>
            <family val="2"/>
          </rPr>
          <t>&lt;[[TCDeals] - [Associated DEV Deal (Seq: 1)] - [Proxy Entities (Seq: 18)] Zip Code - Send]&gt;</t>
        </r>
      </text>
    </comment>
    <comment ref="AK150" authorId="0" shapeId="0" xr:uid="{ED2118FB-60D3-4B6D-B0B1-E3EF62E72C94}">
      <text>
        <r>
          <rPr>
            <b/>
            <sz val="9"/>
            <color indexed="81"/>
            <rFont val="Tahoma"/>
            <family val="2"/>
          </rPr>
          <t>&lt;[[TCDeals] - [Associated DEV Deal (Seq: 1)] - [Proxy Entities (Seq: 18)] Direct Phone - Send]&gt;</t>
        </r>
      </text>
    </comment>
    <comment ref="M151" authorId="0" shapeId="0" xr:uid="{E2A8A1C8-A70E-484A-992B-1E5F372AA60E}">
      <text>
        <r>
          <rPr>
            <b/>
            <sz val="9"/>
            <color indexed="81"/>
            <rFont val="Tahoma"/>
            <family val="2"/>
          </rPr>
          <t>&lt;[[TCDeals] - [Proxy Entities (Seq: 19)] Company or Individual? - Send]&gt;</t>
        </r>
      </text>
    </comment>
    <comment ref="N151" authorId="0" shapeId="0" xr:uid="{9A015FBF-6FA5-4659-83AA-E483E5487B4E}">
      <text>
        <r>
          <rPr>
            <b/>
            <sz val="9"/>
            <color indexed="81"/>
            <rFont val="Tahoma"/>
            <family val="2"/>
          </rPr>
          <t>&lt;[[TCDeals] - [Proxy Entities (Seq: 19)] Deal Entity Role - Send]&gt;</t>
        </r>
      </text>
    </comment>
    <comment ref="O151" authorId="0" shapeId="0" xr:uid="{D0ED2D7E-309B-4C50-96CA-E5635D095806}">
      <text>
        <r>
          <rPr>
            <b/>
            <sz val="9"/>
            <color indexed="81"/>
            <rFont val="Tahoma"/>
            <family val="2"/>
          </rPr>
          <t>&lt;[[TCDeals] - [Proxy Entities (Seq: 19)] Name (Doing Business As) - Send]&gt;</t>
        </r>
      </text>
    </comment>
    <comment ref="P151" authorId="0" shapeId="0" xr:uid="{D4BBBB4F-B822-4D8D-9959-5A1A9FB3FA35}">
      <text>
        <r>
          <rPr>
            <b/>
            <sz val="9"/>
            <color indexed="81"/>
            <rFont val="Tahoma"/>
            <family val="2"/>
          </rPr>
          <t>&lt;[[TCDeals] - [Proxy Entities (Seq: 19)] First Name - Send]&gt;</t>
        </r>
      </text>
    </comment>
    <comment ref="Q151" authorId="0" shapeId="0" xr:uid="{414F01F0-FB02-40ED-98EE-7A6D7160F0F9}">
      <text>
        <r>
          <rPr>
            <b/>
            <sz val="9"/>
            <color indexed="81"/>
            <rFont val="Tahoma"/>
            <family val="2"/>
          </rPr>
          <t>&lt;[[TCDeals] - [Proxy Entities (Seq: 19)] Last Name - Send]&gt;</t>
        </r>
      </text>
    </comment>
    <comment ref="R151" authorId="0" shapeId="0" xr:uid="{7A429E25-2BAF-4ACD-93CE-ED5449B561FA}">
      <text>
        <r>
          <rPr>
            <b/>
            <sz val="9"/>
            <color indexed="81"/>
            <rFont val="Tahoma"/>
            <family val="2"/>
          </rPr>
          <t>&lt;[[TCDeals] - [Proxy Entities (Seq: 19)] Email Address 1 - Send]&gt;</t>
        </r>
      </text>
    </comment>
    <comment ref="S151" authorId="0" shapeId="0" xr:uid="{09DEDD84-45D6-41D2-BCC6-FDE4217CC415}">
      <text>
        <r>
          <rPr>
            <b/>
            <sz val="9"/>
            <color indexed="81"/>
            <rFont val="Tahoma"/>
            <family val="2"/>
          </rPr>
          <t>&lt;[[TCDeals] - [Proxy Entities (Seq: 19)] Address 1 - Send]&gt;</t>
        </r>
      </text>
    </comment>
    <comment ref="T151" authorId="0" shapeId="0" xr:uid="{85330682-FD61-470E-B1C8-25CC82F3117C}">
      <text>
        <r>
          <rPr>
            <b/>
            <sz val="9"/>
            <color indexed="81"/>
            <rFont val="Tahoma"/>
            <family val="2"/>
          </rPr>
          <t>&lt;[[TCDeals] - [Proxy Entities (Seq: 19)] City - Send]&gt;</t>
        </r>
      </text>
    </comment>
    <comment ref="U151" authorId="0" shapeId="0" xr:uid="{F1402CD8-4CE1-4BA7-A076-7A7C8E91BB70}">
      <text>
        <r>
          <rPr>
            <b/>
            <sz val="9"/>
            <color indexed="81"/>
            <rFont val="Tahoma"/>
            <family val="2"/>
          </rPr>
          <t>&lt;[[TCDeals] - [Proxy Entities (Seq: 19)] State - Send]&gt;</t>
        </r>
      </text>
    </comment>
    <comment ref="V151" authorId="0" shapeId="0" xr:uid="{E1A46EC3-2E2E-4D11-B054-4781928CF733}">
      <text>
        <r>
          <rPr>
            <b/>
            <sz val="9"/>
            <color indexed="81"/>
            <rFont val="Tahoma"/>
            <family val="2"/>
          </rPr>
          <t>&lt;[[TCDeals] - [Proxy Entities (Seq: 19)] Zip Code - Send]&gt;</t>
        </r>
      </text>
    </comment>
    <comment ref="W151" authorId="0" shapeId="0" xr:uid="{F71F3075-4AFE-42DD-8F82-B5D828D30115}">
      <text>
        <r>
          <rPr>
            <b/>
            <sz val="9"/>
            <color indexed="81"/>
            <rFont val="Tahoma"/>
            <family val="2"/>
          </rPr>
          <t>&lt;[[TCDeals] - [Proxy Entities (Seq: 19)] Direct Phone - Send]&gt;</t>
        </r>
      </text>
    </comment>
    <comment ref="AA151" authorId="0" shapeId="0" xr:uid="{75E620EF-21F6-440D-92B9-7686CEEB147E}">
      <text>
        <r>
          <rPr>
            <b/>
            <sz val="9"/>
            <color indexed="81"/>
            <rFont val="Tahoma"/>
            <family val="2"/>
          </rPr>
          <t>&lt;[[TCDeals] - [Associated DEV Deal (Seq: 1)] - [Proxy Entities (Seq: 19)] Name (Doing Business As) - Send]&gt;</t>
        </r>
      </text>
    </comment>
    <comment ref="AB151" authorId="0" shapeId="0" xr:uid="{F8CC72AD-9120-4973-B5E7-6CEDAB988177}">
      <text>
        <r>
          <rPr>
            <b/>
            <sz val="9"/>
            <color indexed="81"/>
            <rFont val="Tahoma"/>
            <family val="2"/>
          </rPr>
          <t>&lt;[[TCDeals] - [Associated DEV Deal (Seq: 1)] - [Proxy Entities (Seq: 19)] Company or Individual? - Send]&gt;</t>
        </r>
      </text>
    </comment>
    <comment ref="AC151" authorId="0" shapeId="0" xr:uid="{E6368BD2-5529-455D-ACC0-30961DAFA2A8}">
      <text>
        <r>
          <rPr>
            <b/>
            <sz val="9"/>
            <color indexed="81"/>
            <rFont val="Tahoma"/>
            <family val="2"/>
          </rPr>
          <t>&lt;[[TCDeals] - [Associated DEV Deal (Seq: 1)] - [Proxy Entities (Seq: 19)] Deal Entity Role - Send]&gt;</t>
        </r>
      </text>
    </comment>
    <comment ref="AD151" authorId="0" shapeId="0" xr:uid="{CCC4C62A-AC17-4648-98B1-01246D50F724}">
      <text>
        <r>
          <rPr>
            <b/>
            <sz val="9"/>
            <color indexed="81"/>
            <rFont val="Tahoma"/>
            <family val="2"/>
          </rPr>
          <t>&lt;[[TCDeals] - [Associated DEV Deal (Seq: 1)] - [Proxy Entities (Seq: 19)] First Name - Send]&gt;</t>
        </r>
      </text>
    </comment>
    <comment ref="AE151" authorId="0" shapeId="0" xr:uid="{DE6ECE3C-1051-4F52-B65F-38F5663DEEF9}">
      <text>
        <r>
          <rPr>
            <b/>
            <sz val="9"/>
            <color indexed="81"/>
            <rFont val="Tahoma"/>
            <family val="2"/>
          </rPr>
          <t>&lt;[[TCDeals] - [Associated DEV Deal (Seq: 1)] - [Proxy Entities (Seq: 19)] Last Name - Send]&gt;</t>
        </r>
      </text>
    </comment>
    <comment ref="AF151" authorId="0" shapeId="0" xr:uid="{E98CE768-CA6C-4D58-B876-FEA8C6FDE351}">
      <text>
        <r>
          <rPr>
            <b/>
            <sz val="9"/>
            <color indexed="81"/>
            <rFont val="Tahoma"/>
            <family val="2"/>
          </rPr>
          <t>&lt;[[TCDeals] - [Associated DEV Deal (Seq: 1)] - [Proxy Entities (Seq: 19)] Email Address 1 - Send]&gt;</t>
        </r>
      </text>
    </comment>
    <comment ref="AG151" authorId="0" shapeId="0" xr:uid="{7E7498FD-91F4-46E3-985C-E7E28BEA8749}">
      <text>
        <r>
          <rPr>
            <b/>
            <sz val="9"/>
            <color indexed="81"/>
            <rFont val="Tahoma"/>
            <family val="2"/>
          </rPr>
          <t>&lt;[[TCDeals] - [Associated DEV Deal (Seq: 1)] - [Proxy Entities (Seq: 19)] Address 1 - Send]&gt;</t>
        </r>
      </text>
    </comment>
    <comment ref="AH151" authorId="0" shapeId="0" xr:uid="{9AAC7953-2495-4E7B-B9BC-44C439F9DD90}">
      <text>
        <r>
          <rPr>
            <b/>
            <sz val="9"/>
            <color indexed="81"/>
            <rFont val="Tahoma"/>
            <family val="2"/>
          </rPr>
          <t>&lt;[[TCDeals] - [Associated DEV Deal (Seq: 1)] - [Proxy Entities (Seq: 19)] City - Send]&gt;</t>
        </r>
      </text>
    </comment>
    <comment ref="AI151" authorId="0" shapeId="0" xr:uid="{32222793-A3B8-4446-9B1A-8BE5C389A8ED}">
      <text>
        <r>
          <rPr>
            <b/>
            <sz val="9"/>
            <color indexed="81"/>
            <rFont val="Tahoma"/>
            <family val="2"/>
          </rPr>
          <t>&lt;[[TCDeals] - [Associated DEV Deal (Seq: 1)] - [Proxy Entities (Seq: 19)] State - Send]&gt;</t>
        </r>
      </text>
    </comment>
    <comment ref="AJ151" authorId="0" shapeId="0" xr:uid="{E7B8D062-18C9-4445-9E44-F1AEDC567EFB}">
      <text>
        <r>
          <rPr>
            <b/>
            <sz val="9"/>
            <color indexed="81"/>
            <rFont val="Tahoma"/>
            <family val="2"/>
          </rPr>
          <t>&lt;[[TCDeals] - [Associated DEV Deal (Seq: 1)] - [Proxy Entities (Seq: 19)] Zip Code - Send]&gt;</t>
        </r>
      </text>
    </comment>
    <comment ref="AK151" authorId="0" shapeId="0" xr:uid="{4128C308-0703-40EC-BF67-32689CD91717}">
      <text>
        <r>
          <rPr>
            <b/>
            <sz val="9"/>
            <color indexed="81"/>
            <rFont val="Tahoma"/>
            <family val="2"/>
          </rPr>
          <t>&lt;[[TCDeals] - [Associated DEV Deal (Seq: 1)] - [Proxy Entities (Seq: 19)] Direct Phone - Send]&gt;</t>
        </r>
      </text>
    </comment>
    <comment ref="M152" authorId="0" shapeId="0" xr:uid="{F89FA7F6-E05E-45C6-A84A-52DAA8D0F652}">
      <text>
        <r>
          <rPr>
            <b/>
            <sz val="9"/>
            <color indexed="81"/>
            <rFont val="Tahoma"/>
            <family val="2"/>
          </rPr>
          <t>&lt;[[TCDeals] - [Proxy Entities (Seq: 20)] Company or Individual? - Send]&gt;</t>
        </r>
      </text>
    </comment>
    <comment ref="N152" authorId="0" shapeId="0" xr:uid="{C6C6E2A2-58C9-415A-8078-058EA75AAE58}">
      <text>
        <r>
          <rPr>
            <b/>
            <sz val="9"/>
            <color indexed="81"/>
            <rFont val="Tahoma"/>
            <family val="2"/>
          </rPr>
          <t>&lt;[[TCDeals] - [Proxy Entities (Seq: 20)] Deal Entity Role - Send]&gt;</t>
        </r>
      </text>
    </comment>
    <comment ref="O152" authorId="0" shapeId="0" xr:uid="{16BD0F13-D642-4765-A04B-F6A156161BFE}">
      <text>
        <r>
          <rPr>
            <b/>
            <sz val="9"/>
            <color indexed="81"/>
            <rFont val="Tahoma"/>
            <family val="2"/>
          </rPr>
          <t>&lt;[[TCDeals] - [Proxy Entities (Seq: 20)] Name (Doing Business As) - Send]&gt;</t>
        </r>
      </text>
    </comment>
    <comment ref="P152" authorId="0" shapeId="0" xr:uid="{D1C7D43D-5A1A-410B-BDEE-7381154AE26E}">
      <text>
        <r>
          <rPr>
            <b/>
            <sz val="9"/>
            <color indexed="81"/>
            <rFont val="Tahoma"/>
            <family val="2"/>
          </rPr>
          <t>&lt;[[TCDeals] - [Proxy Entities (Seq: 20)] First Name - Send]&gt;</t>
        </r>
      </text>
    </comment>
    <comment ref="Q152" authorId="0" shapeId="0" xr:uid="{FBD3E0EA-7032-4214-B6EE-46396A203F51}">
      <text>
        <r>
          <rPr>
            <b/>
            <sz val="9"/>
            <color indexed="81"/>
            <rFont val="Tahoma"/>
            <family val="2"/>
          </rPr>
          <t>&lt;[[TCDeals] - [Proxy Entities (Seq: 20)] Last Name - Send]&gt;</t>
        </r>
      </text>
    </comment>
    <comment ref="R152" authorId="0" shapeId="0" xr:uid="{878DD183-B579-4A9C-81A5-021B072C76A5}">
      <text>
        <r>
          <rPr>
            <b/>
            <sz val="9"/>
            <color indexed="81"/>
            <rFont val="Tahoma"/>
            <family val="2"/>
          </rPr>
          <t>&lt;[[TCDeals] - [Proxy Entities (Seq: 20)] Email Address 1 - Send]&gt;</t>
        </r>
      </text>
    </comment>
    <comment ref="S152" authorId="0" shapeId="0" xr:uid="{D54DDFDF-58B5-4A5A-BD01-7899FB7EC3B6}">
      <text>
        <r>
          <rPr>
            <b/>
            <sz val="9"/>
            <color indexed="81"/>
            <rFont val="Tahoma"/>
            <family val="2"/>
          </rPr>
          <t>&lt;[[TCDeals] - [Proxy Entities (Seq: 20)] Address 1 - Send]&gt;</t>
        </r>
      </text>
    </comment>
    <comment ref="T152" authorId="0" shapeId="0" xr:uid="{CA78807E-3294-4192-9B69-316C2183E2DE}">
      <text>
        <r>
          <rPr>
            <b/>
            <sz val="9"/>
            <color indexed="81"/>
            <rFont val="Tahoma"/>
            <family val="2"/>
          </rPr>
          <t>&lt;[[TCDeals] - [Proxy Entities (Seq: 20)] City - Send]&gt;</t>
        </r>
      </text>
    </comment>
    <comment ref="U152" authorId="0" shapeId="0" xr:uid="{F4DC6DC7-2E36-4954-903C-F3D552C811E2}">
      <text>
        <r>
          <rPr>
            <b/>
            <sz val="9"/>
            <color indexed="81"/>
            <rFont val="Tahoma"/>
            <family val="2"/>
          </rPr>
          <t>&lt;[[TCDeals] - [Proxy Entities (Seq: 20)] State - Send]&gt;</t>
        </r>
      </text>
    </comment>
    <comment ref="V152" authorId="0" shapeId="0" xr:uid="{F31311AD-6FF5-41DD-8656-B97CA87E97E2}">
      <text>
        <r>
          <rPr>
            <b/>
            <sz val="9"/>
            <color indexed="81"/>
            <rFont val="Tahoma"/>
            <family val="2"/>
          </rPr>
          <t>&lt;[[TCDeals] - [Proxy Entities (Seq: 20)] Zip Code - Send]&gt;</t>
        </r>
      </text>
    </comment>
    <comment ref="W152" authorId="0" shapeId="0" xr:uid="{79E46E8D-8AFD-4F3F-BA29-01E773A2197D}">
      <text>
        <r>
          <rPr>
            <b/>
            <sz val="9"/>
            <color indexed="81"/>
            <rFont val="Tahoma"/>
            <family val="2"/>
          </rPr>
          <t>&lt;[[TCDeals] - [Proxy Entities (Seq: 20)] Direct Phone - Send]&gt;</t>
        </r>
      </text>
    </comment>
    <comment ref="AA152" authorId="0" shapeId="0" xr:uid="{0F84E0F9-17C0-4CDB-993F-360C4CDF3FEC}">
      <text>
        <r>
          <rPr>
            <b/>
            <sz val="9"/>
            <color indexed="81"/>
            <rFont val="Tahoma"/>
            <family val="2"/>
          </rPr>
          <t>&lt;[[TCDeals] - [Associated DEV Deal (Seq: 1)] - [Proxy Entities (Seq: 20)] Name (Doing Business As) - Send]&gt;</t>
        </r>
      </text>
    </comment>
    <comment ref="AB152" authorId="0" shapeId="0" xr:uid="{53491E99-86AC-48EB-AC19-738B69DF87F6}">
      <text>
        <r>
          <rPr>
            <b/>
            <sz val="9"/>
            <color indexed="81"/>
            <rFont val="Tahoma"/>
            <family val="2"/>
          </rPr>
          <t>&lt;[[TCDeals] - [Associated DEV Deal (Seq: 1)] - [Proxy Entities (Seq: 20)] Company or Individual? - Send]&gt;</t>
        </r>
      </text>
    </comment>
    <comment ref="AC152" authorId="0" shapeId="0" xr:uid="{4B179D02-02DA-411B-83B3-475CBD5DE66D}">
      <text>
        <r>
          <rPr>
            <b/>
            <sz val="9"/>
            <color indexed="81"/>
            <rFont val="Tahoma"/>
            <family val="2"/>
          </rPr>
          <t>&lt;[[TCDeals] - [Associated DEV Deal (Seq: 1)] - [Proxy Entities (Seq: 20)] Deal Entity Role - Send]&gt;</t>
        </r>
      </text>
    </comment>
    <comment ref="AD152" authorId="0" shapeId="0" xr:uid="{386E820A-30C5-463B-86F4-CEBDD91EA88A}">
      <text>
        <r>
          <rPr>
            <b/>
            <sz val="9"/>
            <color indexed="81"/>
            <rFont val="Tahoma"/>
            <family val="2"/>
          </rPr>
          <t>&lt;[[TCDeals] - [Associated DEV Deal (Seq: 1)] - [Proxy Entities (Seq: 20)] First Name - Send]&gt;</t>
        </r>
      </text>
    </comment>
    <comment ref="AE152" authorId="0" shapeId="0" xr:uid="{78CDB1FD-39F0-4C63-9010-92892BE286DD}">
      <text>
        <r>
          <rPr>
            <b/>
            <sz val="9"/>
            <color indexed="81"/>
            <rFont val="Tahoma"/>
            <family val="2"/>
          </rPr>
          <t>&lt;[[TCDeals] - [Associated DEV Deal (Seq: 1)] - [Proxy Entities (Seq: 20)] Last Name - Send]&gt;</t>
        </r>
      </text>
    </comment>
    <comment ref="AF152" authorId="0" shapeId="0" xr:uid="{6994A2C9-0A10-4649-A37B-7E65D39FCB4A}">
      <text>
        <r>
          <rPr>
            <b/>
            <sz val="9"/>
            <color indexed="81"/>
            <rFont val="Tahoma"/>
            <family val="2"/>
          </rPr>
          <t>&lt;[[TCDeals] - [Associated DEV Deal (Seq: 1)] - [Proxy Entities (Seq: 20)] Email Address 1 - Send]&gt;</t>
        </r>
      </text>
    </comment>
    <comment ref="AG152" authorId="0" shapeId="0" xr:uid="{895867BA-3C35-4C9D-A206-AD48A2318155}">
      <text>
        <r>
          <rPr>
            <b/>
            <sz val="9"/>
            <color indexed="81"/>
            <rFont val="Tahoma"/>
            <family val="2"/>
          </rPr>
          <t>&lt;[[TCDeals] - [Associated DEV Deal (Seq: 1)] - [Proxy Entities (Seq: 20)] Address 1 - Send]&gt;</t>
        </r>
      </text>
    </comment>
    <comment ref="AH152" authorId="0" shapeId="0" xr:uid="{29CF81C9-D8E5-4142-B051-8F74637C16B3}">
      <text>
        <r>
          <rPr>
            <b/>
            <sz val="9"/>
            <color indexed="81"/>
            <rFont val="Tahoma"/>
            <family val="2"/>
          </rPr>
          <t>&lt;[[TCDeals] - [Associated DEV Deal (Seq: 1)] - [Proxy Entities (Seq: 20)] City - Send]&gt;</t>
        </r>
      </text>
    </comment>
    <comment ref="AI152" authorId="0" shapeId="0" xr:uid="{430996B0-C351-48D1-968E-2C70529E0573}">
      <text>
        <r>
          <rPr>
            <b/>
            <sz val="9"/>
            <color indexed="81"/>
            <rFont val="Tahoma"/>
            <family val="2"/>
          </rPr>
          <t>&lt;[[TCDeals] - [Associated DEV Deal (Seq: 1)] - [Proxy Entities (Seq: 20)] State - Send]&gt;</t>
        </r>
      </text>
    </comment>
    <comment ref="AJ152" authorId="0" shapeId="0" xr:uid="{39F70F9E-0FB0-4188-9C3C-632A1F969EA8}">
      <text>
        <r>
          <rPr>
            <b/>
            <sz val="9"/>
            <color indexed="81"/>
            <rFont val="Tahoma"/>
            <family val="2"/>
          </rPr>
          <t>&lt;[[TCDeals] - [Associated DEV Deal (Seq: 1)] - [Proxy Entities (Seq: 20)] Zip Code - Send]&gt;</t>
        </r>
      </text>
    </comment>
    <comment ref="AK152" authorId="0" shapeId="0" xr:uid="{6E729A7F-5005-45ED-BB1B-1DEE35A0BB8C}">
      <text>
        <r>
          <rPr>
            <b/>
            <sz val="9"/>
            <color indexed="81"/>
            <rFont val="Tahoma"/>
            <family val="2"/>
          </rPr>
          <t>&lt;[[TCDeals] - [Associated DEV Deal (Seq: 1)] - [Proxy Entities (Seq: 20)] Direct Phone - Send]&gt;</t>
        </r>
      </text>
    </comment>
    <comment ref="M153" authorId="0" shapeId="0" xr:uid="{21579868-F884-4826-A0C2-C7B6F1D11855}">
      <text>
        <r>
          <rPr>
            <b/>
            <sz val="9"/>
            <color indexed="81"/>
            <rFont val="Tahoma"/>
            <family val="2"/>
          </rPr>
          <t>&lt;[[TCDeals] - [Proxy Entities (Seq: 21)] Company or Individual? - Send]&gt;</t>
        </r>
      </text>
    </comment>
    <comment ref="N153" authorId="0" shapeId="0" xr:uid="{3CA52A11-1755-4EB0-AD44-C008E93C2B82}">
      <text>
        <r>
          <rPr>
            <b/>
            <sz val="9"/>
            <color indexed="81"/>
            <rFont val="Tahoma"/>
            <family val="2"/>
          </rPr>
          <t>&lt;[[TCDeals] - [Proxy Entities (Seq: 21)] Deal Entity Role - Send]&gt;</t>
        </r>
      </text>
    </comment>
    <comment ref="O153" authorId="0" shapeId="0" xr:uid="{222FFACD-E43C-4676-AEDA-815777861E53}">
      <text>
        <r>
          <rPr>
            <b/>
            <sz val="9"/>
            <color indexed="81"/>
            <rFont val="Tahoma"/>
            <family val="2"/>
          </rPr>
          <t>&lt;[[TCDeals] - [Proxy Entities (Seq: 21)] Name (Doing Business As) - Send]&gt;</t>
        </r>
      </text>
    </comment>
    <comment ref="P153" authorId="0" shapeId="0" xr:uid="{808D1FAC-CC3B-4791-996D-4E27A61B0EFE}">
      <text>
        <r>
          <rPr>
            <b/>
            <sz val="9"/>
            <color indexed="81"/>
            <rFont val="Tahoma"/>
            <family val="2"/>
          </rPr>
          <t>&lt;[[TCDeals] - [Proxy Entities (Seq: 21)] First Name - Send]&gt;</t>
        </r>
      </text>
    </comment>
    <comment ref="Q153" authorId="0" shapeId="0" xr:uid="{2847F87E-2892-4A41-A88C-107CE2AAB9B2}">
      <text>
        <r>
          <rPr>
            <b/>
            <sz val="9"/>
            <color indexed="81"/>
            <rFont val="Tahoma"/>
            <family val="2"/>
          </rPr>
          <t>&lt;[[TCDeals] - [Proxy Entities (Seq: 21)] Last Name - Send]&gt;</t>
        </r>
      </text>
    </comment>
    <comment ref="R153" authorId="0" shapeId="0" xr:uid="{186D21C9-A03E-491E-8543-D2E89A1F5C72}">
      <text>
        <r>
          <rPr>
            <b/>
            <sz val="9"/>
            <color indexed="81"/>
            <rFont val="Tahoma"/>
            <family val="2"/>
          </rPr>
          <t>&lt;[[TCDeals] - [Proxy Entities (Seq: 21)] Email Address 1 - Send]&gt;</t>
        </r>
      </text>
    </comment>
    <comment ref="S153" authorId="0" shapeId="0" xr:uid="{9D5F2A02-6CBA-45FF-AC48-FAAD4DE9E144}">
      <text>
        <r>
          <rPr>
            <b/>
            <sz val="9"/>
            <color indexed="81"/>
            <rFont val="Tahoma"/>
            <family val="2"/>
          </rPr>
          <t>&lt;[[TCDeals] - [Proxy Entities (Seq: 21)] Address 1 - Send]&gt;</t>
        </r>
      </text>
    </comment>
    <comment ref="T153" authorId="0" shapeId="0" xr:uid="{9CD5CD79-5E71-4ACA-91EA-CD640499367C}">
      <text>
        <r>
          <rPr>
            <b/>
            <sz val="9"/>
            <color indexed="81"/>
            <rFont val="Tahoma"/>
            <family val="2"/>
          </rPr>
          <t>&lt;[[TCDeals] - [Proxy Entities (Seq: 21)] City - Send]&gt;</t>
        </r>
      </text>
    </comment>
    <comment ref="U153" authorId="0" shapeId="0" xr:uid="{0914F54E-E8D4-4532-BB61-081468E4231D}">
      <text>
        <r>
          <rPr>
            <b/>
            <sz val="9"/>
            <color indexed="81"/>
            <rFont val="Tahoma"/>
            <family val="2"/>
          </rPr>
          <t>&lt;[[TCDeals] - [Proxy Entities (Seq: 21)] State - Send]&gt;</t>
        </r>
      </text>
    </comment>
    <comment ref="V153" authorId="0" shapeId="0" xr:uid="{87D5AC97-B6B3-4505-999A-AF133B157A81}">
      <text>
        <r>
          <rPr>
            <b/>
            <sz val="9"/>
            <color indexed="81"/>
            <rFont val="Tahoma"/>
            <family val="2"/>
          </rPr>
          <t>&lt;[[TCDeals] - [Proxy Entities (Seq: 21)] Zip Code - Send]&gt;</t>
        </r>
      </text>
    </comment>
    <comment ref="W153" authorId="0" shapeId="0" xr:uid="{C38F0749-F7C6-44E8-A50E-29EA814408EF}">
      <text>
        <r>
          <rPr>
            <b/>
            <sz val="9"/>
            <color indexed="81"/>
            <rFont val="Tahoma"/>
            <family val="2"/>
          </rPr>
          <t>&lt;[[TCDeals] - [Proxy Entities (Seq: 21)] Direct Phone - Send]&gt;</t>
        </r>
      </text>
    </comment>
    <comment ref="AA153" authorId="0" shapeId="0" xr:uid="{F048B260-316A-492E-A448-B4B4845B3466}">
      <text>
        <r>
          <rPr>
            <b/>
            <sz val="9"/>
            <color indexed="81"/>
            <rFont val="Tahoma"/>
            <family val="2"/>
          </rPr>
          <t>&lt;[[TCDeals] - [Associated DEV Deal (Seq: 1)] - [Proxy Entities (Seq: 21)] Name (Doing Business As) - Send]&gt;</t>
        </r>
      </text>
    </comment>
    <comment ref="AB153" authorId="0" shapeId="0" xr:uid="{371F2687-8FD3-4C6E-A014-E91734FC7A54}">
      <text>
        <r>
          <rPr>
            <b/>
            <sz val="9"/>
            <color indexed="81"/>
            <rFont val="Tahoma"/>
            <family val="2"/>
          </rPr>
          <t>&lt;[[TCDeals] - [Associated DEV Deal (Seq: 1)] - [Proxy Entities (Seq: 21)] Company or Individual? - Send]&gt;</t>
        </r>
      </text>
    </comment>
    <comment ref="AC153" authorId="0" shapeId="0" xr:uid="{EE52F2E3-6D97-4C7F-A1C8-D1C78C8445D0}">
      <text>
        <r>
          <rPr>
            <b/>
            <sz val="9"/>
            <color indexed="81"/>
            <rFont val="Tahoma"/>
            <family val="2"/>
          </rPr>
          <t>&lt;[[TCDeals] - [Associated DEV Deal (Seq: 1)] - [Proxy Entities (Seq: 21)] Deal Entity Role - Send]&gt;</t>
        </r>
      </text>
    </comment>
    <comment ref="AD153" authorId="0" shapeId="0" xr:uid="{DE09593C-12E6-4899-AE45-57A11264A31F}">
      <text>
        <r>
          <rPr>
            <b/>
            <sz val="9"/>
            <color indexed="81"/>
            <rFont val="Tahoma"/>
            <family val="2"/>
          </rPr>
          <t>&lt;[[TCDeals] - [Associated DEV Deal (Seq: 1)] - [Proxy Entities (Seq: 21)] First Name - Send]&gt;</t>
        </r>
      </text>
    </comment>
    <comment ref="AE153" authorId="0" shapeId="0" xr:uid="{2CA4E912-C472-440E-9C67-57F36F81C425}">
      <text>
        <r>
          <rPr>
            <b/>
            <sz val="9"/>
            <color indexed="81"/>
            <rFont val="Tahoma"/>
            <family val="2"/>
          </rPr>
          <t>&lt;[[TCDeals] - [Associated DEV Deal (Seq: 1)] - [Proxy Entities (Seq: 21)] Last Name - Send]&gt;</t>
        </r>
      </text>
    </comment>
    <comment ref="AF153" authorId="0" shapeId="0" xr:uid="{1055F887-D2AD-4349-BD97-94E273517FCD}">
      <text>
        <r>
          <rPr>
            <b/>
            <sz val="9"/>
            <color indexed="81"/>
            <rFont val="Tahoma"/>
            <family val="2"/>
          </rPr>
          <t>&lt;[[TCDeals] - [Associated DEV Deal (Seq: 1)] - [Proxy Entities (Seq: 21)] Email Address 1 - Send]&gt;</t>
        </r>
      </text>
    </comment>
    <comment ref="AG153" authorId="0" shapeId="0" xr:uid="{21906739-A90F-4828-BB96-B0CF660CF7B0}">
      <text>
        <r>
          <rPr>
            <b/>
            <sz val="9"/>
            <color indexed="81"/>
            <rFont val="Tahoma"/>
            <family val="2"/>
          </rPr>
          <t>&lt;[[TCDeals] - [Associated DEV Deal (Seq: 1)] - [Proxy Entities (Seq: 21)] Address 1 - Send]&gt;</t>
        </r>
      </text>
    </comment>
    <comment ref="AH153" authorId="0" shapeId="0" xr:uid="{D752BA06-81D8-4C08-B05F-96DA5EDB0A3E}">
      <text>
        <r>
          <rPr>
            <b/>
            <sz val="9"/>
            <color indexed="81"/>
            <rFont val="Tahoma"/>
            <family val="2"/>
          </rPr>
          <t>&lt;[[TCDeals] - [Associated DEV Deal (Seq: 1)] - [Proxy Entities (Seq: 21)] City - Send]&gt;</t>
        </r>
      </text>
    </comment>
    <comment ref="AI153" authorId="0" shapeId="0" xr:uid="{A465CB75-B4A4-428D-9906-69878006F1BE}">
      <text>
        <r>
          <rPr>
            <b/>
            <sz val="9"/>
            <color indexed="81"/>
            <rFont val="Tahoma"/>
            <family val="2"/>
          </rPr>
          <t>&lt;[[TCDeals] - [Associated DEV Deal (Seq: 1)] - [Proxy Entities (Seq: 21)] State - Send]&gt;</t>
        </r>
      </text>
    </comment>
    <comment ref="AJ153" authorId="0" shapeId="0" xr:uid="{9B3E97F5-DBD3-4E7D-8E08-44E8B91F5546}">
      <text>
        <r>
          <rPr>
            <b/>
            <sz val="9"/>
            <color indexed="81"/>
            <rFont val="Tahoma"/>
            <family val="2"/>
          </rPr>
          <t>&lt;[[TCDeals] - [Associated DEV Deal (Seq: 1)] - [Proxy Entities (Seq: 21)] Zip Code - Send]&gt;</t>
        </r>
      </text>
    </comment>
    <comment ref="AK153" authorId="0" shapeId="0" xr:uid="{59A8C65C-99C7-4523-8E0F-43E348FF6C3B}">
      <text>
        <r>
          <rPr>
            <b/>
            <sz val="9"/>
            <color indexed="81"/>
            <rFont val="Tahoma"/>
            <family val="2"/>
          </rPr>
          <t>&lt;[[TCDeals] - [Associated DEV Deal (Seq: 1)] - [Proxy Entities (Seq: 21)] Direct Phone - Send]&gt;</t>
        </r>
      </text>
    </comment>
    <comment ref="M154" authorId="0" shapeId="0" xr:uid="{9EC1C2B8-2558-4AC1-B445-4C2A24574E41}">
      <text>
        <r>
          <rPr>
            <b/>
            <sz val="9"/>
            <color indexed="81"/>
            <rFont val="Tahoma"/>
            <family val="2"/>
          </rPr>
          <t>&lt;[[TCDeals] - [Proxy Entities (Seq: 22)] Company or Individual? - Send]&gt;</t>
        </r>
      </text>
    </comment>
    <comment ref="N154" authorId="0" shapeId="0" xr:uid="{1F4B5E04-1DD3-4721-8F2E-E5F48AA236FE}">
      <text>
        <r>
          <rPr>
            <b/>
            <sz val="9"/>
            <color indexed="81"/>
            <rFont val="Tahoma"/>
            <family val="2"/>
          </rPr>
          <t>&lt;[[TCDeals] - [Proxy Entities (Seq: 22)] Deal Entity Role - Send]&gt;</t>
        </r>
      </text>
    </comment>
    <comment ref="O154" authorId="0" shapeId="0" xr:uid="{261AFEB1-A541-4850-9625-BAEC2DEF38E5}">
      <text>
        <r>
          <rPr>
            <b/>
            <sz val="9"/>
            <color indexed="81"/>
            <rFont val="Tahoma"/>
            <family val="2"/>
          </rPr>
          <t>&lt;[[TCDeals] - [Proxy Entities (Seq: 22)] Name (Doing Business As) - Send]&gt;</t>
        </r>
      </text>
    </comment>
    <comment ref="P154" authorId="0" shapeId="0" xr:uid="{700743A1-98E3-48D0-BC56-1FE700E25946}">
      <text>
        <r>
          <rPr>
            <b/>
            <sz val="9"/>
            <color indexed="81"/>
            <rFont val="Tahoma"/>
            <family val="2"/>
          </rPr>
          <t>&lt;[[TCDeals] - [Proxy Entities (Seq: 22)] First Name - Send]&gt;</t>
        </r>
      </text>
    </comment>
    <comment ref="Q154" authorId="0" shapeId="0" xr:uid="{2785BF32-EB9F-46FD-88C8-B6B3E5E2F401}">
      <text>
        <r>
          <rPr>
            <b/>
            <sz val="9"/>
            <color indexed="81"/>
            <rFont val="Tahoma"/>
            <family val="2"/>
          </rPr>
          <t>&lt;[[TCDeals] - [Proxy Entities (Seq: 22)] Last Name - Send]&gt;</t>
        </r>
      </text>
    </comment>
    <comment ref="R154" authorId="0" shapeId="0" xr:uid="{3B841E2D-DDA6-4209-BD6E-EB2B752672FE}">
      <text>
        <r>
          <rPr>
            <b/>
            <sz val="9"/>
            <color indexed="81"/>
            <rFont val="Tahoma"/>
            <family val="2"/>
          </rPr>
          <t>&lt;[[TCDeals] - [Proxy Entities (Seq: 22)] Email Address 1 - Send]&gt;</t>
        </r>
      </text>
    </comment>
    <comment ref="S154" authorId="0" shapeId="0" xr:uid="{2FB19F2D-8756-4909-9494-6D44CE5EDAC3}">
      <text>
        <r>
          <rPr>
            <b/>
            <sz val="9"/>
            <color indexed="81"/>
            <rFont val="Tahoma"/>
            <family val="2"/>
          </rPr>
          <t>&lt;[[TCDeals] - [Proxy Entities (Seq: 22)] Address 1 - Send]&gt;</t>
        </r>
      </text>
    </comment>
    <comment ref="T154" authorId="0" shapeId="0" xr:uid="{A416CD0C-3FEA-4259-998F-1574CC465824}">
      <text>
        <r>
          <rPr>
            <b/>
            <sz val="9"/>
            <color indexed="81"/>
            <rFont val="Tahoma"/>
            <family val="2"/>
          </rPr>
          <t>&lt;[[TCDeals] - [Proxy Entities (Seq: 22)] City - Send]&gt;</t>
        </r>
      </text>
    </comment>
    <comment ref="U154" authorId="0" shapeId="0" xr:uid="{FC0AC057-504B-4850-A94B-B4AA53331BEC}">
      <text>
        <r>
          <rPr>
            <b/>
            <sz val="9"/>
            <color indexed="81"/>
            <rFont val="Tahoma"/>
            <family val="2"/>
          </rPr>
          <t>&lt;[[TCDeals] - [Proxy Entities (Seq: 22)] State - Send]&gt;</t>
        </r>
      </text>
    </comment>
    <comment ref="V154" authorId="0" shapeId="0" xr:uid="{DA542A2C-6274-4956-B2C7-4C4EFDF2E5A3}">
      <text>
        <r>
          <rPr>
            <b/>
            <sz val="9"/>
            <color indexed="81"/>
            <rFont val="Tahoma"/>
            <family val="2"/>
          </rPr>
          <t>&lt;[[TCDeals] - [Proxy Entities (Seq: 22)] Zip Code - Send]&gt;</t>
        </r>
      </text>
    </comment>
    <comment ref="W154" authorId="0" shapeId="0" xr:uid="{A94DC14F-245C-4A4F-A65E-4CEA7C2EAF6C}">
      <text>
        <r>
          <rPr>
            <b/>
            <sz val="9"/>
            <color indexed="81"/>
            <rFont val="Tahoma"/>
            <family val="2"/>
          </rPr>
          <t>&lt;[[TCDeals] - [Proxy Entities (Seq: 22)] Direct Phone - Send]&gt;</t>
        </r>
      </text>
    </comment>
    <comment ref="AA154" authorId="0" shapeId="0" xr:uid="{1F69AF60-3692-4FE8-B57F-C131A4A468FA}">
      <text>
        <r>
          <rPr>
            <b/>
            <sz val="9"/>
            <color indexed="81"/>
            <rFont val="Tahoma"/>
            <family val="2"/>
          </rPr>
          <t>&lt;[[TCDeals] - [Associated DEV Deal (Seq: 1)] - [Proxy Entities (Seq: 22)] Name (Doing Business As) - Send]&gt;</t>
        </r>
      </text>
    </comment>
    <comment ref="AB154" authorId="0" shapeId="0" xr:uid="{1A9F55FC-C9E3-4C44-ACE2-064FADBF9D94}">
      <text>
        <r>
          <rPr>
            <b/>
            <sz val="9"/>
            <color indexed="81"/>
            <rFont val="Tahoma"/>
            <family val="2"/>
          </rPr>
          <t>&lt;[[TCDeals] - [Associated DEV Deal (Seq: 1)] - [Proxy Entities (Seq: 22)] Company or Individual? - Send]&gt;</t>
        </r>
      </text>
    </comment>
    <comment ref="AC154" authorId="0" shapeId="0" xr:uid="{8B671E30-F0E1-4EDE-8079-31C17E147E16}">
      <text>
        <r>
          <rPr>
            <b/>
            <sz val="9"/>
            <color indexed="81"/>
            <rFont val="Tahoma"/>
            <family val="2"/>
          </rPr>
          <t>&lt;[[TCDeals] - [Associated DEV Deal (Seq: 1)] - [Proxy Entities (Seq: 22)] Deal Entity Role - Send]&gt;</t>
        </r>
      </text>
    </comment>
    <comment ref="AD154" authorId="0" shapeId="0" xr:uid="{DDFEDB5D-8893-4DCB-8138-18E2B9C7BC5F}">
      <text>
        <r>
          <rPr>
            <b/>
            <sz val="9"/>
            <color indexed="81"/>
            <rFont val="Tahoma"/>
            <family val="2"/>
          </rPr>
          <t>&lt;[[TCDeals] - [Associated DEV Deal (Seq: 1)] - [Proxy Entities (Seq: 22)] First Name - Send]&gt;</t>
        </r>
      </text>
    </comment>
    <comment ref="AE154" authorId="0" shapeId="0" xr:uid="{265E0247-C456-4C6A-AA99-F89AC585C4D1}">
      <text>
        <r>
          <rPr>
            <b/>
            <sz val="9"/>
            <color indexed="81"/>
            <rFont val="Tahoma"/>
            <family val="2"/>
          </rPr>
          <t>&lt;[[TCDeals] - [Associated DEV Deal (Seq: 1)] - [Proxy Entities (Seq: 22)] Last Name - Send]&gt;</t>
        </r>
      </text>
    </comment>
    <comment ref="AF154" authorId="0" shapeId="0" xr:uid="{17712967-525D-455D-AD36-CFC288DFA454}">
      <text>
        <r>
          <rPr>
            <b/>
            <sz val="9"/>
            <color indexed="81"/>
            <rFont val="Tahoma"/>
            <family val="2"/>
          </rPr>
          <t>&lt;[[TCDeals] - [Associated DEV Deal (Seq: 1)] - [Proxy Entities (Seq: 22)] Email Address 1 - Send]&gt;</t>
        </r>
      </text>
    </comment>
    <comment ref="AG154" authorId="0" shapeId="0" xr:uid="{2353B974-9B9A-4CE7-A8E9-9B0B1D9FF87C}">
      <text>
        <r>
          <rPr>
            <b/>
            <sz val="9"/>
            <color indexed="81"/>
            <rFont val="Tahoma"/>
            <family val="2"/>
          </rPr>
          <t>&lt;[[TCDeals] - [Associated DEV Deal (Seq: 1)] - [Proxy Entities (Seq: 22)] Address 1 - Send]&gt;</t>
        </r>
      </text>
    </comment>
    <comment ref="AH154" authorId="0" shapeId="0" xr:uid="{8DA82D87-7284-455F-8FCF-B60E2B2A4D1E}">
      <text>
        <r>
          <rPr>
            <b/>
            <sz val="9"/>
            <color indexed="81"/>
            <rFont val="Tahoma"/>
            <family val="2"/>
          </rPr>
          <t>&lt;[[TCDeals] - [Associated DEV Deal (Seq: 1)] - [Proxy Entities (Seq: 22)] City - Send]&gt;</t>
        </r>
      </text>
    </comment>
    <comment ref="AI154" authorId="0" shapeId="0" xr:uid="{65C6B5B6-6042-4ABB-9889-1D83EC15EBB6}">
      <text>
        <r>
          <rPr>
            <b/>
            <sz val="9"/>
            <color indexed="81"/>
            <rFont val="Tahoma"/>
            <family val="2"/>
          </rPr>
          <t>&lt;[[TCDeals] - [Associated DEV Deal (Seq: 1)] - [Proxy Entities (Seq: 22)] State - Send]&gt;</t>
        </r>
      </text>
    </comment>
    <comment ref="AJ154" authorId="0" shapeId="0" xr:uid="{7005022F-F966-43A9-AF21-2A48620B1DFD}">
      <text>
        <r>
          <rPr>
            <b/>
            <sz val="9"/>
            <color indexed="81"/>
            <rFont val="Tahoma"/>
            <family val="2"/>
          </rPr>
          <t>&lt;[[TCDeals] - [Associated DEV Deal (Seq: 1)] - [Proxy Entities (Seq: 22)] Zip Code - Send]&gt;</t>
        </r>
      </text>
    </comment>
    <comment ref="AK154" authorId="0" shapeId="0" xr:uid="{83049046-118A-44CB-98BB-58E788A92888}">
      <text>
        <r>
          <rPr>
            <b/>
            <sz val="9"/>
            <color indexed="81"/>
            <rFont val="Tahoma"/>
            <family val="2"/>
          </rPr>
          <t>&lt;[[TCDeals] - [Associated DEV Deal (Seq: 1)] - [Proxy Entities (Seq: 22)] Direct Phone - Send]&gt;</t>
        </r>
      </text>
    </comment>
    <comment ref="M155" authorId="0" shapeId="0" xr:uid="{D1A086D8-1274-4D39-8AD8-A93FE5292754}">
      <text>
        <r>
          <rPr>
            <b/>
            <sz val="9"/>
            <color indexed="81"/>
            <rFont val="Tahoma"/>
            <family val="2"/>
          </rPr>
          <t>&lt;[[TCDeals] - [Proxy Entities (Seq: 23)] Company or Individual? - Send]&gt;</t>
        </r>
      </text>
    </comment>
    <comment ref="N155" authorId="0" shapeId="0" xr:uid="{58B0BF53-7160-431A-9834-74D09B6151A1}">
      <text>
        <r>
          <rPr>
            <b/>
            <sz val="9"/>
            <color indexed="81"/>
            <rFont val="Tahoma"/>
            <family val="2"/>
          </rPr>
          <t>&lt;[[TCDeals] - [Proxy Entities (Seq: 23)] Deal Entity Role - Send]&gt;</t>
        </r>
      </text>
    </comment>
    <comment ref="O155" authorId="0" shapeId="0" xr:uid="{46C0DF68-AAC6-4864-8C38-51483DEEE37B}">
      <text>
        <r>
          <rPr>
            <b/>
            <sz val="9"/>
            <color indexed="81"/>
            <rFont val="Tahoma"/>
            <family val="2"/>
          </rPr>
          <t>&lt;[[TCDeals] - [Proxy Entities (Seq: 23)] Name (Doing Business As) - Send]&gt;</t>
        </r>
      </text>
    </comment>
    <comment ref="P155" authorId="0" shapeId="0" xr:uid="{FA749A78-C047-4013-A8B2-9E97A0F6B48B}">
      <text>
        <r>
          <rPr>
            <b/>
            <sz val="9"/>
            <color indexed="81"/>
            <rFont val="Tahoma"/>
            <family val="2"/>
          </rPr>
          <t>&lt;[[TCDeals] - [Proxy Entities (Seq: 23)] First Name - Send]&gt;</t>
        </r>
      </text>
    </comment>
    <comment ref="Q155" authorId="0" shapeId="0" xr:uid="{B218974E-20BB-420B-8700-1E3518FA2DFB}">
      <text>
        <r>
          <rPr>
            <b/>
            <sz val="9"/>
            <color indexed="81"/>
            <rFont val="Tahoma"/>
            <family val="2"/>
          </rPr>
          <t>&lt;[[TCDeals] - [Proxy Entities (Seq: 23)] Last Name - Send]&gt;</t>
        </r>
      </text>
    </comment>
    <comment ref="R155" authorId="0" shapeId="0" xr:uid="{4BDBF2EC-81A0-48FA-9987-7A7005C91FF9}">
      <text>
        <r>
          <rPr>
            <b/>
            <sz val="9"/>
            <color indexed="81"/>
            <rFont val="Tahoma"/>
            <family val="2"/>
          </rPr>
          <t>&lt;[[TCDeals] - [Proxy Entities (Seq: 23)] Email Address 1 - Send]&gt;</t>
        </r>
      </text>
    </comment>
    <comment ref="S155" authorId="0" shapeId="0" xr:uid="{9F1099BE-A874-4E61-B81C-81788C282B5C}">
      <text>
        <r>
          <rPr>
            <b/>
            <sz val="9"/>
            <color indexed="81"/>
            <rFont val="Tahoma"/>
            <family val="2"/>
          </rPr>
          <t>&lt;[[TCDeals] - [Proxy Entities (Seq: 23)] Address 1 - Send]&gt;</t>
        </r>
      </text>
    </comment>
    <comment ref="T155" authorId="0" shapeId="0" xr:uid="{0D1106FE-0DAF-4B3D-99E7-662E74F24D96}">
      <text>
        <r>
          <rPr>
            <b/>
            <sz val="9"/>
            <color indexed="81"/>
            <rFont val="Tahoma"/>
            <family val="2"/>
          </rPr>
          <t>&lt;[[TCDeals] - [Proxy Entities (Seq: 23)] City - Send]&gt;</t>
        </r>
      </text>
    </comment>
    <comment ref="U155" authorId="0" shapeId="0" xr:uid="{BAD448D9-AF5C-4810-BC9E-F9997C5B3E68}">
      <text>
        <r>
          <rPr>
            <b/>
            <sz val="9"/>
            <color indexed="81"/>
            <rFont val="Tahoma"/>
            <family val="2"/>
          </rPr>
          <t>&lt;[[TCDeals] - [Proxy Entities (Seq: 23)] State - Send]&gt;</t>
        </r>
      </text>
    </comment>
    <comment ref="V155" authorId="0" shapeId="0" xr:uid="{5C0AB3CD-BEC0-4DF5-BB33-95CB30A9F0DB}">
      <text>
        <r>
          <rPr>
            <b/>
            <sz val="9"/>
            <color indexed="81"/>
            <rFont val="Tahoma"/>
            <family val="2"/>
          </rPr>
          <t>&lt;[[TCDeals] - [Proxy Entities (Seq: 23)] Zip Code - Send]&gt;</t>
        </r>
      </text>
    </comment>
    <comment ref="W155" authorId="0" shapeId="0" xr:uid="{3084DB0B-3CAD-408E-AB82-22ADB4779B23}">
      <text>
        <r>
          <rPr>
            <b/>
            <sz val="9"/>
            <color indexed="81"/>
            <rFont val="Tahoma"/>
            <family val="2"/>
          </rPr>
          <t>&lt;[[TCDeals] - [Proxy Entities (Seq: 23)] Direct Phone - Send]&gt;</t>
        </r>
      </text>
    </comment>
    <comment ref="AA155" authorId="0" shapeId="0" xr:uid="{1DEB40A5-55DC-482A-B63D-EC808E898387}">
      <text>
        <r>
          <rPr>
            <b/>
            <sz val="9"/>
            <color indexed="81"/>
            <rFont val="Tahoma"/>
            <family val="2"/>
          </rPr>
          <t>&lt;[[TCDeals] - [Associated DEV Deal (Seq: 1)] - [Proxy Entities (Seq: 23)] Name (Doing Business As) - Send]&gt;</t>
        </r>
      </text>
    </comment>
    <comment ref="AB155" authorId="0" shapeId="0" xr:uid="{1AD6C4B2-2D5B-4FF0-BF8D-8E2779034582}">
      <text>
        <r>
          <rPr>
            <b/>
            <sz val="9"/>
            <color indexed="81"/>
            <rFont val="Tahoma"/>
            <family val="2"/>
          </rPr>
          <t>&lt;[[TCDeals] - [Associated DEV Deal (Seq: 1)] - [Proxy Entities (Seq: 23)] Company or Individual? - Send]&gt;</t>
        </r>
      </text>
    </comment>
    <comment ref="AC155" authorId="0" shapeId="0" xr:uid="{24E6E618-951E-497A-AEB8-25CD793362FC}">
      <text>
        <r>
          <rPr>
            <b/>
            <sz val="9"/>
            <color indexed="81"/>
            <rFont val="Tahoma"/>
            <family val="2"/>
          </rPr>
          <t>&lt;[[TCDeals] - [Associated DEV Deal (Seq: 1)] - [Proxy Entities (Seq: 23)] Deal Entity Role - Send]&gt;</t>
        </r>
      </text>
    </comment>
    <comment ref="AD155" authorId="0" shapeId="0" xr:uid="{08D23C94-4D88-45A9-8ACE-69548203F132}">
      <text>
        <r>
          <rPr>
            <b/>
            <sz val="9"/>
            <color indexed="81"/>
            <rFont val="Tahoma"/>
            <family val="2"/>
          </rPr>
          <t>&lt;[[TCDeals] - [Associated DEV Deal (Seq: 1)] - [Proxy Entities (Seq: 23)] First Name - Send]&gt;</t>
        </r>
      </text>
    </comment>
    <comment ref="AE155" authorId="0" shapeId="0" xr:uid="{8C8B1A37-CFE0-487D-BA9D-5EBBF78A136B}">
      <text>
        <r>
          <rPr>
            <b/>
            <sz val="9"/>
            <color indexed="81"/>
            <rFont val="Tahoma"/>
            <family val="2"/>
          </rPr>
          <t>&lt;[[TCDeals] - [Associated DEV Deal (Seq: 1)] - [Proxy Entities (Seq: 23)] Last Name - Send]&gt;</t>
        </r>
      </text>
    </comment>
    <comment ref="AF155" authorId="0" shapeId="0" xr:uid="{9D209191-C906-4ACD-952F-05BD310742C8}">
      <text>
        <r>
          <rPr>
            <b/>
            <sz val="9"/>
            <color indexed="81"/>
            <rFont val="Tahoma"/>
            <family val="2"/>
          </rPr>
          <t>&lt;[[TCDeals] - [Associated DEV Deal (Seq: 1)] - [Proxy Entities (Seq: 23)] Email Address 1 - Send]&gt;</t>
        </r>
      </text>
    </comment>
    <comment ref="AG155" authorId="0" shapeId="0" xr:uid="{53E24505-B697-45C8-BC68-5F68326C9881}">
      <text>
        <r>
          <rPr>
            <b/>
            <sz val="9"/>
            <color indexed="81"/>
            <rFont val="Tahoma"/>
            <family val="2"/>
          </rPr>
          <t>&lt;[[TCDeals] - [Associated DEV Deal (Seq: 1)] - [Proxy Entities (Seq: 23)] Address 1 - Send]&gt;</t>
        </r>
      </text>
    </comment>
    <comment ref="AH155" authorId="0" shapeId="0" xr:uid="{4C9597E8-CB93-48B6-836D-14B52E736C1D}">
      <text>
        <r>
          <rPr>
            <b/>
            <sz val="9"/>
            <color indexed="81"/>
            <rFont val="Tahoma"/>
            <family val="2"/>
          </rPr>
          <t>&lt;[[TCDeals] - [Associated DEV Deal (Seq: 1)] - [Proxy Entities (Seq: 23)] City - Send]&gt;</t>
        </r>
      </text>
    </comment>
    <comment ref="AI155" authorId="0" shapeId="0" xr:uid="{95AC6680-65A1-41E9-A34C-FC5974C45BC9}">
      <text>
        <r>
          <rPr>
            <b/>
            <sz val="9"/>
            <color indexed="81"/>
            <rFont val="Tahoma"/>
            <family val="2"/>
          </rPr>
          <t>&lt;[[TCDeals] - [Associated DEV Deal (Seq: 1)] - [Proxy Entities (Seq: 23)] State - Send]&gt;</t>
        </r>
      </text>
    </comment>
    <comment ref="AJ155" authorId="0" shapeId="0" xr:uid="{EE076C10-A358-48A6-AD8E-D73ADA5FB53D}">
      <text>
        <r>
          <rPr>
            <b/>
            <sz val="9"/>
            <color indexed="81"/>
            <rFont val="Tahoma"/>
            <family val="2"/>
          </rPr>
          <t>&lt;[[TCDeals] - [Associated DEV Deal (Seq: 1)] - [Proxy Entities (Seq: 23)] Zip Code - Send]&gt;</t>
        </r>
      </text>
    </comment>
    <comment ref="AK155" authorId="0" shapeId="0" xr:uid="{34F2CEF1-3C74-429F-A465-0F16C0415B82}">
      <text>
        <r>
          <rPr>
            <b/>
            <sz val="9"/>
            <color indexed="81"/>
            <rFont val="Tahoma"/>
            <family val="2"/>
          </rPr>
          <t>&lt;[[TCDeals] - [Associated DEV Deal (Seq: 1)] - [Proxy Entities (Seq: 23)] Direct Phone - Send]&gt;</t>
        </r>
      </text>
    </comment>
    <comment ref="M156" authorId="0" shapeId="0" xr:uid="{B90C4138-53AF-4EE3-8CC6-BDAA895961C7}">
      <text>
        <r>
          <rPr>
            <b/>
            <sz val="9"/>
            <color indexed="81"/>
            <rFont val="Tahoma"/>
            <family val="2"/>
          </rPr>
          <t>&lt;[[TCDeals] - [Proxy Entities (Seq: 24)] Company or Individual? - Send]&gt;</t>
        </r>
      </text>
    </comment>
    <comment ref="N156" authorId="0" shapeId="0" xr:uid="{36E698B8-A554-4865-9BD1-72ECA010AD18}">
      <text>
        <r>
          <rPr>
            <b/>
            <sz val="9"/>
            <color indexed="81"/>
            <rFont val="Tahoma"/>
            <family val="2"/>
          </rPr>
          <t>&lt;[[TCDeals] - [Proxy Entities (Seq: 24)] Deal Entity Role - Send]&gt;</t>
        </r>
      </text>
    </comment>
    <comment ref="O156" authorId="0" shapeId="0" xr:uid="{25F1FA80-BCD0-419D-9F8F-FB3996110738}">
      <text>
        <r>
          <rPr>
            <b/>
            <sz val="9"/>
            <color indexed="81"/>
            <rFont val="Tahoma"/>
            <family val="2"/>
          </rPr>
          <t>&lt;[[TCDeals] - [Proxy Entities (Seq: 24)] Name (Doing Business As) - Send]&gt;</t>
        </r>
      </text>
    </comment>
    <comment ref="P156" authorId="0" shapeId="0" xr:uid="{A590FD15-BC4F-46E3-BDD9-FDA9731A291E}">
      <text>
        <r>
          <rPr>
            <b/>
            <sz val="9"/>
            <color indexed="81"/>
            <rFont val="Tahoma"/>
            <family val="2"/>
          </rPr>
          <t>&lt;[[TCDeals] - [Proxy Entities (Seq: 24)] First Name - Send]&gt;</t>
        </r>
      </text>
    </comment>
    <comment ref="Q156" authorId="0" shapeId="0" xr:uid="{71FB0F32-4A24-4BAB-9D10-293867EDF616}">
      <text>
        <r>
          <rPr>
            <b/>
            <sz val="9"/>
            <color indexed="81"/>
            <rFont val="Tahoma"/>
            <family val="2"/>
          </rPr>
          <t>&lt;[[TCDeals] - [Proxy Entities (Seq: 24)] Last Name - Send]&gt;</t>
        </r>
      </text>
    </comment>
    <comment ref="R156" authorId="0" shapeId="0" xr:uid="{FA1FE595-657D-4D5C-9DB4-09DF63361049}">
      <text>
        <r>
          <rPr>
            <b/>
            <sz val="9"/>
            <color indexed="81"/>
            <rFont val="Tahoma"/>
            <family val="2"/>
          </rPr>
          <t>&lt;[[TCDeals] - [Proxy Entities (Seq: 24)] Email Address 1 - Send]&gt;</t>
        </r>
      </text>
    </comment>
    <comment ref="S156" authorId="0" shapeId="0" xr:uid="{BD01284D-EE61-4ADD-B744-09762724E17A}">
      <text>
        <r>
          <rPr>
            <b/>
            <sz val="9"/>
            <color indexed="81"/>
            <rFont val="Tahoma"/>
            <family val="2"/>
          </rPr>
          <t>&lt;[[TCDeals] - [Proxy Entities (Seq: 24)] Address 1 - Send]&gt;</t>
        </r>
      </text>
    </comment>
    <comment ref="T156" authorId="0" shapeId="0" xr:uid="{D0B983D1-9D6D-46FD-BD94-EC4C9535595E}">
      <text>
        <r>
          <rPr>
            <b/>
            <sz val="9"/>
            <color indexed="81"/>
            <rFont val="Tahoma"/>
            <family val="2"/>
          </rPr>
          <t>&lt;[[TCDeals] - [Proxy Entities (Seq: 24)] City - Send]&gt;</t>
        </r>
      </text>
    </comment>
    <comment ref="U156" authorId="0" shapeId="0" xr:uid="{C4ADCF7C-0AD8-49A3-B9E0-03F00878C3A5}">
      <text>
        <r>
          <rPr>
            <b/>
            <sz val="9"/>
            <color indexed="81"/>
            <rFont val="Tahoma"/>
            <family val="2"/>
          </rPr>
          <t>&lt;[[TCDeals] - [Proxy Entities (Seq: 24)] State - Send]&gt;</t>
        </r>
      </text>
    </comment>
    <comment ref="V156" authorId="0" shapeId="0" xr:uid="{8A22CA49-A224-4276-8CD9-F25E006D378B}">
      <text>
        <r>
          <rPr>
            <b/>
            <sz val="9"/>
            <color indexed="81"/>
            <rFont val="Tahoma"/>
            <family val="2"/>
          </rPr>
          <t>&lt;[[TCDeals] - [Proxy Entities (Seq: 24)] Zip Code - Send]&gt;</t>
        </r>
      </text>
    </comment>
    <comment ref="W156" authorId="0" shapeId="0" xr:uid="{5D661330-EA64-4B63-9BB4-412405C209C3}">
      <text>
        <r>
          <rPr>
            <b/>
            <sz val="9"/>
            <color indexed="81"/>
            <rFont val="Tahoma"/>
            <family val="2"/>
          </rPr>
          <t>&lt;[[TCDeals] - [Proxy Entities (Seq: 24)] Direct Phone - Send]&gt;</t>
        </r>
      </text>
    </comment>
    <comment ref="AA156" authorId="0" shapeId="0" xr:uid="{A9B11480-3E41-4CC3-B0D5-19DDC77A09BA}">
      <text>
        <r>
          <rPr>
            <b/>
            <sz val="9"/>
            <color indexed="81"/>
            <rFont val="Tahoma"/>
            <family val="2"/>
          </rPr>
          <t>&lt;[[TCDeals] - [Associated DEV Deal (Seq: 1)] - [Proxy Entities (Seq: 24)] Name (Doing Business As) - Send]&gt;</t>
        </r>
      </text>
    </comment>
    <comment ref="AB156" authorId="0" shapeId="0" xr:uid="{9293BB86-073F-43DE-B10D-1C4479442321}">
      <text>
        <r>
          <rPr>
            <b/>
            <sz val="9"/>
            <color indexed="81"/>
            <rFont val="Tahoma"/>
            <family val="2"/>
          </rPr>
          <t>&lt;[[TCDeals] - [Associated DEV Deal (Seq: 1)] - [Proxy Entities (Seq: 24)] Company or Individual? - Send]&gt;</t>
        </r>
      </text>
    </comment>
    <comment ref="AC156" authorId="0" shapeId="0" xr:uid="{22B426A4-B573-4002-BB6F-322E30F5AE64}">
      <text>
        <r>
          <rPr>
            <b/>
            <sz val="9"/>
            <color indexed="81"/>
            <rFont val="Tahoma"/>
            <family val="2"/>
          </rPr>
          <t>&lt;[[TCDeals] - [Associated DEV Deal (Seq: 1)] - [Proxy Entities (Seq: 24)] Deal Entity Role - Send]&gt;</t>
        </r>
      </text>
    </comment>
    <comment ref="AD156" authorId="0" shapeId="0" xr:uid="{3D27BEB7-00BE-4085-9DA9-A3480E681A1E}">
      <text>
        <r>
          <rPr>
            <b/>
            <sz val="9"/>
            <color indexed="81"/>
            <rFont val="Tahoma"/>
            <family val="2"/>
          </rPr>
          <t>&lt;[[TCDeals] - [Associated DEV Deal (Seq: 1)] - [Proxy Entities (Seq: 24)] First Name - Send]&gt;</t>
        </r>
      </text>
    </comment>
    <comment ref="AE156" authorId="0" shapeId="0" xr:uid="{4BFF6E6F-6605-4193-B26A-67E274039769}">
      <text>
        <r>
          <rPr>
            <b/>
            <sz val="9"/>
            <color indexed="81"/>
            <rFont val="Tahoma"/>
            <family val="2"/>
          </rPr>
          <t>&lt;[[TCDeals] - [Associated DEV Deal (Seq: 1)] - [Proxy Entities (Seq: 24)] Last Name - Send]&gt;</t>
        </r>
      </text>
    </comment>
    <comment ref="AF156" authorId="0" shapeId="0" xr:uid="{42946632-02AF-46E1-AA19-3948F2881609}">
      <text>
        <r>
          <rPr>
            <b/>
            <sz val="9"/>
            <color indexed="81"/>
            <rFont val="Tahoma"/>
            <family val="2"/>
          </rPr>
          <t>&lt;[[TCDeals] - [Associated DEV Deal (Seq: 1)] - [Proxy Entities (Seq: 24)] Email Address 1 - Send]&gt;</t>
        </r>
      </text>
    </comment>
    <comment ref="AG156" authorId="0" shapeId="0" xr:uid="{734ED452-48A4-4614-8B49-125461E02848}">
      <text>
        <r>
          <rPr>
            <b/>
            <sz val="9"/>
            <color indexed="81"/>
            <rFont val="Tahoma"/>
            <family val="2"/>
          </rPr>
          <t>&lt;[[TCDeals] - [Associated DEV Deal (Seq: 1)] - [Proxy Entities (Seq: 24)] Address 1 - Send]&gt;</t>
        </r>
      </text>
    </comment>
    <comment ref="AH156" authorId="0" shapeId="0" xr:uid="{6905D057-B066-4116-A0DF-10569819988B}">
      <text>
        <r>
          <rPr>
            <b/>
            <sz val="9"/>
            <color indexed="81"/>
            <rFont val="Tahoma"/>
            <family val="2"/>
          </rPr>
          <t>&lt;[[TCDeals] - [Associated DEV Deal (Seq: 1)] - [Proxy Entities (Seq: 24)] City - Send]&gt;</t>
        </r>
      </text>
    </comment>
    <comment ref="AI156" authorId="0" shapeId="0" xr:uid="{F6A373DD-92FE-4C2B-BD1C-480491ABD781}">
      <text>
        <r>
          <rPr>
            <b/>
            <sz val="9"/>
            <color indexed="81"/>
            <rFont val="Tahoma"/>
            <family val="2"/>
          </rPr>
          <t>&lt;[[TCDeals] - [Associated DEV Deal (Seq: 1)] - [Proxy Entities (Seq: 24)] State - Send]&gt;</t>
        </r>
      </text>
    </comment>
    <comment ref="AJ156" authorId="0" shapeId="0" xr:uid="{E6195C19-8B06-4382-A9B6-C49ACD0E579D}">
      <text>
        <r>
          <rPr>
            <b/>
            <sz val="9"/>
            <color indexed="81"/>
            <rFont val="Tahoma"/>
            <family val="2"/>
          </rPr>
          <t>&lt;[[TCDeals] - [Associated DEV Deal (Seq: 1)] - [Proxy Entities (Seq: 24)] Zip Code - Send]&gt;</t>
        </r>
      </text>
    </comment>
    <comment ref="AK156" authorId="0" shapeId="0" xr:uid="{B8B7D92D-1515-43B9-8890-A3CE83EE8681}">
      <text>
        <r>
          <rPr>
            <b/>
            <sz val="9"/>
            <color indexed="81"/>
            <rFont val="Tahoma"/>
            <family val="2"/>
          </rPr>
          <t>&lt;[[TCDeals] - [Associated DEV Deal (Seq: 1)] - [Proxy Entities (Seq: 24)] Direct Phone - Send]&gt;</t>
        </r>
      </text>
    </comment>
    <comment ref="M157" authorId="0" shapeId="0" xr:uid="{62353D59-52FE-44EC-B564-570673D424E5}">
      <text>
        <r>
          <rPr>
            <b/>
            <sz val="9"/>
            <color indexed="81"/>
            <rFont val="Tahoma"/>
            <family val="2"/>
          </rPr>
          <t>&lt;[[TCDeals] - [Proxy Entities (Seq: 25)] Company or Individual? - Send]&gt;</t>
        </r>
      </text>
    </comment>
    <comment ref="N157" authorId="0" shapeId="0" xr:uid="{40C6E377-68F4-4D57-B1D8-704703B6CE6E}">
      <text>
        <r>
          <rPr>
            <b/>
            <sz val="9"/>
            <color indexed="81"/>
            <rFont val="Tahoma"/>
            <family val="2"/>
          </rPr>
          <t>&lt;[[TCDeals] - [Proxy Entities (Seq: 25)] Deal Entity Role - Send]&gt;</t>
        </r>
      </text>
    </comment>
    <comment ref="O157" authorId="0" shapeId="0" xr:uid="{B281C594-2068-492A-983D-0C20817926C3}">
      <text>
        <r>
          <rPr>
            <b/>
            <sz val="9"/>
            <color indexed="81"/>
            <rFont val="Tahoma"/>
            <family val="2"/>
          </rPr>
          <t>&lt;[[TCDeals] - [Proxy Entities (Seq: 25)] Name (Doing Business As) - Send]&gt;</t>
        </r>
      </text>
    </comment>
    <comment ref="P157" authorId="0" shapeId="0" xr:uid="{8FD4790D-ABA2-440A-AECF-D8A8F0E654D4}">
      <text>
        <r>
          <rPr>
            <b/>
            <sz val="9"/>
            <color indexed="81"/>
            <rFont val="Tahoma"/>
            <family val="2"/>
          </rPr>
          <t>&lt;[[TCDeals] - [Proxy Entities (Seq: 25)] First Name - Send]&gt;</t>
        </r>
      </text>
    </comment>
    <comment ref="Q157" authorId="0" shapeId="0" xr:uid="{F436138C-A92B-4837-92C5-1C120EFA0B14}">
      <text>
        <r>
          <rPr>
            <b/>
            <sz val="9"/>
            <color indexed="81"/>
            <rFont val="Tahoma"/>
            <family val="2"/>
          </rPr>
          <t>&lt;[[TCDeals] - [Proxy Entities (Seq: 25)] Last Name - Send]&gt;</t>
        </r>
      </text>
    </comment>
    <comment ref="R157" authorId="0" shapeId="0" xr:uid="{0CA9A316-B708-49D3-ABB8-2A456437B72E}">
      <text>
        <r>
          <rPr>
            <b/>
            <sz val="9"/>
            <color indexed="81"/>
            <rFont val="Tahoma"/>
            <family val="2"/>
          </rPr>
          <t>&lt;[[TCDeals] - [Proxy Entities (Seq: 25)] Email Address 1 - Send]&gt;</t>
        </r>
      </text>
    </comment>
    <comment ref="S157" authorId="0" shapeId="0" xr:uid="{1337C484-1850-458B-B305-C784D36C1630}">
      <text>
        <r>
          <rPr>
            <b/>
            <sz val="9"/>
            <color indexed="81"/>
            <rFont val="Tahoma"/>
            <family val="2"/>
          </rPr>
          <t>&lt;[[TCDeals] - [Proxy Entities (Seq: 25)] Address 1 - Send]&gt;</t>
        </r>
      </text>
    </comment>
    <comment ref="T157" authorId="0" shapeId="0" xr:uid="{2B0B2938-6D2F-4C95-A6FC-BFB51073BE53}">
      <text>
        <r>
          <rPr>
            <b/>
            <sz val="9"/>
            <color indexed="81"/>
            <rFont val="Tahoma"/>
            <family val="2"/>
          </rPr>
          <t>&lt;[[TCDeals] - [Proxy Entities (Seq: 25)] City - Send]&gt;</t>
        </r>
      </text>
    </comment>
    <comment ref="U157" authorId="0" shapeId="0" xr:uid="{71A7BFFF-2AF8-45C5-B639-5083F843B089}">
      <text>
        <r>
          <rPr>
            <b/>
            <sz val="9"/>
            <color indexed="81"/>
            <rFont val="Tahoma"/>
            <family val="2"/>
          </rPr>
          <t>&lt;[[TCDeals] - [Proxy Entities (Seq: 25)] State - Send]&gt;</t>
        </r>
      </text>
    </comment>
    <comment ref="V157" authorId="0" shapeId="0" xr:uid="{0AF4E5FC-D64B-4C9A-8AEF-1D87D248D071}">
      <text>
        <r>
          <rPr>
            <b/>
            <sz val="9"/>
            <color indexed="81"/>
            <rFont val="Tahoma"/>
            <family val="2"/>
          </rPr>
          <t>&lt;[[TCDeals] - [Proxy Entities (Seq: 25)] Zip Code - Send]&gt;</t>
        </r>
      </text>
    </comment>
    <comment ref="W157" authorId="0" shapeId="0" xr:uid="{9FD0BFD1-63DF-40C7-B49F-8794563287A2}">
      <text>
        <r>
          <rPr>
            <b/>
            <sz val="9"/>
            <color indexed="81"/>
            <rFont val="Tahoma"/>
            <family val="2"/>
          </rPr>
          <t>&lt;[[TCDeals] - [Proxy Entities (Seq: 25)] Direct Phone - Send]&gt;</t>
        </r>
      </text>
    </comment>
    <comment ref="AA157" authorId="0" shapeId="0" xr:uid="{DD27627C-AC6D-4D13-8311-8F3712E3FA8C}">
      <text>
        <r>
          <rPr>
            <b/>
            <sz val="9"/>
            <color indexed="81"/>
            <rFont val="Tahoma"/>
            <family val="2"/>
          </rPr>
          <t>&lt;[[TCDeals] - [Associated DEV Deal (Seq: 1)] - [Proxy Entities (Seq: 25)] Name (Doing Business As) - Send]&gt;</t>
        </r>
      </text>
    </comment>
    <comment ref="AB157" authorId="0" shapeId="0" xr:uid="{7DA40CA3-8148-4236-ACD2-B08A5D741673}">
      <text>
        <r>
          <rPr>
            <b/>
            <sz val="9"/>
            <color indexed="81"/>
            <rFont val="Tahoma"/>
            <family val="2"/>
          </rPr>
          <t>&lt;[[TCDeals] - [Associated DEV Deal (Seq: 1)] - [Proxy Entities (Seq: 25)] Company or Individual? - Send]&gt;</t>
        </r>
      </text>
    </comment>
    <comment ref="AC157" authorId="0" shapeId="0" xr:uid="{FD20E9B1-C7E6-43C1-87EC-857858E92091}">
      <text>
        <r>
          <rPr>
            <b/>
            <sz val="9"/>
            <color indexed="81"/>
            <rFont val="Tahoma"/>
            <family val="2"/>
          </rPr>
          <t>&lt;[[TCDeals] - [Associated DEV Deal (Seq: 1)] - [Proxy Entities (Seq: 25)] Deal Entity Role - Send]&gt;</t>
        </r>
      </text>
    </comment>
    <comment ref="AD157" authorId="0" shapeId="0" xr:uid="{AC6DB6AF-AB11-4F19-96AD-36E074BD3996}">
      <text>
        <r>
          <rPr>
            <b/>
            <sz val="9"/>
            <color indexed="81"/>
            <rFont val="Tahoma"/>
            <family val="2"/>
          </rPr>
          <t>&lt;[[TCDeals] - [Associated DEV Deal (Seq: 1)] - [Proxy Entities (Seq: 25)] First Name - Send]&gt;</t>
        </r>
      </text>
    </comment>
    <comment ref="AE157" authorId="0" shapeId="0" xr:uid="{45982D0F-7829-40B9-88BA-20D3F4CBFDE1}">
      <text>
        <r>
          <rPr>
            <b/>
            <sz val="9"/>
            <color indexed="81"/>
            <rFont val="Tahoma"/>
            <family val="2"/>
          </rPr>
          <t>&lt;[[TCDeals] - [Associated DEV Deal (Seq: 1)] - [Proxy Entities (Seq: 25)] Last Name - Send]&gt;</t>
        </r>
      </text>
    </comment>
    <comment ref="AF157" authorId="0" shapeId="0" xr:uid="{5DB843D2-63AB-46E9-B1D1-8A41F77CA297}">
      <text>
        <r>
          <rPr>
            <b/>
            <sz val="9"/>
            <color indexed="81"/>
            <rFont val="Tahoma"/>
            <family val="2"/>
          </rPr>
          <t>&lt;[[TCDeals] - [Associated DEV Deal (Seq: 1)] - [Proxy Entities (Seq: 25)] Email Address 1 - Send]&gt;</t>
        </r>
      </text>
    </comment>
    <comment ref="AG157" authorId="0" shapeId="0" xr:uid="{784385C1-4493-430E-AF74-02ABF6D7CD2E}">
      <text>
        <r>
          <rPr>
            <b/>
            <sz val="9"/>
            <color indexed="81"/>
            <rFont val="Tahoma"/>
            <family val="2"/>
          </rPr>
          <t>&lt;[[TCDeals] - [Associated DEV Deal (Seq: 1)] - [Proxy Entities (Seq: 25)] Address 1 - Send]&gt;</t>
        </r>
      </text>
    </comment>
    <comment ref="AH157" authorId="0" shapeId="0" xr:uid="{F36AD789-494E-44CD-B0F4-AF2047BCD071}">
      <text>
        <r>
          <rPr>
            <b/>
            <sz val="9"/>
            <color indexed="81"/>
            <rFont val="Tahoma"/>
            <family val="2"/>
          </rPr>
          <t>&lt;[[TCDeals] - [Associated DEV Deal (Seq: 1)] - [Proxy Entities (Seq: 25)] City - Send]&gt;</t>
        </r>
      </text>
    </comment>
    <comment ref="AI157" authorId="0" shapeId="0" xr:uid="{E7E340AC-A488-4EE7-8C22-6BEDB66971DA}">
      <text>
        <r>
          <rPr>
            <b/>
            <sz val="9"/>
            <color indexed="81"/>
            <rFont val="Tahoma"/>
            <family val="2"/>
          </rPr>
          <t>&lt;[[TCDeals] - [Associated DEV Deal (Seq: 1)] - [Proxy Entities (Seq: 25)] State - Send]&gt;</t>
        </r>
      </text>
    </comment>
    <comment ref="AJ157" authorId="0" shapeId="0" xr:uid="{F299BD8F-3212-4D10-901F-E97D8FE21969}">
      <text>
        <r>
          <rPr>
            <b/>
            <sz val="9"/>
            <color indexed="81"/>
            <rFont val="Tahoma"/>
            <family val="2"/>
          </rPr>
          <t>&lt;[[TCDeals] - [Associated DEV Deal (Seq: 1)] - [Proxy Entities (Seq: 25)] Zip Code - Send]&gt;</t>
        </r>
      </text>
    </comment>
    <comment ref="AK157" authorId="0" shapeId="0" xr:uid="{F5BE9211-ADB0-4138-A394-871832501202}">
      <text>
        <r>
          <rPr>
            <b/>
            <sz val="9"/>
            <color indexed="81"/>
            <rFont val="Tahoma"/>
            <family val="2"/>
          </rPr>
          <t>&lt;[[TCDeals] - [Associated DEV Deal (Seq: 1)] - [Proxy Entities (Seq: 25)] Direct Phone - Send]&gt;</t>
        </r>
      </text>
    </comment>
    <comment ref="M158" authorId="0" shapeId="0" xr:uid="{3BD219FD-6D59-4A8E-971A-E2FBF60C0CC3}">
      <text>
        <r>
          <rPr>
            <b/>
            <sz val="9"/>
            <color indexed="81"/>
            <rFont val="Tahoma"/>
            <family val="2"/>
          </rPr>
          <t>&lt;[[TCDeals] - [Proxy Entities (Seq: 26)] Company or Individual? - Send]&gt;</t>
        </r>
      </text>
    </comment>
    <comment ref="N158" authorId="0" shapeId="0" xr:uid="{30A6F248-8703-4385-AFC6-1339D5F565F6}">
      <text>
        <r>
          <rPr>
            <b/>
            <sz val="9"/>
            <color indexed="81"/>
            <rFont val="Tahoma"/>
            <family val="2"/>
          </rPr>
          <t>&lt;[[TCDeals] - [Proxy Entities (Seq: 26)] Deal Entity Role - Send]&gt;</t>
        </r>
      </text>
    </comment>
    <comment ref="O158" authorId="0" shapeId="0" xr:uid="{64B49782-C598-45A7-9E3E-F4A6D193B6D1}">
      <text>
        <r>
          <rPr>
            <b/>
            <sz val="9"/>
            <color indexed="81"/>
            <rFont val="Tahoma"/>
            <family val="2"/>
          </rPr>
          <t>&lt;[[TCDeals] - [Proxy Entities (Seq: 26)] Name (Doing Business As) - Send]&gt;</t>
        </r>
      </text>
    </comment>
    <comment ref="P158" authorId="0" shapeId="0" xr:uid="{3885C021-3FBD-4857-A6EA-F488A5C27531}">
      <text>
        <r>
          <rPr>
            <b/>
            <sz val="9"/>
            <color indexed="81"/>
            <rFont val="Tahoma"/>
            <family val="2"/>
          </rPr>
          <t>&lt;[[TCDeals] - [Proxy Entities (Seq: 26)] First Name - Send]&gt;</t>
        </r>
      </text>
    </comment>
    <comment ref="Q158" authorId="0" shapeId="0" xr:uid="{95D477DC-5352-47A1-8DC0-41E3046A4B34}">
      <text>
        <r>
          <rPr>
            <b/>
            <sz val="9"/>
            <color indexed="81"/>
            <rFont val="Tahoma"/>
            <family val="2"/>
          </rPr>
          <t>&lt;[[TCDeals] - [Proxy Entities (Seq: 26)] Last Name - Send]&gt;</t>
        </r>
      </text>
    </comment>
    <comment ref="R158" authorId="0" shapeId="0" xr:uid="{EC267DFB-6EE5-4823-AADE-2946943C1AC7}">
      <text>
        <r>
          <rPr>
            <b/>
            <sz val="9"/>
            <color indexed="81"/>
            <rFont val="Tahoma"/>
            <family val="2"/>
          </rPr>
          <t>&lt;[[TCDeals] - [Proxy Entities (Seq: 26)] Email Address 1 - Send]&gt;</t>
        </r>
      </text>
    </comment>
    <comment ref="S158" authorId="0" shapeId="0" xr:uid="{4A88B30F-358B-44E7-865D-97F3CFD97DA2}">
      <text>
        <r>
          <rPr>
            <b/>
            <sz val="9"/>
            <color indexed="81"/>
            <rFont val="Tahoma"/>
            <family val="2"/>
          </rPr>
          <t>&lt;[[TCDeals] - [Proxy Entities (Seq: 26)] Address 1 - Send]&gt;</t>
        </r>
      </text>
    </comment>
    <comment ref="T158" authorId="0" shapeId="0" xr:uid="{F40F965C-5672-4981-AB35-E544EA32A593}">
      <text>
        <r>
          <rPr>
            <b/>
            <sz val="9"/>
            <color indexed="81"/>
            <rFont val="Tahoma"/>
            <family val="2"/>
          </rPr>
          <t>&lt;[[TCDeals] - [Proxy Entities (Seq: 26)] City - Send]&gt;</t>
        </r>
      </text>
    </comment>
    <comment ref="U158" authorId="0" shapeId="0" xr:uid="{12D32688-2941-4766-9015-99A5A82B38E0}">
      <text>
        <r>
          <rPr>
            <b/>
            <sz val="9"/>
            <color indexed="81"/>
            <rFont val="Tahoma"/>
            <family val="2"/>
          </rPr>
          <t>&lt;[[TCDeals] - [Proxy Entities (Seq: 26)] State - Send]&gt;</t>
        </r>
      </text>
    </comment>
    <comment ref="V158" authorId="0" shapeId="0" xr:uid="{3FDE9C59-EFA9-4E41-AC64-B4FB9191A77A}">
      <text>
        <r>
          <rPr>
            <b/>
            <sz val="9"/>
            <color indexed="81"/>
            <rFont val="Tahoma"/>
            <family val="2"/>
          </rPr>
          <t>&lt;[[TCDeals] - [Proxy Entities (Seq: 26)] Zip Code - Send]&gt;</t>
        </r>
      </text>
    </comment>
    <comment ref="W158" authorId="0" shapeId="0" xr:uid="{C0360E84-D162-4DAA-9292-651D84698760}">
      <text>
        <r>
          <rPr>
            <b/>
            <sz val="9"/>
            <color indexed="81"/>
            <rFont val="Tahoma"/>
            <family val="2"/>
          </rPr>
          <t>&lt;[[TCDeals] - [Proxy Entities (Seq: 26)] Direct Phone - Send]&gt;</t>
        </r>
      </text>
    </comment>
    <comment ref="AA158" authorId="0" shapeId="0" xr:uid="{41875C4D-AFDF-4176-BFD3-F45C67179BBC}">
      <text>
        <r>
          <rPr>
            <b/>
            <sz val="9"/>
            <color indexed="81"/>
            <rFont val="Tahoma"/>
            <family val="2"/>
          </rPr>
          <t>&lt;[[TCDeals] - [Associated DEV Deal (Seq: 1)] - [Proxy Entities (Seq: 26)] Name (Doing Business As) - Send]&gt;</t>
        </r>
      </text>
    </comment>
    <comment ref="AB158" authorId="0" shapeId="0" xr:uid="{EC24AE3B-3A15-4BEF-B789-EB771B8A5DA3}">
      <text>
        <r>
          <rPr>
            <b/>
            <sz val="9"/>
            <color indexed="81"/>
            <rFont val="Tahoma"/>
            <family val="2"/>
          </rPr>
          <t>&lt;[[TCDeals] - [Associated DEV Deal (Seq: 1)] - [Proxy Entities (Seq: 26)] Company or Individual? - Send]&gt;</t>
        </r>
      </text>
    </comment>
    <comment ref="AC158" authorId="0" shapeId="0" xr:uid="{572D7DA1-51E8-4414-9040-232FA05F9576}">
      <text>
        <r>
          <rPr>
            <b/>
            <sz val="9"/>
            <color indexed="81"/>
            <rFont val="Tahoma"/>
            <family val="2"/>
          </rPr>
          <t>&lt;[[TCDeals] - [Associated DEV Deal (Seq: 1)] - [Proxy Entities (Seq: 26)] Deal Entity Role - Send]&gt;</t>
        </r>
      </text>
    </comment>
    <comment ref="AD158" authorId="0" shapeId="0" xr:uid="{C74A7013-F8E4-402D-A439-B663422DFA07}">
      <text>
        <r>
          <rPr>
            <b/>
            <sz val="9"/>
            <color indexed="81"/>
            <rFont val="Tahoma"/>
            <family val="2"/>
          </rPr>
          <t>&lt;[[TCDeals] - [Associated DEV Deal (Seq: 1)] - [Proxy Entities (Seq: 26)] First Name - Send]&gt;</t>
        </r>
      </text>
    </comment>
    <comment ref="AE158" authorId="0" shapeId="0" xr:uid="{E25BC65B-4BC2-4848-9220-020B6DBD2579}">
      <text>
        <r>
          <rPr>
            <b/>
            <sz val="9"/>
            <color indexed="81"/>
            <rFont val="Tahoma"/>
            <family val="2"/>
          </rPr>
          <t>&lt;[[TCDeals] - [Associated DEV Deal (Seq: 1)] - [Proxy Entities (Seq: 26)] Last Name - Send]&gt;</t>
        </r>
      </text>
    </comment>
    <comment ref="AF158" authorId="0" shapeId="0" xr:uid="{D13C2141-5434-42D9-BC8C-7780E0669863}">
      <text>
        <r>
          <rPr>
            <b/>
            <sz val="9"/>
            <color indexed="81"/>
            <rFont val="Tahoma"/>
            <family val="2"/>
          </rPr>
          <t>&lt;[[TCDeals] - [Associated DEV Deal (Seq: 1)] - [Proxy Entities (Seq: 26)] Email Address 1 - Send]&gt;</t>
        </r>
      </text>
    </comment>
    <comment ref="AG158" authorId="0" shapeId="0" xr:uid="{36E31BB9-ADE8-46E6-B436-B1DE2D59AA59}">
      <text>
        <r>
          <rPr>
            <b/>
            <sz val="9"/>
            <color indexed="81"/>
            <rFont val="Tahoma"/>
            <family val="2"/>
          </rPr>
          <t>&lt;[[TCDeals] - [Associated DEV Deal (Seq: 1)] - [Proxy Entities (Seq: 26)] Address 1 - Send]&gt;</t>
        </r>
      </text>
    </comment>
    <comment ref="AH158" authorId="0" shapeId="0" xr:uid="{1EB0785B-51D1-4E8C-B63B-7364679ACD9A}">
      <text>
        <r>
          <rPr>
            <b/>
            <sz val="9"/>
            <color indexed="81"/>
            <rFont val="Tahoma"/>
            <family val="2"/>
          </rPr>
          <t>&lt;[[TCDeals] - [Associated DEV Deal (Seq: 1)] - [Proxy Entities (Seq: 26)] City - Send]&gt;</t>
        </r>
      </text>
    </comment>
    <comment ref="AI158" authorId="0" shapeId="0" xr:uid="{E4866148-FC00-4B8B-A961-F9487EC5C921}">
      <text>
        <r>
          <rPr>
            <b/>
            <sz val="9"/>
            <color indexed="81"/>
            <rFont val="Tahoma"/>
            <family val="2"/>
          </rPr>
          <t>&lt;[[TCDeals] - [Associated DEV Deal (Seq: 1)] - [Proxy Entities (Seq: 26)] State - Send]&gt;</t>
        </r>
      </text>
    </comment>
    <comment ref="AJ158" authorId="0" shapeId="0" xr:uid="{40C0C202-F052-474F-B2DA-2C605881CD38}">
      <text>
        <r>
          <rPr>
            <b/>
            <sz val="9"/>
            <color indexed="81"/>
            <rFont val="Tahoma"/>
            <family val="2"/>
          </rPr>
          <t>&lt;[[TCDeals] - [Associated DEV Deal (Seq: 1)] - [Proxy Entities (Seq: 26)] Zip Code - Send]&gt;</t>
        </r>
      </text>
    </comment>
    <comment ref="AK158" authorId="0" shapeId="0" xr:uid="{56063B57-1853-4544-84EE-F0B68A1D3D3F}">
      <text>
        <r>
          <rPr>
            <b/>
            <sz val="9"/>
            <color indexed="81"/>
            <rFont val="Tahoma"/>
            <family val="2"/>
          </rPr>
          <t>&lt;[[TCDeals] - [Associated DEV Deal (Seq: 1)] - [Proxy Entities (Seq: 26)] Direct Phone - Send]&gt;</t>
        </r>
      </text>
    </comment>
    <comment ref="M159" authorId="0" shapeId="0" xr:uid="{3E3318EE-F2B3-40F3-8A5B-591140F245D9}">
      <text>
        <r>
          <rPr>
            <b/>
            <sz val="9"/>
            <color indexed="81"/>
            <rFont val="Tahoma"/>
            <family val="2"/>
          </rPr>
          <t>&lt;[[TCDeals] - [Proxy Entities (Seq: 27)] Company or Individual? - Send]&gt;</t>
        </r>
      </text>
    </comment>
    <comment ref="N159" authorId="0" shapeId="0" xr:uid="{D649E6A5-EB3E-4C0D-9285-148E9E49141D}">
      <text>
        <r>
          <rPr>
            <b/>
            <sz val="9"/>
            <color indexed="81"/>
            <rFont val="Tahoma"/>
            <family val="2"/>
          </rPr>
          <t>&lt;[[TCDeals] - [Proxy Entities (Seq: 27)] Deal Entity Role - Send]&gt;</t>
        </r>
      </text>
    </comment>
    <comment ref="O159" authorId="0" shapeId="0" xr:uid="{0C2C081D-50FD-43A3-832B-D5B0C3659AAF}">
      <text>
        <r>
          <rPr>
            <b/>
            <sz val="9"/>
            <color indexed="81"/>
            <rFont val="Tahoma"/>
            <family val="2"/>
          </rPr>
          <t>&lt;[[TCDeals] - [Proxy Entities (Seq: 27)] Name (Doing Business As) - Send]&gt;</t>
        </r>
      </text>
    </comment>
    <comment ref="P159" authorId="0" shapeId="0" xr:uid="{4DE6CAE5-1C73-4243-A4E6-925CEA9DFB7B}">
      <text>
        <r>
          <rPr>
            <b/>
            <sz val="9"/>
            <color indexed="81"/>
            <rFont val="Tahoma"/>
            <family val="2"/>
          </rPr>
          <t>&lt;[[TCDeals] - [Proxy Entities (Seq: 27)] First Name - Send]&gt;</t>
        </r>
      </text>
    </comment>
    <comment ref="Q159" authorId="0" shapeId="0" xr:uid="{99C7BFAF-EBC4-4903-B496-F17308DDF698}">
      <text>
        <r>
          <rPr>
            <b/>
            <sz val="9"/>
            <color indexed="81"/>
            <rFont val="Tahoma"/>
            <family val="2"/>
          </rPr>
          <t>&lt;[[TCDeals] - [Proxy Entities (Seq: 27)] Last Name - Send]&gt;</t>
        </r>
      </text>
    </comment>
    <comment ref="R159" authorId="0" shapeId="0" xr:uid="{964CA6F7-2862-45FD-9ED1-9CC747093442}">
      <text>
        <r>
          <rPr>
            <b/>
            <sz val="9"/>
            <color indexed="81"/>
            <rFont val="Tahoma"/>
            <family val="2"/>
          </rPr>
          <t>&lt;[[TCDeals] - [Proxy Entities (Seq: 27)] Email Address 1 - Send]&gt;</t>
        </r>
      </text>
    </comment>
    <comment ref="S159" authorId="0" shapeId="0" xr:uid="{C4A7AA02-AF5E-41BF-B18F-9C3048BF873A}">
      <text>
        <r>
          <rPr>
            <b/>
            <sz val="9"/>
            <color indexed="81"/>
            <rFont val="Tahoma"/>
            <family val="2"/>
          </rPr>
          <t>&lt;[[TCDeals] - [Proxy Entities (Seq: 27)] Address 1 - Send]&gt;</t>
        </r>
      </text>
    </comment>
    <comment ref="T159" authorId="0" shapeId="0" xr:uid="{8E7FFBDE-19AC-4C51-9FE9-CBABD3B3ED59}">
      <text>
        <r>
          <rPr>
            <b/>
            <sz val="9"/>
            <color indexed="81"/>
            <rFont val="Tahoma"/>
            <family val="2"/>
          </rPr>
          <t>&lt;[[TCDeals] - [Proxy Entities (Seq: 27)] City - Send]&gt;</t>
        </r>
      </text>
    </comment>
    <comment ref="U159" authorId="0" shapeId="0" xr:uid="{CE08DE0B-4CDE-4C6E-A815-E47B1891B734}">
      <text>
        <r>
          <rPr>
            <b/>
            <sz val="9"/>
            <color indexed="81"/>
            <rFont val="Tahoma"/>
            <family val="2"/>
          </rPr>
          <t>&lt;[[TCDeals] - [Proxy Entities (Seq: 27)] State - Send]&gt;</t>
        </r>
      </text>
    </comment>
    <comment ref="V159" authorId="0" shapeId="0" xr:uid="{9EF96A9B-0AAD-42EB-9E0F-AE9BBBC2B85C}">
      <text>
        <r>
          <rPr>
            <b/>
            <sz val="9"/>
            <color indexed="81"/>
            <rFont val="Tahoma"/>
            <family val="2"/>
          </rPr>
          <t>&lt;[[TCDeals] - [Proxy Entities (Seq: 27)] Zip Code - Send]&gt;</t>
        </r>
      </text>
    </comment>
    <comment ref="W159" authorId="0" shapeId="0" xr:uid="{FCB84006-37B1-4F3A-9C39-CD80A262A76F}">
      <text>
        <r>
          <rPr>
            <b/>
            <sz val="9"/>
            <color indexed="81"/>
            <rFont val="Tahoma"/>
            <family val="2"/>
          </rPr>
          <t>&lt;[[TCDeals] - [Proxy Entities (Seq: 27)] Direct Phone - Send]&gt;</t>
        </r>
      </text>
    </comment>
    <comment ref="AA159" authorId="0" shapeId="0" xr:uid="{07638781-D5B5-4DDF-B036-15D7F9FEADC9}">
      <text>
        <r>
          <rPr>
            <b/>
            <sz val="9"/>
            <color indexed="81"/>
            <rFont val="Tahoma"/>
            <family val="2"/>
          </rPr>
          <t>&lt;[[TCDeals] - [Associated DEV Deal (Seq: 1)] - [Proxy Entities (Seq: 27)] Name (Doing Business As) - Send]&gt;</t>
        </r>
      </text>
    </comment>
    <comment ref="AB159" authorId="0" shapeId="0" xr:uid="{E7398AE7-0B87-4135-88A1-0D6B57664653}">
      <text>
        <r>
          <rPr>
            <b/>
            <sz val="9"/>
            <color indexed="81"/>
            <rFont val="Tahoma"/>
            <family val="2"/>
          </rPr>
          <t>&lt;[[TCDeals] - [Associated DEV Deal (Seq: 1)] - [Proxy Entities (Seq: 27)] Company or Individual? - Send]&gt;</t>
        </r>
      </text>
    </comment>
    <comment ref="AC159" authorId="0" shapeId="0" xr:uid="{303CEF03-AE44-43DA-9560-2FE6C63E3203}">
      <text>
        <r>
          <rPr>
            <b/>
            <sz val="9"/>
            <color indexed="81"/>
            <rFont val="Tahoma"/>
            <family val="2"/>
          </rPr>
          <t>&lt;[[TCDeals] - [Associated DEV Deal (Seq: 1)] - [Proxy Entities (Seq: 27)] Deal Entity Role - Send]&gt;</t>
        </r>
      </text>
    </comment>
    <comment ref="AD159" authorId="0" shapeId="0" xr:uid="{F35E4869-B609-4F7C-B4A6-FA05DC4CADFE}">
      <text>
        <r>
          <rPr>
            <b/>
            <sz val="9"/>
            <color indexed="81"/>
            <rFont val="Tahoma"/>
            <family val="2"/>
          </rPr>
          <t>&lt;[[TCDeals] - [Associated DEV Deal (Seq: 1)] - [Proxy Entities (Seq: 27)] First Name - Send]&gt;</t>
        </r>
      </text>
    </comment>
    <comment ref="AE159" authorId="0" shapeId="0" xr:uid="{333B2719-C178-4CB7-B6A0-4362D1BB92A2}">
      <text>
        <r>
          <rPr>
            <b/>
            <sz val="9"/>
            <color indexed="81"/>
            <rFont val="Tahoma"/>
            <family val="2"/>
          </rPr>
          <t>&lt;[[TCDeals] - [Associated DEV Deal (Seq: 1)] - [Proxy Entities (Seq: 27)] Last Name - Send]&gt;</t>
        </r>
      </text>
    </comment>
    <comment ref="AF159" authorId="0" shapeId="0" xr:uid="{EEDCF60F-54E5-4294-AD46-045FE39D01B4}">
      <text>
        <r>
          <rPr>
            <b/>
            <sz val="9"/>
            <color indexed="81"/>
            <rFont val="Tahoma"/>
            <family val="2"/>
          </rPr>
          <t>&lt;[[TCDeals] - [Associated DEV Deal (Seq: 1)] - [Proxy Entities (Seq: 27)] Email Address 1 - Send]&gt;</t>
        </r>
      </text>
    </comment>
    <comment ref="AG159" authorId="0" shapeId="0" xr:uid="{26D03B26-39C6-4046-9E98-6DBC5D588478}">
      <text>
        <r>
          <rPr>
            <b/>
            <sz val="9"/>
            <color indexed="81"/>
            <rFont val="Tahoma"/>
            <family val="2"/>
          </rPr>
          <t>&lt;[[TCDeals] - [Associated DEV Deal (Seq: 1)] - [Proxy Entities (Seq: 27)] Address 1 - Send]&gt;</t>
        </r>
      </text>
    </comment>
    <comment ref="AH159" authorId="0" shapeId="0" xr:uid="{7B9B0509-0F7A-4C66-8F1B-A743FB13ABD6}">
      <text>
        <r>
          <rPr>
            <b/>
            <sz val="9"/>
            <color indexed="81"/>
            <rFont val="Tahoma"/>
            <family val="2"/>
          </rPr>
          <t>&lt;[[TCDeals] - [Associated DEV Deal (Seq: 1)] - [Proxy Entities (Seq: 27)] City - Send]&gt;</t>
        </r>
      </text>
    </comment>
    <comment ref="AI159" authorId="0" shapeId="0" xr:uid="{2430CF7A-C415-44AF-8E65-CA11C075A14D}">
      <text>
        <r>
          <rPr>
            <b/>
            <sz val="9"/>
            <color indexed="81"/>
            <rFont val="Tahoma"/>
            <family val="2"/>
          </rPr>
          <t>&lt;[[TCDeals] - [Associated DEV Deal (Seq: 1)] - [Proxy Entities (Seq: 27)] State - Send]&gt;</t>
        </r>
      </text>
    </comment>
    <comment ref="AJ159" authorId="0" shapeId="0" xr:uid="{3B998592-D35A-419D-9F06-6CF2F134E63D}">
      <text>
        <r>
          <rPr>
            <b/>
            <sz val="9"/>
            <color indexed="81"/>
            <rFont val="Tahoma"/>
            <family val="2"/>
          </rPr>
          <t>&lt;[[TCDeals] - [Associated DEV Deal (Seq: 1)] - [Proxy Entities (Seq: 27)] Zip Code - Send]&gt;</t>
        </r>
      </text>
    </comment>
    <comment ref="AK159" authorId="0" shapeId="0" xr:uid="{CE14C64E-4551-489E-8560-EF5CDD9EAC95}">
      <text>
        <r>
          <rPr>
            <b/>
            <sz val="9"/>
            <color indexed="81"/>
            <rFont val="Tahoma"/>
            <family val="2"/>
          </rPr>
          <t>&lt;[[TCDeals] - [Associated DEV Deal (Seq: 1)] - [Proxy Entities (Seq: 27)] Direct Phone - Send]&gt;</t>
        </r>
      </text>
    </comment>
    <comment ref="M160" authorId="0" shapeId="0" xr:uid="{5A18C50C-F3E3-4BD8-9875-BAE8A3E9680C}">
      <text>
        <r>
          <rPr>
            <b/>
            <sz val="9"/>
            <color indexed="81"/>
            <rFont val="Tahoma"/>
            <family val="2"/>
          </rPr>
          <t>&lt;[[TCDeals] - [Proxy Entities (Seq: 28)] Company or Individual? - Send]&gt;</t>
        </r>
      </text>
    </comment>
    <comment ref="N160" authorId="0" shapeId="0" xr:uid="{FB2927E7-6543-4660-83D4-AA51F8CF2CFE}">
      <text>
        <r>
          <rPr>
            <b/>
            <sz val="9"/>
            <color indexed="81"/>
            <rFont val="Tahoma"/>
            <family val="2"/>
          </rPr>
          <t>&lt;[[TCDeals] - [Proxy Entities (Seq: 28)] Deal Entity Role - Send]&gt;</t>
        </r>
      </text>
    </comment>
    <comment ref="O160" authorId="0" shapeId="0" xr:uid="{3866D335-9B99-4373-B53C-D2FC24C22667}">
      <text>
        <r>
          <rPr>
            <b/>
            <sz val="9"/>
            <color indexed="81"/>
            <rFont val="Tahoma"/>
            <family val="2"/>
          </rPr>
          <t>&lt;[[TCDeals] - [Proxy Entities (Seq: 28)] Name (Doing Business As) - Send]&gt;</t>
        </r>
      </text>
    </comment>
    <comment ref="P160" authorId="0" shapeId="0" xr:uid="{4E361527-78BE-4A57-B33B-0F915AF5F47C}">
      <text>
        <r>
          <rPr>
            <b/>
            <sz val="9"/>
            <color indexed="81"/>
            <rFont val="Tahoma"/>
            <family val="2"/>
          </rPr>
          <t>&lt;[[TCDeals] - [Proxy Entities (Seq: 28)] First Name - Send]&gt;</t>
        </r>
      </text>
    </comment>
    <comment ref="Q160" authorId="0" shapeId="0" xr:uid="{9C94901E-E864-471A-8E14-EBE90D08F835}">
      <text>
        <r>
          <rPr>
            <b/>
            <sz val="9"/>
            <color indexed="81"/>
            <rFont val="Tahoma"/>
            <family val="2"/>
          </rPr>
          <t>&lt;[[TCDeals] - [Proxy Entities (Seq: 28)] Last Name - Send]&gt;</t>
        </r>
      </text>
    </comment>
    <comment ref="R160" authorId="0" shapeId="0" xr:uid="{EA8A2E56-86BA-46F9-8EC0-E988AF7CA9E6}">
      <text>
        <r>
          <rPr>
            <b/>
            <sz val="9"/>
            <color indexed="81"/>
            <rFont val="Tahoma"/>
            <family val="2"/>
          </rPr>
          <t>&lt;[[TCDeals] - [Proxy Entities (Seq: 28)] Email Address 1 - Send]&gt;</t>
        </r>
      </text>
    </comment>
    <comment ref="S160" authorId="0" shapeId="0" xr:uid="{469A08FE-3B01-4C71-9D4A-C2680B459C46}">
      <text>
        <r>
          <rPr>
            <b/>
            <sz val="9"/>
            <color indexed="81"/>
            <rFont val="Tahoma"/>
            <family val="2"/>
          </rPr>
          <t>&lt;[[TCDeals] - [Proxy Entities (Seq: 28)] Address 1 - Send]&gt;</t>
        </r>
      </text>
    </comment>
    <comment ref="T160" authorId="0" shapeId="0" xr:uid="{650CC060-EF67-49F1-AD61-0CE3E92D525D}">
      <text>
        <r>
          <rPr>
            <b/>
            <sz val="9"/>
            <color indexed="81"/>
            <rFont val="Tahoma"/>
            <family val="2"/>
          </rPr>
          <t>&lt;[[TCDeals] - [Proxy Entities (Seq: 28)] City - Send]&gt;</t>
        </r>
      </text>
    </comment>
    <comment ref="U160" authorId="0" shapeId="0" xr:uid="{0BE3E60E-906F-40CC-9D1C-36343CE6ACFC}">
      <text>
        <r>
          <rPr>
            <b/>
            <sz val="9"/>
            <color indexed="81"/>
            <rFont val="Tahoma"/>
            <family val="2"/>
          </rPr>
          <t>&lt;[[TCDeals] - [Proxy Entities (Seq: 28)] State - Send]&gt;</t>
        </r>
      </text>
    </comment>
    <comment ref="V160" authorId="0" shapeId="0" xr:uid="{B59BE09C-010A-48AE-B6D5-CE398B7E4F3A}">
      <text>
        <r>
          <rPr>
            <b/>
            <sz val="9"/>
            <color indexed="81"/>
            <rFont val="Tahoma"/>
            <family val="2"/>
          </rPr>
          <t>&lt;[[TCDeals] - [Proxy Entities (Seq: 28)] Zip Code - Send]&gt;</t>
        </r>
      </text>
    </comment>
    <comment ref="W160" authorId="0" shapeId="0" xr:uid="{DCB030AF-74BE-49F1-B53F-0C3EAA4F4FDB}">
      <text>
        <r>
          <rPr>
            <b/>
            <sz val="9"/>
            <color indexed="81"/>
            <rFont val="Tahoma"/>
            <family val="2"/>
          </rPr>
          <t>&lt;[[TCDeals] - [Proxy Entities (Seq: 28)] Direct Phone - Send]&gt;</t>
        </r>
      </text>
    </comment>
    <comment ref="AA160" authorId="0" shapeId="0" xr:uid="{16CD962E-1A72-44F1-A12E-44D3C6711530}">
      <text>
        <r>
          <rPr>
            <b/>
            <sz val="9"/>
            <color indexed="81"/>
            <rFont val="Tahoma"/>
            <family val="2"/>
          </rPr>
          <t>&lt;[[TCDeals] - [Associated DEV Deal (Seq: 1)] - [Proxy Entities (Seq: 28)] Name (Doing Business As) - Send]&gt;</t>
        </r>
      </text>
    </comment>
    <comment ref="AB160" authorId="0" shapeId="0" xr:uid="{0857D79B-45B4-4C16-8763-7CB216E7CAA8}">
      <text>
        <r>
          <rPr>
            <b/>
            <sz val="9"/>
            <color indexed="81"/>
            <rFont val="Tahoma"/>
            <family val="2"/>
          </rPr>
          <t>&lt;[[TCDeals] - [Associated DEV Deal (Seq: 1)] - [Proxy Entities (Seq: 28)] Company or Individual? - Send]&gt;</t>
        </r>
      </text>
    </comment>
    <comment ref="AC160" authorId="0" shapeId="0" xr:uid="{9000B9FD-A8D2-4E8B-BDC8-0E72D169BAFF}">
      <text>
        <r>
          <rPr>
            <b/>
            <sz val="9"/>
            <color indexed="81"/>
            <rFont val="Tahoma"/>
            <family val="2"/>
          </rPr>
          <t>&lt;[[TCDeals] - [Associated DEV Deal (Seq: 1)] - [Proxy Entities (Seq: 28)] Deal Entity Role - Send]&gt;</t>
        </r>
      </text>
    </comment>
    <comment ref="AD160" authorId="0" shapeId="0" xr:uid="{21C6F249-7F1D-4A57-9B48-E25C218D3634}">
      <text>
        <r>
          <rPr>
            <b/>
            <sz val="9"/>
            <color indexed="81"/>
            <rFont val="Tahoma"/>
            <family val="2"/>
          </rPr>
          <t>&lt;[[TCDeals] - [Associated DEV Deal (Seq: 1)] - [Proxy Entities (Seq: 28)] First Name - Send]&gt;</t>
        </r>
      </text>
    </comment>
    <comment ref="AE160" authorId="0" shapeId="0" xr:uid="{1881B00B-8AF2-4141-81EB-E8323AD6230A}">
      <text>
        <r>
          <rPr>
            <b/>
            <sz val="9"/>
            <color indexed="81"/>
            <rFont val="Tahoma"/>
            <family val="2"/>
          </rPr>
          <t>&lt;[[TCDeals] - [Associated DEV Deal (Seq: 1)] - [Proxy Entities (Seq: 28)] Last Name - Send]&gt;</t>
        </r>
      </text>
    </comment>
    <comment ref="AF160" authorId="0" shapeId="0" xr:uid="{E0783135-AB75-4AD3-B8B8-ABFD36EFE2D0}">
      <text>
        <r>
          <rPr>
            <b/>
            <sz val="9"/>
            <color indexed="81"/>
            <rFont val="Tahoma"/>
            <family val="2"/>
          </rPr>
          <t>&lt;[[TCDeals] - [Associated DEV Deal (Seq: 1)] - [Proxy Entities (Seq: 28)] Email Address 1 - Send]&gt;</t>
        </r>
      </text>
    </comment>
    <comment ref="AG160" authorId="0" shapeId="0" xr:uid="{C6305A95-61B9-4559-BEDB-CB1D87E18E8D}">
      <text>
        <r>
          <rPr>
            <b/>
            <sz val="9"/>
            <color indexed="81"/>
            <rFont val="Tahoma"/>
            <family val="2"/>
          </rPr>
          <t>&lt;[[TCDeals] - [Associated DEV Deal (Seq: 1)] - [Proxy Entities (Seq: 28)] Address 1 - Send]&gt;</t>
        </r>
      </text>
    </comment>
    <comment ref="AH160" authorId="0" shapeId="0" xr:uid="{A458AE8A-E03C-41E8-AE2F-6C3080CE9E72}">
      <text>
        <r>
          <rPr>
            <b/>
            <sz val="9"/>
            <color indexed="81"/>
            <rFont val="Tahoma"/>
            <family val="2"/>
          </rPr>
          <t>&lt;[[TCDeals] - [Associated DEV Deal (Seq: 1)] - [Proxy Entities (Seq: 28)] City - Send]&gt;</t>
        </r>
      </text>
    </comment>
    <comment ref="AI160" authorId="0" shapeId="0" xr:uid="{09622431-7AEF-4DBC-989C-DBA96C329414}">
      <text>
        <r>
          <rPr>
            <b/>
            <sz val="9"/>
            <color indexed="81"/>
            <rFont val="Tahoma"/>
            <family val="2"/>
          </rPr>
          <t>&lt;[[TCDeals] - [Associated DEV Deal (Seq: 1)] - [Proxy Entities (Seq: 28)] State - Send]&gt;</t>
        </r>
      </text>
    </comment>
    <comment ref="AJ160" authorId="0" shapeId="0" xr:uid="{2B361287-F1C8-4BEB-93BD-725B0C684589}">
      <text>
        <r>
          <rPr>
            <b/>
            <sz val="9"/>
            <color indexed="81"/>
            <rFont val="Tahoma"/>
            <family val="2"/>
          </rPr>
          <t>&lt;[[TCDeals] - [Associated DEV Deal (Seq: 1)] - [Proxy Entities (Seq: 28)] Zip Code - Send]&gt;</t>
        </r>
      </text>
    </comment>
    <comment ref="AK160" authorId="0" shapeId="0" xr:uid="{D4D6810A-3BBF-4F58-8588-06C7B366CDE7}">
      <text>
        <r>
          <rPr>
            <b/>
            <sz val="9"/>
            <color indexed="81"/>
            <rFont val="Tahoma"/>
            <family val="2"/>
          </rPr>
          <t>&lt;[[TCDeals] - [Associated DEV Deal (Seq: 1)] - [Proxy Entities (Seq: 28)] Direct Phone - Send]&gt;</t>
        </r>
      </text>
    </comment>
    <comment ref="M161" authorId="0" shapeId="0" xr:uid="{05648C3C-1B74-4DDB-9A75-8316237D9427}">
      <text>
        <r>
          <rPr>
            <b/>
            <sz val="9"/>
            <color indexed="81"/>
            <rFont val="Tahoma"/>
            <family val="2"/>
          </rPr>
          <t>&lt;[[TCDeals] - [Proxy Entities (Seq: 29)] Company or Individual? - Send]&gt;</t>
        </r>
      </text>
    </comment>
    <comment ref="N161" authorId="0" shapeId="0" xr:uid="{7674D67F-2498-41B4-B6C8-A5D4393E4E46}">
      <text>
        <r>
          <rPr>
            <b/>
            <sz val="9"/>
            <color indexed="81"/>
            <rFont val="Tahoma"/>
            <family val="2"/>
          </rPr>
          <t>&lt;[[TCDeals] - [Proxy Entities (Seq: 29)] Deal Entity Role - Send]&gt;</t>
        </r>
      </text>
    </comment>
    <comment ref="O161" authorId="0" shapeId="0" xr:uid="{3D40EBCE-E940-4230-B3BC-237E02D4BB68}">
      <text>
        <r>
          <rPr>
            <b/>
            <sz val="9"/>
            <color indexed="81"/>
            <rFont val="Tahoma"/>
            <family val="2"/>
          </rPr>
          <t>&lt;[[TCDeals] - [Proxy Entities (Seq: 29)] Name (Doing Business As) - Send]&gt;</t>
        </r>
      </text>
    </comment>
    <comment ref="P161" authorId="0" shapeId="0" xr:uid="{1BC247FE-6346-482A-8C73-9F9284FE7EBB}">
      <text>
        <r>
          <rPr>
            <b/>
            <sz val="9"/>
            <color indexed="81"/>
            <rFont val="Tahoma"/>
            <family val="2"/>
          </rPr>
          <t>&lt;[[TCDeals] - [Proxy Entities (Seq: 29)] First Name - Send]&gt;</t>
        </r>
      </text>
    </comment>
    <comment ref="Q161" authorId="0" shapeId="0" xr:uid="{535DC082-3CC9-454F-8977-E561F67829F7}">
      <text>
        <r>
          <rPr>
            <b/>
            <sz val="9"/>
            <color indexed="81"/>
            <rFont val="Tahoma"/>
            <family val="2"/>
          </rPr>
          <t>&lt;[[TCDeals] - [Proxy Entities (Seq: 29)] Last Name - Send]&gt;</t>
        </r>
      </text>
    </comment>
    <comment ref="R161" authorId="0" shapeId="0" xr:uid="{A3604CA7-7C00-46A5-A4EA-7152A50965CB}">
      <text>
        <r>
          <rPr>
            <b/>
            <sz val="9"/>
            <color indexed="81"/>
            <rFont val="Tahoma"/>
            <family val="2"/>
          </rPr>
          <t>&lt;[[TCDeals] - [Proxy Entities (Seq: 29)] Email Address 1 - Send]&gt;</t>
        </r>
      </text>
    </comment>
    <comment ref="S161" authorId="0" shapeId="0" xr:uid="{677E0E48-DF96-44C8-85FF-2DEAA235DA61}">
      <text>
        <r>
          <rPr>
            <b/>
            <sz val="9"/>
            <color indexed="81"/>
            <rFont val="Tahoma"/>
            <family val="2"/>
          </rPr>
          <t>&lt;[[TCDeals] - [Proxy Entities (Seq: 29)] Address 1 - Send]&gt;</t>
        </r>
      </text>
    </comment>
    <comment ref="T161" authorId="0" shapeId="0" xr:uid="{78740AEC-4D9A-4ACF-B652-69278ED422F2}">
      <text>
        <r>
          <rPr>
            <b/>
            <sz val="9"/>
            <color indexed="81"/>
            <rFont val="Tahoma"/>
            <family val="2"/>
          </rPr>
          <t>&lt;[[TCDeals] - [Proxy Entities (Seq: 29)] City - Send]&gt;</t>
        </r>
      </text>
    </comment>
    <comment ref="U161" authorId="0" shapeId="0" xr:uid="{AC95DF85-CF5C-4C4A-BEE5-07F1945A5077}">
      <text>
        <r>
          <rPr>
            <b/>
            <sz val="9"/>
            <color indexed="81"/>
            <rFont val="Tahoma"/>
            <family val="2"/>
          </rPr>
          <t>&lt;[[TCDeals] - [Proxy Entities (Seq: 29)] State - Send]&gt;</t>
        </r>
      </text>
    </comment>
    <comment ref="V161" authorId="0" shapeId="0" xr:uid="{4DFA5B70-7386-4B36-9D52-E2C9EEFBAFCB}">
      <text>
        <r>
          <rPr>
            <b/>
            <sz val="9"/>
            <color indexed="81"/>
            <rFont val="Tahoma"/>
            <family val="2"/>
          </rPr>
          <t>&lt;[[TCDeals] - [Proxy Entities (Seq: 29)] Zip Code - Send]&gt;</t>
        </r>
      </text>
    </comment>
    <comment ref="W161" authorId="0" shapeId="0" xr:uid="{36E7791C-FF3A-4D2C-A38C-98740755AB47}">
      <text>
        <r>
          <rPr>
            <b/>
            <sz val="9"/>
            <color indexed="81"/>
            <rFont val="Tahoma"/>
            <family val="2"/>
          </rPr>
          <t>&lt;[[TCDeals] - [Proxy Entities (Seq: 29)] Direct Phone - Send]&gt;</t>
        </r>
      </text>
    </comment>
    <comment ref="AA161" authorId="0" shapeId="0" xr:uid="{99857B37-597D-4695-8E17-BB503D84E219}">
      <text>
        <r>
          <rPr>
            <b/>
            <sz val="9"/>
            <color indexed="81"/>
            <rFont val="Tahoma"/>
            <family val="2"/>
          </rPr>
          <t>&lt;[[TCDeals] - [Associated DEV Deal (Seq: 1)] - [Proxy Entities (Seq: 29)] Name (Doing Business As) - Send]&gt;</t>
        </r>
      </text>
    </comment>
    <comment ref="AB161" authorId="0" shapeId="0" xr:uid="{AFFF2535-2FAC-4ABD-8ADB-A64F2ECCAEF1}">
      <text>
        <r>
          <rPr>
            <b/>
            <sz val="9"/>
            <color indexed="81"/>
            <rFont val="Tahoma"/>
            <family val="2"/>
          </rPr>
          <t>&lt;[[TCDeals] - [Associated DEV Deal (Seq: 1)] - [Proxy Entities (Seq: 29)] Company or Individual? - Send]&gt;</t>
        </r>
      </text>
    </comment>
    <comment ref="AC161" authorId="0" shapeId="0" xr:uid="{15FEAD52-F710-4143-89CB-16EE4FB43330}">
      <text>
        <r>
          <rPr>
            <b/>
            <sz val="9"/>
            <color indexed="81"/>
            <rFont val="Tahoma"/>
            <family val="2"/>
          </rPr>
          <t>&lt;[[TCDeals] - [Associated DEV Deal (Seq: 1)] - [Proxy Entities (Seq: 29)] Deal Entity Role - Send]&gt;</t>
        </r>
      </text>
    </comment>
    <comment ref="AD161" authorId="0" shapeId="0" xr:uid="{16A32BEF-58C9-4B61-A5CF-FA6DCA7F72B7}">
      <text>
        <r>
          <rPr>
            <b/>
            <sz val="9"/>
            <color indexed="81"/>
            <rFont val="Tahoma"/>
            <family val="2"/>
          </rPr>
          <t>&lt;[[TCDeals] - [Associated DEV Deal (Seq: 1)] - [Proxy Entities (Seq: 29)] First Name - Send]&gt;</t>
        </r>
      </text>
    </comment>
    <comment ref="AE161" authorId="0" shapeId="0" xr:uid="{16646193-EFFE-414C-82FE-9467CAF65F69}">
      <text>
        <r>
          <rPr>
            <b/>
            <sz val="9"/>
            <color indexed="81"/>
            <rFont val="Tahoma"/>
            <family val="2"/>
          </rPr>
          <t>&lt;[[TCDeals] - [Associated DEV Deal (Seq: 1)] - [Proxy Entities (Seq: 29)] Last Name - Send]&gt;</t>
        </r>
      </text>
    </comment>
    <comment ref="AF161" authorId="0" shapeId="0" xr:uid="{62B1B7F2-F588-4325-AA97-A63A84DBD3A9}">
      <text>
        <r>
          <rPr>
            <b/>
            <sz val="9"/>
            <color indexed="81"/>
            <rFont val="Tahoma"/>
            <family val="2"/>
          </rPr>
          <t>&lt;[[TCDeals] - [Associated DEV Deal (Seq: 1)] - [Proxy Entities (Seq: 29)] Email Address 1 - Send]&gt;</t>
        </r>
      </text>
    </comment>
    <comment ref="AG161" authorId="0" shapeId="0" xr:uid="{C96B0A83-2DFC-432B-8954-DA8C60D9AC15}">
      <text>
        <r>
          <rPr>
            <b/>
            <sz val="9"/>
            <color indexed="81"/>
            <rFont val="Tahoma"/>
            <family val="2"/>
          </rPr>
          <t>&lt;[[TCDeals] - [Associated DEV Deal (Seq: 1)] - [Proxy Entities (Seq: 29)] Address 1 - Send]&gt;</t>
        </r>
      </text>
    </comment>
    <comment ref="AH161" authorId="0" shapeId="0" xr:uid="{78D80305-8EC1-40C9-9083-424EB4EC535F}">
      <text>
        <r>
          <rPr>
            <b/>
            <sz val="9"/>
            <color indexed="81"/>
            <rFont val="Tahoma"/>
            <family val="2"/>
          </rPr>
          <t>&lt;[[TCDeals] - [Associated DEV Deal (Seq: 1)] - [Proxy Entities (Seq: 29)] City - Send]&gt;</t>
        </r>
      </text>
    </comment>
    <comment ref="AI161" authorId="0" shapeId="0" xr:uid="{727F7A73-21C2-4EFC-90B6-B514DD899A01}">
      <text>
        <r>
          <rPr>
            <b/>
            <sz val="9"/>
            <color indexed="81"/>
            <rFont val="Tahoma"/>
            <family val="2"/>
          </rPr>
          <t>&lt;[[TCDeals] - [Associated DEV Deal (Seq: 1)] - [Proxy Entities (Seq: 29)] State - Send]&gt;</t>
        </r>
      </text>
    </comment>
    <comment ref="AJ161" authorId="0" shapeId="0" xr:uid="{5FBBCCEC-85F3-4004-9471-37998476E30E}">
      <text>
        <r>
          <rPr>
            <b/>
            <sz val="9"/>
            <color indexed="81"/>
            <rFont val="Tahoma"/>
            <family val="2"/>
          </rPr>
          <t>&lt;[[TCDeals] - [Associated DEV Deal (Seq: 1)] - [Proxy Entities (Seq: 29)] Zip Code - Send]&gt;</t>
        </r>
      </text>
    </comment>
    <comment ref="AK161" authorId="0" shapeId="0" xr:uid="{BAB71732-8B89-4A47-9210-FA2BC24E22D8}">
      <text>
        <r>
          <rPr>
            <b/>
            <sz val="9"/>
            <color indexed="81"/>
            <rFont val="Tahoma"/>
            <family val="2"/>
          </rPr>
          <t>&lt;[[TCDeals] - [Associated DEV Deal (Seq: 1)] - [Proxy Entities (Seq: 29)] Direct Phone - Send]&gt;</t>
        </r>
      </text>
    </comment>
    <comment ref="M162" authorId="0" shapeId="0" xr:uid="{CBAD3D79-E59F-4231-9E46-73FA55E0EC71}">
      <text>
        <r>
          <rPr>
            <b/>
            <sz val="9"/>
            <color indexed="81"/>
            <rFont val="Tahoma"/>
            <family val="2"/>
          </rPr>
          <t>&lt;[[TCDeals] - [Proxy Entities (Seq: 30)] Company or Individual? - Send]&gt;</t>
        </r>
      </text>
    </comment>
    <comment ref="N162" authorId="0" shapeId="0" xr:uid="{A13C452F-BCB3-4090-BBE8-500285A2DDDB}">
      <text>
        <r>
          <rPr>
            <b/>
            <sz val="9"/>
            <color indexed="81"/>
            <rFont val="Tahoma"/>
            <family val="2"/>
          </rPr>
          <t>&lt;[[TCDeals] - [Proxy Entities (Seq: 30)] Deal Entity Role - Send]&gt;</t>
        </r>
      </text>
    </comment>
    <comment ref="O162" authorId="0" shapeId="0" xr:uid="{206FCE13-B1AE-4866-9523-565C5D3909D6}">
      <text>
        <r>
          <rPr>
            <b/>
            <sz val="9"/>
            <color indexed="81"/>
            <rFont val="Tahoma"/>
            <family val="2"/>
          </rPr>
          <t>&lt;[[TCDeals] - [Proxy Entities (Seq: 30)] Name (Doing Business As) - Send]&gt;</t>
        </r>
      </text>
    </comment>
    <comment ref="P162" authorId="0" shapeId="0" xr:uid="{616BF346-22E3-475D-AA2A-DC63C9E2A605}">
      <text>
        <r>
          <rPr>
            <b/>
            <sz val="9"/>
            <color indexed="81"/>
            <rFont val="Tahoma"/>
            <family val="2"/>
          </rPr>
          <t>&lt;[[TCDeals] - [Proxy Entities (Seq: 30)] First Name - Send]&gt;</t>
        </r>
      </text>
    </comment>
    <comment ref="Q162" authorId="0" shapeId="0" xr:uid="{5787E519-F8D4-479B-AECF-E9A6C69FF4E4}">
      <text>
        <r>
          <rPr>
            <b/>
            <sz val="9"/>
            <color indexed="81"/>
            <rFont val="Tahoma"/>
            <family val="2"/>
          </rPr>
          <t>&lt;[[TCDeals] - [Proxy Entities (Seq: 30)] Last Name - Send]&gt;</t>
        </r>
      </text>
    </comment>
    <comment ref="R162" authorId="0" shapeId="0" xr:uid="{2E97949E-B98D-4CE7-A5C3-B0E23FBBB1D6}">
      <text>
        <r>
          <rPr>
            <b/>
            <sz val="9"/>
            <color indexed="81"/>
            <rFont val="Tahoma"/>
            <family val="2"/>
          </rPr>
          <t>&lt;[[TCDeals] - [Proxy Entities (Seq: 30)] Email Address 1 - Send]&gt;</t>
        </r>
      </text>
    </comment>
    <comment ref="S162" authorId="0" shapeId="0" xr:uid="{303FC4AA-D8E7-442A-A43B-FFAA6503ED84}">
      <text>
        <r>
          <rPr>
            <b/>
            <sz val="9"/>
            <color indexed="81"/>
            <rFont val="Tahoma"/>
            <family val="2"/>
          </rPr>
          <t>&lt;[[TCDeals] - [Proxy Entities (Seq: 30)] Address 1 - Send]&gt;</t>
        </r>
      </text>
    </comment>
    <comment ref="T162" authorId="0" shapeId="0" xr:uid="{27F26F5B-0C56-42B3-9E53-1AEC2C8AFC5B}">
      <text>
        <r>
          <rPr>
            <b/>
            <sz val="9"/>
            <color indexed="81"/>
            <rFont val="Tahoma"/>
            <family val="2"/>
          </rPr>
          <t>&lt;[[TCDeals] - [Proxy Entities (Seq: 30)] City - Send]&gt;</t>
        </r>
      </text>
    </comment>
    <comment ref="U162" authorId="0" shapeId="0" xr:uid="{CCBE82CB-2C07-4822-9117-62EDB9508DC8}">
      <text>
        <r>
          <rPr>
            <b/>
            <sz val="9"/>
            <color indexed="81"/>
            <rFont val="Tahoma"/>
            <family val="2"/>
          </rPr>
          <t>&lt;[[TCDeals] - [Proxy Entities (Seq: 30)] State - Send]&gt;</t>
        </r>
      </text>
    </comment>
    <comment ref="V162" authorId="0" shapeId="0" xr:uid="{69005764-57D8-48C1-9F23-DE6BE4FB8A2B}">
      <text>
        <r>
          <rPr>
            <b/>
            <sz val="9"/>
            <color indexed="81"/>
            <rFont val="Tahoma"/>
            <family val="2"/>
          </rPr>
          <t>&lt;[[TCDeals] - [Proxy Entities (Seq: 30)] Zip Code - Send]&gt;</t>
        </r>
      </text>
    </comment>
    <comment ref="W162" authorId="0" shapeId="0" xr:uid="{3D5C1B72-954D-46A7-91F9-1D0E7A213FD9}">
      <text>
        <r>
          <rPr>
            <b/>
            <sz val="9"/>
            <color indexed="81"/>
            <rFont val="Tahoma"/>
            <family val="2"/>
          </rPr>
          <t>&lt;[[TCDeals] - [Proxy Entities (Seq: 30)] Direct Phone - Send]&gt;</t>
        </r>
      </text>
    </comment>
    <comment ref="AA162" authorId="0" shapeId="0" xr:uid="{F2EC2B06-EFB2-4D84-8167-028BC5CFA0DA}">
      <text>
        <r>
          <rPr>
            <b/>
            <sz val="9"/>
            <color indexed="81"/>
            <rFont val="Tahoma"/>
            <family val="2"/>
          </rPr>
          <t>&lt;[[TCDeals] - [Associated DEV Deal (Seq: 1)] - [Proxy Entities (Seq: 30)] Name (Doing Business As) - Send]&gt;</t>
        </r>
      </text>
    </comment>
    <comment ref="AB162" authorId="0" shapeId="0" xr:uid="{5BA88F45-959F-439F-AD7C-E2EE723C38DF}">
      <text>
        <r>
          <rPr>
            <b/>
            <sz val="9"/>
            <color indexed="81"/>
            <rFont val="Tahoma"/>
            <family val="2"/>
          </rPr>
          <t>&lt;[[TCDeals] - [Associated DEV Deal (Seq: 1)] - [Proxy Entities (Seq: 30)] Company or Individual? - Send]&gt;</t>
        </r>
      </text>
    </comment>
    <comment ref="AC162" authorId="0" shapeId="0" xr:uid="{13F81CF9-47C3-4625-8765-DA556E665F85}">
      <text>
        <r>
          <rPr>
            <b/>
            <sz val="9"/>
            <color indexed="81"/>
            <rFont val="Tahoma"/>
            <family val="2"/>
          </rPr>
          <t>&lt;[[TCDeals] - [Associated DEV Deal (Seq: 1)] - [Proxy Entities (Seq: 30)] Deal Entity Role - Send]&gt;</t>
        </r>
      </text>
    </comment>
    <comment ref="AD162" authorId="0" shapeId="0" xr:uid="{97F10C87-1864-4B69-BAC6-281E6453ED95}">
      <text>
        <r>
          <rPr>
            <b/>
            <sz val="9"/>
            <color indexed="81"/>
            <rFont val="Tahoma"/>
            <family val="2"/>
          </rPr>
          <t>&lt;[[TCDeals] - [Associated DEV Deal (Seq: 1)] - [Proxy Entities (Seq: 30)] First Name - Send]&gt;</t>
        </r>
      </text>
    </comment>
    <comment ref="AE162" authorId="0" shapeId="0" xr:uid="{6391EFE3-16B2-4A0D-89E4-FE7B027E72D1}">
      <text>
        <r>
          <rPr>
            <b/>
            <sz val="9"/>
            <color indexed="81"/>
            <rFont val="Tahoma"/>
            <family val="2"/>
          </rPr>
          <t>&lt;[[TCDeals] - [Associated DEV Deal (Seq: 1)] - [Proxy Entities (Seq: 30)] Last Name - Send]&gt;</t>
        </r>
      </text>
    </comment>
    <comment ref="AF162" authorId="0" shapeId="0" xr:uid="{9F8CA16B-15BD-4A64-A87C-395E7E8CD2AD}">
      <text>
        <r>
          <rPr>
            <b/>
            <sz val="9"/>
            <color indexed="81"/>
            <rFont val="Tahoma"/>
            <family val="2"/>
          </rPr>
          <t>&lt;[[TCDeals] - [Associated DEV Deal (Seq: 1)] - [Proxy Entities (Seq: 30)] Email Address 1 - Send]&gt;</t>
        </r>
      </text>
    </comment>
    <comment ref="AG162" authorId="0" shapeId="0" xr:uid="{16C8C086-E516-4D21-BDA2-D71244920F32}">
      <text>
        <r>
          <rPr>
            <b/>
            <sz val="9"/>
            <color indexed="81"/>
            <rFont val="Tahoma"/>
            <family val="2"/>
          </rPr>
          <t>&lt;[[TCDeals] - [Associated DEV Deal (Seq: 1)] - [Proxy Entities (Seq: 30)] Address 1 - Send]&gt;</t>
        </r>
      </text>
    </comment>
    <comment ref="AH162" authorId="0" shapeId="0" xr:uid="{BCFE3BEA-B475-4C6F-A350-AC93E5314260}">
      <text>
        <r>
          <rPr>
            <b/>
            <sz val="9"/>
            <color indexed="81"/>
            <rFont val="Tahoma"/>
            <family val="2"/>
          </rPr>
          <t>&lt;[[TCDeals] - [Associated DEV Deal (Seq: 1)] - [Proxy Entities (Seq: 30)] City - Send]&gt;</t>
        </r>
      </text>
    </comment>
    <comment ref="AI162" authorId="0" shapeId="0" xr:uid="{F5EE10D6-EB60-4F55-8226-9B84EFAD7B9D}">
      <text>
        <r>
          <rPr>
            <b/>
            <sz val="9"/>
            <color indexed="81"/>
            <rFont val="Tahoma"/>
            <family val="2"/>
          </rPr>
          <t>&lt;[[TCDeals] - [Associated DEV Deal (Seq: 1)] - [Proxy Entities (Seq: 30)] State - Send]&gt;</t>
        </r>
      </text>
    </comment>
    <comment ref="AJ162" authorId="0" shapeId="0" xr:uid="{0AD5B621-514E-44A3-9A7A-DE129B518387}">
      <text>
        <r>
          <rPr>
            <b/>
            <sz val="9"/>
            <color indexed="81"/>
            <rFont val="Tahoma"/>
            <family val="2"/>
          </rPr>
          <t>&lt;[[TCDeals] - [Associated DEV Deal (Seq: 1)] - [Proxy Entities (Seq: 30)] Zip Code - Send]&gt;</t>
        </r>
      </text>
    </comment>
    <comment ref="AK162" authorId="0" shapeId="0" xr:uid="{9A4C9C32-5046-4013-B5D4-6102C8C9E6CD}">
      <text>
        <r>
          <rPr>
            <b/>
            <sz val="9"/>
            <color indexed="81"/>
            <rFont val="Tahoma"/>
            <family val="2"/>
          </rPr>
          <t>&lt;[[TCDeals] - [Associated DEV Deal (Seq: 1)] - [Proxy Entities (Seq: 30)] Direct Phone - Send]&gt;</t>
        </r>
      </text>
    </comment>
    <comment ref="C165" authorId="0" shapeId="0" xr:uid="{2B5ECCBE-476F-4A9F-84A0-A35E55751B1C}">
      <text>
        <r>
          <rPr>
            <b/>
            <sz val="9"/>
            <color indexed="81"/>
            <rFont val="Tahoma"/>
            <family val="2"/>
          </rPr>
          <t>&lt;[[TCDeals] - [TCDeals - User Defined Field Values (Seq: 1)] Multi Family Application - Management Agent - Identity of Interest - Send]&gt;</t>
        </r>
      </text>
    </comment>
    <comment ref="C166" authorId="0" shapeId="0" xr:uid="{9F0B5903-63F4-49BC-976F-01B5017001B9}">
      <text>
        <r>
          <rPr>
            <b/>
            <sz val="9"/>
            <color indexed="81"/>
            <rFont val="Tahoma"/>
            <family val="2"/>
          </rPr>
          <t>&lt;[[TCDeals] - [TCDeals - User Defined Field Values (Seq: 1)] Multi Family Application - Consultant - Identity of Interest - Send]&gt;</t>
        </r>
      </text>
    </comment>
    <comment ref="C167" authorId="0" shapeId="0" xr:uid="{D65F1AA6-A20F-4EC0-8B47-AFEF163C3EC3}">
      <text>
        <r>
          <rPr>
            <b/>
            <sz val="9"/>
            <color indexed="81"/>
            <rFont val="Tahoma"/>
            <family val="2"/>
          </rPr>
          <t>&lt;[[TCDeals] - [TCDeals - User Defined Field Values (Seq: 1)] Multi Family Application - General Contractor - Identity of Interest - Send]&gt;</t>
        </r>
      </text>
    </comment>
    <comment ref="C168" authorId="0" shapeId="0" xr:uid="{921EE675-4C97-4D7E-82C1-88C3C8D45A03}">
      <text>
        <r>
          <rPr>
            <b/>
            <sz val="9"/>
            <color indexed="81"/>
            <rFont val="Tahoma"/>
            <family val="2"/>
          </rPr>
          <t>&lt;[[TCDeals] - [TCDeals - User Defined Field Values (Seq: 1)] Multi Family Application - Syndicator - Identity of Interest - Send]&gt;</t>
        </r>
      </text>
    </comment>
    <comment ref="C169" authorId="0" shapeId="0" xr:uid="{D124A392-972E-40A0-9675-CC0CE624ECD9}">
      <text>
        <r>
          <rPr>
            <b/>
            <sz val="9"/>
            <color indexed="81"/>
            <rFont val="Tahoma"/>
            <family val="2"/>
          </rPr>
          <t>&lt;[[TCDeals] - [TCDeals - User Defined Field Values (Seq: 1)] Multi Family Application - Design Architect - Identity of Interest - Send]&gt;</t>
        </r>
      </text>
    </comment>
    <comment ref="C170" authorId="0" shapeId="0" xr:uid="{B66B733C-8310-4A46-9478-A28B2CEAE41A}">
      <text>
        <r>
          <rPr>
            <b/>
            <sz val="9"/>
            <color indexed="81"/>
            <rFont val="Tahoma"/>
            <family val="2"/>
          </rPr>
          <t>&lt;[[TCDeals] - [TCDeals - User Defined Field Values (Seq: 1)] Multi Family Application - Supervisory Architect - Identity of Interest - Send]&gt;</t>
        </r>
      </text>
    </comment>
    <comment ref="C171" authorId="0" shapeId="0" xr:uid="{E2C443AE-4B76-4823-BFF4-32405EB7EBA2}">
      <text>
        <r>
          <rPr>
            <b/>
            <sz val="9"/>
            <color indexed="81"/>
            <rFont val="Tahoma"/>
            <family val="2"/>
          </rPr>
          <t>&lt;[[TCDeals] - [TCDeals - User Defined Field Values (Seq: 1)] Multi Family Application - Attorney - Identity of Interest - Send]&gt;</t>
        </r>
      </text>
    </comment>
    <comment ref="C172" authorId="0" shapeId="0" xr:uid="{16CEE032-9B36-408A-9F7C-A831D9D9EA32}">
      <text>
        <r>
          <rPr>
            <b/>
            <sz val="9"/>
            <color indexed="81"/>
            <rFont val="Tahoma"/>
            <family val="2"/>
          </rPr>
          <t>&lt;[[TCDeals] - [TCDeals - User Defined Field Values (Seq: 1)] Multi Family Application - Accountant - Identity of Interest - Send]&gt;</t>
        </r>
      </text>
    </comment>
    <comment ref="I175" authorId="0" shapeId="0" xr:uid="{B7848009-7DDA-4A2B-9194-B535FF1B737A}">
      <text>
        <r>
          <rPr>
            <b/>
            <sz val="9"/>
            <color indexed="81"/>
            <rFont val="Tahoma"/>
            <family val="2"/>
          </rPr>
          <t>&lt;[[TCDeals] - [TC Property Current Stage (Seq: 1)] - [Property Points (Seq: 1)] Multi Family Application - Community Room - Sq. Ft. - Send]&gt;</t>
        </r>
      </text>
    </comment>
    <comment ref="Z175" authorId="0" shapeId="0" xr:uid="{3986BEB8-53AF-4481-8F8B-6EE30559F037}">
      <text>
        <r>
          <rPr>
            <b/>
            <sz val="9"/>
            <color indexed="81"/>
            <rFont val="Tahoma"/>
            <family val="2"/>
          </rPr>
          <t>&lt;[[TCDeals] - [Associated DEV Deal (Seq: 1)] - [Property (Seq: 1)] Has Clubhouse - Send]&gt;</t>
        </r>
      </text>
    </comment>
    <comment ref="C176" authorId="0" shapeId="0" xr:uid="{DAF1DC34-E838-43CD-8A69-9A6BAFDB932A}">
      <text>
        <r>
          <rPr>
            <b/>
            <sz val="9"/>
            <color indexed="81"/>
            <rFont val="Tahoma"/>
            <family val="2"/>
          </rPr>
          <t>&lt;[[TCDeals] - [TC Property Current Stage (Seq: 1)] Has Clubhouse - Send]&gt;</t>
        </r>
      </text>
    </comment>
    <comment ref="I176" authorId="0" shapeId="0" xr:uid="{BB27C260-13EA-4B52-B2DF-817A226FD6F1}">
      <text>
        <r>
          <rPr>
            <b/>
            <sz val="9"/>
            <color indexed="81"/>
            <rFont val="Tahoma"/>
            <family val="2"/>
          </rPr>
          <t>&lt;[[TCDeals] - [TC Property Current Stage (Seq: 1)] - [Property Points (Seq: 1)] Multi Family Application - Surface Parking - Number - Send]&gt;</t>
        </r>
      </text>
    </comment>
    <comment ref="AD176" authorId="0" shapeId="0" xr:uid="{D5FED705-B44C-439F-B6F0-DF53D64C55CB}">
      <text>
        <r>
          <rPr>
            <b/>
            <sz val="9"/>
            <color indexed="81"/>
            <rFont val="Tahoma"/>
            <family val="2"/>
          </rPr>
          <t>&lt;[[TCDeals] - [Associated DEV Deal (Seq: 1)] - [Property (Seq: 1)] Has Fitness Trail - Send]&gt;</t>
        </r>
      </text>
    </comment>
    <comment ref="C177" authorId="0" shapeId="0" xr:uid="{3E393885-9572-4281-A57D-4B9ACCD70FD6}">
      <text>
        <r>
          <rPr>
            <b/>
            <sz val="9"/>
            <color indexed="81"/>
            <rFont val="Tahoma"/>
            <family val="2"/>
          </rPr>
          <t>&lt;[[TCDeals] - [TC Property Current Stage (Seq: 1)] Has Garage - Send]&gt;</t>
        </r>
      </text>
    </comment>
    <comment ref="E177" authorId="0" shapeId="0" xr:uid="{BB4A29DD-2FD3-46F9-8C03-CA0279DFF0F6}">
      <text>
        <r>
          <rPr>
            <b/>
            <sz val="9"/>
            <color indexed="81"/>
            <rFont val="Tahoma"/>
            <family val="2"/>
          </rPr>
          <t>&lt;[[TCDeals] - [TC Property Current Stage (Seq: 1)] Has Theatre Room - Send]&gt;</t>
        </r>
      </text>
    </comment>
    <comment ref="I177" authorId="0" shapeId="0" xr:uid="{5ACF5EA5-C1DE-4141-B79B-5B633F57921E}">
      <text>
        <r>
          <rPr>
            <b/>
            <sz val="9"/>
            <color indexed="81"/>
            <rFont val="Tahoma"/>
            <family val="2"/>
          </rPr>
          <t>&lt;[[TCDeals] - [TC Property Current Stage (Seq: 1)] - [Property Points (Seq: 1)] Multi Family Application - Underground Parking - Number - Send]&gt;</t>
        </r>
      </text>
    </comment>
    <comment ref="Z177" authorId="0" shapeId="0" xr:uid="{8244178E-D831-46DE-9B6E-DE30C861018C}">
      <text>
        <r>
          <rPr>
            <b/>
            <sz val="9"/>
            <color indexed="81"/>
            <rFont val="Tahoma"/>
            <family val="2"/>
          </rPr>
          <t>&lt;[[TCDeals] - [Associated DEV Deal (Seq: 1)] - [Property (Seq: 1)] Has Garage - Send]&gt;</t>
        </r>
      </text>
    </comment>
    <comment ref="AB177" authorId="0" shapeId="0" xr:uid="{A70B49B2-E051-424B-9882-A2034951A3A8}">
      <text>
        <r>
          <rPr>
            <b/>
            <sz val="9"/>
            <color indexed="81"/>
            <rFont val="Tahoma"/>
            <family val="2"/>
          </rPr>
          <t>&lt;[[TCDeals] - [Associated DEV Deal (Seq: 1)] - [Property (Seq: 1)] Has Theatre Room - Send]&gt;</t>
        </r>
      </text>
    </comment>
    <comment ref="B178" authorId="0" shapeId="0" xr:uid="{BD47BE11-E908-4140-A711-4F7F42C9DF19}">
      <text>
        <r>
          <rPr>
            <b/>
            <sz val="9"/>
            <color indexed="81"/>
            <rFont val="Tahoma"/>
            <family val="2"/>
          </rPr>
          <t>&lt;[[TCDeals] - [TC Property Current Stage (Seq: 1)] Other Amenity1 Desc - Send]&gt;</t>
        </r>
      </text>
    </comment>
    <comment ref="C178" authorId="0" shapeId="0" xr:uid="{2B77B114-9B16-4DC9-8CB0-25B1C64A631F}">
      <text>
        <r>
          <rPr>
            <b/>
            <sz val="9"/>
            <color indexed="81"/>
            <rFont val="Tahoma"/>
            <family val="2"/>
          </rPr>
          <t>&lt;[[TCDeals] - [TC Property Current Stage (Seq: 1)] Has Other Amenity1 - Send]&gt;</t>
        </r>
      </text>
    </comment>
    <comment ref="I178" authorId="0" shapeId="0" xr:uid="{B98B352F-D530-48B5-8928-7DC2871E8AEB}">
      <text>
        <r>
          <rPr>
            <b/>
            <sz val="9"/>
            <color indexed="81"/>
            <rFont val="Tahoma"/>
            <family val="2"/>
          </rPr>
          <t>&lt;[[TCDeals] - [TC Property Current Stage (Seq: 1)] - [Property Points (Seq: 1)] Multi Family Application - Surface Parking - Rent - Send]&gt;</t>
        </r>
      </text>
    </comment>
    <comment ref="Y178" authorId="0" shapeId="0" xr:uid="{0B5304F9-30D5-4899-B4EA-5BE2684A167E}">
      <text>
        <r>
          <rPr>
            <b/>
            <sz val="9"/>
            <color indexed="81"/>
            <rFont val="Tahoma"/>
            <family val="2"/>
          </rPr>
          <t>&lt;[[TCDeals] - [Associated DEV Deal (Seq: 1)] - [Property (Seq: 1)] Other Amenity1 Desc - Send]&gt;</t>
        </r>
      </text>
    </comment>
    <comment ref="Z178" authorId="0" shapeId="0" xr:uid="{01541079-5C51-4D19-A72C-4310A92FB500}">
      <text>
        <r>
          <rPr>
            <b/>
            <sz val="9"/>
            <color indexed="81"/>
            <rFont val="Tahoma"/>
            <family val="2"/>
          </rPr>
          <t>&lt;[[TCDeals] - [Associated DEV Deal (Seq: 1)] - [Property (Seq: 1)] Has Other Amenity1 - Send]&gt;</t>
        </r>
      </text>
    </comment>
    <comment ref="B179" authorId="0" shapeId="0" xr:uid="{0CF464AF-86E3-4C18-ABC6-7ADBAF837FFB}">
      <text>
        <r>
          <rPr>
            <b/>
            <sz val="9"/>
            <color indexed="81"/>
            <rFont val="Tahoma"/>
            <family val="2"/>
          </rPr>
          <t>&lt;[[TCDeals] - [TC Property Current Stage (Seq: 1)] Other Amenity2 Desc - Send]&gt;</t>
        </r>
      </text>
    </comment>
    <comment ref="C179" authorId="0" shapeId="0" xr:uid="{E71B8D7D-E30B-445C-8F41-3246732C5420}">
      <text>
        <r>
          <rPr>
            <b/>
            <sz val="9"/>
            <color indexed="81"/>
            <rFont val="Tahoma"/>
            <family val="2"/>
          </rPr>
          <t>&lt;[[TCDeals] - [TC Property Current Stage (Seq: 1)] Has Other Amenity2 - Send]&gt;</t>
        </r>
      </text>
    </comment>
    <comment ref="I179" authorId="0" shapeId="0" xr:uid="{D5F1E659-90FF-430B-897C-0DAF307D82CA}">
      <text>
        <r>
          <rPr>
            <b/>
            <sz val="9"/>
            <color indexed="81"/>
            <rFont val="Tahoma"/>
            <family val="2"/>
          </rPr>
          <t>&lt;[[TCDeals] - [TC Property Current Stage (Seq: 1)] - [Property Points (Seq: 1)] Multi Family Application - Underground Parking - Rent - Send]&gt;</t>
        </r>
      </text>
    </comment>
    <comment ref="L179" authorId="0" shapeId="0" xr:uid="{FDF7BDBE-F31C-40E1-9B74-A1E0646439D6}">
      <text>
        <r>
          <rPr>
            <b/>
            <sz val="9"/>
            <color indexed="81"/>
            <rFont val="Tahoma"/>
            <family val="2"/>
          </rPr>
          <t>&lt;[[TCDeals] - [TC Property Current Stage (Seq: 1)] Num Proposed Parking Spaces - Send]&gt;</t>
        </r>
      </text>
    </comment>
    <comment ref="Z179" authorId="0" shapeId="0" xr:uid="{40D6D0D7-524E-4C59-A582-60B42084B334}">
      <text>
        <r>
          <rPr>
            <b/>
            <sz val="9"/>
            <color indexed="81"/>
            <rFont val="Tahoma"/>
            <family val="2"/>
          </rPr>
          <t>&lt;[[TCDeals] - [Associated DEV Deal (Seq: 1)] - [Property (Seq: 1)] Has Covered Parking - Send]&gt;</t>
        </r>
      </text>
    </comment>
    <comment ref="AD179" authorId="0" shapeId="0" xr:uid="{CF182692-8D11-495B-B73E-D02A7E98882E}">
      <text>
        <r>
          <rPr>
            <b/>
            <sz val="9"/>
            <color indexed="81"/>
            <rFont val="Tahoma"/>
            <family val="2"/>
          </rPr>
          <t>&lt;[[TCDeals] - [Associated DEV Deal (Seq: 1)] - [Property (Seq: 1)] Number Of Proposed Parking Spaces - Send]&gt;</t>
        </r>
      </text>
    </comment>
    <comment ref="C180" authorId="0" shapeId="0" xr:uid="{89CFFC28-38BC-4E01-B03E-740BC183CCCB}">
      <text>
        <r>
          <rPr>
            <b/>
            <sz val="9"/>
            <color indexed="81"/>
            <rFont val="Tahoma"/>
            <family val="2"/>
          </rPr>
          <t>&lt;[[TCDeals] - [TC Property Current Stage (Seq: 1)] Has Laundry - Send]&gt;</t>
        </r>
      </text>
    </comment>
    <comment ref="E180" authorId="0" shapeId="0" xr:uid="{68DDEE3F-1BCD-4240-B346-BD1D1F300EB0}">
      <text>
        <r>
          <rPr>
            <b/>
            <sz val="9"/>
            <color indexed="81"/>
            <rFont val="Tahoma"/>
            <family val="2"/>
          </rPr>
          <t>&lt;[[TCDeals] - [TC Property Current Stage (Seq: 1)] Has Playground - Send]&gt;</t>
        </r>
      </text>
    </comment>
    <comment ref="Z180" authorId="0" shapeId="0" xr:uid="{C9AC5D08-6CA4-4EF6-A983-DB501E4CDB11}">
      <text>
        <r>
          <rPr>
            <b/>
            <sz val="9"/>
            <color indexed="81"/>
            <rFont val="Tahoma"/>
            <family val="2"/>
          </rPr>
          <t>&lt;[[TCDeals] - [Associated DEV Deal (Seq: 1)] - [Property (Seq: 1)] Has Laundry - Send]&gt;</t>
        </r>
      </text>
    </comment>
    <comment ref="AB180" authorId="0" shapeId="0" xr:uid="{EA6AF8DE-1E2B-4926-9171-6F2E6F7A379C}">
      <text>
        <r>
          <rPr>
            <b/>
            <sz val="9"/>
            <color indexed="81"/>
            <rFont val="Tahoma"/>
            <family val="2"/>
          </rPr>
          <t>&lt;[[TCDeals] - [Associated DEV Deal (Seq: 1)] - [Property (Seq: 1)] Has Playground - Send]&gt;</t>
        </r>
      </text>
    </comment>
    <comment ref="C181" authorId="0" shapeId="0" xr:uid="{C416B7E6-0A4F-46F7-BD08-F9D1C01103BC}">
      <text>
        <r>
          <rPr>
            <b/>
            <sz val="9"/>
            <color indexed="81"/>
            <rFont val="Tahoma"/>
            <family val="2"/>
          </rPr>
          <t>&lt;[[TCDeals] - [TC Property Current Stage (Seq: 1)] Has Business Center - Send]&gt;</t>
        </r>
      </text>
    </comment>
    <comment ref="Z181" authorId="0" shapeId="0" xr:uid="{F0D09831-51F2-4D83-BCE7-6E6B961E4369}">
      <text>
        <r>
          <rPr>
            <b/>
            <sz val="9"/>
            <color indexed="81"/>
            <rFont val="Tahoma"/>
            <family val="2"/>
          </rPr>
          <t>&lt;[[TCDeals] - [Associated DEV Deal (Seq: 1)] - [Property (Seq: 1)] Has Business Center - Send]&gt;</t>
        </r>
      </text>
    </comment>
    <comment ref="E185" authorId="0" shapeId="0" xr:uid="{A9551103-F5C5-40E0-AFCC-2C08C32197EF}">
      <text>
        <r>
          <rPr>
            <b/>
            <sz val="9"/>
            <color indexed="81"/>
            <rFont val="Tahoma"/>
            <family val="2"/>
          </rPr>
          <t>&lt;[[TCDeals] - [TC Property Current Stage (Seq: 1)] Has Exercise Room - Send]&gt;</t>
        </r>
      </text>
    </comment>
    <comment ref="I185" authorId="0" shapeId="0" xr:uid="{532E7C1B-3370-4A5E-8379-14004D1396FD}">
      <text>
        <r>
          <rPr>
            <b/>
            <sz val="9"/>
            <color indexed="81"/>
            <rFont val="Tahoma"/>
            <family val="2"/>
          </rPr>
          <t>&lt;[[TCDeals] - [TC Property Current Stage (Seq: 1)] - [Property Points (Seq: 1)] Multi Family Application - Describe difference in low-income &amp; market-rate unit amenities - Send]&gt;</t>
        </r>
      </text>
    </comment>
    <comment ref="AB185" authorId="0" shapeId="0" xr:uid="{506F54EE-C27C-4B34-925F-B097F8E296A8}">
      <text>
        <r>
          <rPr>
            <b/>
            <sz val="9"/>
            <color indexed="81"/>
            <rFont val="Tahoma"/>
            <family val="2"/>
          </rPr>
          <t>&lt;[[TCDeals] - [Associated DEV Deal (Seq: 1)] - [Property (Seq: 1)] Has Exercise Facility - Send]&gt;</t>
        </r>
      </text>
    </comment>
    <comment ref="G186" authorId="1" shapeId="0" xr:uid="{696821D7-3AB2-49BE-B81D-E449FABBDC1E}">
      <text>
        <r>
          <rPr>
            <b/>
            <sz val="9"/>
            <color indexed="81"/>
            <rFont val="Tahoma"/>
            <family val="2"/>
          </rPr>
          <t>&lt;[[TCDeals] - [TC Property Current Stage (Seq: 1)] Is Heat Landlord Paid - Send]&gt;</t>
        </r>
      </text>
    </comment>
    <comment ref="C187" authorId="0" shapeId="0" xr:uid="{78B36DDE-5857-4EAA-B121-08B691F4CE75}">
      <text>
        <r>
          <rPr>
            <b/>
            <sz val="9"/>
            <color indexed="81"/>
            <rFont val="Tahoma"/>
            <family val="2"/>
          </rPr>
          <t>&lt;[[TCDeals] - [TC Property Current Stage (Seq: 1)] Has Limited Access - Send]&gt;</t>
        </r>
      </text>
    </comment>
    <comment ref="G187" authorId="1" shapeId="0" xr:uid="{3F7427E8-EA65-42D0-8682-0B7728CF82E3}">
      <text>
        <r>
          <rPr>
            <b/>
            <sz val="9"/>
            <color indexed="81"/>
            <rFont val="Tahoma"/>
            <family val="2"/>
          </rPr>
          <t>&lt;[[TCDeals] - [TC Property Current Stage (Seq: 1)] Is AC Landlord Paid - Send]&gt;</t>
        </r>
      </text>
    </comment>
    <comment ref="Z187" authorId="0" shapeId="0" xr:uid="{90D1AB0D-5BAC-42FA-8868-39F11B1D6A9D}">
      <text>
        <r>
          <rPr>
            <b/>
            <sz val="9"/>
            <color indexed="81"/>
            <rFont val="Tahoma"/>
            <family val="2"/>
          </rPr>
          <t>&lt;[[TCDeals] - [Associated DEV Deal (Seq: 1)] - [Property (Seq: 1)] Has Limited Access - Send]&gt;</t>
        </r>
      </text>
    </comment>
    <comment ref="E188" authorId="0" shapeId="0" xr:uid="{EB219791-B4FF-40A1-A37D-D0227B1D860F}">
      <text>
        <r>
          <rPr>
            <b/>
            <sz val="9"/>
            <color indexed="81"/>
            <rFont val="Tahoma"/>
            <family val="2"/>
          </rPr>
          <t>&lt;[[TCDeals] - [TC Property Current Stage (Seq: 1)] Has Pool - Send]&gt;</t>
        </r>
      </text>
    </comment>
    <comment ref="G188" authorId="1" shapeId="0" xr:uid="{8E66413A-93F2-4C74-912B-0F482AE904C3}">
      <text>
        <r>
          <rPr>
            <b/>
            <sz val="9"/>
            <color indexed="81"/>
            <rFont val="Tahoma"/>
            <family val="2"/>
          </rPr>
          <t>&lt;[[TCDeals] - [TC Property Current Stage (Seq: 1)] Is Cooking Landlord Paid - Send]&gt;</t>
        </r>
      </text>
    </comment>
    <comment ref="AB188" authorId="0" shapeId="0" xr:uid="{2190C8E8-A8B5-41A6-9211-A98894DE4F7F}">
      <text>
        <r>
          <rPr>
            <b/>
            <sz val="9"/>
            <color indexed="81"/>
            <rFont val="Tahoma"/>
            <family val="2"/>
          </rPr>
          <t>&lt;[[TCDeals] - [Associated DEV Deal (Seq: 1)] - [Property (Seq: 1)] Has Pool - Send]&gt;</t>
        </r>
      </text>
    </comment>
    <comment ref="G189" authorId="1" shapeId="0" xr:uid="{EA15FA27-FCB2-4EF8-864D-35CCB614BBCA}">
      <text>
        <r>
          <rPr>
            <b/>
            <sz val="9"/>
            <color indexed="81"/>
            <rFont val="Tahoma"/>
            <family val="2"/>
          </rPr>
          <t>&lt;[[TCDeals] - [TC Property Current Stage (Seq: 1)] Is Electric Landlord Paid - Send]&gt;</t>
        </r>
      </text>
    </comment>
    <comment ref="C190" authorId="1" shapeId="0" xr:uid="{FCE65AE8-C84D-448E-AFEB-166E2E63A549}">
      <text>
        <r>
          <rPr>
            <b/>
            <sz val="9"/>
            <color indexed="81"/>
            <rFont val="Tahoma"/>
            <family val="2"/>
          </rPr>
          <t>&lt;[[TCDeals] - [TC Property Current Stage (Seq: 1)] Heating Type - Send]&gt;</t>
        </r>
      </text>
    </comment>
    <comment ref="E190" authorId="1" shapeId="0" xr:uid="{82398BB1-71AD-42B3-B2E8-DA94F554E302}">
      <text>
        <r>
          <rPr>
            <b/>
            <sz val="9"/>
            <color indexed="81"/>
            <rFont val="Tahoma"/>
            <family val="2"/>
          </rPr>
          <t>&lt;[[TCDeals] - [TC Property Current Stage (Seq: 1)] Cooking Type - Send]&gt;</t>
        </r>
      </text>
    </comment>
    <comment ref="G190" authorId="1" shapeId="0" xr:uid="{47A58163-6FA6-445D-9E71-CD95C1420874}">
      <text>
        <r>
          <rPr>
            <b/>
            <sz val="9"/>
            <color indexed="81"/>
            <rFont val="Tahoma"/>
            <family val="2"/>
          </rPr>
          <t>&lt;[[TCDeals] - [TC Property Current Stage (Seq: 1)] Is Hot Water Landlord Paid - Send]&gt;</t>
        </r>
      </text>
    </comment>
    <comment ref="C191" authorId="1" shapeId="0" xr:uid="{B24F82D1-BD0F-457D-807E-9B8F2D02AEB4}">
      <text>
        <r>
          <rPr>
            <b/>
            <sz val="9"/>
            <color indexed="81"/>
            <rFont val="Tahoma"/>
            <family val="2"/>
          </rPr>
          <t>&lt;[[TCDeals] - [TC Property Current Stage (Seq: 1)] Heating Type - Send]&gt;</t>
        </r>
      </text>
    </comment>
    <comment ref="E191" authorId="1" shapeId="0" xr:uid="{DCC4BEE4-154D-4221-9C05-313D3A264C0D}">
      <text>
        <r>
          <rPr>
            <b/>
            <sz val="9"/>
            <color indexed="81"/>
            <rFont val="Tahoma"/>
            <family val="2"/>
          </rPr>
          <t>&lt;[[TCDeals] - [TC Property Current Stage (Seq: 1)] Hot Water Type - Send]&gt;</t>
        </r>
      </text>
    </comment>
    <comment ref="G191" authorId="1" shapeId="0" xr:uid="{69723F78-E171-4578-AFC1-A9CFB5E9DA99}">
      <text>
        <r>
          <rPr>
            <b/>
            <sz val="9"/>
            <color indexed="81"/>
            <rFont val="Tahoma"/>
            <family val="2"/>
          </rPr>
          <t>&lt;[[TCDeals] - [TC Property Current Stage (Seq: 1)] Is Sewer Landlord Paid - Send]&gt;</t>
        </r>
      </text>
    </comment>
    <comment ref="C192" authorId="2" shapeId="0" xr:uid="{BECF8D48-2DEB-4E5B-B3EB-3117D1B071D1}">
      <text>
        <r>
          <rPr>
            <b/>
            <sz val="9"/>
            <color indexed="81"/>
            <rFont val="Tahoma"/>
            <family val="2"/>
          </rPr>
          <t>&lt;[[TCDeals] - [TC Property Current Stage (Seq: 1)] Is Internet Access - Send]&gt;</t>
        </r>
      </text>
    </comment>
    <comment ref="G192" authorId="1" shapeId="0" xr:uid="{025716CE-6D51-4737-86AC-A6FD9D53A4A5}">
      <text>
        <r>
          <rPr>
            <b/>
            <sz val="9"/>
            <color indexed="81"/>
            <rFont val="Tahoma"/>
            <family val="2"/>
          </rPr>
          <t>&lt;[[TCDeals] - [TC Property Current Stage (Seq: 1)] Is Trash Landlord Paid - Send]&gt;</t>
        </r>
      </text>
    </comment>
    <comment ref="G193" authorId="1" shapeId="0" xr:uid="{E3AAD9B7-24DD-4F15-A65E-8A4038FCB82C}">
      <text>
        <r>
          <rPr>
            <b/>
            <sz val="9"/>
            <color indexed="81"/>
            <rFont val="Tahoma"/>
            <family val="2"/>
          </rPr>
          <t>&lt;[[TCDeals] - [TC Property Current Stage (Seq: 1)] Is Cable Landlord Paid - Send]&gt;</t>
        </r>
      </text>
    </comment>
    <comment ref="G194" authorId="1" shapeId="0" xr:uid="{0F1E9E9F-3989-4D12-9AEF-F63F4884C86E}">
      <text>
        <r>
          <rPr>
            <b/>
            <sz val="9"/>
            <color indexed="81"/>
            <rFont val="Tahoma"/>
            <family val="2"/>
          </rPr>
          <t>&lt;[[TCDeals] - [TC Property Current Stage (Seq: 1)] Is Water Landlord Paid - Send]&gt;</t>
        </r>
      </text>
    </comment>
    <comment ref="H197" authorId="2" shapeId="0" xr:uid="{665C403A-F4AC-4F46-9458-31C29F04CFCD}">
      <text>
        <r>
          <rPr>
            <b/>
            <sz val="9"/>
            <color indexed="81"/>
            <rFont val="Tahoma"/>
            <family val="2"/>
          </rPr>
          <t>&lt;[[TCDeals] - [TC Property Current Stage (Seq: 1)] - [Unit Mix (Seq: 1)] TC Unit Mix Type - Send]&gt;</t>
        </r>
      </text>
    </comment>
    <comment ref="J197" authorId="0" shapeId="0" xr:uid="{61DCAD67-FC55-484F-832A-D3A03D444D24}">
      <text>
        <r>
          <rPr>
            <b/>
            <sz val="9"/>
            <color indexed="81"/>
            <rFont val="Tahoma"/>
            <family val="2"/>
          </rPr>
          <t>&lt;[[TCDeals] - [TC Property Current Stage (Seq: 1)] - [Unit Mix (Seq: 1)] Net Rentable Sq Ft - Send]&gt;</t>
        </r>
      </text>
    </comment>
    <comment ref="L197" authorId="0" shapeId="0" xr:uid="{D83DDC1B-4E7D-4131-9726-9223DDB84E4F}">
      <text>
        <r>
          <rPr>
            <b/>
            <sz val="9"/>
            <color indexed="81"/>
            <rFont val="Tahoma"/>
            <family val="2"/>
          </rPr>
          <t>&lt;[[TCDeals] - [TC Property Current Stage (Seq: 1)] - [Unit Mix (Seq: 1)] Num Units - Send]&gt;</t>
        </r>
      </text>
    </comment>
    <comment ref="N197" authorId="0" shapeId="0" xr:uid="{CC69DAA6-D078-45D8-BDBE-8884EE1CDF3D}">
      <text>
        <r>
          <rPr>
            <b/>
            <sz val="9"/>
            <color indexed="81"/>
            <rFont val="Tahoma"/>
            <family val="2"/>
          </rPr>
          <t>&lt;[[TCDeals] - [TC Property Current Stage (Seq: 1)] - [Unit Mix (Seq: 1)] Num Units - Send]&gt;</t>
        </r>
      </text>
    </comment>
    <comment ref="P197" authorId="0" shapeId="0" xr:uid="{CA27E97A-BAEE-4BCB-828C-BD7431091C21}">
      <text>
        <r>
          <rPr>
            <b/>
            <sz val="9"/>
            <color indexed="81"/>
            <rFont val="Tahoma"/>
            <family val="2"/>
          </rPr>
          <t>&lt;[[TCDeals] - [TC Property Current Stage (Seq: 1)] - [Unit Mix (Seq: 1)] Income Target - Send]&gt;</t>
        </r>
      </text>
    </comment>
    <comment ref="Z197" authorId="0" shapeId="0" xr:uid="{EE64926E-904F-4CF6-9497-0603A2FC8450}">
      <text>
        <r>
          <rPr>
            <b/>
            <sz val="9"/>
            <color indexed="81"/>
            <rFont val="Tahoma"/>
            <family val="2"/>
          </rPr>
          <t>&lt;[[TCDeals] - [Associated DEV Deal (Seq: 1)] - [Property (Seq: 1)] - [Locations (Seq: 1)] - [Unit Mix (Seq: 1)] Unit Type - Send]&gt;</t>
        </r>
      </text>
    </comment>
    <comment ref="AB197" authorId="0" shapeId="0" xr:uid="{D7709682-CA34-4360-B842-ACD78FA5D8AC}">
      <text>
        <r>
          <rPr>
            <b/>
            <sz val="9"/>
            <color indexed="81"/>
            <rFont val="Tahoma"/>
            <family val="2"/>
          </rPr>
          <t>&lt;[[TCDeals] - [Associated DEV Deal (Seq: 1)] - [Property (Seq: 1)] - [Locations (Seq: 1)] - [Unit Mix (Seq: 1)] Residential Apartment Type - Send]&gt;</t>
        </r>
      </text>
    </comment>
    <comment ref="AD197" authorId="0" shapeId="0" xr:uid="{81A196CF-97E8-40D0-9DA2-6C5459D6A608}">
      <text>
        <r>
          <rPr>
            <b/>
            <sz val="9"/>
            <color indexed="81"/>
            <rFont val="Tahoma"/>
            <family val="2"/>
          </rPr>
          <t>&lt;[[TCDeals] - [Associated DEV Deal (Seq: 1)] - [Property (Seq: 1)] - [Locations (Seq: 1)] - [Unit Mix (Seq: 1)] Base Rent - Send]&gt;</t>
        </r>
      </text>
    </comment>
    <comment ref="AF197" authorId="0" shapeId="0" xr:uid="{53AF5157-392C-4A27-A827-AFA90E21FC15}">
      <text>
        <r>
          <rPr>
            <b/>
            <sz val="9"/>
            <color indexed="81"/>
            <rFont val="Tahoma"/>
            <family val="2"/>
          </rPr>
          <t>&lt;[[TCDeals] - [Associated DEV Deal (Seq: 1)] - [Property (Seq: 1)] - [Locations (Seq: 1)] - [Unit Mix (Seq: 1)] Square Footage - Send]&gt;</t>
        </r>
      </text>
    </comment>
    <comment ref="AH197" authorId="0" shapeId="0" xr:uid="{91B50F15-3FEC-46C5-BC69-4928005970E5}">
      <text>
        <r>
          <rPr>
            <b/>
            <sz val="9"/>
            <color indexed="81"/>
            <rFont val="Tahoma"/>
            <family val="2"/>
          </rPr>
          <t>&lt;[[TCDeals] - [Associated DEV Deal (Seq: 1)] - [Property (Seq: 1)] - [Locations (Seq: 1)] - [Unit Mix (Seq: 1)] Num Units - Send]&gt;</t>
        </r>
      </text>
    </comment>
    <comment ref="AL197" authorId="0" shapeId="0" xr:uid="{F32CC227-E40F-4BA5-918F-ECBF3BF5B64E}">
      <text>
        <r>
          <rPr>
            <b/>
            <sz val="9"/>
            <color indexed="81"/>
            <rFont val="Tahoma"/>
            <family val="2"/>
          </rPr>
          <t>&lt;[[TCDeals] - [Associated DEV Deal (Seq: 1)] - [Property (Seq: 1)] - [Locations (Seq: 1)] - [Unit Mix (Seq: 1)] Unit Mix Ami Percent - Send]&gt;</t>
        </r>
      </text>
    </comment>
    <comment ref="H198" authorId="0" shapeId="0" xr:uid="{2BF11BA7-6590-4700-A84B-009303579C8F}">
      <text>
        <r>
          <rPr>
            <b/>
            <sz val="9"/>
            <color indexed="81"/>
            <rFont val="Tahoma"/>
            <family val="2"/>
          </rPr>
          <t>&lt;[[TCDeals] - [TC Property Current Stage (Seq: 1)] - [Unit Mix (Seq: 2)] TC Unit Mix Type - Send]&gt;</t>
        </r>
      </text>
    </comment>
    <comment ref="J198" authorId="0" shapeId="0" xr:uid="{5FD02664-F190-4412-BF2F-5A3873434ABD}">
      <text>
        <r>
          <rPr>
            <b/>
            <sz val="9"/>
            <color indexed="81"/>
            <rFont val="Tahoma"/>
            <family val="2"/>
          </rPr>
          <t>&lt;[[TCDeals] - [TC Property Current Stage (Seq: 1)] - [Unit Mix (Seq: 2)] Net Rentable Sq Ft - Send]&gt;</t>
        </r>
      </text>
    </comment>
    <comment ref="L198" authorId="0" shapeId="0" xr:uid="{87E285D5-0FC6-4318-A0BB-C988BC389FDF}">
      <text>
        <r>
          <rPr>
            <b/>
            <sz val="9"/>
            <color indexed="81"/>
            <rFont val="Tahoma"/>
            <family val="2"/>
          </rPr>
          <t>&lt;[[TCDeals] - [TC Property Current Stage (Seq: 1)] - [Unit Mix (Seq: 2)] Num Units - Send]&gt;</t>
        </r>
      </text>
    </comment>
    <comment ref="N198" authorId="0" shapeId="0" xr:uid="{BC25AC28-AF04-44BE-ACFE-42C4053C21B7}">
      <text>
        <r>
          <rPr>
            <b/>
            <sz val="9"/>
            <color indexed="81"/>
            <rFont val="Tahoma"/>
            <family val="2"/>
          </rPr>
          <t>&lt;[[TCDeals] - [TC Property Current Stage (Seq: 1)] - [Unit Mix (Seq: 2)] Num Units - Send]&gt;</t>
        </r>
      </text>
    </comment>
    <comment ref="P198" authorId="0" shapeId="0" xr:uid="{9CD6EBC5-5952-4CF9-9517-414FD10C5FD8}">
      <text>
        <r>
          <rPr>
            <b/>
            <sz val="9"/>
            <color indexed="81"/>
            <rFont val="Tahoma"/>
            <family val="2"/>
          </rPr>
          <t>&lt;[[TCDeals] - [TC Property Current Stage (Seq: 1)] - [Unit Mix (Seq: 2)] Income Target - Send]&gt;</t>
        </r>
      </text>
    </comment>
    <comment ref="Z198" authorId="0" shapeId="0" xr:uid="{72DC8B2D-C31E-4ABF-83E5-2E50A1C7DA12}">
      <text>
        <r>
          <rPr>
            <b/>
            <sz val="9"/>
            <color indexed="81"/>
            <rFont val="Tahoma"/>
            <family val="2"/>
          </rPr>
          <t>&lt;[[TCDeals] - [Associated DEV Deal (Seq: 1)] - [Property (Seq: 1)] - [Locations (Seq: 1)] - [Unit Mix (Seq: 2)] Unit Type - Send]&gt;</t>
        </r>
      </text>
    </comment>
    <comment ref="AB198" authorId="0" shapeId="0" xr:uid="{8BBED1F3-A580-4B99-9C60-769E6B6B0E28}">
      <text>
        <r>
          <rPr>
            <b/>
            <sz val="9"/>
            <color indexed="81"/>
            <rFont val="Tahoma"/>
            <family val="2"/>
          </rPr>
          <t>&lt;[[TCDeals] - [Associated DEV Deal (Seq: 1)] - [Property (Seq: 1)] - [Locations (Seq: 1)] - [Unit Mix (Seq: 2)] Residential Apartment Type - Send]&gt;</t>
        </r>
      </text>
    </comment>
    <comment ref="AD198" authorId="0" shapeId="0" xr:uid="{B6E3E6D4-3E2C-4094-AF7B-819999F551F6}">
      <text>
        <r>
          <rPr>
            <b/>
            <sz val="9"/>
            <color indexed="81"/>
            <rFont val="Tahoma"/>
            <family val="2"/>
          </rPr>
          <t>&lt;[[TCDeals] - [Associated DEV Deal (Seq: 1)] - [Property (Seq: 1)] - [Locations (Seq: 1)] - [Unit Mix (Seq: 2)] Base Rent - Send]&gt;</t>
        </r>
      </text>
    </comment>
    <comment ref="AF198" authorId="0" shapeId="0" xr:uid="{96B2D9CC-7208-49EF-8140-340315663BF6}">
      <text>
        <r>
          <rPr>
            <b/>
            <sz val="9"/>
            <color indexed="81"/>
            <rFont val="Tahoma"/>
            <family val="2"/>
          </rPr>
          <t>&lt;[[TCDeals] - [Associated DEV Deal (Seq: 1)] - [Property (Seq: 1)] - [Locations (Seq: 1)] - [Unit Mix (Seq: 2)] Square Footage - Send]&gt;</t>
        </r>
      </text>
    </comment>
    <comment ref="AH198" authorId="0" shapeId="0" xr:uid="{D403FB6B-48C2-4495-BEFF-381F75C2D389}">
      <text>
        <r>
          <rPr>
            <b/>
            <sz val="9"/>
            <color indexed="81"/>
            <rFont val="Tahoma"/>
            <family val="2"/>
          </rPr>
          <t>&lt;[[TCDeals] - [Associated DEV Deal (Seq: 1)] - [Property (Seq: 1)] - [Locations (Seq: 1)] - [Unit Mix (Seq: 2)] Num Units - Send]&gt;</t>
        </r>
      </text>
    </comment>
    <comment ref="AL198" authorId="0" shapeId="0" xr:uid="{84D5454E-C857-4718-88BF-AB2EC8AE5D4C}">
      <text>
        <r>
          <rPr>
            <b/>
            <sz val="9"/>
            <color indexed="81"/>
            <rFont val="Tahoma"/>
            <family val="2"/>
          </rPr>
          <t>&lt;[[TCDeals] - [Associated DEV Deal (Seq: 1)] - [Property (Seq: 1)] - [Locations (Seq: 1)] - [Unit Mix (Seq: 2)] Unit Mix Ami Percent - Send]&gt;</t>
        </r>
      </text>
    </comment>
    <comment ref="H199" authorId="0" shapeId="0" xr:uid="{2B28D80A-FE59-4F70-8A7F-7B87800FD632}">
      <text>
        <r>
          <rPr>
            <b/>
            <sz val="9"/>
            <color indexed="81"/>
            <rFont val="Tahoma"/>
            <family val="2"/>
          </rPr>
          <t>&lt;[[TCDeals] - [TC Property Current Stage (Seq: 1)] - [Unit Mix (Seq: 3)] TC Unit Mix Type - Send]&gt;</t>
        </r>
      </text>
    </comment>
    <comment ref="J199" authorId="0" shapeId="0" xr:uid="{DF061BBC-B334-44EA-8E49-0E7CD94BA409}">
      <text>
        <r>
          <rPr>
            <b/>
            <sz val="9"/>
            <color indexed="81"/>
            <rFont val="Tahoma"/>
            <family val="2"/>
          </rPr>
          <t>&lt;[[TCDeals] - [TC Property Current Stage (Seq: 1)] - [Unit Mix (Seq: 2)] Net Rentable Sq Ft - Send]&gt;</t>
        </r>
      </text>
    </comment>
    <comment ref="L199" authorId="0" shapeId="0" xr:uid="{C450F599-D590-450F-88AE-21393E97FCFE}">
      <text>
        <r>
          <rPr>
            <b/>
            <sz val="9"/>
            <color indexed="81"/>
            <rFont val="Tahoma"/>
            <family val="2"/>
          </rPr>
          <t>&lt;[[TCDeals] - [TC Property Current Stage (Seq: 1)] - [Unit Mix (Seq: 3)] Num Units - Send]&gt;</t>
        </r>
      </text>
    </comment>
    <comment ref="N199" authorId="0" shapeId="0" xr:uid="{7C2EB2A6-76C2-4AD1-B0CD-34567DC67B33}">
      <text>
        <r>
          <rPr>
            <b/>
            <sz val="9"/>
            <color indexed="81"/>
            <rFont val="Tahoma"/>
            <family val="2"/>
          </rPr>
          <t>&lt;[[TCDeals] - [TC Property Current Stage (Seq: 1)] - [Unit Mix (Seq: 3)] Num Units - Send]&gt;</t>
        </r>
      </text>
    </comment>
    <comment ref="P199" authorId="0" shapeId="0" xr:uid="{6905645D-1322-45C2-BFE0-2361E41E8D11}">
      <text>
        <r>
          <rPr>
            <b/>
            <sz val="9"/>
            <color indexed="81"/>
            <rFont val="Tahoma"/>
            <family val="2"/>
          </rPr>
          <t>&lt;[[TCDeals] - [TC Property Current Stage (Seq: 1)] - [Unit Mix (Seq: 3)] Income Target - Send]&gt;</t>
        </r>
      </text>
    </comment>
    <comment ref="Z199" authorId="0" shapeId="0" xr:uid="{3F0D04BA-C045-4378-9184-FC30CC65F9BE}">
      <text>
        <r>
          <rPr>
            <b/>
            <sz val="9"/>
            <color indexed="81"/>
            <rFont val="Tahoma"/>
            <family val="2"/>
          </rPr>
          <t>&lt;[[TCDeals] - [Associated DEV Deal (Seq: 1)] - [Property (Seq: 1)] - [Locations (Seq: 1)] - [Unit Mix (Seq: 3)] Unit Type - Send]&gt;</t>
        </r>
      </text>
    </comment>
    <comment ref="AB199" authorId="0" shapeId="0" xr:uid="{021B8551-0998-445B-AE9B-08F29FF50700}">
      <text>
        <r>
          <rPr>
            <b/>
            <sz val="9"/>
            <color indexed="81"/>
            <rFont val="Tahoma"/>
            <family val="2"/>
          </rPr>
          <t>&lt;[[TCDeals] - [Associated DEV Deal (Seq: 1)] - [Property (Seq: 1)] - [Locations (Seq: 1)] - [Unit Mix (Seq: 3)] Residential Apartment Type - Send]&gt;</t>
        </r>
      </text>
    </comment>
    <comment ref="AD199" authorId="0" shapeId="0" xr:uid="{839AF352-377C-4CC0-9279-71CB4F1912AD}">
      <text>
        <r>
          <rPr>
            <b/>
            <sz val="9"/>
            <color indexed="81"/>
            <rFont val="Tahoma"/>
            <family val="2"/>
          </rPr>
          <t>&lt;[[TCDeals] - [Associated DEV Deal (Seq: 1)] - [Property (Seq: 1)] - [Locations (Seq: 1)] - [Unit Mix (Seq: 3)] Base Rent - Send]&gt;</t>
        </r>
      </text>
    </comment>
    <comment ref="AF199" authorId="0" shapeId="0" xr:uid="{6959D2D9-7B2F-4C63-89C0-9461D204FBA4}">
      <text>
        <r>
          <rPr>
            <b/>
            <sz val="9"/>
            <color indexed="81"/>
            <rFont val="Tahoma"/>
            <family val="2"/>
          </rPr>
          <t>&lt;[[TCDeals] - [Associated DEV Deal (Seq: 1)] - [Property (Seq: 1)] - [Locations (Seq: 1)] - [Unit Mix (Seq: 3)] Square Footage - Send]&gt;</t>
        </r>
      </text>
    </comment>
    <comment ref="AH199" authorId="0" shapeId="0" xr:uid="{7104B13C-2B57-454E-9E8C-14BB84AB05B1}">
      <text>
        <r>
          <rPr>
            <b/>
            <sz val="9"/>
            <color indexed="81"/>
            <rFont val="Tahoma"/>
            <family val="2"/>
          </rPr>
          <t>&lt;[[TCDeals] - [Associated DEV Deal (Seq: 1)] - [Property (Seq: 1)] - [Locations (Seq: 1)] - [Unit Mix (Seq: 3)] Num Units - Send]&gt;</t>
        </r>
      </text>
    </comment>
    <comment ref="AL199" authorId="0" shapeId="0" xr:uid="{29A22607-1ED9-468F-A389-706FDDC0CC15}">
      <text>
        <r>
          <rPr>
            <b/>
            <sz val="9"/>
            <color indexed="81"/>
            <rFont val="Tahoma"/>
            <family val="2"/>
          </rPr>
          <t>&lt;[[TCDeals] - [Associated DEV Deal (Seq: 1)] - [Property (Seq: 1)] - [Locations (Seq: 1)] - [Unit Mix (Seq: 3)] Unit Mix Ami Percent - Send]&gt;</t>
        </r>
      </text>
    </comment>
    <comment ref="H200" authorId="0" shapeId="0" xr:uid="{7A5DC4E7-DF07-4520-B943-4C6A09ADB58F}">
      <text>
        <r>
          <rPr>
            <b/>
            <sz val="9"/>
            <color indexed="81"/>
            <rFont val="Tahoma"/>
            <family val="2"/>
          </rPr>
          <t>&lt;[[TCDeals] - [TC Property Current Stage (Seq: 1)] - [Unit Mix (Seq: 4)] TC Unit Mix Type - Send]&gt;</t>
        </r>
      </text>
    </comment>
    <comment ref="J200" authorId="0" shapeId="0" xr:uid="{BB5C1D62-E62B-4DA2-888C-1EBE4245D196}">
      <text>
        <r>
          <rPr>
            <b/>
            <sz val="9"/>
            <color indexed="81"/>
            <rFont val="Tahoma"/>
            <family val="2"/>
          </rPr>
          <t>&lt;[[TCDeals] - [TC Property Current Stage (Seq: 1)] - [Unit Mix (Seq: 4)] Net Rentable Sq Ft - Send]&gt;</t>
        </r>
      </text>
    </comment>
    <comment ref="L200" authorId="0" shapeId="0" xr:uid="{457B0B69-78AA-405A-9B46-4577AA5735FA}">
      <text>
        <r>
          <rPr>
            <b/>
            <sz val="9"/>
            <color indexed="81"/>
            <rFont val="Tahoma"/>
            <family val="2"/>
          </rPr>
          <t>&lt;[[TCDeals] - [TC Property Current Stage (Seq: 1)] - [Unit Mix (Seq: 4)] Num Units - Send]&gt;</t>
        </r>
      </text>
    </comment>
    <comment ref="N200" authorId="0" shapeId="0" xr:uid="{8FB06607-5066-4B5F-B48E-3FCC119FBD55}">
      <text>
        <r>
          <rPr>
            <b/>
            <sz val="9"/>
            <color indexed="81"/>
            <rFont val="Tahoma"/>
            <family val="2"/>
          </rPr>
          <t>&lt;[[TCDeals] - [TC Property Current Stage (Seq: 1)] - [Unit Mix (Seq: 4)] Num Units - Send]&gt;</t>
        </r>
      </text>
    </comment>
    <comment ref="P200" authorId="0" shapeId="0" xr:uid="{DE88B970-01B7-4968-9854-D022C710B837}">
      <text>
        <r>
          <rPr>
            <b/>
            <sz val="9"/>
            <color indexed="81"/>
            <rFont val="Tahoma"/>
            <family val="2"/>
          </rPr>
          <t>&lt;[[TCDeals] - [TC Property Current Stage (Seq: 1)] - [Unit Mix (Seq: 4)] Income Target - Send]&gt;</t>
        </r>
      </text>
    </comment>
    <comment ref="Z200" authorId="0" shapeId="0" xr:uid="{6FEE2D44-20D8-48A5-B0A9-EFED0E3EE3D4}">
      <text>
        <r>
          <rPr>
            <b/>
            <sz val="9"/>
            <color indexed="81"/>
            <rFont val="Tahoma"/>
            <family val="2"/>
          </rPr>
          <t>&lt;[[TCDeals] - [Associated DEV Deal (Seq: 1)] - [Property (Seq: 1)] - [Locations (Seq: 1)] - [Unit Mix (Seq: 4)] Unit Type - Send]&gt;</t>
        </r>
      </text>
    </comment>
    <comment ref="AB200" authorId="0" shapeId="0" xr:uid="{9AB53CC2-E5B9-4AEB-BDA1-7C0F6DBCCA66}">
      <text>
        <r>
          <rPr>
            <b/>
            <sz val="9"/>
            <color indexed="81"/>
            <rFont val="Tahoma"/>
            <family val="2"/>
          </rPr>
          <t>&lt;[[TCDeals] - [Associated DEV Deal (Seq: 1)] - [Property (Seq: 1)] - [Locations (Seq: 1)] - [Unit Mix (Seq: 4)] Residential Apartment Type - Send]&gt;</t>
        </r>
      </text>
    </comment>
    <comment ref="AD200" authorId="0" shapeId="0" xr:uid="{39325097-FFBD-412F-8DEA-52637BA21518}">
      <text>
        <r>
          <rPr>
            <b/>
            <sz val="9"/>
            <color indexed="81"/>
            <rFont val="Tahoma"/>
            <family val="2"/>
          </rPr>
          <t>&lt;[[TCDeals] - [Associated DEV Deal (Seq: 1)] - [Property (Seq: 1)] - [Locations (Seq: 1)] - [Unit Mix (Seq: 4)] Base Rent - Send]&gt;</t>
        </r>
      </text>
    </comment>
    <comment ref="AF200" authorId="0" shapeId="0" xr:uid="{FCB1E210-CDAA-4BDF-82F4-CE67FBDCA8EF}">
      <text>
        <r>
          <rPr>
            <b/>
            <sz val="9"/>
            <color indexed="81"/>
            <rFont val="Tahoma"/>
            <family val="2"/>
          </rPr>
          <t>&lt;[[TCDeals] - [Associated DEV Deal (Seq: 1)] - [Property (Seq: 1)] - [Locations (Seq: 1)] - [Unit Mix (Seq: 4)] Square Footage - Send]&gt;</t>
        </r>
      </text>
    </comment>
    <comment ref="AH200" authorId="0" shapeId="0" xr:uid="{036A244D-E698-46D5-B664-C9DBAB90631A}">
      <text>
        <r>
          <rPr>
            <b/>
            <sz val="9"/>
            <color indexed="81"/>
            <rFont val="Tahoma"/>
            <family val="2"/>
          </rPr>
          <t>&lt;[[TCDeals] - [Associated DEV Deal (Seq: 1)] - [Property (Seq: 1)] - [Locations (Seq: 1)] - [Unit Mix (Seq: 4)] Num Units - Send]&gt;</t>
        </r>
      </text>
    </comment>
    <comment ref="AL200" authorId="0" shapeId="0" xr:uid="{F63EBD2F-95F3-43BE-BC79-BF5BC8D0961B}">
      <text>
        <r>
          <rPr>
            <b/>
            <sz val="9"/>
            <color indexed="81"/>
            <rFont val="Tahoma"/>
            <family val="2"/>
          </rPr>
          <t>&lt;[[TCDeals] - [Associated DEV Deal (Seq: 1)] - [Property (Seq: 1)] - [Locations (Seq: 1)] - [Unit Mix (Seq: 4)] Unit Mix Ami Percent - Send]&gt;</t>
        </r>
      </text>
    </comment>
    <comment ref="H201" authorId="0" shapeId="0" xr:uid="{9EC695CD-BF3E-437E-8B45-40662DF09BB8}">
      <text>
        <r>
          <rPr>
            <b/>
            <sz val="9"/>
            <color indexed="81"/>
            <rFont val="Tahoma"/>
            <family val="2"/>
          </rPr>
          <t>&lt;[[TCDeals] - [TC Property Current Stage (Seq: 1)] - [Unit Mix (Seq: 5)] TC Unit Mix Type - Send]&gt;</t>
        </r>
      </text>
    </comment>
    <comment ref="J201" authorId="0" shapeId="0" xr:uid="{96A58C9F-3E2D-4714-8636-59173B24D940}">
      <text>
        <r>
          <rPr>
            <b/>
            <sz val="9"/>
            <color indexed="81"/>
            <rFont val="Tahoma"/>
            <family val="2"/>
          </rPr>
          <t>&lt;[[TCDeals] - [TC Property Current Stage (Seq: 1)] - [Unit Mix (Seq: 5)] Net Rentable Sq Ft - Send]&gt;</t>
        </r>
      </text>
    </comment>
    <comment ref="L201" authorId="0" shapeId="0" xr:uid="{BFDE61EB-3A61-4979-A7FA-25D0403A806E}">
      <text>
        <r>
          <rPr>
            <b/>
            <sz val="9"/>
            <color indexed="81"/>
            <rFont val="Tahoma"/>
            <family val="2"/>
          </rPr>
          <t>&lt;[[TCDeals] - [TC Property Current Stage (Seq: 1)] - [Unit Mix (Seq: 5)] Num Units - Send]&gt;</t>
        </r>
      </text>
    </comment>
    <comment ref="N201" authorId="0" shapeId="0" xr:uid="{A94F975D-C92F-4C16-8915-9B7BEFA95682}">
      <text>
        <r>
          <rPr>
            <b/>
            <sz val="9"/>
            <color indexed="81"/>
            <rFont val="Tahoma"/>
            <family val="2"/>
          </rPr>
          <t>&lt;[[TCDeals] - [TC Property Current Stage (Seq: 1)] - [Unit Mix (Seq: 5)] Num Units - Send]&gt;</t>
        </r>
      </text>
    </comment>
    <comment ref="P201" authorId="0" shapeId="0" xr:uid="{326E061C-96A3-4CD7-836C-88A108278F6B}">
      <text>
        <r>
          <rPr>
            <b/>
            <sz val="9"/>
            <color indexed="81"/>
            <rFont val="Tahoma"/>
            <family val="2"/>
          </rPr>
          <t>&lt;[[TCDeals] - [TC Property Current Stage (Seq: 1)] - [Unit Mix (Seq: 5)] Income Target - Send]&gt;</t>
        </r>
      </text>
    </comment>
    <comment ref="Z201" authorId="0" shapeId="0" xr:uid="{EBD52908-CA6E-488C-A911-2A76A4C0DC5E}">
      <text>
        <r>
          <rPr>
            <b/>
            <sz val="9"/>
            <color indexed="81"/>
            <rFont val="Tahoma"/>
            <family val="2"/>
          </rPr>
          <t>&lt;[[TCDeals] - [Associated DEV Deal (Seq: 1)] - [Property (Seq: 1)] - [Locations (Seq: 1)] - [Unit Mix (Seq: 5)] Unit Type - Send]&gt;</t>
        </r>
      </text>
    </comment>
    <comment ref="AB201" authorId="0" shapeId="0" xr:uid="{DEA18ADA-3C51-4AEC-812D-B24BA60C0442}">
      <text>
        <r>
          <rPr>
            <b/>
            <sz val="9"/>
            <color indexed="81"/>
            <rFont val="Tahoma"/>
            <family val="2"/>
          </rPr>
          <t>&lt;[[TCDeals] - [Associated DEV Deal (Seq: 1)] - [Property (Seq: 1)] - [Locations (Seq: 1)] - [Unit Mix (Seq: 5)] Residential Apartment Type - Send]&gt;</t>
        </r>
      </text>
    </comment>
    <comment ref="AD201" authorId="0" shapeId="0" xr:uid="{FBC9E694-5165-4E77-AF78-F346C0E79A16}">
      <text>
        <r>
          <rPr>
            <b/>
            <sz val="9"/>
            <color indexed="81"/>
            <rFont val="Tahoma"/>
            <family val="2"/>
          </rPr>
          <t>&lt;[[TCDeals] - [Associated DEV Deal (Seq: 1)] - [Property (Seq: 1)] - [Locations (Seq: 1)] - [Unit Mix (Seq: 5)] Base Rent - Send]&gt;</t>
        </r>
      </text>
    </comment>
    <comment ref="AF201" authorId="0" shapeId="0" xr:uid="{FCF9A138-D1A0-4593-A78F-EE70FC67C736}">
      <text>
        <r>
          <rPr>
            <b/>
            <sz val="9"/>
            <color indexed="81"/>
            <rFont val="Tahoma"/>
            <family val="2"/>
          </rPr>
          <t>&lt;[[TCDeals] - [Associated DEV Deal (Seq: 1)] - [Property (Seq: 1)] - [Locations (Seq: 1)] - [Unit Mix (Seq: 5)] Square Footage - Send]&gt;</t>
        </r>
      </text>
    </comment>
    <comment ref="AH201" authorId="0" shapeId="0" xr:uid="{DB810232-958C-4374-8C80-65F0A8EECA42}">
      <text>
        <r>
          <rPr>
            <b/>
            <sz val="9"/>
            <color indexed="81"/>
            <rFont val="Tahoma"/>
            <family val="2"/>
          </rPr>
          <t>&lt;[[TCDeals] - [Associated DEV Deal (Seq: 1)] - [Property (Seq: 1)] - [Locations (Seq: 1)] - [Unit Mix (Seq: 5)] Num Units - Send]&gt;</t>
        </r>
      </text>
    </comment>
    <comment ref="AL201" authorId="0" shapeId="0" xr:uid="{FF9466F1-02D0-46CF-8F49-BB878EC444B9}">
      <text>
        <r>
          <rPr>
            <b/>
            <sz val="9"/>
            <color indexed="81"/>
            <rFont val="Tahoma"/>
            <family val="2"/>
          </rPr>
          <t>&lt;[[TCDeals] - [Associated DEV Deal (Seq: 1)] - [Property (Seq: 1)] - [Locations (Seq: 1)] - [Unit Mix (Seq: 5)] Unit Mix Ami Percent - Send]&gt;</t>
        </r>
      </text>
    </comment>
    <comment ref="H202" authorId="0" shapeId="0" xr:uid="{4145204F-6FD0-45D5-B265-E0F0D5C89C89}">
      <text>
        <r>
          <rPr>
            <b/>
            <sz val="9"/>
            <color indexed="81"/>
            <rFont val="Tahoma"/>
            <family val="2"/>
          </rPr>
          <t>&lt;[[TCDeals] - [TC Property Current Stage (Seq: 1)] - [Unit Mix (Seq: 6)] TC Unit Mix Type - Send]&gt;</t>
        </r>
      </text>
    </comment>
    <comment ref="J202" authorId="0" shapeId="0" xr:uid="{0F30F0D5-942E-4572-8A7E-A68AAD452AEC}">
      <text>
        <r>
          <rPr>
            <b/>
            <sz val="9"/>
            <color indexed="81"/>
            <rFont val="Tahoma"/>
            <family val="2"/>
          </rPr>
          <t>&lt;[[TCDeals] - [TC Property Current Stage (Seq: 1)] - [Unit Mix (Seq: 6)] Net Rentable Sq Ft - Send]&gt;</t>
        </r>
      </text>
    </comment>
    <comment ref="L202" authorId="0" shapeId="0" xr:uid="{8923CD4A-F1BE-40E6-99CC-E4E6794C344C}">
      <text>
        <r>
          <rPr>
            <b/>
            <sz val="9"/>
            <color indexed="81"/>
            <rFont val="Tahoma"/>
            <family val="2"/>
          </rPr>
          <t>&lt;[[TCDeals] - [TC Property Current Stage (Seq: 1)] - [Unit Mix (Seq: 6)] Num Units - Send]&gt;</t>
        </r>
      </text>
    </comment>
    <comment ref="N202" authorId="0" shapeId="0" xr:uid="{FEFBF2A2-3F09-4B03-9309-53396451712C}">
      <text>
        <r>
          <rPr>
            <b/>
            <sz val="9"/>
            <color indexed="81"/>
            <rFont val="Tahoma"/>
            <family val="2"/>
          </rPr>
          <t>&lt;[[TCDeals] - [TC Property Current Stage (Seq: 1)] - [Unit Mix (Seq: 6)] Num Units - Send]&gt;</t>
        </r>
      </text>
    </comment>
    <comment ref="P202" authorId="0" shapeId="0" xr:uid="{70A7FD55-5041-4E45-8A13-A0B29464D52B}">
      <text>
        <r>
          <rPr>
            <b/>
            <sz val="9"/>
            <color indexed="81"/>
            <rFont val="Tahoma"/>
            <family val="2"/>
          </rPr>
          <t>&lt;[[TCDeals] - [TC Property Current Stage (Seq: 1)] - [Unit Mix (Seq: 6)] Income Target - Send]&gt;</t>
        </r>
      </text>
    </comment>
    <comment ref="Z202" authorId="0" shapeId="0" xr:uid="{5BD65264-E8B0-4370-9CBB-79FDA8D777D8}">
      <text>
        <r>
          <rPr>
            <b/>
            <sz val="9"/>
            <color indexed="81"/>
            <rFont val="Tahoma"/>
            <family val="2"/>
          </rPr>
          <t>&lt;[[TCDeals] - [Associated DEV Deal (Seq: 1)] - [Property (Seq: 1)] - [Locations (Seq: 1)] - [Unit Mix (Seq: 6)] Unit Type - Send]&gt;</t>
        </r>
      </text>
    </comment>
    <comment ref="AB202" authorId="0" shapeId="0" xr:uid="{08F01719-1F22-4627-AA5F-609FC4726EB5}">
      <text>
        <r>
          <rPr>
            <b/>
            <sz val="9"/>
            <color indexed="81"/>
            <rFont val="Tahoma"/>
            <family val="2"/>
          </rPr>
          <t>&lt;[[TCDeals] - [Associated DEV Deal (Seq: 1)] - [Property (Seq: 1)] - [Locations (Seq: 1)] - [Unit Mix (Seq: 6)] Residential Apartment Type - Send]&gt;</t>
        </r>
      </text>
    </comment>
    <comment ref="AD202" authorId="0" shapeId="0" xr:uid="{5D0BC02D-D174-4FEF-91DC-25296F28A964}">
      <text>
        <r>
          <rPr>
            <b/>
            <sz val="9"/>
            <color indexed="81"/>
            <rFont val="Tahoma"/>
            <family val="2"/>
          </rPr>
          <t>&lt;[[TCDeals] - [Associated DEV Deal (Seq: 1)] - [Property (Seq: 1)] - [Locations (Seq: 1)] - [Unit Mix (Seq: 6)] Base Rent - Send]&gt;</t>
        </r>
      </text>
    </comment>
    <comment ref="AF202" authorId="0" shapeId="0" xr:uid="{9B480E4C-BD3F-4A06-B2E0-5B9C082ECD87}">
      <text>
        <r>
          <rPr>
            <b/>
            <sz val="9"/>
            <color indexed="81"/>
            <rFont val="Tahoma"/>
            <family val="2"/>
          </rPr>
          <t>&lt;[[TCDeals] - [Associated DEV Deal (Seq: 1)] - [Property (Seq: 1)] - [Locations (Seq: 1)] - [Unit Mix (Seq: 6)] Square Footage - Send]&gt;</t>
        </r>
      </text>
    </comment>
    <comment ref="AH202" authorId="0" shapeId="0" xr:uid="{B05BD5D5-2367-4AAB-B292-B3F063B6F30A}">
      <text>
        <r>
          <rPr>
            <b/>
            <sz val="9"/>
            <color indexed="81"/>
            <rFont val="Tahoma"/>
            <family val="2"/>
          </rPr>
          <t>&lt;[[TCDeals] - [Associated DEV Deal (Seq: 1)] - [Property (Seq: 1)] - [Locations (Seq: 1)] - [Unit Mix (Seq: 6)] Num Units - Send]&gt;</t>
        </r>
      </text>
    </comment>
    <comment ref="AL202" authorId="0" shapeId="0" xr:uid="{31F40883-818B-4FDD-A107-94C83227C5F0}">
      <text>
        <r>
          <rPr>
            <b/>
            <sz val="9"/>
            <color indexed="81"/>
            <rFont val="Tahoma"/>
            <family val="2"/>
          </rPr>
          <t>&lt;[[TCDeals] - [Associated DEV Deal (Seq: 1)] - [Property (Seq: 1)] - [Locations (Seq: 1)] - [Unit Mix (Seq: 6)] Unit Mix Ami Percent - Send]&gt;</t>
        </r>
      </text>
    </comment>
    <comment ref="H203" authorId="0" shapeId="0" xr:uid="{984D0DD8-AD27-42AA-8B64-386B74060DB7}">
      <text>
        <r>
          <rPr>
            <b/>
            <sz val="9"/>
            <color indexed="81"/>
            <rFont val="Tahoma"/>
            <family val="2"/>
          </rPr>
          <t>&lt;[[TCDeals] - [TC Property Current Stage (Seq: 1)] - [Unit Mix (Seq: 7)] TC Unit Mix Type - Send]&gt;</t>
        </r>
      </text>
    </comment>
    <comment ref="J203" authorId="0" shapeId="0" xr:uid="{FF9D4256-9638-447A-82F0-B36849AD86ED}">
      <text>
        <r>
          <rPr>
            <b/>
            <sz val="9"/>
            <color indexed="81"/>
            <rFont val="Tahoma"/>
            <family val="2"/>
          </rPr>
          <t>&lt;[[TCDeals] - [TC Property Current Stage (Seq: 1)] - [Unit Mix (Seq: 7)] Net Rentable Sq Ft - Send]&gt;</t>
        </r>
      </text>
    </comment>
    <comment ref="L203" authorId="0" shapeId="0" xr:uid="{4161933D-1658-4541-A329-5510AECACF95}">
      <text>
        <r>
          <rPr>
            <b/>
            <sz val="9"/>
            <color indexed="81"/>
            <rFont val="Tahoma"/>
            <family val="2"/>
          </rPr>
          <t>&lt;[[TCDeals] - [TC Property Current Stage (Seq: 1)] - [Unit Mix (Seq: 7)] Num Units - Send]&gt;</t>
        </r>
      </text>
    </comment>
    <comment ref="N203" authorId="0" shapeId="0" xr:uid="{A57D55C7-6D99-480E-9078-661F8FC6057A}">
      <text>
        <r>
          <rPr>
            <b/>
            <sz val="9"/>
            <color indexed="81"/>
            <rFont val="Tahoma"/>
            <family val="2"/>
          </rPr>
          <t>&lt;[[TCDeals] - [TC Property Current Stage (Seq: 1)] - [Unit Mix (Seq: 7)] Num Units - Send]&gt;</t>
        </r>
      </text>
    </comment>
    <comment ref="P203" authorId="0" shapeId="0" xr:uid="{BCAE8EA4-4047-47B1-8726-471EACA71882}">
      <text>
        <r>
          <rPr>
            <b/>
            <sz val="9"/>
            <color indexed="81"/>
            <rFont val="Tahoma"/>
            <family val="2"/>
          </rPr>
          <t>&lt;[[TCDeals] - [TC Property Current Stage (Seq: 1)] - [Unit Mix (Seq: 7)] Income Target - Send]&gt;</t>
        </r>
      </text>
    </comment>
    <comment ref="Z203" authorId="0" shapeId="0" xr:uid="{0323CAB4-CBEE-457B-AAD6-A06B0AD62456}">
      <text>
        <r>
          <rPr>
            <b/>
            <sz val="9"/>
            <color indexed="81"/>
            <rFont val="Tahoma"/>
            <family val="2"/>
          </rPr>
          <t>&lt;[[TCDeals] - [Associated DEV Deal (Seq: 1)] - [Property (Seq: 1)] - [Locations (Seq: 1)] - [Unit Mix (Seq: 7)] Unit Type - Send]&gt;</t>
        </r>
      </text>
    </comment>
    <comment ref="AB203" authorId="0" shapeId="0" xr:uid="{96927C3C-0D72-4FFB-848A-ACB21B0B481E}">
      <text>
        <r>
          <rPr>
            <b/>
            <sz val="9"/>
            <color indexed="81"/>
            <rFont val="Tahoma"/>
            <family val="2"/>
          </rPr>
          <t>&lt;[[TCDeals] - [Associated DEV Deal (Seq: 1)] - [Property (Seq: 1)] - [Locations (Seq: 1)] - [Unit Mix (Seq: 7)] Residential Apartment Type - Send]&gt;</t>
        </r>
      </text>
    </comment>
    <comment ref="AD203" authorId="0" shapeId="0" xr:uid="{D73C477D-9A96-4FC7-B04B-866C0FB35819}">
      <text>
        <r>
          <rPr>
            <b/>
            <sz val="9"/>
            <color indexed="81"/>
            <rFont val="Tahoma"/>
            <family val="2"/>
          </rPr>
          <t>&lt;[[TCDeals] - [Associated DEV Deal (Seq: 1)] - [Property (Seq: 1)] - [Locations (Seq: 1)] - [Unit Mix (Seq: 7)] Base Rent - Send]&gt;</t>
        </r>
      </text>
    </comment>
    <comment ref="AF203" authorId="0" shapeId="0" xr:uid="{352D7A4E-5C6D-46EE-A420-04D2BAE19D06}">
      <text>
        <r>
          <rPr>
            <b/>
            <sz val="9"/>
            <color indexed="81"/>
            <rFont val="Tahoma"/>
            <family val="2"/>
          </rPr>
          <t>&lt;[[TCDeals] - [Associated DEV Deal (Seq: 1)] - [Property (Seq: 1)] - [Locations (Seq: 1)] - [Unit Mix (Seq: 7)] Square Footage - Send]&gt;</t>
        </r>
      </text>
    </comment>
    <comment ref="AH203" authorId="0" shapeId="0" xr:uid="{8F260284-8E6C-4479-BC12-91064EF17EB0}">
      <text>
        <r>
          <rPr>
            <b/>
            <sz val="9"/>
            <color indexed="81"/>
            <rFont val="Tahoma"/>
            <family val="2"/>
          </rPr>
          <t>&lt;[[TCDeals] - [Associated DEV Deal (Seq: 1)] - [Property (Seq: 1)] - [Locations (Seq: 1)] - [Unit Mix (Seq: 7)] Num Units - Send]&gt;</t>
        </r>
      </text>
    </comment>
    <comment ref="AL203" authorId="0" shapeId="0" xr:uid="{88C24A41-7D74-401C-A96A-EDCE3DF6F748}">
      <text>
        <r>
          <rPr>
            <b/>
            <sz val="9"/>
            <color indexed="81"/>
            <rFont val="Tahoma"/>
            <family val="2"/>
          </rPr>
          <t>&lt;[[TCDeals] - [Associated DEV Deal (Seq: 1)] - [Property (Seq: 1)] - [Locations (Seq: 1)] - [Unit Mix (Seq: 7)] Unit Mix Ami Percent - Send]&gt;</t>
        </r>
      </text>
    </comment>
    <comment ref="H204" authorId="0" shapeId="0" xr:uid="{5C122DFE-CCA8-4AE5-B830-6B300776F9F9}">
      <text>
        <r>
          <rPr>
            <b/>
            <sz val="9"/>
            <color indexed="81"/>
            <rFont val="Tahoma"/>
            <family val="2"/>
          </rPr>
          <t>&lt;[[TCDeals] - [TC Property Current Stage (Seq: 1)] - [Unit Mix (Seq: 8)] TC Unit Mix Type - Send]&gt;</t>
        </r>
      </text>
    </comment>
    <comment ref="J204" authorId="0" shapeId="0" xr:uid="{CDC21504-19BB-44DC-A86A-442C199183F3}">
      <text>
        <r>
          <rPr>
            <b/>
            <sz val="9"/>
            <color indexed="81"/>
            <rFont val="Tahoma"/>
            <family val="2"/>
          </rPr>
          <t>&lt;[[TCDeals] - [TC Property Current Stage (Seq: 1)] - [Unit Mix (Seq: 8)] Net Rentable Sq Ft - Send]&gt;</t>
        </r>
      </text>
    </comment>
    <comment ref="L204" authorId="0" shapeId="0" xr:uid="{94062DA2-ECC5-4580-9AAD-905E7792B97F}">
      <text>
        <r>
          <rPr>
            <b/>
            <sz val="9"/>
            <color indexed="81"/>
            <rFont val="Tahoma"/>
            <family val="2"/>
          </rPr>
          <t>&lt;[[TCDeals] - [TC Property Current Stage (Seq: 1)] - [Unit Mix (Seq: 8)] Num Units - Send]&gt;</t>
        </r>
      </text>
    </comment>
    <comment ref="N204" authorId="0" shapeId="0" xr:uid="{DB9B96FC-ECEE-4CA3-AA0F-3E0774C14ECB}">
      <text>
        <r>
          <rPr>
            <b/>
            <sz val="9"/>
            <color indexed="81"/>
            <rFont val="Tahoma"/>
            <family val="2"/>
          </rPr>
          <t>&lt;[[TCDeals] - [TC Property Current Stage (Seq: 1)] - [Unit Mix (Seq: 8)] Num Units - Send]&gt;</t>
        </r>
      </text>
    </comment>
    <comment ref="P204" authorId="0" shapeId="0" xr:uid="{DBD3482A-F60D-4759-83FB-4BE74478A925}">
      <text>
        <r>
          <rPr>
            <b/>
            <sz val="9"/>
            <color indexed="81"/>
            <rFont val="Tahoma"/>
            <family val="2"/>
          </rPr>
          <t>&lt;[[TCDeals] - [TC Property Current Stage (Seq: 1)] - [Unit Mix (Seq: 8)] Income Target - Send]&gt;</t>
        </r>
      </text>
    </comment>
    <comment ref="Z204" authorId="0" shapeId="0" xr:uid="{960427CB-C513-4790-8487-11F977A979ED}">
      <text>
        <r>
          <rPr>
            <b/>
            <sz val="9"/>
            <color indexed="81"/>
            <rFont val="Tahoma"/>
            <family val="2"/>
          </rPr>
          <t>&lt;[[TCDeals] - [Associated DEV Deal (Seq: 1)] - [Property (Seq: 1)] - [Locations (Seq: 1)] - [Unit Mix (Seq: 8)] Unit Type - Send]&gt;</t>
        </r>
      </text>
    </comment>
    <comment ref="AB204" authorId="0" shapeId="0" xr:uid="{609E11E2-C9F7-4525-8BBD-E065A6908E5F}">
      <text>
        <r>
          <rPr>
            <b/>
            <sz val="9"/>
            <color indexed="81"/>
            <rFont val="Tahoma"/>
            <family val="2"/>
          </rPr>
          <t>&lt;[[TCDeals] - [Associated DEV Deal (Seq: 1)] - [Property (Seq: 1)] - [Locations (Seq: 1)] - [Unit Mix (Seq: 8)] Residential Apartment Type - Send]&gt;</t>
        </r>
      </text>
    </comment>
    <comment ref="AD204" authorId="0" shapeId="0" xr:uid="{AEDEB35C-A6A9-45B7-A850-C2D42D01F0EF}">
      <text>
        <r>
          <rPr>
            <b/>
            <sz val="9"/>
            <color indexed="81"/>
            <rFont val="Tahoma"/>
            <family val="2"/>
          </rPr>
          <t>&lt;[[TCDeals] - [Associated DEV Deal (Seq: 1)] - [Property (Seq: 1)] - [Locations (Seq: 1)] - [Unit Mix (Seq: 8)] Base Rent - Send]&gt;</t>
        </r>
      </text>
    </comment>
    <comment ref="AF204" authorId="0" shapeId="0" xr:uid="{E50B1FE5-1AE1-430B-9159-8959B9A0ABC3}">
      <text>
        <r>
          <rPr>
            <b/>
            <sz val="9"/>
            <color indexed="81"/>
            <rFont val="Tahoma"/>
            <family val="2"/>
          </rPr>
          <t>&lt;[[TCDeals] - [Associated DEV Deal (Seq: 1)] - [Property (Seq: 1)] - [Locations (Seq: 1)] - [Unit Mix (Seq: 8)] Square Footage - Send]&gt;</t>
        </r>
      </text>
    </comment>
    <comment ref="AH204" authorId="0" shapeId="0" xr:uid="{48AFF306-C420-478E-9695-1C0EEA72DDF9}">
      <text>
        <r>
          <rPr>
            <b/>
            <sz val="9"/>
            <color indexed="81"/>
            <rFont val="Tahoma"/>
            <family val="2"/>
          </rPr>
          <t>&lt;[[TCDeals] - [Associated DEV Deal (Seq: 1)] - [Property (Seq: 1)] - [Locations (Seq: 1)] - [Unit Mix (Seq: 8)] Num Units - Send]&gt;</t>
        </r>
      </text>
    </comment>
    <comment ref="AL204" authorId="0" shapeId="0" xr:uid="{278F236E-438A-4D76-AB78-C068CB98C551}">
      <text>
        <r>
          <rPr>
            <b/>
            <sz val="9"/>
            <color indexed="81"/>
            <rFont val="Tahoma"/>
            <family val="2"/>
          </rPr>
          <t>&lt;[[TCDeals] - [Associated DEV Deal (Seq: 1)] - [Property (Seq: 1)] - [Locations (Seq: 1)] - [Unit Mix (Seq: 8)] Unit Mix Ami Percent - Send]&gt;</t>
        </r>
      </text>
    </comment>
    <comment ref="H205" authorId="0" shapeId="0" xr:uid="{6768EEF3-CAE1-4D8C-9840-E1BFF652D52C}">
      <text>
        <r>
          <rPr>
            <b/>
            <sz val="9"/>
            <color indexed="81"/>
            <rFont val="Tahoma"/>
            <family val="2"/>
          </rPr>
          <t>&lt;[[TCDeals] - [TC Property Current Stage (Seq: 1)] - [Unit Mix (Seq: 9)] TC Unit Mix Type - Send]&gt;</t>
        </r>
      </text>
    </comment>
    <comment ref="J205" authorId="0" shapeId="0" xr:uid="{06607CBD-489B-4AE3-94B1-66838A619B9A}">
      <text>
        <r>
          <rPr>
            <b/>
            <sz val="9"/>
            <color indexed="81"/>
            <rFont val="Tahoma"/>
            <family val="2"/>
          </rPr>
          <t>&lt;[[TCDeals] - [TC Property Current Stage (Seq: 1)] - [Unit Mix (Seq: 9)] Net Rentable Sq Ft - Send]&gt;</t>
        </r>
      </text>
    </comment>
    <comment ref="L205" authorId="0" shapeId="0" xr:uid="{58904B6F-FE5A-4AED-B77F-31C3638555B0}">
      <text>
        <r>
          <rPr>
            <b/>
            <sz val="9"/>
            <color indexed="81"/>
            <rFont val="Tahoma"/>
            <family val="2"/>
          </rPr>
          <t>&lt;[[TCDeals] - [TC Property Current Stage (Seq: 1)] - [Unit Mix (Seq: 9)] Num Units - Send]&gt;</t>
        </r>
      </text>
    </comment>
    <comment ref="N205" authorId="0" shapeId="0" xr:uid="{E036257D-5A4C-4027-93C5-CA8B8A41A285}">
      <text>
        <r>
          <rPr>
            <b/>
            <sz val="9"/>
            <color indexed="81"/>
            <rFont val="Tahoma"/>
            <family val="2"/>
          </rPr>
          <t>&lt;[[TCDeals] - [TC Property Current Stage (Seq: 1)] - [Unit Mix (Seq: 9)] Num Units - Send]&gt;</t>
        </r>
      </text>
    </comment>
    <comment ref="P205" authorId="0" shapeId="0" xr:uid="{061FAB75-CC6D-4253-BD59-2B0371141EDE}">
      <text>
        <r>
          <rPr>
            <b/>
            <sz val="9"/>
            <color indexed="81"/>
            <rFont val="Tahoma"/>
            <family val="2"/>
          </rPr>
          <t>&lt;[[TCDeals] - [TC Property Current Stage (Seq: 1)] - [Unit Mix (Seq: 9)] Income Target - Send]&gt;</t>
        </r>
      </text>
    </comment>
    <comment ref="Z205" authorId="0" shapeId="0" xr:uid="{D4CDCD8D-25B5-42F3-ACD3-4DBCF379A0EC}">
      <text>
        <r>
          <rPr>
            <b/>
            <sz val="9"/>
            <color indexed="81"/>
            <rFont val="Tahoma"/>
            <family val="2"/>
          </rPr>
          <t>&lt;[[TCDeals] - [Associated DEV Deal (Seq: 1)] - [Property (Seq: 1)] - [Locations (Seq: 1)] - [Unit Mix (Seq: 9)] Unit Type - Send]&gt;</t>
        </r>
      </text>
    </comment>
    <comment ref="AB205" authorId="0" shapeId="0" xr:uid="{38F2A21B-2C56-4D8B-AD1C-18FD5789A1D2}">
      <text>
        <r>
          <rPr>
            <b/>
            <sz val="9"/>
            <color indexed="81"/>
            <rFont val="Tahoma"/>
            <family val="2"/>
          </rPr>
          <t>&lt;[[TCDeals] - [Associated DEV Deal (Seq: 1)] - [Property (Seq: 1)] - [Locations (Seq: 1)] - [Unit Mix (Seq: 9)] Residential Apartment Type - Send]&gt;</t>
        </r>
      </text>
    </comment>
    <comment ref="AD205" authorId="0" shapeId="0" xr:uid="{42FDA74C-C5C0-4597-A86F-67C50ED34E3D}">
      <text>
        <r>
          <rPr>
            <b/>
            <sz val="9"/>
            <color indexed="81"/>
            <rFont val="Tahoma"/>
            <family val="2"/>
          </rPr>
          <t>&lt;[[TCDeals] - [Associated DEV Deal (Seq: 1)] - [Property (Seq: 1)] - [Locations (Seq: 1)] - [Unit Mix (Seq: 9)] Base Rent - Send]&gt;</t>
        </r>
      </text>
    </comment>
    <comment ref="AF205" authorId="0" shapeId="0" xr:uid="{BF008168-DAF8-4A80-9C38-F0749C052F47}">
      <text>
        <r>
          <rPr>
            <b/>
            <sz val="9"/>
            <color indexed="81"/>
            <rFont val="Tahoma"/>
            <family val="2"/>
          </rPr>
          <t>&lt;[[TCDeals] - [Associated DEV Deal (Seq: 1)] - [Property (Seq: 1)] - [Locations (Seq: 1)] - [Unit Mix (Seq: 9)] Square Footage - Send]&gt;</t>
        </r>
      </text>
    </comment>
    <comment ref="AH205" authorId="0" shapeId="0" xr:uid="{427F0D05-2D9B-41C6-98CD-A8F2EDF97D06}">
      <text>
        <r>
          <rPr>
            <b/>
            <sz val="9"/>
            <color indexed="81"/>
            <rFont val="Tahoma"/>
            <family val="2"/>
          </rPr>
          <t>&lt;[[TCDeals] - [Associated DEV Deal (Seq: 1)] - [Property (Seq: 1)] - [Locations (Seq: 1)] - [Unit Mix (Seq: 9)] Num Units - Send]&gt;</t>
        </r>
      </text>
    </comment>
    <comment ref="AL205" authorId="0" shapeId="0" xr:uid="{711ACF98-875F-41BB-9CD3-F4EB7E777B34}">
      <text>
        <r>
          <rPr>
            <b/>
            <sz val="9"/>
            <color indexed="81"/>
            <rFont val="Tahoma"/>
            <family val="2"/>
          </rPr>
          <t>&lt;[[TCDeals] - [Associated DEV Deal (Seq: 1)] - [Property (Seq: 1)] - [Locations (Seq: 1)] - [Unit Mix (Seq: 9)] Unit Mix Ami Percent - Send]&gt;</t>
        </r>
      </text>
    </comment>
    <comment ref="H206" authorId="0" shapeId="0" xr:uid="{CBC5E9F8-58A2-40A5-9023-89EF1BA071A5}">
      <text>
        <r>
          <rPr>
            <b/>
            <sz val="9"/>
            <color indexed="81"/>
            <rFont val="Tahoma"/>
            <family val="2"/>
          </rPr>
          <t>&lt;[[TCDeals] - [TC Property Current Stage (Seq: 1)] - [Unit Mix (Seq: 10)] TC Unit Mix Type - Send]&gt;</t>
        </r>
      </text>
    </comment>
    <comment ref="J206" authorId="0" shapeId="0" xr:uid="{F55CC871-A636-42B6-A4F2-AB036716300F}">
      <text>
        <r>
          <rPr>
            <b/>
            <sz val="9"/>
            <color indexed="81"/>
            <rFont val="Tahoma"/>
            <family val="2"/>
          </rPr>
          <t>&lt;[[TCDeals] - [TC Property Current Stage (Seq: 1)] - [Unit Mix (Seq: 10)] Net Rentable Sq Ft - Send]&gt;</t>
        </r>
      </text>
    </comment>
    <comment ref="L206" authorId="0" shapeId="0" xr:uid="{5003D809-AAEE-4320-B9F8-1332F9D24BA7}">
      <text>
        <r>
          <rPr>
            <b/>
            <sz val="9"/>
            <color indexed="81"/>
            <rFont val="Tahoma"/>
            <family val="2"/>
          </rPr>
          <t>&lt;[[TCDeals] - [TC Property Current Stage (Seq: 1)] - [Unit Mix (Seq: 10)] Num Units - Send]&gt;</t>
        </r>
      </text>
    </comment>
    <comment ref="N206" authorId="0" shapeId="0" xr:uid="{2A7D3D4A-C86A-4A5A-BA40-1D3F27B7557C}">
      <text>
        <r>
          <rPr>
            <b/>
            <sz val="9"/>
            <color indexed="81"/>
            <rFont val="Tahoma"/>
            <family val="2"/>
          </rPr>
          <t>&lt;[[TCDeals] - [TC Property Current Stage (Seq: 1)] - [Unit Mix (Seq: 10)] Num Units - Send]&gt;</t>
        </r>
      </text>
    </comment>
    <comment ref="P206" authorId="0" shapeId="0" xr:uid="{49DECF82-4453-4410-84FA-FA502ECFF397}">
      <text>
        <r>
          <rPr>
            <b/>
            <sz val="9"/>
            <color indexed="81"/>
            <rFont val="Tahoma"/>
            <family val="2"/>
          </rPr>
          <t>&lt;[[TCDeals] - [TC Property Current Stage (Seq: 1)] - [Unit Mix (Seq: 1)] Income Target - Send]&gt;</t>
        </r>
      </text>
    </comment>
    <comment ref="Z206" authorId="0" shapeId="0" xr:uid="{28ADB514-940F-4355-B5DC-59125E640813}">
      <text>
        <r>
          <rPr>
            <b/>
            <sz val="9"/>
            <color indexed="81"/>
            <rFont val="Tahoma"/>
            <family val="2"/>
          </rPr>
          <t>&lt;[[TCDeals] - [Associated DEV Deal (Seq: 1)] - [Property (Seq: 1)] - [Locations (Seq: 1)] - [Unit Mix (Seq: 10)] Unit Type - Send]&gt;</t>
        </r>
      </text>
    </comment>
    <comment ref="AB206" authorId="0" shapeId="0" xr:uid="{744C361B-32D3-401E-ADB4-B01392A9E8EA}">
      <text>
        <r>
          <rPr>
            <b/>
            <sz val="9"/>
            <color indexed="81"/>
            <rFont val="Tahoma"/>
            <family val="2"/>
          </rPr>
          <t>&lt;[[TCDeals] - [Associated DEV Deal (Seq: 1)] - [Property (Seq: 1)] - [Locations (Seq: 1)] - [Unit Mix (Seq: 10)] Residential Apartment Type - Send]&gt;</t>
        </r>
      </text>
    </comment>
    <comment ref="AD206" authorId="0" shapeId="0" xr:uid="{88A51BE0-4C2D-42B5-AD87-BACD6816E507}">
      <text>
        <r>
          <rPr>
            <b/>
            <sz val="9"/>
            <color indexed="81"/>
            <rFont val="Tahoma"/>
            <family val="2"/>
          </rPr>
          <t>&lt;[[TCDeals] - [Associated DEV Deal (Seq: 1)] - [Property (Seq: 1)] - [Locations (Seq: 1)] - [Unit Mix (Seq: 10)] Base Rent - Send]&gt;</t>
        </r>
      </text>
    </comment>
    <comment ref="AF206" authorId="0" shapeId="0" xr:uid="{4B0527D4-D0D3-4643-B95D-9AA859BB44F6}">
      <text>
        <r>
          <rPr>
            <b/>
            <sz val="9"/>
            <color indexed="81"/>
            <rFont val="Tahoma"/>
            <family val="2"/>
          </rPr>
          <t>&lt;[[TCDeals] - [Associated DEV Deal (Seq: 1)] - [Property (Seq: 1)] - [Locations (Seq: 1)] - [Unit Mix (Seq: 10)] Square Footage - Send]&gt;</t>
        </r>
      </text>
    </comment>
    <comment ref="AH206" authorId="0" shapeId="0" xr:uid="{3EBE4088-F7A2-4ECE-9DDA-7C5E09087081}">
      <text>
        <r>
          <rPr>
            <b/>
            <sz val="9"/>
            <color indexed="81"/>
            <rFont val="Tahoma"/>
            <family val="2"/>
          </rPr>
          <t>&lt;[[TCDeals] - [Associated DEV Deal (Seq: 1)] - [Property (Seq: 1)] - [Locations (Seq: 1)] - [Unit Mix (Seq: 10)] Num Units - Send]&gt;</t>
        </r>
      </text>
    </comment>
    <comment ref="AL206" authorId="0" shapeId="0" xr:uid="{7254B302-A498-4CA2-8EB2-AF3061F61F91}">
      <text>
        <r>
          <rPr>
            <b/>
            <sz val="9"/>
            <color indexed="81"/>
            <rFont val="Tahoma"/>
            <family val="2"/>
          </rPr>
          <t>&lt;[[TCDeals] - [Associated DEV Deal (Seq: 1)] - [Property (Seq: 1)] - [Locations (Seq: 1)] - [Unit Mix (Seq: 10)] Unit Mix Ami Percent - Send]&gt;</t>
        </r>
      </text>
    </comment>
    <comment ref="H207" authorId="0" shapeId="0" xr:uid="{E7C328AB-3A91-4E19-BAB2-6AC2C176EE94}">
      <text>
        <r>
          <rPr>
            <b/>
            <sz val="9"/>
            <color indexed="81"/>
            <rFont val="Tahoma"/>
            <family val="2"/>
          </rPr>
          <t>&lt;[[TCDeals] - [TC Property Current Stage (Seq: 1)] - [Unit Mix (Seq: 11)] TC Unit Mix Type - Send]&gt;</t>
        </r>
      </text>
    </comment>
    <comment ref="J207" authorId="0" shapeId="0" xr:uid="{731FB508-F839-4E27-95BA-F859C9AF12BD}">
      <text>
        <r>
          <rPr>
            <b/>
            <sz val="9"/>
            <color indexed="81"/>
            <rFont val="Tahoma"/>
            <family val="2"/>
          </rPr>
          <t>&lt;[[TCDeals] - [TC Property Current Stage (Seq: 1)] - [Unit Mix (Seq: 1)] Net Rentable Sq Ft - Send]&gt;</t>
        </r>
      </text>
    </comment>
    <comment ref="L207" authorId="0" shapeId="0" xr:uid="{6F913268-DEEC-4202-8A31-6CB44814EE41}">
      <text>
        <r>
          <rPr>
            <b/>
            <sz val="9"/>
            <color indexed="81"/>
            <rFont val="Tahoma"/>
            <family val="2"/>
          </rPr>
          <t>&lt;[[TCDeals] - [TC Property Current Stage (Seq: 1)] - [Unit Mix (Seq: 11)] Num Units - Send]&gt;</t>
        </r>
      </text>
    </comment>
    <comment ref="N207" authorId="0" shapeId="0" xr:uid="{A6809F3F-A7E1-4B12-850C-D9B3AABB0709}">
      <text>
        <r>
          <rPr>
            <b/>
            <sz val="9"/>
            <color indexed="81"/>
            <rFont val="Tahoma"/>
            <family val="2"/>
          </rPr>
          <t>&lt;[[TCDeals] - [TC Property Current Stage (Seq: 1)] - [Unit Mix (Seq: 11)] Num Units - Send]&gt;</t>
        </r>
      </text>
    </comment>
    <comment ref="P207" authorId="0" shapeId="0" xr:uid="{13017998-6E0D-43E4-8709-E7B2669D4D58}">
      <text>
        <r>
          <rPr>
            <b/>
            <sz val="9"/>
            <color indexed="81"/>
            <rFont val="Tahoma"/>
            <family val="2"/>
          </rPr>
          <t>&lt;[[TCDeals] - [TC Property Current Stage (Seq: 1)] - [Unit Mix (Seq: 1)] Income Target - Send]&gt;</t>
        </r>
      </text>
    </comment>
    <comment ref="Z207" authorId="0" shapeId="0" xr:uid="{255AB3F6-2462-4E0E-8244-E19FA5DB2009}">
      <text>
        <r>
          <rPr>
            <b/>
            <sz val="9"/>
            <color indexed="81"/>
            <rFont val="Tahoma"/>
            <family val="2"/>
          </rPr>
          <t>&lt;[[TCDeals] - [Associated DEV Deal (Seq: 1)] - [Property (Seq: 1)] - [Locations (Seq: 1)] - [Unit Mix (Seq: 11)] Unit Type - Send]&gt;</t>
        </r>
      </text>
    </comment>
    <comment ref="AB207" authorId="0" shapeId="0" xr:uid="{01EEA81B-075E-4A4A-AA39-BE2B83A2ABE1}">
      <text>
        <r>
          <rPr>
            <b/>
            <sz val="9"/>
            <color indexed="81"/>
            <rFont val="Tahoma"/>
            <family val="2"/>
          </rPr>
          <t>&lt;[[TCDeals] - [Associated DEV Deal (Seq: 1)] - [Property (Seq: 1)] - [Locations (Seq: 1)] - [Unit Mix (Seq: 11)] Residential Apartment Type - Send]&gt;</t>
        </r>
      </text>
    </comment>
    <comment ref="AD207" authorId="0" shapeId="0" xr:uid="{EA1F7FCB-9B24-43E1-910C-FEBB7B34A484}">
      <text>
        <r>
          <rPr>
            <b/>
            <sz val="9"/>
            <color indexed="81"/>
            <rFont val="Tahoma"/>
            <family val="2"/>
          </rPr>
          <t>&lt;[[TCDeals] - [Associated DEV Deal (Seq: 1)] - [Property (Seq: 1)] - [Locations (Seq: 1)] - [Unit Mix (Seq: 11)] Base Rent - Send]&gt;</t>
        </r>
      </text>
    </comment>
    <comment ref="AF207" authorId="0" shapeId="0" xr:uid="{3EDFA8EF-64ED-4E5B-BCD6-5F50F46B829B}">
      <text>
        <r>
          <rPr>
            <b/>
            <sz val="9"/>
            <color indexed="81"/>
            <rFont val="Tahoma"/>
            <family val="2"/>
          </rPr>
          <t>&lt;[[TCDeals] - [Associated DEV Deal (Seq: 1)] - [Property (Seq: 1)] - [Locations (Seq: 1)] - [Unit Mix (Seq: 11)] Square Footage - Send]&gt;</t>
        </r>
      </text>
    </comment>
    <comment ref="AH207" authorId="0" shapeId="0" xr:uid="{0CDE47A1-7961-4246-A5D1-333E69189B98}">
      <text>
        <r>
          <rPr>
            <b/>
            <sz val="9"/>
            <color indexed="81"/>
            <rFont val="Tahoma"/>
            <family val="2"/>
          </rPr>
          <t>&lt;[[TCDeals] - [Associated DEV Deal (Seq: 1)] - [Property (Seq: 1)] - [Locations (Seq: 1)] - [Unit Mix (Seq: 11)] Num Units - Send]&gt;</t>
        </r>
      </text>
    </comment>
    <comment ref="AL207" authorId="0" shapeId="0" xr:uid="{D0CB926E-3A48-48D5-B994-D71EDC3B0397}">
      <text>
        <r>
          <rPr>
            <b/>
            <sz val="9"/>
            <color indexed="81"/>
            <rFont val="Tahoma"/>
            <family val="2"/>
          </rPr>
          <t>&lt;[[TCDeals] - [Associated DEV Deal (Seq: 1)] - [Property (Seq: 1)] - [Locations (Seq: 1)] - [Unit Mix (Seq: 11)] Unit Mix Ami Percent - Send]&gt;</t>
        </r>
      </text>
    </comment>
    <comment ref="H208" authorId="0" shapeId="0" xr:uid="{488909F1-C8F2-494C-8961-71F093E9713A}">
      <text>
        <r>
          <rPr>
            <b/>
            <sz val="9"/>
            <color indexed="81"/>
            <rFont val="Tahoma"/>
            <family val="2"/>
          </rPr>
          <t>&lt;[[TCDeals] - [TC Property Current Stage (Seq: 1)] - [Unit Mix (Seq: 12)] TC Unit Mix Type - Send]&gt;</t>
        </r>
      </text>
    </comment>
    <comment ref="J208" authorId="0" shapeId="0" xr:uid="{A2E5E30A-82D1-4C08-8C22-DD28B157AC43}">
      <text>
        <r>
          <rPr>
            <b/>
            <sz val="9"/>
            <color indexed="81"/>
            <rFont val="Tahoma"/>
            <family val="2"/>
          </rPr>
          <t>&lt;[[TCDeals] - [TC Property Current Stage (Seq: 1)] - [Unit Mix (Seq: 1)] Net Rentable Sq Ft - Send]&gt;</t>
        </r>
      </text>
    </comment>
    <comment ref="L208" authorId="0" shapeId="0" xr:uid="{3E080BD2-05C5-40B2-8273-29908CE8A5F4}">
      <text>
        <r>
          <rPr>
            <b/>
            <sz val="9"/>
            <color indexed="81"/>
            <rFont val="Tahoma"/>
            <family val="2"/>
          </rPr>
          <t>&lt;[[TCDeals] - [TC Property Current Stage (Seq: 1)] - [Unit Mix (Seq: 12)] Num Units - Send]&gt;</t>
        </r>
      </text>
    </comment>
    <comment ref="N208" authorId="0" shapeId="0" xr:uid="{E601BBB7-E247-4D5F-846E-5B4C8D7BDEFA}">
      <text>
        <r>
          <rPr>
            <b/>
            <sz val="9"/>
            <color indexed="81"/>
            <rFont val="Tahoma"/>
            <family val="2"/>
          </rPr>
          <t>&lt;[[TCDeals] - [TC Property Current Stage (Seq: 1)] - [Unit Mix (Seq: 12)] Num Units - Send]&gt;</t>
        </r>
      </text>
    </comment>
    <comment ref="P208" authorId="0" shapeId="0" xr:uid="{06DB850F-920F-48F9-8D43-CEB07A2F1E0E}">
      <text>
        <r>
          <rPr>
            <b/>
            <sz val="9"/>
            <color indexed="81"/>
            <rFont val="Tahoma"/>
            <family val="2"/>
          </rPr>
          <t>&lt;[[TCDeals] - [TC Property Current Stage (Seq: 1)] - [Unit Mix (Seq: 1)] Income Target - Send]&gt;</t>
        </r>
      </text>
    </comment>
    <comment ref="Z208" authorId="0" shapeId="0" xr:uid="{9BC42E13-DC48-474E-AAA5-598C89ED3F33}">
      <text>
        <r>
          <rPr>
            <b/>
            <sz val="9"/>
            <color indexed="81"/>
            <rFont val="Tahoma"/>
            <family val="2"/>
          </rPr>
          <t>&lt;[[TCDeals] - [Associated DEV Deal (Seq: 1)] - [Property (Seq: 1)] - [Locations (Seq: 1)] - [Unit Mix (Seq: 12)] Unit Type - Send]&gt;</t>
        </r>
      </text>
    </comment>
    <comment ref="AB208" authorId="0" shapeId="0" xr:uid="{A862C4C2-066E-40AA-8127-7AADDDFFDA69}">
      <text>
        <r>
          <rPr>
            <b/>
            <sz val="9"/>
            <color indexed="81"/>
            <rFont val="Tahoma"/>
            <family val="2"/>
          </rPr>
          <t>&lt;[[TCDeals] - [Associated DEV Deal (Seq: 1)] - [Property (Seq: 1)] - [Locations (Seq: 1)] - [Unit Mix (Seq: 12)] Residential Apartment Type - Send]&gt;</t>
        </r>
      </text>
    </comment>
    <comment ref="AD208" authorId="0" shapeId="0" xr:uid="{D77FA516-8F48-4581-BE30-22011D983C0A}">
      <text>
        <r>
          <rPr>
            <b/>
            <sz val="9"/>
            <color indexed="81"/>
            <rFont val="Tahoma"/>
            <family val="2"/>
          </rPr>
          <t>&lt;[[TCDeals] - [Associated DEV Deal (Seq: 1)] - [Property (Seq: 1)] - [Locations (Seq: 1)] - [Unit Mix (Seq: 12)] Base Rent - Send]&gt;</t>
        </r>
      </text>
    </comment>
    <comment ref="AF208" authorId="0" shapeId="0" xr:uid="{C31D232D-EEE1-4F2F-850E-FEB9DD34A085}">
      <text>
        <r>
          <rPr>
            <b/>
            <sz val="9"/>
            <color indexed="81"/>
            <rFont val="Tahoma"/>
            <family val="2"/>
          </rPr>
          <t>&lt;[[TCDeals] - [Associated DEV Deal (Seq: 1)] - [Property (Seq: 1)] - [Locations (Seq: 1)] - [Unit Mix (Seq: 12)] Square Footage - Send]&gt;</t>
        </r>
      </text>
    </comment>
    <comment ref="AH208" authorId="0" shapeId="0" xr:uid="{48A89171-8AC2-4FB0-BF99-EA3C09DB3F91}">
      <text>
        <r>
          <rPr>
            <b/>
            <sz val="9"/>
            <color indexed="81"/>
            <rFont val="Tahoma"/>
            <family val="2"/>
          </rPr>
          <t>&lt;[[TCDeals] - [Associated DEV Deal (Seq: 1)] - [Property (Seq: 1)] - [Locations (Seq: 1)] - [Unit Mix (Seq: 12)] Num Units - Send]&gt;</t>
        </r>
      </text>
    </comment>
    <comment ref="AL208" authorId="0" shapeId="0" xr:uid="{4CDE582E-7063-41FF-AC3F-6DA72C078C02}">
      <text>
        <r>
          <rPr>
            <b/>
            <sz val="9"/>
            <color indexed="81"/>
            <rFont val="Tahoma"/>
            <family val="2"/>
          </rPr>
          <t>&lt;[[TCDeals] - [Associated DEV Deal (Seq: 1)] - [Property (Seq: 1)] - [Locations (Seq: 1)] - [Unit Mix (Seq: 12)] Unit Mix Ami Percent - Send]&gt;</t>
        </r>
      </text>
    </comment>
    <comment ref="H209" authorId="0" shapeId="0" xr:uid="{93FD4083-2F42-488A-BD56-B0CA7FD6668F}">
      <text>
        <r>
          <rPr>
            <b/>
            <sz val="9"/>
            <color indexed="81"/>
            <rFont val="Tahoma"/>
            <family val="2"/>
          </rPr>
          <t>&lt;[[TCDeals] - [TC Property Current Stage (Seq: 1)] - [Unit Mix (Seq: 13)] TC Unit Mix Type - Send]&gt;</t>
        </r>
      </text>
    </comment>
    <comment ref="J209" authorId="0" shapeId="0" xr:uid="{FB88D93A-1803-4CE5-9498-5090944F732F}">
      <text>
        <r>
          <rPr>
            <b/>
            <sz val="9"/>
            <color indexed="81"/>
            <rFont val="Tahoma"/>
            <family val="2"/>
          </rPr>
          <t>&lt;[[TCDeals] - [TC Property Current Stage (Seq: 1)] - [Unit Mix (Seq: 1)] Net Rentable Sq Ft - Send]&gt;</t>
        </r>
      </text>
    </comment>
    <comment ref="L209" authorId="0" shapeId="0" xr:uid="{0AEA7B04-6160-4186-BA2D-5FB47FD70AC1}">
      <text>
        <r>
          <rPr>
            <b/>
            <sz val="9"/>
            <color indexed="81"/>
            <rFont val="Tahoma"/>
            <family val="2"/>
          </rPr>
          <t>&lt;[[TCDeals] - [TC Property Current Stage (Seq: 1)] - [Unit Mix (Seq: 13)] Num Units - Send]&gt;</t>
        </r>
      </text>
    </comment>
    <comment ref="N209" authorId="0" shapeId="0" xr:uid="{2E7E7EAD-365C-428B-B04F-FC920E72E9E6}">
      <text>
        <r>
          <rPr>
            <b/>
            <sz val="9"/>
            <color indexed="81"/>
            <rFont val="Tahoma"/>
            <family val="2"/>
          </rPr>
          <t>&lt;[[TCDeals] - [TC Property Current Stage (Seq: 1)] - [Unit Mix (Seq: 13)] Num Units - Send]&gt;</t>
        </r>
      </text>
    </comment>
    <comment ref="P209" authorId="0" shapeId="0" xr:uid="{E6BA34AE-E766-4DE2-8CD3-E49465E2426F}">
      <text>
        <r>
          <rPr>
            <b/>
            <sz val="9"/>
            <color indexed="81"/>
            <rFont val="Tahoma"/>
            <family val="2"/>
          </rPr>
          <t>&lt;[[TCDeals] - [TC Property Current Stage (Seq: 1)] - [Unit Mix (Seq: 1)] Income Target - Send]&gt;</t>
        </r>
      </text>
    </comment>
    <comment ref="Z209" authorId="0" shapeId="0" xr:uid="{174E6981-AE3C-426B-A678-4A0D20E184DC}">
      <text>
        <r>
          <rPr>
            <b/>
            <sz val="9"/>
            <color indexed="81"/>
            <rFont val="Tahoma"/>
            <family val="2"/>
          </rPr>
          <t>&lt;[[TCDeals] - [Associated DEV Deal (Seq: 1)] - [Property (Seq: 1)] - [Locations (Seq: 1)] - [Unit Mix (Seq: 13)] Unit Type - Send]&gt;</t>
        </r>
      </text>
    </comment>
    <comment ref="AB209" authorId="0" shapeId="0" xr:uid="{7FA02107-C68D-4603-BAB9-459479494B51}">
      <text>
        <r>
          <rPr>
            <b/>
            <sz val="9"/>
            <color indexed="81"/>
            <rFont val="Tahoma"/>
            <family val="2"/>
          </rPr>
          <t>&lt;[[TCDeals] - [Associated DEV Deal (Seq: 1)] - [Property (Seq: 1)] - [Locations (Seq: 1)] - [Unit Mix (Seq: 13)] Residential Apartment Type - Send]&gt;</t>
        </r>
      </text>
    </comment>
    <comment ref="AD209" authorId="0" shapeId="0" xr:uid="{5212C32B-9F66-4680-99F2-D1C3D7FCB625}">
      <text>
        <r>
          <rPr>
            <b/>
            <sz val="9"/>
            <color indexed="81"/>
            <rFont val="Tahoma"/>
            <family val="2"/>
          </rPr>
          <t>&lt;[[TCDeals] - [Associated DEV Deal (Seq: 1)] - [Property (Seq: 1)] - [Locations (Seq: 1)] - [Unit Mix (Seq: 13)] Base Rent - Send]&gt;</t>
        </r>
      </text>
    </comment>
    <comment ref="AF209" authorId="0" shapeId="0" xr:uid="{F0DF4521-492F-45CC-B5E8-02AEB7BAD05B}">
      <text>
        <r>
          <rPr>
            <b/>
            <sz val="9"/>
            <color indexed="81"/>
            <rFont val="Tahoma"/>
            <family val="2"/>
          </rPr>
          <t>&lt;[[TCDeals] - [Associated DEV Deal (Seq: 1)] - [Property (Seq: 1)] - [Locations (Seq: 1)] - [Unit Mix (Seq: 13)] Square Footage - Send]&gt;</t>
        </r>
      </text>
    </comment>
    <comment ref="AH209" authorId="0" shapeId="0" xr:uid="{FF6563A8-390A-4ADC-94AB-B262606C0F0A}">
      <text>
        <r>
          <rPr>
            <b/>
            <sz val="9"/>
            <color indexed="81"/>
            <rFont val="Tahoma"/>
            <family val="2"/>
          </rPr>
          <t>&lt;[[TCDeals] - [Associated DEV Deal (Seq: 1)] - [Property (Seq: 1)] - [Locations (Seq: 1)] - [Unit Mix (Seq: 13)] Num Units - Send]&gt;</t>
        </r>
      </text>
    </comment>
    <comment ref="AL209" authorId="0" shapeId="0" xr:uid="{1F1EC422-C6F6-493A-AD3E-F93DA747BEB9}">
      <text>
        <r>
          <rPr>
            <b/>
            <sz val="9"/>
            <color indexed="81"/>
            <rFont val="Tahoma"/>
            <family val="2"/>
          </rPr>
          <t>&lt;[[TCDeals] - [Associated DEV Deal (Seq: 1)] - [Property (Seq: 1)] - [Locations (Seq: 1)] - [Unit Mix (Seq: 13)] Unit Mix Ami Percent - Send]&gt;</t>
        </r>
      </text>
    </comment>
    <comment ref="H210" authorId="0" shapeId="0" xr:uid="{2D85B4A7-7F30-412F-9754-EB464BF9AF52}">
      <text>
        <r>
          <rPr>
            <b/>
            <sz val="9"/>
            <color indexed="81"/>
            <rFont val="Tahoma"/>
            <family val="2"/>
          </rPr>
          <t>&lt;[[TCDeals] - [TC Property Current Stage (Seq: 1)] - [Unit Mix (Seq: 14)] TC Unit Mix Type - Send]&gt;</t>
        </r>
      </text>
    </comment>
    <comment ref="J210" authorId="0" shapeId="0" xr:uid="{57DFFDD9-E7E1-4B41-B9C9-81BF409522D2}">
      <text>
        <r>
          <rPr>
            <b/>
            <sz val="9"/>
            <color indexed="81"/>
            <rFont val="Tahoma"/>
            <family val="2"/>
          </rPr>
          <t>&lt;[[TCDeals] - [TC Property Current Stage (Seq: 1)] - [Unit Mix (Seq: 1)] Net Rentable Sq Ft - Send]&gt;</t>
        </r>
      </text>
    </comment>
    <comment ref="L210" authorId="0" shapeId="0" xr:uid="{E6735054-DF0A-40EE-9722-E8958421D5F4}">
      <text>
        <r>
          <rPr>
            <b/>
            <sz val="9"/>
            <color indexed="81"/>
            <rFont val="Tahoma"/>
            <family val="2"/>
          </rPr>
          <t>&lt;[[TCDeals] - [TC Property Current Stage (Seq: 1)] - [Unit Mix (Seq: 14)] Num Units - Send]&gt;</t>
        </r>
      </text>
    </comment>
    <comment ref="N210" authorId="0" shapeId="0" xr:uid="{D622D373-2DD3-4444-9C44-D8013CDDB2A9}">
      <text>
        <r>
          <rPr>
            <b/>
            <sz val="9"/>
            <color indexed="81"/>
            <rFont val="Tahoma"/>
            <family val="2"/>
          </rPr>
          <t>&lt;[[TCDeals] - [TC Property Current Stage (Seq: 1)] - [Unit Mix (Seq: 14)] Num Units - Send]&gt;</t>
        </r>
      </text>
    </comment>
    <comment ref="P210" authorId="0" shapeId="0" xr:uid="{6AF49F32-4CBC-4432-A49C-991F34B240B1}">
      <text>
        <r>
          <rPr>
            <b/>
            <sz val="9"/>
            <color indexed="81"/>
            <rFont val="Tahoma"/>
            <family val="2"/>
          </rPr>
          <t>&lt;[[TCDeals] - [TC Property Current Stage (Seq: 1)] - [Unit Mix (Seq: 1)] Income Target - Send]&gt;</t>
        </r>
      </text>
    </comment>
    <comment ref="Z210" authorId="0" shapeId="0" xr:uid="{0BEFA6F9-F5B8-46F6-AE29-5BF9640C479C}">
      <text>
        <r>
          <rPr>
            <b/>
            <sz val="9"/>
            <color indexed="81"/>
            <rFont val="Tahoma"/>
            <family val="2"/>
          </rPr>
          <t>&lt;[[TCDeals] - [Associated DEV Deal (Seq: 1)] - [Property (Seq: 1)] - [Locations (Seq: 1)] - [Unit Mix (Seq: 14)] Unit Type - Send]&gt;</t>
        </r>
      </text>
    </comment>
    <comment ref="AB210" authorId="0" shapeId="0" xr:uid="{16FB2EF8-E350-40A8-865D-D08A3FA7EA84}">
      <text>
        <r>
          <rPr>
            <b/>
            <sz val="9"/>
            <color indexed="81"/>
            <rFont val="Tahoma"/>
            <family val="2"/>
          </rPr>
          <t>&lt;[[TCDeals] - [Associated DEV Deal (Seq: 1)] - [Property (Seq: 1)] - [Locations (Seq: 1)] - [Unit Mix (Seq: 14)] Residential Apartment Type - Send]&gt;</t>
        </r>
      </text>
    </comment>
    <comment ref="AD210" authorId="0" shapeId="0" xr:uid="{72612579-B760-4BBD-B60B-3E43DF89FBCF}">
      <text>
        <r>
          <rPr>
            <b/>
            <sz val="9"/>
            <color indexed="81"/>
            <rFont val="Tahoma"/>
            <family val="2"/>
          </rPr>
          <t>&lt;[[TCDeals] - [Associated DEV Deal (Seq: 1)] - [Property (Seq: 1)] - [Locations (Seq: 1)] - [Unit Mix (Seq: 14)] Base Rent - Send]&gt;</t>
        </r>
      </text>
    </comment>
    <comment ref="AF210" authorId="0" shapeId="0" xr:uid="{735656FA-8CB1-4491-9CB4-DD1A1D14C38A}">
      <text>
        <r>
          <rPr>
            <b/>
            <sz val="9"/>
            <color indexed="81"/>
            <rFont val="Tahoma"/>
            <family val="2"/>
          </rPr>
          <t>&lt;[[TCDeals] - [Associated DEV Deal (Seq: 1)] - [Property (Seq: 1)] - [Locations (Seq: 1)] - [Unit Mix (Seq: 14)] Square Footage - Send]&gt;</t>
        </r>
      </text>
    </comment>
    <comment ref="AH210" authorId="0" shapeId="0" xr:uid="{EB3A7A55-87B3-403B-8292-07416F2BCC13}">
      <text>
        <r>
          <rPr>
            <b/>
            <sz val="9"/>
            <color indexed="81"/>
            <rFont val="Tahoma"/>
            <family val="2"/>
          </rPr>
          <t>&lt;[[TCDeals] - [Associated DEV Deal (Seq: 1)] - [Property (Seq: 1)] - [Locations (Seq: 1)] - [Unit Mix (Seq: 14)] Num Units - Send]&gt;</t>
        </r>
      </text>
    </comment>
    <comment ref="AL210" authorId="0" shapeId="0" xr:uid="{D16F2578-2270-43F2-869C-A4BC52AA9FEB}">
      <text>
        <r>
          <rPr>
            <b/>
            <sz val="9"/>
            <color indexed="81"/>
            <rFont val="Tahoma"/>
            <family val="2"/>
          </rPr>
          <t>&lt;[[TCDeals] - [Associated DEV Deal (Seq: 1)] - [Property (Seq: 1)] - [Locations (Seq: 1)] - [Unit Mix (Seq: 14)] Unit Mix Ami Percent - Send]&gt;</t>
        </r>
      </text>
    </comment>
    <comment ref="H211" authorId="0" shapeId="0" xr:uid="{618295E4-84F2-4FBB-8F23-FC90694CB6CE}">
      <text>
        <r>
          <rPr>
            <b/>
            <sz val="9"/>
            <color indexed="81"/>
            <rFont val="Tahoma"/>
            <family val="2"/>
          </rPr>
          <t>&lt;[[TCDeals] - [TC Property Current Stage (Seq: 1)] - [Unit Mix (Seq: 15)] TC Unit Mix Type - Send]&gt;</t>
        </r>
      </text>
    </comment>
    <comment ref="J211" authorId="0" shapeId="0" xr:uid="{FE6D95AD-475F-48DB-B3C1-738B22410B93}">
      <text>
        <r>
          <rPr>
            <b/>
            <sz val="9"/>
            <color indexed="81"/>
            <rFont val="Tahoma"/>
            <family val="2"/>
          </rPr>
          <t>&lt;[[TCDeals] - [TC Property Current Stage (Seq: 1)] - [Unit Mix (Seq: 1)] Net Rentable Sq Ft - Send]&gt;</t>
        </r>
      </text>
    </comment>
    <comment ref="L211" authorId="0" shapeId="0" xr:uid="{0B4B3069-95C6-47C1-AB1B-A58B1C991DED}">
      <text>
        <r>
          <rPr>
            <b/>
            <sz val="9"/>
            <color indexed="81"/>
            <rFont val="Tahoma"/>
            <family val="2"/>
          </rPr>
          <t>&lt;[[TCDeals] - [TC Property Current Stage (Seq: 1)] - [Unit Mix (Seq: 15)] Num Units - Send]&gt;</t>
        </r>
      </text>
    </comment>
    <comment ref="N211" authorId="0" shapeId="0" xr:uid="{B6AFB29D-F9B9-4993-8418-BFCF7E9F98C6}">
      <text>
        <r>
          <rPr>
            <b/>
            <sz val="9"/>
            <color indexed="81"/>
            <rFont val="Tahoma"/>
            <family val="2"/>
          </rPr>
          <t>&lt;[[TCDeals] - [TC Property Current Stage (Seq: 1)] - [Unit Mix (Seq: 15)] Num Units - Send]&gt;</t>
        </r>
      </text>
    </comment>
    <comment ref="P211" authorId="0" shapeId="0" xr:uid="{CAECA1CE-F39C-4123-BC2E-574321D255EA}">
      <text>
        <r>
          <rPr>
            <b/>
            <sz val="9"/>
            <color indexed="81"/>
            <rFont val="Tahoma"/>
            <family val="2"/>
          </rPr>
          <t>&lt;[[TCDeals] - [TC Property Current Stage (Seq: 1)] - [Unit Mix (Seq: 1)] Income Target - Send]&gt;</t>
        </r>
      </text>
    </comment>
    <comment ref="Z211" authorId="0" shapeId="0" xr:uid="{3BBEE510-DB97-4CDD-82A8-7C9384BF6A1B}">
      <text>
        <r>
          <rPr>
            <b/>
            <sz val="9"/>
            <color indexed="81"/>
            <rFont val="Tahoma"/>
            <family val="2"/>
          </rPr>
          <t>&lt;[[TCDeals] - [Associated DEV Deal (Seq: 1)] - [Property (Seq: 1)] - [Locations (Seq: 1)] - [Unit Mix (Seq: 15)] Unit Type - Send]&gt;</t>
        </r>
      </text>
    </comment>
    <comment ref="AB211" authorId="0" shapeId="0" xr:uid="{C016F51B-DDB5-4692-B56A-A9E7DF956CE1}">
      <text>
        <r>
          <rPr>
            <b/>
            <sz val="9"/>
            <color indexed="81"/>
            <rFont val="Tahoma"/>
            <family val="2"/>
          </rPr>
          <t>&lt;[[TCDeals] - [Associated DEV Deal (Seq: 1)] - [Property (Seq: 1)] - [Locations (Seq: 1)] - [Unit Mix (Seq: 15)] Residential Apartment Type - Send]&gt;</t>
        </r>
      </text>
    </comment>
    <comment ref="AD211" authorId="0" shapeId="0" xr:uid="{0B712497-1DA2-49BF-A3CC-C28C61CE05B9}">
      <text>
        <r>
          <rPr>
            <b/>
            <sz val="9"/>
            <color indexed="81"/>
            <rFont val="Tahoma"/>
            <family val="2"/>
          </rPr>
          <t>&lt;[[TCDeals] - [Associated DEV Deal (Seq: 1)] - [Property (Seq: 1)] - [Locations (Seq: 1)] - [Unit Mix (Seq: 15)] Base Rent - Send]&gt;</t>
        </r>
      </text>
    </comment>
    <comment ref="AF211" authorId="0" shapeId="0" xr:uid="{284DA98D-E0A3-4082-A87F-4432E027399E}">
      <text>
        <r>
          <rPr>
            <b/>
            <sz val="9"/>
            <color indexed="81"/>
            <rFont val="Tahoma"/>
            <family val="2"/>
          </rPr>
          <t>&lt;[[TCDeals] - [Associated DEV Deal (Seq: 1)] - [Property (Seq: 1)] - [Locations (Seq: 1)] - [Unit Mix (Seq: 15)] Square Footage - Send]&gt;</t>
        </r>
      </text>
    </comment>
    <comment ref="AH211" authorId="0" shapeId="0" xr:uid="{DD50957B-8EA2-45FB-95BF-6B3F7BE933EE}">
      <text>
        <r>
          <rPr>
            <b/>
            <sz val="9"/>
            <color indexed="81"/>
            <rFont val="Tahoma"/>
            <family val="2"/>
          </rPr>
          <t>&lt;[[TCDeals] - [Associated DEV Deal (Seq: 1)] - [Property (Seq: 1)] - [Locations (Seq: 1)] - [Unit Mix (Seq: 15)] Num Units - Send]&gt;</t>
        </r>
      </text>
    </comment>
    <comment ref="AL211" authorId="0" shapeId="0" xr:uid="{C3F9E794-689B-4E1E-AAF1-053CCBC24765}">
      <text>
        <r>
          <rPr>
            <b/>
            <sz val="9"/>
            <color indexed="81"/>
            <rFont val="Tahoma"/>
            <family val="2"/>
          </rPr>
          <t>&lt;[[TCDeals] - [Associated DEV Deal (Seq: 1)] - [Property (Seq: 1)] - [Locations (Seq: 1)] - [Unit Mix (Seq: 15)] Unit Mix Ami Percent - Send]&gt;</t>
        </r>
      </text>
    </comment>
    <comment ref="H212" authorId="0" shapeId="0" xr:uid="{6848A15D-EA56-4F5F-91D5-A0996BE3FFA7}">
      <text>
        <r>
          <rPr>
            <b/>
            <sz val="9"/>
            <color indexed="81"/>
            <rFont val="Tahoma"/>
            <family val="2"/>
          </rPr>
          <t>&lt;[[TCDeals] - [TC Property Current Stage (Seq: 1)] - [Unit Mix (Seq: 16)] TC Unit Mix Type - Send]&gt;</t>
        </r>
      </text>
    </comment>
    <comment ref="J212" authorId="0" shapeId="0" xr:uid="{5FCBBF1B-4AE7-4854-8005-E6754D9F0812}">
      <text>
        <r>
          <rPr>
            <b/>
            <sz val="9"/>
            <color indexed="81"/>
            <rFont val="Tahoma"/>
            <family val="2"/>
          </rPr>
          <t>&lt;[[TCDeals] - [TC Property Current Stage (Seq: 1)] - [Unit Mix (Seq: 1)] Net Rentable Sq Ft - Send]&gt;</t>
        </r>
      </text>
    </comment>
    <comment ref="L212" authorId="0" shapeId="0" xr:uid="{EC7C2845-00FA-4C5C-A5E8-24D76FA46A2A}">
      <text>
        <r>
          <rPr>
            <b/>
            <sz val="9"/>
            <color indexed="81"/>
            <rFont val="Tahoma"/>
            <family val="2"/>
          </rPr>
          <t>&lt;[[TCDeals] - [TC Property Current Stage (Seq: 1)] - [Unit Mix (Seq: 16)] Num Units - Send]&gt;</t>
        </r>
      </text>
    </comment>
    <comment ref="N212" authorId="0" shapeId="0" xr:uid="{8274B673-628D-4A8D-8E17-4183A7F0142E}">
      <text>
        <r>
          <rPr>
            <b/>
            <sz val="9"/>
            <color indexed="81"/>
            <rFont val="Tahoma"/>
            <family val="2"/>
          </rPr>
          <t>&lt;[[TCDeals] - [TC Property Current Stage (Seq: 1)] - [Unit Mix (Seq: 16)] Num Units - Send]&gt;</t>
        </r>
      </text>
    </comment>
    <comment ref="P212" authorId="0" shapeId="0" xr:uid="{A36DE110-CAD3-42DB-88D5-E3604973E7E4}">
      <text>
        <r>
          <rPr>
            <b/>
            <sz val="9"/>
            <color indexed="81"/>
            <rFont val="Tahoma"/>
            <family val="2"/>
          </rPr>
          <t>&lt;[[TCDeals] - [TC Property Current Stage (Seq: 1)] - [Unit Mix (Seq: 1)] Income Target - Send]&gt;</t>
        </r>
      </text>
    </comment>
    <comment ref="Z212" authorId="0" shapeId="0" xr:uid="{55D4A08B-242C-45EE-9A12-AE38F0111A89}">
      <text>
        <r>
          <rPr>
            <b/>
            <sz val="9"/>
            <color indexed="81"/>
            <rFont val="Tahoma"/>
            <family val="2"/>
          </rPr>
          <t>&lt;[[TCDeals] - [Associated DEV Deal (Seq: 1)] - [Property (Seq: 1)] - [Locations (Seq: 1)] - [Unit Mix (Seq: 16)] Unit Type - Send]&gt;</t>
        </r>
      </text>
    </comment>
    <comment ref="AB212" authorId="0" shapeId="0" xr:uid="{5C2108B9-4AA3-4357-83EA-608C2202EBC9}">
      <text>
        <r>
          <rPr>
            <b/>
            <sz val="9"/>
            <color indexed="81"/>
            <rFont val="Tahoma"/>
            <family val="2"/>
          </rPr>
          <t>&lt;[[TCDeals] - [Associated DEV Deal (Seq: 1)] - [Property (Seq: 1)] - [Locations (Seq: 1)] - [Unit Mix (Seq: 16)] Residential Apartment Type - Send]&gt;</t>
        </r>
      </text>
    </comment>
    <comment ref="AD212" authorId="0" shapeId="0" xr:uid="{F04071B5-A68C-46EA-9CD5-89A45048D792}">
      <text>
        <r>
          <rPr>
            <b/>
            <sz val="9"/>
            <color indexed="81"/>
            <rFont val="Tahoma"/>
            <family val="2"/>
          </rPr>
          <t>&lt;[[TCDeals] - [Associated DEV Deal (Seq: 1)] - [Property (Seq: 1)] - [Locations (Seq: 1)] - [Unit Mix (Seq: 16)] Base Rent - Send]&gt;</t>
        </r>
      </text>
    </comment>
    <comment ref="AF212" authorId="0" shapeId="0" xr:uid="{8F1FC7C6-D10F-4FAA-9EE0-1AEBF6B660FD}">
      <text>
        <r>
          <rPr>
            <b/>
            <sz val="9"/>
            <color indexed="81"/>
            <rFont val="Tahoma"/>
            <family val="2"/>
          </rPr>
          <t>&lt;[[TCDeals] - [Associated DEV Deal (Seq: 1)] - [Property (Seq: 1)] - [Locations (Seq: 1)] - [Unit Mix (Seq: 16)] Square Footage - Send]&gt;</t>
        </r>
      </text>
    </comment>
    <comment ref="AH212" authorId="0" shapeId="0" xr:uid="{9A76867A-D2D4-4BC4-A666-2F2698A0AB72}">
      <text>
        <r>
          <rPr>
            <b/>
            <sz val="9"/>
            <color indexed="81"/>
            <rFont val="Tahoma"/>
            <family val="2"/>
          </rPr>
          <t>&lt;[[TCDeals] - [Associated DEV Deal (Seq: 1)] - [Property (Seq: 1)] - [Locations (Seq: 1)] - [Unit Mix (Seq: 16)] Num Units - Send]&gt;</t>
        </r>
      </text>
    </comment>
    <comment ref="AL212" authorId="0" shapeId="0" xr:uid="{36DE71A5-E8CD-44CB-AB60-2DB56FDB26B8}">
      <text>
        <r>
          <rPr>
            <b/>
            <sz val="9"/>
            <color indexed="81"/>
            <rFont val="Tahoma"/>
            <family val="2"/>
          </rPr>
          <t>&lt;[[TCDeals] - [Associated DEV Deal (Seq: 1)] - [Property (Seq: 1)] - [Locations (Seq: 1)] - [Unit Mix (Seq: 16)] Unit Mix Ami Percent - Send]&gt;</t>
        </r>
      </text>
    </comment>
    <comment ref="H213" authorId="0" shapeId="0" xr:uid="{2A8273EA-E7CA-455D-A545-B82A542C0F4D}">
      <text>
        <r>
          <rPr>
            <b/>
            <sz val="9"/>
            <color indexed="81"/>
            <rFont val="Tahoma"/>
            <family val="2"/>
          </rPr>
          <t>&lt;[[TCDeals] - [TC Property Current Stage (Seq: 1)] - [Unit Mix (Seq: 17)] TC Unit Mix Type - Send]&gt;</t>
        </r>
      </text>
    </comment>
    <comment ref="J213" authorId="0" shapeId="0" xr:uid="{CD3A70D2-6F00-409B-8E7F-81567300AEF2}">
      <text>
        <r>
          <rPr>
            <b/>
            <sz val="9"/>
            <color indexed="81"/>
            <rFont val="Tahoma"/>
            <family val="2"/>
          </rPr>
          <t>&lt;[[TCDeals] - [TC Property Current Stage (Seq: 1)] - [Unit Mix (Seq: 1)] Net Rentable Sq Ft - Send]&gt;</t>
        </r>
      </text>
    </comment>
    <comment ref="L213" authorId="0" shapeId="0" xr:uid="{2B18CF90-1550-43CE-B138-097C7A9D5871}">
      <text>
        <r>
          <rPr>
            <b/>
            <sz val="9"/>
            <color indexed="81"/>
            <rFont val="Tahoma"/>
            <family val="2"/>
          </rPr>
          <t>&lt;[[TCDeals] - [TC Property Current Stage (Seq: 1)] - [Unit Mix (Seq: 17)] Num Units - Send]&gt;</t>
        </r>
      </text>
    </comment>
    <comment ref="N213" authorId="0" shapeId="0" xr:uid="{6A425BF8-CB1D-4FE2-9554-5DD5BCD81461}">
      <text>
        <r>
          <rPr>
            <b/>
            <sz val="9"/>
            <color indexed="81"/>
            <rFont val="Tahoma"/>
            <family val="2"/>
          </rPr>
          <t>&lt;[[TCDeals] - [TC Property Current Stage (Seq: 1)] - [Unit Mix (Seq: 17)] Num Units - Send]&gt;</t>
        </r>
      </text>
    </comment>
    <comment ref="P213" authorId="0" shapeId="0" xr:uid="{56D58EFB-0102-4D65-8960-C1CCC71025FE}">
      <text>
        <r>
          <rPr>
            <b/>
            <sz val="9"/>
            <color indexed="81"/>
            <rFont val="Tahoma"/>
            <family val="2"/>
          </rPr>
          <t>&lt;[[TCDeals] - [TC Property Current Stage (Seq: 1)] - [Unit Mix (Seq: 1)] Income Target - Send]&gt;</t>
        </r>
      </text>
    </comment>
    <comment ref="Z213" authorId="0" shapeId="0" xr:uid="{973D717B-2043-43A8-8B74-D8CF9FCB2670}">
      <text>
        <r>
          <rPr>
            <b/>
            <sz val="9"/>
            <color indexed="81"/>
            <rFont val="Tahoma"/>
            <family val="2"/>
          </rPr>
          <t>&lt;[[TCDeals] - [Associated DEV Deal (Seq: 1)] - [Property (Seq: 1)] - [Locations (Seq: 1)] - [Unit Mix (Seq: 17)] Unit Type - Send]&gt;</t>
        </r>
      </text>
    </comment>
    <comment ref="AB213" authorId="0" shapeId="0" xr:uid="{5E6EE874-99E6-4755-9A1E-42E3CB187AD8}">
      <text>
        <r>
          <rPr>
            <b/>
            <sz val="9"/>
            <color indexed="81"/>
            <rFont val="Tahoma"/>
            <family val="2"/>
          </rPr>
          <t>&lt;[[TCDeals] - [Associated DEV Deal (Seq: 1)] - [Property (Seq: 1)] - [Locations (Seq: 1)] - [Unit Mix (Seq: 17)] Residential Apartment Type - Send]&gt;</t>
        </r>
      </text>
    </comment>
    <comment ref="AD213" authorId="0" shapeId="0" xr:uid="{FACA3DC9-170C-4664-A5BA-D0DBFF27C3DF}">
      <text>
        <r>
          <rPr>
            <b/>
            <sz val="9"/>
            <color indexed="81"/>
            <rFont val="Tahoma"/>
            <family val="2"/>
          </rPr>
          <t>&lt;[[TCDeals] - [Associated DEV Deal (Seq: 1)] - [Property (Seq: 1)] - [Locations (Seq: 1)] - [Unit Mix (Seq: 17)] Base Rent - Send]&gt;</t>
        </r>
      </text>
    </comment>
    <comment ref="AF213" authorId="0" shapeId="0" xr:uid="{779B2FAB-FA4D-48F0-810A-9FC7E1B622D6}">
      <text>
        <r>
          <rPr>
            <b/>
            <sz val="9"/>
            <color indexed="81"/>
            <rFont val="Tahoma"/>
            <family val="2"/>
          </rPr>
          <t>&lt;[[TCDeals] - [Associated DEV Deal (Seq: 1)] - [Property (Seq: 1)] - [Locations (Seq: 1)] - [Unit Mix (Seq: 17)] Square Footage - Send]&gt;</t>
        </r>
      </text>
    </comment>
    <comment ref="AH213" authorId="0" shapeId="0" xr:uid="{4B8AEAFE-AAEE-432C-8519-34155A670FAF}">
      <text>
        <r>
          <rPr>
            <b/>
            <sz val="9"/>
            <color indexed="81"/>
            <rFont val="Tahoma"/>
            <family val="2"/>
          </rPr>
          <t>&lt;[[TCDeals] - [Associated DEV Deal (Seq: 1)] - [Property (Seq: 1)] - [Locations (Seq: 1)] - [Unit Mix (Seq: 17)] Num Units - Send]&gt;</t>
        </r>
      </text>
    </comment>
    <comment ref="AL213" authorId="0" shapeId="0" xr:uid="{E09F7ACA-FDBE-4CCD-9C80-FA365226600B}">
      <text>
        <r>
          <rPr>
            <b/>
            <sz val="9"/>
            <color indexed="81"/>
            <rFont val="Tahoma"/>
            <family val="2"/>
          </rPr>
          <t>&lt;[[TCDeals] - [Associated DEV Deal (Seq: 1)] - [Property (Seq: 1)] - [Locations (Seq: 1)] - [Unit Mix (Seq: 17)] Unit Mix Ami Percent - Send]&gt;</t>
        </r>
      </text>
    </comment>
    <comment ref="H214" authorId="0" shapeId="0" xr:uid="{889C3C48-1E61-4C6F-8187-2F78E0F5C162}">
      <text>
        <r>
          <rPr>
            <b/>
            <sz val="9"/>
            <color indexed="81"/>
            <rFont val="Tahoma"/>
            <family val="2"/>
          </rPr>
          <t>&lt;[[TCDeals] - [TC Property Current Stage (Seq: 1)] - [Unit Mix (Seq: 18)] TC Unit Mix Type - Send]&gt;</t>
        </r>
      </text>
    </comment>
    <comment ref="J214" authorId="0" shapeId="0" xr:uid="{C961DA51-496C-4244-AE90-ACB5BB168C9E}">
      <text>
        <r>
          <rPr>
            <b/>
            <sz val="9"/>
            <color indexed="81"/>
            <rFont val="Tahoma"/>
            <family val="2"/>
          </rPr>
          <t>&lt;[[TCDeals] - [TC Property Current Stage (Seq: 1)] - [Unit Mix (Seq: 1)] Net Rentable Sq Ft - Send]&gt;</t>
        </r>
      </text>
    </comment>
    <comment ref="L214" authorId="0" shapeId="0" xr:uid="{66C4D5B6-ACA2-432B-9F09-AFDA22053A04}">
      <text>
        <r>
          <rPr>
            <b/>
            <sz val="9"/>
            <color indexed="81"/>
            <rFont val="Tahoma"/>
            <family val="2"/>
          </rPr>
          <t>&lt;[[TCDeals] - [TC Property Current Stage (Seq: 1)] - [Unit Mix (Seq: 18)] Num Units - Send]&gt;</t>
        </r>
      </text>
    </comment>
    <comment ref="N214" authorId="0" shapeId="0" xr:uid="{23A656B5-5624-43C8-8ADC-EF41DD981280}">
      <text>
        <r>
          <rPr>
            <b/>
            <sz val="9"/>
            <color indexed="81"/>
            <rFont val="Tahoma"/>
            <family val="2"/>
          </rPr>
          <t>&lt;[[TCDeals] - [TC Property Current Stage (Seq: 1)] - [Unit Mix (Seq: 18)] Num Units - Send]&gt;</t>
        </r>
      </text>
    </comment>
    <comment ref="P214" authorId="0" shapeId="0" xr:uid="{DE4707BF-2F51-4ED1-B359-A1FC03083D71}">
      <text>
        <r>
          <rPr>
            <b/>
            <sz val="9"/>
            <color indexed="81"/>
            <rFont val="Tahoma"/>
            <family val="2"/>
          </rPr>
          <t>&lt;[[TCDeals] - [TC Property Current Stage (Seq: 1)] - [Unit Mix (Seq: 1)] Income Target - Send]&gt;</t>
        </r>
      </text>
    </comment>
    <comment ref="Z214" authorId="0" shapeId="0" xr:uid="{2D925396-F145-4EC3-951A-47AD4C733F00}">
      <text>
        <r>
          <rPr>
            <b/>
            <sz val="9"/>
            <color indexed="81"/>
            <rFont val="Tahoma"/>
            <family val="2"/>
          </rPr>
          <t>&lt;[[TCDeals] - [Associated DEV Deal (Seq: 1)] - [Property (Seq: 1)] - [Locations (Seq: 1)] - [Unit Mix (Seq: 18)] Unit Type - Send]&gt;</t>
        </r>
      </text>
    </comment>
    <comment ref="AB214" authorId="0" shapeId="0" xr:uid="{35FD6F6E-CF62-4CC3-BB19-12BC94532E3F}">
      <text>
        <r>
          <rPr>
            <b/>
            <sz val="9"/>
            <color indexed="81"/>
            <rFont val="Tahoma"/>
            <family val="2"/>
          </rPr>
          <t>&lt;[[TCDeals] - [Associated DEV Deal (Seq: 1)] - [Property (Seq: 1)] - [Locations (Seq: 1)] - [Unit Mix (Seq: 18)] Residential Apartment Type - Send]&gt;</t>
        </r>
      </text>
    </comment>
    <comment ref="AD214" authorId="0" shapeId="0" xr:uid="{C971DAF8-0E7C-452F-9812-79F9A34C7AE0}">
      <text>
        <r>
          <rPr>
            <b/>
            <sz val="9"/>
            <color indexed="81"/>
            <rFont val="Tahoma"/>
            <family val="2"/>
          </rPr>
          <t>&lt;[[TCDeals] - [Associated DEV Deal (Seq: 1)] - [Property (Seq: 1)] - [Locations (Seq: 1)] - [Unit Mix (Seq: 18)] Base Rent - Send]&gt;</t>
        </r>
      </text>
    </comment>
    <comment ref="AF214" authorId="0" shapeId="0" xr:uid="{9CFB83C0-3CAC-4725-A004-E0B2AA98B9F3}">
      <text>
        <r>
          <rPr>
            <b/>
            <sz val="9"/>
            <color indexed="81"/>
            <rFont val="Tahoma"/>
            <family val="2"/>
          </rPr>
          <t>&lt;[[TCDeals] - [Associated DEV Deal (Seq: 1)] - [Property (Seq: 1)] - [Locations (Seq: 1)] - [Unit Mix (Seq: 18)] Square Footage - Send]&gt;</t>
        </r>
      </text>
    </comment>
    <comment ref="AH214" authorId="0" shapeId="0" xr:uid="{F89941A3-7631-495A-8F78-AA71043AF592}">
      <text>
        <r>
          <rPr>
            <b/>
            <sz val="9"/>
            <color indexed="81"/>
            <rFont val="Tahoma"/>
            <family val="2"/>
          </rPr>
          <t>&lt;[[TCDeals] - [Associated DEV Deal (Seq: 1)] - [Property (Seq: 1)] - [Locations (Seq: 1)] - [Unit Mix (Seq: 18)] Num Units - Send]&gt;</t>
        </r>
      </text>
    </comment>
    <comment ref="AL214" authorId="0" shapeId="0" xr:uid="{AC0BDEF9-0D89-45D3-8E59-FFE57FF0FED6}">
      <text>
        <r>
          <rPr>
            <b/>
            <sz val="9"/>
            <color indexed="81"/>
            <rFont val="Tahoma"/>
            <family val="2"/>
          </rPr>
          <t>&lt;[[TCDeals] - [Associated DEV Deal (Seq: 1)] - [Property (Seq: 1)] - [Locations (Seq: 1)] - [Unit Mix (Seq: 18)] Unit Mix Ami Percent - Send]&gt;</t>
        </r>
      </text>
    </comment>
    <comment ref="H215" authorId="0" shapeId="0" xr:uid="{9BBABE93-3904-4D15-8D0C-9A9F8363828C}">
      <text>
        <r>
          <rPr>
            <b/>
            <sz val="9"/>
            <color indexed="81"/>
            <rFont val="Tahoma"/>
            <family val="2"/>
          </rPr>
          <t>&lt;[[TCDeals] - [TC Property Current Stage (Seq: 1)] - [Unit Mix (Seq: 19)] TC Unit Mix Type - Send]&gt;</t>
        </r>
      </text>
    </comment>
    <comment ref="J215" authorId="0" shapeId="0" xr:uid="{4A7418B7-C60C-449F-AD4B-FC965A83259E}">
      <text>
        <r>
          <rPr>
            <b/>
            <sz val="9"/>
            <color indexed="81"/>
            <rFont val="Tahoma"/>
            <family val="2"/>
          </rPr>
          <t>&lt;[[TCDeals] - [TC Property Current Stage (Seq: 1)] - [Unit Mix (Seq: 1)] Net Rentable Sq Ft - Send]&gt;</t>
        </r>
      </text>
    </comment>
    <comment ref="L215" authorId="0" shapeId="0" xr:uid="{39317744-6A73-48F9-8EEC-4ABD6953428B}">
      <text>
        <r>
          <rPr>
            <b/>
            <sz val="9"/>
            <color indexed="81"/>
            <rFont val="Tahoma"/>
            <family val="2"/>
          </rPr>
          <t>&lt;[[TCDeals] - [TC Property Current Stage (Seq: 1)] - [Unit Mix (Seq: 19)] Num Units - Send]&gt;</t>
        </r>
      </text>
    </comment>
    <comment ref="N215" authorId="0" shapeId="0" xr:uid="{925416C8-7BB3-4ED1-977C-43D1282C162F}">
      <text>
        <r>
          <rPr>
            <b/>
            <sz val="9"/>
            <color indexed="81"/>
            <rFont val="Tahoma"/>
            <family val="2"/>
          </rPr>
          <t>&lt;[[TCDeals] - [TC Property Current Stage (Seq: 1)] - [Unit Mix (Seq: 19)] Num Units - Send]&gt;</t>
        </r>
      </text>
    </comment>
    <comment ref="P215" authorId="0" shapeId="0" xr:uid="{5A445F1C-9653-4A22-8729-EA8BC65A6FB7}">
      <text>
        <r>
          <rPr>
            <b/>
            <sz val="9"/>
            <color indexed="81"/>
            <rFont val="Tahoma"/>
            <family val="2"/>
          </rPr>
          <t>&lt;[[TCDeals] - [TC Property Current Stage (Seq: 1)] - [Unit Mix (Seq: 1)] Income Target - Send]&gt;</t>
        </r>
      </text>
    </comment>
    <comment ref="Z215" authorId="0" shapeId="0" xr:uid="{3A01251A-0BD9-4C1E-A255-BC55D2643793}">
      <text>
        <r>
          <rPr>
            <b/>
            <sz val="9"/>
            <color indexed="81"/>
            <rFont val="Tahoma"/>
            <family val="2"/>
          </rPr>
          <t>&lt;[[TCDeals] - [Associated DEV Deal (Seq: 1)] - [Property (Seq: 1)] - [Locations (Seq: 1)] - [Unit Mix (Seq: 19)] Unit Type - Send]&gt;</t>
        </r>
      </text>
    </comment>
    <comment ref="AB215" authorId="0" shapeId="0" xr:uid="{0A3B33C0-0FB8-4BFD-87BD-AFC2BFC13F66}">
      <text>
        <r>
          <rPr>
            <b/>
            <sz val="9"/>
            <color indexed="81"/>
            <rFont val="Tahoma"/>
            <family val="2"/>
          </rPr>
          <t>&lt;[[TCDeals] - [Associated DEV Deal (Seq: 1)] - [Property (Seq: 1)] - [Locations (Seq: 1)] - [Unit Mix (Seq: 19)] Residential Apartment Type - Send]&gt;</t>
        </r>
      </text>
    </comment>
    <comment ref="AD215" authorId="0" shapeId="0" xr:uid="{DF614A10-D619-416D-91CB-94E625F70564}">
      <text>
        <r>
          <rPr>
            <b/>
            <sz val="9"/>
            <color indexed="81"/>
            <rFont val="Tahoma"/>
            <family val="2"/>
          </rPr>
          <t>&lt;[[TCDeals] - [Associated DEV Deal (Seq: 1)] - [Property (Seq: 1)] - [Locations (Seq: 1)] - [Unit Mix (Seq: 19)] Base Rent - Send]&gt;</t>
        </r>
      </text>
    </comment>
    <comment ref="AF215" authorId="0" shapeId="0" xr:uid="{C60824B6-BA95-498D-AA65-2FD5CDC27766}">
      <text>
        <r>
          <rPr>
            <b/>
            <sz val="9"/>
            <color indexed="81"/>
            <rFont val="Tahoma"/>
            <family val="2"/>
          </rPr>
          <t>&lt;[[TCDeals] - [Associated DEV Deal (Seq: 1)] - [Property (Seq: 1)] - [Locations (Seq: 1)] - [Unit Mix (Seq: 19)] Square Footage - Send]&gt;</t>
        </r>
      </text>
    </comment>
    <comment ref="AH215" authorId="0" shapeId="0" xr:uid="{F360B023-AF31-4BAD-BDDF-F981FB6496FB}">
      <text>
        <r>
          <rPr>
            <b/>
            <sz val="9"/>
            <color indexed="81"/>
            <rFont val="Tahoma"/>
            <family val="2"/>
          </rPr>
          <t>&lt;[[TCDeals] - [Associated DEV Deal (Seq: 1)] - [Property (Seq: 1)] - [Locations (Seq: 1)] - [Unit Mix (Seq: 19)] Num Units - Send]&gt;</t>
        </r>
      </text>
    </comment>
    <comment ref="AL215" authorId="0" shapeId="0" xr:uid="{E852C576-FCF7-45BF-B97B-429B714753F6}">
      <text>
        <r>
          <rPr>
            <b/>
            <sz val="9"/>
            <color indexed="81"/>
            <rFont val="Tahoma"/>
            <family val="2"/>
          </rPr>
          <t>&lt;[[TCDeals] - [Associated DEV Deal (Seq: 1)] - [Property (Seq: 1)] - [Locations (Seq: 1)] - [Unit Mix (Seq: 19)] Unit Mix Ami Percent - Send]&gt;</t>
        </r>
      </text>
    </comment>
    <comment ref="H216" authorId="0" shapeId="0" xr:uid="{995426FE-9690-4420-A292-BB092CDB05C8}">
      <text>
        <r>
          <rPr>
            <b/>
            <sz val="9"/>
            <color indexed="81"/>
            <rFont val="Tahoma"/>
            <family val="2"/>
          </rPr>
          <t>&lt;[[TCDeals] - [TC Property Current Stage (Seq: 1)] - [Unit Mix (Seq: 20)] TC Unit Mix Type - Send]&gt;</t>
        </r>
      </text>
    </comment>
    <comment ref="J216" authorId="0" shapeId="0" xr:uid="{32E2FBC0-FA5E-4AA9-AB79-332163A4C680}">
      <text>
        <r>
          <rPr>
            <b/>
            <sz val="9"/>
            <color indexed="81"/>
            <rFont val="Tahoma"/>
            <family val="2"/>
          </rPr>
          <t>&lt;[[TCDeals] - [TC Property Current Stage (Seq: 1)] - [Unit Mix (Seq: 2)] Net Rentable Sq Ft - Send]&gt;</t>
        </r>
      </text>
    </comment>
    <comment ref="L216" authorId="0" shapeId="0" xr:uid="{D1899B17-54DB-4D93-9578-572BCB3C3F50}">
      <text>
        <r>
          <rPr>
            <b/>
            <sz val="9"/>
            <color indexed="81"/>
            <rFont val="Tahoma"/>
            <family val="2"/>
          </rPr>
          <t>&lt;[[TCDeals] - [TC Property Current Stage (Seq: 1)] - [Unit Mix (Seq: 2)] Num Units - Send]&gt;</t>
        </r>
      </text>
    </comment>
    <comment ref="N216" authorId="0" shapeId="0" xr:uid="{6697DC4B-2A5D-46A3-A800-A70FB2CEE86F}">
      <text>
        <r>
          <rPr>
            <b/>
            <sz val="9"/>
            <color indexed="81"/>
            <rFont val="Tahoma"/>
            <family val="2"/>
          </rPr>
          <t>&lt;[[TCDeals] - [TC Property Current Stage (Seq: 1)] - [Unit Mix (Seq: 2)] Num Units - Send]&gt;</t>
        </r>
      </text>
    </comment>
    <comment ref="P216" authorId="0" shapeId="0" xr:uid="{21042AC1-BF99-44F2-879A-8056660B564D}">
      <text>
        <r>
          <rPr>
            <b/>
            <sz val="9"/>
            <color indexed="81"/>
            <rFont val="Tahoma"/>
            <family val="2"/>
          </rPr>
          <t>&lt;[[TCDeals] - [TC Property Current Stage (Seq: 1)] - [Unit Mix (Seq: 2)] Income Target - Send]&gt;</t>
        </r>
      </text>
    </comment>
    <comment ref="Z216" authorId="0" shapeId="0" xr:uid="{B0D986F2-A3A4-453D-9D23-1739754E8BAF}">
      <text>
        <r>
          <rPr>
            <b/>
            <sz val="9"/>
            <color indexed="81"/>
            <rFont val="Tahoma"/>
            <family val="2"/>
          </rPr>
          <t>&lt;[[TCDeals] - [Associated DEV Deal (Seq: 1)] - [Property (Seq: 1)] - [Locations (Seq: 1)] - [Unit Mix (Seq: 20)] Unit Type - Send]&gt;</t>
        </r>
      </text>
    </comment>
    <comment ref="AB216" authorId="0" shapeId="0" xr:uid="{238C13C7-5898-4143-A86B-7DD1027E2427}">
      <text>
        <r>
          <rPr>
            <b/>
            <sz val="9"/>
            <color indexed="81"/>
            <rFont val="Tahoma"/>
            <family val="2"/>
          </rPr>
          <t>&lt;[[TCDeals] - [Associated DEV Deal (Seq: 1)] - [Property (Seq: 1)] - [Locations (Seq: 1)] - [Unit Mix (Seq: 20)] Residential Apartment Type - Send]&gt;</t>
        </r>
      </text>
    </comment>
    <comment ref="AD216" authorId="0" shapeId="0" xr:uid="{EB686234-B2E4-4900-8B08-A21B88330546}">
      <text>
        <r>
          <rPr>
            <b/>
            <sz val="9"/>
            <color indexed="81"/>
            <rFont val="Tahoma"/>
            <family val="2"/>
          </rPr>
          <t>&lt;[[TCDeals] - [Associated DEV Deal (Seq: 1)] - [Property (Seq: 1)] - [Locations (Seq: 1)] - [Unit Mix (Seq: 20)] Base Rent - Send]&gt;</t>
        </r>
      </text>
    </comment>
    <comment ref="AF216" authorId="0" shapeId="0" xr:uid="{B96C7A44-C606-44BC-974D-F7B4573FDBC2}">
      <text>
        <r>
          <rPr>
            <b/>
            <sz val="9"/>
            <color indexed="81"/>
            <rFont val="Tahoma"/>
            <family val="2"/>
          </rPr>
          <t>&lt;[[TCDeals] - [Associated DEV Deal (Seq: 1)] - [Property (Seq: 1)] - [Locations (Seq: 1)] - [Unit Mix (Seq: 20)] Square Footage - Send]&gt;</t>
        </r>
      </text>
    </comment>
    <comment ref="AH216" authorId="0" shapeId="0" xr:uid="{118A2553-CB58-4BA7-840A-EBD47CA5DE15}">
      <text>
        <r>
          <rPr>
            <b/>
            <sz val="9"/>
            <color indexed="81"/>
            <rFont val="Tahoma"/>
            <family val="2"/>
          </rPr>
          <t>&lt;[[TCDeals] - [Associated DEV Deal (Seq: 1)] - [Property (Seq: 1)] - [Locations (Seq: 1)] - [Unit Mix (Seq: 20)] Num Units - Send]&gt;</t>
        </r>
      </text>
    </comment>
    <comment ref="AL216" authorId="0" shapeId="0" xr:uid="{FFD781C7-74B1-4853-BDDD-E231C3F425B0}">
      <text>
        <r>
          <rPr>
            <b/>
            <sz val="9"/>
            <color indexed="81"/>
            <rFont val="Tahoma"/>
            <family val="2"/>
          </rPr>
          <t>&lt;[[TCDeals] - [Associated DEV Deal (Seq: 1)] - [Property (Seq: 1)] - [Locations (Seq: 1)] - [Unit Mix (Seq: 20)] Unit Mix Ami Percent - Send]&gt;</t>
        </r>
      </text>
    </comment>
    <comment ref="H217" authorId="0" shapeId="0" xr:uid="{0B8EFCBA-544A-41ED-B448-0716D9513E2D}">
      <text>
        <r>
          <rPr>
            <b/>
            <sz val="9"/>
            <color indexed="81"/>
            <rFont val="Tahoma"/>
            <family val="2"/>
          </rPr>
          <t>&lt;[[TCDeals] - [TC Property Current Stage (Seq: 1)] - [Unit Mix (Seq: 21)] TC Unit Mix Type - Send]&gt;</t>
        </r>
      </text>
    </comment>
    <comment ref="J217" authorId="0" shapeId="0" xr:uid="{D651C7B7-090D-4B55-AA0C-E90025F1C6A7}">
      <text>
        <r>
          <rPr>
            <b/>
            <sz val="9"/>
            <color indexed="81"/>
            <rFont val="Tahoma"/>
            <family val="2"/>
          </rPr>
          <t>&lt;[[TCDeals] - [TC Property Current Stage (Seq: 1)] - [Unit Mix (Seq: 2)] Net Rentable Sq Ft - Send]&gt;</t>
        </r>
      </text>
    </comment>
    <comment ref="L217" authorId="0" shapeId="0" xr:uid="{73A8F3C0-807E-4253-A793-A4DA73EAB7E5}">
      <text>
        <r>
          <rPr>
            <b/>
            <sz val="9"/>
            <color indexed="81"/>
            <rFont val="Tahoma"/>
            <family val="2"/>
          </rPr>
          <t>&lt;[[TCDeals] - [TC Property Current Stage (Seq: 1)] - [Unit Mix (Seq: 2)] Num Units - Send]&gt;</t>
        </r>
      </text>
    </comment>
    <comment ref="N217" authorId="0" shapeId="0" xr:uid="{F552E278-C6B2-4A93-BE0B-5D339393BCA7}">
      <text>
        <r>
          <rPr>
            <b/>
            <sz val="9"/>
            <color indexed="81"/>
            <rFont val="Tahoma"/>
            <family val="2"/>
          </rPr>
          <t>&lt;[[TCDeals] - [TC Property Current Stage (Seq: 1)] - [Unit Mix (Seq: 2)] Num Units - Send]&gt;</t>
        </r>
      </text>
    </comment>
    <comment ref="P217" authorId="0" shapeId="0" xr:uid="{109B75E6-A427-4391-9948-4B838874820B}">
      <text>
        <r>
          <rPr>
            <b/>
            <sz val="9"/>
            <color indexed="81"/>
            <rFont val="Tahoma"/>
            <family val="2"/>
          </rPr>
          <t>&lt;[[TCDeals] - [TC Property Current Stage (Seq: 1)] - [Unit Mix (Seq: 2)] Income Target - Send]&gt;</t>
        </r>
      </text>
    </comment>
    <comment ref="Z217" authorId="0" shapeId="0" xr:uid="{0341575E-D668-4274-B2F1-D12DE98C9324}">
      <text>
        <r>
          <rPr>
            <b/>
            <sz val="9"/>
            <color indexed="81"/>
            <rFont val="Tahoma"/>
            <family val="2"/>
          </rPr>
          <t>&lt;[[TCDeals] - [Associated DEV Deal (Seq: 1)] - [Property (Seq: 1)] - [Locations (Seq: 1)] - [Unit Mix (Seq: 21)] Unit Type - Send]&gt;</t>
        </r>
      </text>
    </comment>
    <comment ref="AB217" authorId="0" shapeId="0" xr:uid="{9EF6084B-2A4A-43B4-A1F4-464D1F55E385}">
      <text>
        <r>
          <rPr>
            <b/>
            <sz val="9"/>
            <color indexed="81"/>
            <rFont val="Tahoma"/>
            <family val="2"/>
          </rPr>
          <t>&lt;[[TCDeals] - [Associated DEV Deal (Seq: 1)] - [Property (Seq: 1)] - [Locations (Seq: 1)] - [Unit Mix (Seq: 21)] Residential Apartment Type - Send]&gt;</t>
        </r>
      </text>
    </comment>
    <comment ref="AD217" authorId="0" shapeId="0" xr:uid="{C7221CFB-40DB-45B9-9C5D-1ECA13CC026E}">
      <text>
        <r>
          <rPr>
            <b/>
            <sz val="9"/>
            <color indexed="81"/>
            <rFont val="Tahoma"/>
            <family val="2"/>
          </rPr>
          <t>&lt;[[TCDeals] - [Associated DEV Deal (Seq: 1)] - [Property (Seq: 1)] - [Locations (Seq: 1)] - [Unit Mix (Seq: 21)] Base Rent - Send]&gt;</t>
        </r>
      </text>
    </comment>
    <comment ref="AF217" authorId="0" shapeId="0" xr:uid="{5857B206-81BB-40C2-835F-ADF103126CEC}">
      <text>
        <r>
          <rPr>
            <b/>
            <sz val="9"/>
            <color indexed="81"/>
            <rFont val="Tahoma"/>
            <family val="2"/>
          </rPr>
          <t>&lt;[[TCDeals] - [Associated DEV Deal (Seq: 1)] - [Property (Seq: 1)] - [Locations (Seq: 1)] - [Unit Mix (Seq: 21)] Square Footage - Send]&gt;</t>
        </r>
      </text>
    </comment>
    <comment ref="AH217" authorId="0" shapeId="0" xr:uid="{DF3840EF-D432-47F4-8FD7-A6D990E27727}">
      <text>
        <r>
          <rPr>
            <b/>
            <sz val="9"/>
            <color indexed="81"/>
            <rFont val="Tahoma"/>
            <family val="2"/>
          </rPr>
          <t>&lt;[[TCDeals] - [Associated DEV Deal (Seq: 1)] - [Property (Seq: 1)] - [Locations (Seq: 1)] - [Unit Mix (Seq: 21)] Num Units - Send]&gt;</t>
        </r>
      </text>
    </comment>
    <comment ref="AL217" authorId="0" shapeId="0" xr:uid="{6192E9E1-5FBC-4164-B17A-A82FF8B7A1AF}">
      <text>
        <r>
          <rPr>
            <b/>
            <sz val="9"/>
            <color indexed="81"/>
            <rFont val="Tahoma"/>
            <family val="2"/>
          </rPr>
          <t>&lt;[[TCDeals] - [Associated DEV Deal (Seq: 1)] - [Property (Seq: 1)] - [Locations (Seq: 1)] - [Unit Mix (Seq: 21)] Unit Mix Ami Percent - Send]&gt;</t>
        </r>
      </text>
    </comment>
    <comment ref="H218" authorId="0" shapeId="0" xr:uid="{A6E67F26-D414-4267-A368-611FFF812CF3}">
      <text>
        <r>
          <rPr>
            <b/>
            <sz val="9"/>
            <color indexed="81"/>
            <rFont val="Tahoma"/>
            <family val="2"/>
          </rPr>
          <t>&lt;[[TCDeals] - [TC Property Current Stage (Seq: 1)] - [Unit Mix (Seq: 22)] TC Unit Mix Type - Send]&gt;</t>
        </r>
      </text>
    </comment>
    <comment ref="J218" authorId="0" shapeId="0" xr:uid="{E773A26F-5657-43C0-959F-E5ABE35D2742}">
      <text>
        <r>
          <rPr>
            <b/>
            <sz val="9"/>
            <color indexed="81"/>
            <rFont val="Tahoma"/>
            <family val="2"/>
          </rPr>
          <t>&lt;[[TCDeals] - [TC Property Current Stage (Seq: 1)] - [Unit Mix (Seq: 2)] Net Rentable Sq Ft - Send]&gt;</t>
        </r>
      </text>
    </comment>
    <comment ref="L218" authorId="0" shapeId="0" xr:uid="{A4AEA2CC-4A0A-4814-A297-ED112BD849AC}">
      <text>
        <r>
          <rPr>
            <b/>
            <sz val="9"/>
            <color indexed="81"/>
            <rFont val="Tahoma"/>
            <family val="2"/>
          </rPr>
          <t>&lt;[[TCDeals] - [TC Property Current Stage (Seq: 1)] - [Unit Mix (Seq: 2)] Num Units - Send]&gt;</t>
        </r>
      </text>
    </comment>
    <comment ref="N218" authorId="0" shapeId="0" xr:uid="{D988BAD6-EB1A-442A-A141-F71B9491F655}">
      <text>
        <r>
          <rPr>
            <b/>
            <sz val="9"/>
            <color indexed="81"/>
            <rFont val="Tahoma"/>
            <family val="2"/>
          </rPr>
          <t>&lt;[[TCDeals] - [TC Property Current Stage (Seq: 1)] - [Unit Mix (Seq: 2)] Num Units - Send]&gt;</t>
        </r>
      </text>
    </comment>
    <comment ref="P218" authorId="0" shapeId="0" xr:uid="{9C0BB42A-3FF8-4CA0-965D-0800D7B4C70F}">
      <text>
        <r>
          <rPr>
            <b/>
            <sz val="9"/>
            <color indexed="81"/>
            <rFont val="Tahoma"/>
            <family val="2"/>
          </rPr>
          <t>&lt;[[TCDeals] - [TC Property Current Stage (Seq: 1)] - [Unit Mix (Seq: 2)] Income Target - Send]&gt;</t>
        </r>
      </text>
    </comment>
    <comment ref="Z218" authorId="0" shapeId="0" xr:uid="{25055DDC-DE9A-467C-8DA1-4281E0A59FD6}">
      <text>
        <r>
          <rPr>
            <b/>
            <sz val="9"/>
            <color indexed="81"/>
            <rFont val="Tahoma"/>
            <family val="2"/>
          </rPr>
          <t>&lt;[[TCDeals] - [Associated DEV Deal (Seq: 1)] - [Property (Seq: 1)] - [Locations (Seq: 1)] - [Unit Mix (Seq: 22)] Unit Type - Send]&gt;</t>
        </r>
      </text>
    </comment>
    <comment ref="AB218" authorId="0" shapeId="0" xr:uid="{ADAF4FB9-623E-460B-8C19-C9949C9A937E}">
      <text>
        <r>
          <rPr>
            <b/>
            <sz val="9"/>
            <color indexed="81"/>
            <rFont val="Tahoma"/>
            <family val="2"/>
          </rPr>
          <t>&lt;[[TCDeals] - [Associated DEV Deal (Seq: 1)] - [Property (Seq: 1)] - [Locations (Seq: 1)] - [Unit Mix (Seq: 22)] Residential Apartment Type - Send]&gt;</t>
        </r>
      </text>
    </comment>
    <comment ref="AD218" authorId="0" shapeId="0" xr:uid="{837EDA60-EC43-4056-8F35-75932A89B6E3}">
      <text>
        <r>
          <rPr>
            <b/>
            <sz val="9"/>
            <color indexed="81"/>
            <rFont val="Tahoma"/>
            <family val="2"/>
          </rPr>
          <t>&lt;[[TCDeals] - [Associated DEV Deal (Seq: 1)] - [Property (Seq: 1)] - [Locations (Seq: 1)] - [Unit Mix (Seq: 22)] Base Rent - Send]&gt;</t>
        </r>
      </text>
    </comment>
    <comment ref="AF218" authorId="0" shapeId="0" xr:uid="{A72F1A7C-3D14-44EA-8FD1-70B9E5352C0A}">
      <text>
        <r>
          <rPr>
            <b/>
            <sz val="9"/>
            <color indexed="81"/>
            <rFont val="Tahoma"/>
            <family val="2"/>
          </rPr>
          <t>&lt;[[TCDeals] - [Associated DEV Deal (Seq: 1)] - [Property (Seq: 1)] - [Locations (Seq: 1)] - [Unit Mix (Seq: 22)] Square Footage - Send]&gt;</t>
        </r>
      </text>
    </comment>
    <comment ref="AH218" authorId="0" shapeId="0" xr:uid="{FBCB01EB-07B2-440E-8607-EBD8FBE9BBB6}">
      <text>
        <r>
          <rPr>
            <b/>
            <sz val="9"/>
            <color indexed="81"/>
            <rFont val="Tahoma"/>
            <family val="2"/>
          </rPr>
          <t>&lt;[[TCDeals] - [Associated DEV Deal (Seq: 1)] - [Property (Seq: 1)] - [Locations (Seq: 1)] - [Unit Mix (Seq: 22)] Num Units - Send]&gt;</t>
        </r>
      </text>
    </comment>
    <comment ref="AL218" authorId="0" shapeId="0" xr:uid="{463D80E5-A148-4761-857D-C5D4454D1D3E}">
      <text>
        <r>
          <rPr>
            <b/>
            <sz val="9"/>
            <color indexed="81"/>
            <rFont val="Tahoma"/>
            <family val="2"/>
          </rPr>
          <t>&lt;[[TCDeals] - [Associated DEV Deal (Seq: 1)] - [Property (Seq: 1)] - [Locations (Seq: 1)] - [Unit Mix (Seq: 22)] Unit Mix Ami Percent - Send]&gt;</t>
        </r>
      </text>
    </comment>
    <comment ref="H219" authorId="0" shapeId="0" xr:uid="{7CF85082-5283-46FE-945C-9DFD65F252FD}">
      <text>
        <r>
          <rPr>
            <b/>
            <sz val="9"/>
            <color indexed="81"/>
            <rFont val="Tahoma"/>
            <family val="2"/>
          </rPr>
          <t>&lt;[[TCDeals] - [TC Property Current Stage (Seq: 1)] - [Unit Mix (Seq: 23)] TC Unit Mix Type - Send]&gt;</t>
        </r>
      </text>
    </comment>
    <comment ref="J219" authorId="0" shapeId="0" xr:uid="{13C44564-6222-452B-8270-99147A570B41}">
      <text>
        <r>
          <rPr>
            <b/>
            <sz val="9"/>
            <color indexed="81"/>
            <rFont val="Tahoma"/>
            <family val="2"/>
          </rPr>
          <t>&lt;[[TCDeals] - [TC Property Current Stage (Seq: 1)] - [Unit Mix (Seq: 2)] Net Rentable Sq Ft - Send]&gt;</t>
        </r>
      </text>
    </comment>
    <comment ref="L219" authorId="0" shapeId="0" xr:uid="{852A1EF6-A93A-4337-93BE-4B7B4CEAA92D}">
      <text>
        <r>
          <rPr>
            <b/>
            <sz val="9"/>
            <color indexed="81"/>
            <rFont val="Tahoma"/>
            <family val="2"/>
          </rPr>
          <t>&lt;[[TCDeals] - [TC Property Current Stage (Seq: 1)] - [Unit Mix (Seq: 2)] Num Units - Send]&gt;</t>
        </r>
      </text>
    </comment>
    <comment ref="N219" authorId="0" shapeId="0" xr:uid="{CF372E48-EB43-46A3-82CD-75029A990244}">
      <text>
        <r>
          <rPr>
            <b/>
            <sz val="9"/>
            <color indexed="81"/>
            <rFont val="Tahoma"/>
            <family val="2"/>
          </rPr>
          <t>&lt;[[TCDeals] - [TC Property Current Stage (Seq: 1)] - [Unit Mix (Seq: 2)] Num Units - Send]&gt;</t>
        </r>
      </text>
    </comment>
    <comment ref="P219" authorId="0" shapeId="0" xr:uid="{376C59A6-5F8D-4FAE-B27B-9B96EF2CD5AA}">
      <text>
        <r>
          <rPr>
            <b/>
            <sz val="9"/>
            <color indexed="81"/>
            <rFont val="Tahoma"/>
            <family val="2"/>
          </rPr>
          <t>&lt;[[TCDeals] - [TC Property Current Stage (Seq: 1)] - [Unit Mix (Seq: 2)] Income Target - Send]&gt;</t>
        </r>
      </text>
    </comment>
    <comment ref="Z219" authorId="0" shapeId="0" xr:uid="{EF87A304-04B5-4596-93E5-9F8C46D696F1}">
      <text>
        <r>
          <rPr>
            <b/>
            <sz val="9"/>
            <color indexed="81"/>
            <rFont val="Tahoma"/>
            <family val="2"/>
          </rPr>
          <t>&lt;[[TCDeals] - [Associated DEV Deal (Seq: 1)] - [Property (Seq: 1)] - [Locations (Seq: 1)] - [Unit Mix (Seq: 23)] Unit Type - Send]&gt;</t>
        </r>
      </text>
    </comment>
    <comment ref="AB219" authorId="0" shapeId="0" xr:uid="{6AB374DB-7C34-494E-9F92-DA27EF0F94AD}">
      <text>
        <r>
          <rPr>
            <b/>
            <sz val="9"/>
            <color indexed="81"/>
            <rFont val="Tahoma"/>
            <family val="2"/>
          </rPr>
          <t>&lt;[[TCDeals] - [Associated DEV Deal (Seq: 1)] - [Property (Seq: 1)] - [Locations (Seq: 1)] - [Unit Mix (Seq: 23)] Residential Apartment Type - Send]&gt;</t>
        </r>
      </text>
    </comment>
    <comment ref="AD219" authorId="0" shapeId="0" xr:uid="{1415B39F-FF03-4492-BF05-19359120AB6C}">
      <text>
        <r>
          <rPr>
            <b/>
            <sz val="9"/>
            <color indexed="81"/>
            <rFont val="Tahoma"/>
            <family val="2"/>
          </rPr>
          <t>&lt;[[TCDeals] - [Associated DEV Deal (Seq: 1)] - [Property (Seq: 1)] - [Locations (Seq: 1)] - [Unit Mix (Seq: 23)] Base Rent - Send]&gt;</t>
        </r>
      </text>
    </comment>
    <comment ref="AF219" authorId="0" shapeId="0" xr:uid="{835495FE-0C14-4B27-87A0-CD30FAE49F5D}">
      <text>
        <r>
          <rPr>
            <b/>
            <sz val="9"/>
            <color indexed="81"/>
            <rFont val="Tahoma"/>
            <family val="2"/>
          </rPr>
          <t>&lt;[[TCDeals] - [Associated DEV Deal (Seq: 1)] - [Property (Seq: 1)] - [Locations (Seq: 1)] - [Unit Mix (Seq: 23)] Square Footage - Send]&gt;</t>
        </r>
      </text>
    </comment>
    <comment ref="AH219" authorId="0" shapeId="0" xr:uid="{02A35288-4817-4840-AC27-693AC80AE46F}">
      <text>
        <r>
          <rPr>
            <b/>
            <sz val="9"/>
            <color indexed="81"/>
            <rFont val="Tahoma"/>
            <family val="2"/>
          </rPr>
          <t>&lt;[[TCDeals] - [Associated DEV Deal (Seq: 1)] - [Property (Seq: 1)] - [Locations (Seq: 1)] - [Unit Mix (Seq: 23)] Num Units - Send]&gt;</t>
        </r>
      </text>
    </comment>
    <comment ref="AL219" authorId="0" shapeId="0" xr:uid="{114CBD82-743A-4EE6-8943-29BBC98B0788}">
      <text>
        <r>
          <rPr>
            <b/>
            <sz val="9"/>
            <color indexed="81"/>
            <rFont val="Tahoma"/>
            <family val="2"/>
          </rPr>
          <t>&lt;[[TCDeals] - [Associated DEV Deal (Seq: 1)] - [Property (Seq: 1)] - [Locations (Seq: 1)] - [Unit Mix (Seq: 23)] Unit Mix Ami Percent - Send]&gt;</t>
        </r>
      </text>
    </comment>
    <comment ref="H220" authorId="0" shapeId="0" xr:uid="{40E15881-19F4-4FA1-90D6-7C7C38B19F0F}">
      <text>
        <r>
          <rPr>
            <b/>
            <sz val="9"/>
            <color indexed="81"/>
            <rFont val="Tahoma"/>
            <family val="2"/>
          </rPr>
          <t>&lt;[[TCDeals] - [TC Property Current Stage (Seq: 1)] - [Unit Mix (Seq: 24)] TC Unit Mix Type - Send]&gt;</t>
        </r>
      </text>
    </comment>
    <comment ref="J220" authorId="0" shapeId="0" xr:uid="{6B026233-1849-4223-AA0F-E5F14DC385F7}">
      <text>
        <r>
          <rPr>
            <b/>
            <sz val="9"/>
            <color indexed="81"/>
            <rFont val="Tahoma"/>
            <family val="2"/>
          </rPr>
          <t>&lt;[[TCDeals] - [TC Property Current Stage (Seq: 1)] - [Unit Mix (Seq: 2)] Net Rentable Sq Ft - Send]&gt;</t>
        </r>
      </text>
    </comment>
    <comment ref="L220" authorId="0" shapeId="0" xr:uid="{C84CFA93-F97B-4782-B13B-E468AEC64FF4}">
      <text>
        <r>
          <rPr>
            <b/>
            <sz val="9"/>
            <color indexed="81"/>
            <rFont val="Tahoma"/>
            <family val="2"/>
          </rPr>
          <t>&lt;[[TCDeals] - [TC Property Current Stage (Seq: 1)] - [Unit Mix (Seq: 2)] Num Units - Send]&gt;</t>
        </r>
      </text>
    </comment>
    <comment ref="N220" authorId="0" shapeId="0" xr:uid="{AA8C913D-1B4C-4A67-807B-8BB7E2E25A23}">
      <text>
        <r>
          <rPr>
            <b/>
            <sz val="9"/>
            <color indexed="81"/>
            <rFont val="Tahoma"/>
            <family val="2"/>
          </rPr>
          <t>&lt;[[TCDeals] - [TC Property Current Stage (Seq: 1)] - [Unit Mix (Seq: 2)] Num Units - Send]&gt;</t>
        </r>
      </text>
    </comment>
    <comment ref="P220" authorId="0" shapeId="0" xr:uid="{05EBF101-146D-4039-9872-040E7CA0F272}">
      <text>
        <r>
          <rPr>
            <b/>
            <sz val="9"/>
            <color indexed="81"/>
            <rFont val="Tahoma"/>
            <family val="2"/>
          </rPr>
          <t>&lt;[[TCDeals] - [TC Property Current Stage (Seq: 1)] - [Unit Mix (Seq: 2)] Income Target - Send]&gt;</t>
        </r>
      </text>
    </comment>
    <comment ref="Z220" authorId="0" shapeId="0" xr:uid="{2817364F-F2A0-4E3F-BE44-AD545989BBBB}">
      <text>
        <r>
          <rPr>
            <b/>
            <sz val="9"/>
            <color indexed="81"/>
            <rFont val="Tahoma"/>
            <family val="2"/>
          </rPr>
          <t>&lt;[[TCDeals] - [Associated DEV Deal (Seq: 1)] - [Property (Seq: 1)] - [Locations (Seq: 1)] - [Unit Mix (Seq: 24)] Unit Type - Send]&gt;</t>
        </r>
      </text>
    </comment>
    <comment ref="AB220" authorId="0" shapeId="0" xr:uid="{07704FA0-575F-4510-BC0F-ACEB73062BD7}">
      <text>
        <r>
          <rPr>
            <b/>
            <sz val="9"/>
            <color indexed="81"/>
            <rFont val="Tahoma"/>
            <family val="2"/>
          </rPr>
          <t>&lt;[[TCDeals] - [Associated DEV Deal (Seq: 1)] - [Property (Seq: 1)] - [Locations (Seq: 1)] - [Unit Mix (Seq: 24)] Residential Apartment Type - Send]&gt;</t>
        </r>
      </text>
    </comment>
    <comment ref="AD220" authorId="0" shapeId="0" xr:uid="{B6AE2419-8A0A-4626-A433-0F1DDC4E1ED2}">
      <text>
        <r>
          <rPr>
            <b/>
            <sz val="9"/>
            <color indexed="81"/>
            <rFont val="Tahoma"/>
            <family val="2"/>
          </rPr>
          <t>&lt;[[TCDeals] - [Associated DEV Deal (Seq: 1)] - [Property (Seq: 1)] - [Locations (Seq: 1)] - [Unit Mix (Seq: 24)] Base Rent - Send]&gt;</t>
        </r>
      </text>
    </comment>
    <comment ref="AF220" authorId="0" shapeId="0" xr:uid="{4326606B-7C60-4A46-B69A-DFEB3657177B}">
      <text>
        <r>
          <rPr>
            <b/>
            <sz val="9"/>
            <color indexed="81"/>
            <rFont val="Tahoma"/>
            <family val="2"/>
          </rPr>
          <t>&lt;[[TCDeals] - [Associated DEV Deal (Seq: 1)] - [Property (Seq: 1)] - [Locations (Seq: 1)] - [Unit Mix (Seq: 24)] Square Footage - Send]&gt;</t>
        </r>
      </text>
    </comment>
    <comment ref="AH220" authorId="0" shapeId="0" xr:uid="{5A19EEA5-36F8-46EC-8E51-DC63CBC5A0C2}">
      <text>
        <r>
          <rPr>
            <b/>
            <sz val="9"/>
            <color indexed="81"/>
            <rFont val="Tahoma"/>
            <family val="2"/>
          </rPr>
          <t>&lt;[[TCDeals] - [Associated DEV Deal (Seq: 1)] - [Property (Seq: 1)] - [Locations (Seq: 1)] - [Unit Mix (Seq: 24)] Num Units - Send]&gt;</t>
        </r>
      </text>
    </comment>
    <comment ref="AL220" authorId="0" shapeId="0" xr:uid="{8885E552-BA9F-41ED-8966-C04F44ED2927}">
      <text>
        <r>
          <rPr>
            <b/>
            <sz val="9"/>
            <color indexed="81"/>
            <rFont val="Tahoma"/>
            <family val="2"/>
          </rPr>
          <t>&lt;[[TCDeals] - [Associated DEV Deal (Seq: 1)] - [Property (Seq: 1)] - [Locations (Seq: 1)] - [Unit Mix (Seq: 24)] Unit Mix Ami Percent - Send]&gt;</t>
        </r>
      </text>
    </comment>
    <comment ref="H221" authorId="0" shapeId="0" xr:uid="{196FBB1B-B403-4681-AC3E-F710B062F900}">
      <text>
        <r>
          <rPr>
            <b/>
            <sz val="9"/>
            <color indexed="81"/>
            <rFont val="Tahoma"/>
            <family val="2"/>
          </rPr>
          <t>&lt;[[TCDeals] - [TC Property Current Stage (Seq: 1)] - [Unit Mix (Seq: 25)] TC Unit Mix Type - Send]&gt;</t>
        </r>
      </text>
    </comment>
    <comment ref="J221" authorId="0" shapeId="0" xr:uid="{1C896B81-8938-45C7-998B-BE52D04211C0}">
      <text>
        <r>
          <rPr>
            <b/>
            <sz val="9"/>
            <color indexed="81"/>
            <rFont val="Tahoma"/>
            <family val="2"/>
          </rPr>
          <t>&lt;[[TCDeals] - [TC Property Current Stage (Seq: 1)] - [Unit Mix (Seq: 2)] Net Rentable Sq Ft - Send]&gt;</t>
        </r>
      </text>
    </comment>
    <comment ref="L221" authorId="0" shapeId="0" xr:uid="{0D7E82A2-7C6D-4B33-9E1A-B3543E2688AB}">
      <text>
        <r>
          <rPr>
            <b/>
            <sz val="9"/>
            <color indexed="81"/>
            <rFont val="Tahoma"/>
            <family val="2"/>
          </rPr>
          <t>&lt;[[TCDeals] - [TC Property Current Stage (Seq: 1)] - [Unit Mix (Seq: 2)] Num Units - Send]&gt;</t>
        </r>
      </text>
    </comment>
    <comment ref="N221" authorId="0" shapeId="0" xr:uid="{00396C3E-25AD-4F9C-8244-665393780EE5}">
      <text>
        <r>
          <rPr>
            <b/>
            <sz val="9"/>
            <color indexed="81"/>
            <rFont val="Tahoma"/>
            <family val="2"/>
          </rPr>
          <t>&lt;[[TCDeals] - [TC Property Current Stage (Seq: 1)] - [Unit Mix (Seq: 2)] Num Units - Send]&gt;</t>
        </r>
      </text>
    </comment>
    <comment ref="P221" authorId="0" shapeId="0" xr:uid="{B2869D16-8A11-4CDD-8D4D-608459158F1B}">
      <text>
        <r>
          <rPr>
            <b/>
            <sz val="9"/>
            <color indexed="81"/>
            <rFont val="Tahoma"/>
            <family val="2"/>
          </rPr>
          <t>&lt;[[TCDeals] - [TC Property Current Stage (Seq: 1)] - [Unit Mix (Seq: 2)] Income Target - Send]&gt;</t>
        </r>
      </text>
    </comment>
    <comment ref="Z221" authorId="0" shapeId="0" xr:uid="{0545FBF6-0D1C-41BA-B754-8B609A7BCC61}">
      <text>
        <r>
          <rPr>
            <b/>
            <sz val="9"/>
            <color indexed="81"/>
            <rFont val="Tahoma"/>
            <family val="2"/>
          </rPr>
          <t>&lt;[[TCDeals] - [Associated DEV Deal (Seq: 1)] - [Property (Seq: 1)] - [Locations (Seq: 1)] - [Unit Mix (Seq: 25)] Unit Type - Send]&gt;</t>
        </r>
      </text>
    </comment>
    <comment ref="AB221" authorId="0" shapeId="0" xr:uid="{3D8E5027-C5E7-4252-87F5-BBFF88C4A6FB}">
      <text>
        <r>
          <rPr>
            <b/>
            <sz val="9"/>
            <color indexed="81"/>
            <rFont val="Tahoma"/>
            <family val="2"/>
          </rPr>
          <t>&lt;[[TCDeals] - [Associated DEV Deal (Seq: 1)] - [Property (Seq: 1)] - [Locations (Seq: 1)] - [Unit Mix (Seq: 25)] Residential Apartment Type - Send]&gt;</t>
        </r>
      </text>
    </comment>
    <comment ref="AD221" authorId="0" shapeId="0" xr:uid="{221659B9-3678-48F1-B6BB-426E48281D9C}">
      <text>
        <r>
          <rPr>
            <b/>
            <sz val="9"/>
            <color indexed="81"/>
            <rFont val="Tahoma"/>
            <family val="2"/>
          </rPr>
          <t>&lt;[[TCDeals] - [Associated DEV Deal (Seq: 1)] - [Property (Seq: 1)] - [Locations (Seq: 1)] - [Unit Mix (Seq: 25)] Base Rent - Send]&gt;</t>
        </r>
      </text>
    </comment>
    <comment ref="AF221" authorId="0" shapeId="0" xr:uid="{63186B8E-B807-4D82-B66D-56E6178D31C5}">
      <text>
        <r>
          <rPr>
            <b/>
            <sz val="9"/>
            <color indexed="81"/>
            <rFont val="Tahoma"/>
            <family val="2"/>
          </rPr>
          <t>&lt;[[TCDeals] - [Associated DEV Deal (Seq: 1)] - [Property (Seq: 1)] - [Locations (Seq: 1)] - [Unit Mix (Seq: 25)] Square Footage - Send]&gt;</t>
        </r>
      </text>
    </comment>
    <comment ref="AH221" authorId="0" shapeId="0" xr:uid="{BFC2C61D-6C1B-4240-963B-8269E0C0925C}">
      <text>
        <r>
          <rPr>
            <b/>
            <sz val="9"/>
            <color indexed="81"/>
            <rFont val="Tahoma"/>
            <family val="2"/>
          </rPr>
          <t>&lt;[[TCDeals] - [Associated DEV Deal (Seq: 1)] - [Property (Seq: 1)] - [Locations (Seq: 1)] - [Unit Mix (Seq: 25)] Num Units - Send]&gt;</t>
        </r>
      </text>
    </comment>
    <comment ref="AL221" authorId="0" shapeId="0" xr:uid="{6D75E7EA-F46A-421C-AF20-27349988DDA4}">
      <text>
        <r>
          <rPr>
            <b/>
            <sz val="9"/>
            <color indexed="81"/>
            <rFont val="Tahoma"/>
            <family val="2"/>
          </rPr>
          <t>&lt;[[TCDeals] - [Associated DEV Deal (Seq: 1)] - [Property (Seq: 1)] - [Locations (Seq: 1)] - [Unit Mix (Seq: 25)] Unit Mix Ami Percent - Send]&gt;</t>
        </r>
      </text>
    </comment>
    <comment ref="H222" authorId="0" shapeId="0" xr:uid="{CBF12CA8-6B3B-473A-AF38-A5FBEC85D79D}">
      <text>
        <r>
          <rPr>
            <b/>
            <sz val="9"/>
            <color indexed="81"/>
            <rFont val="Tahoma"/>
            <family val="2"/>
          </rPr>
          <t>&lt;[[TCDeals] - [TC Property Current Stage (Seq: 1)] - [Unit Mix (Seq: 26)] TC Unit Mix Type - Send]&gt;</t>
        </r>
      </text>
    </comment>
    <comment ref="J222" authorId="0" shapeId="0" xr:uid="{27F4F8EB-7293-41E8-9FAE-27E7F35AD5FB}">
      <text>
        <r>
          <rPr>
            <b/>
            <sz val="9"/>
            <color indexed="81"/>
            <rFont val="Tahoma"/>
            <family val="2"/>
          </rPr>
          <t>&lt;[[TCDeals] - [TC Property Current Stage (Seq: 1)] - [Unit Mix (Seq: 2)] Net Rentable Sq Ft - Send]&gt;</t>
        </r>
      </text>
    </comment>
    <comment ref="L222" authorId="0" shapeId="0" xr:uid="{1F1D9675-DE33-4411-A1CC-4D5794FAA650}">
      <text>
        <r>
          <rPr>
            <b/>
            <sz val="9"/>
            <color indexed="81"/>
            <rFont val="Tahoma"/>
            <family val="2"/>
          </rPr>
          <t>&lt;[[TCDeals] - [TC Property Current Stage (Seq: 1)] - [Unit Mix (Seq: 2)] Num Units - Send]&gt;</t>
        </r>
      </text>
    </comment>
    <comment ref="N222" authorId="0" shapeId="0" xr:uid="{596D936D-0950-440C-9804-3BC7B7ECB94D}">
      <text>
        <r>
          <rPr>
            <b/>
            <sz val="9"/>
            <color indexed="81"/>
            <rFont val="Tahoma"/>
            <family val="2"/>
          </rPr>
          <t>&lt;[[TCDeals] - [TC Property Current Stage (Seq: 1)] - [Unit Mix (Seq: 2)] Num Units - Send]&gt;</t>
        </r>
      </text>
    </comment>
    <comment ref="P222" authorId="0" shapeId="0" xr:uid="{5F97FF9F-5795-4F22-851A-E164CCBF9013}">
      <text>
        <r>
          <rPr>
            <b/>
            <sz val="9"/>
            <color indexed="81"/>
            <rFont val="Tahoma"/>
            <family val="2"/>
          </rPr>
          <t>&lt;[[TCDeals] - [TC Property Current Stage (Seq: 1)] - [Unit Mix (Seq: 2)] Income Target - Send]&gt;</t>
        </r>
      </text>
    </comment>
    <comment ref="Z222" authorId="0" shapeId="0" xr:uid="{6294C714-2A54-4654-AF52-C276E1F9E38F}">
      <text>
        <r>
          <rPr>
            <b/>
            <sz val="9"/>
            <color indexed="81"/>
            <rFont val="Tahoma"/>
            <family val="2"/>
          </rPr>
          <t>&lt;[[TCDeals] - [Associated DEV Deal (Seq: 1)] - [Property (Seq: 1)] - [Locations (Seq: 1)] - [Unit Mix (Seq: 26)] Unit Type - Send]&gt;</t>
        </r>
      </text>
    </comment>
    <comment ref="AB222" authorId="0" shapeId="0" xr:uid="{98A004AD-1759-40C3-88EE-9EE5FCEE7EFA}">
      <text>
        <r>
          <rPr>
            <b/>
            <sz val="9"/>
            <color indexed="81"/>
            <rFont val="Tahoma"/>
            <family val="2"/>
          </rPr>
          <t>&lt;[[TCDeals] - [Associated DEV Deal (Seq: 1)] - [Property (Seq: 1)] - [Locations (Seq: 1)] - [Unit Mix (Seq: 26)] Residential Apartment Type - Send]&gt;</t>
        </r>
      </text>
    </comment>
    <comment ref="AD222" authorId="0" shapeId="0" xr:uid="{D35E1CCA-F570-4627-AE3E-53A9A00B9F91}">
      <text>
        <r>
          <rPr>
            <b/>
            <sz val="9"/>
            <color indexed="81"/>
            <rFont val="Tahoma"/>
            <family val="2"/>
          </rPr>
          <t>&lt;[[TCDeals] - [Associated DEV Deal (Seq: 1)] - [Property (Seq: 1)] - [Locations (Seq: 1)] - [Unit Mix (Seq: 26)] Base Rent - Send]&gt;</t>
        </r>
      </text>
    </comment>
    <comment ref="AF222" authorId="0" shapeId="0" xr:uid="{D865E193-7702-4576-AB62-1501340B9D4D}">
      <text>
        <r>
          <rPr>
            <b/>
            <sz val="9"/>
            <color indexed="81"/>
            <rFont val="Tahoma"/>
            <family val="2"/>
          </rPr>
          <t>&lt;[[TCDeals] - [Associated DEV Deal (Seq: 1)] - [Property (Seq: 1)] - [Locations (Seq: 1)] - [Unit Mix (Seq: 26)] Square Footage - Send]&gt;</t>
        </r>
      </text>
    </comment>
    <comment ref="AH222" authorId="0" shapeId="0" xr:uid="{77E37D55-7ED3-4551-B0BA-E85DF890F4B9}">
      <text>
        <r>
          <rPr>
            <b/>
            <sz val="9"/>
            <color indexed="81"/>
            <rFont val="Tahoma"/>
            <family val="2"/>
          </rPr>
          <t>&lt;[[TCDeals] - [Associated DEV Deal (Seq: 1)] - [Property (Seq: 1)] - [Locations (Seq: 1)] - [Unit Mix (Seq: 26)] Num Units - Send]&gt;</t>
        </r>
      </text>
    </comment>
    <comment ref="AL222" authorId="0" shapeId="0" xr:uid="{47A1BDBD-A2BF-4E31-99CA-AACEB637F368}">
      <text>
        <r>
          <rPr>
            <b/>
            <sz val="9"/>
            <color indexed="81"/>
            <rFont val="Tahoma"/>
            <family val="2"/>
          </rPr>
          <t>&lt;[[TCDeals] - [Associated DEV Deal (Seq: 1)] - [Property (Seq: 1)] - [Locations (Seq: 1)] - [Unit Mix (Seq: 26)] Unit Mix Ami Percent - Send]&gt;</t>
        </r>
      </text>
    </comment>
    <comment ref="H223" authorId="0" shapeId="0" xr:uid="{FE7C921E-C3E6-4287-AAD6-8839C5DFAC51}">
      <text>
        <r>
          <rPr>
            <b/>
            <sz val="9"/>
            <color indexed="81"/>
            <rFont val="Tahoma"/>
            <family val="2"/>
          </rPr>
          <t>&lt;[[TCDeals] - [TC Property Current Stage (Seq: 1)] - [Unit Mix (Seq: 27)] TC Unit Mix Type - Send]&gt;</t>
        </r>
      </text>
    </comment>
    <comment ref="J223" authorId="0" shapeId="0" xr:uid="{309127F4-D5B7-42BB-966C-D89F58FC29FD}">
      <text>
        <r>
          <rPr>
            <b/>
            <sz val="9"/>
            <color indexed="81"/>
            <rFont val="Tahoma"/>
            <family val="2"/>
          </rPr>
          <t>&lt;[[TCDeals] - [TC Property Current Stage (Seq: 1)] - [Unit Mix (Seq: 2)] Net Rentable Sq Ft - Send]&gt;</t>
        </r>
      </text>
    </comment>
    <comment ref="L223" authorId="0" shapeId="0" xr:uid="{80F40F9E-7B87-4773-BECC-C8846EAE8159}">
      <text>
        <r>
          <rPr>
            <b/>
            <sz val="9"/>
            <color indexed="81"/>
            <rFont val="Tahoma"/>
            <family val="2"/>
          </rPr>
          <t>&lt;[[TCDeals] - [TC Property Current Stage (Seq: 1)] - [Unit Mix (Seq: 2)] Num Units - Send]&gt;</t>
        </r>
      </text>
    </comment>
    <comment ref="N223" authorId="0" shapeId="0" xr:uid="{EFA2069F-4510-4E1B-B027-CBBA6407125A}">
      <text>
        <r>
          <rPr>
            <b/>
            <sz val="9"/>
            <color indexed="81"/>
            <rFont val="Tahoma"/>
            <family val="2"/>
          </rPr>
          <t>&lt;[[TCDeals] - [TC Property Current Stage (Seq: 1)] - [Unit Mix (Seq: 2)] Num Units - Send]&gt;</t>
        </r>
      </text>
    </comment>
    <comment ref="P223" authorId="0" shapeId="0" xr:uid="{D46F4477-BEC4-4357-AFA5-4DB51B3B7340}">
      <text>
        <r>
          <rPr>
            <b/>
            <sz val="9"/>
            <color indexed="81"/>
            <rFont val="Tahoma"/>
            <family val="2"/>
          </rPr>
          <t>&lt;[[TCDeals] - [TC Property Current Stage (Seq: 1)] - [Unit Mix (Seq: 2)] Income Target - Send]&gt;</t>
        </r>
      </text>
    </comment>
    <comment ref="Z223" authorId="0" shapeId="0" xr:uid="{D185DE9F-C6D3-4D1A-BCDC-08871A83DA5E}">
      <text>
        <r>
          <rPr>
            <b/>
            <sz val="9"/>
            <color indexed="81"/>
            <rFont val="Tahoma"/>
            <family val="2"/>
          </rPr>
          <t>&lt;[[TCDeals] - [Associated DEV Deal (Seq: 1)] - [Property (Seq: 1)] - [Locations (Seq: 1)] - [Unit Mix (Seq: 27)] Unit Type - Send]&gt;</t>
        </r>
      </text>
    </comment>
    <comment ref="AB223" authorId="0" shapeId="0" xr:uid="{AAC31439-4657-450E-A6F5-CD15E585AD43}">
      <text>
        <r>
          <rPr>
            <b/>
            <sz val="9"/>
            <color indexed="81"/>
            <rFont val="Tahoma"/>
            <family val="2"/>
          </rPr>
          <t>&lt;[[TCDeals] - [Associated DEV Deal (Seq: 1)] - [Property (Seq: 1)] - [Locations (Seq: 1)] - [Unit Mix (Seq: 27)] Residential Apartment Type - Send]&gt;</t>
        </r>
      </text>
    </comment>
    <comment ref="AD223" authorId="0" shapeId="0" xr:uid="{0C73D886-19F1-4779-9F80-772C603905FC}">
      <text>
        <r>
          <rPr>
            <b/>
            <sz val="9"/>
            <color indexed="81"/>
            <rFont val="Tahoma"/>
            <family val="2"/>
          </rPr>
          <t>&lt;[[TCDeals] - [Associated DEV Deal (Seq: 1)] - [Property (Seq: 1)] - [Locations (Seq: 1)] - [Unit Mix (Seq: 27)] Base Rent - Send]&gt;</t>
        </r>
      </text>
    </comment>
    <comment ref="AF223" authorId="0" shapeId="0" xr:uid="{7AA6E001-3CDF-4C23-9F2A-FFDA58C59347}">
      <text>
        <r>
          <rPr>
            <b/>
            <sz val="9"/>
            <color indexed="81"/>
            <rFont val="Tahoma"/>
            <family val="2"/>
          </rPr>
          <t>&lt;[[TCDeals] - [Associated DEV Deal (Seq: 1)] - [Property (Seq: 1)] - [Locations (Seq: 1)] - [Unit Mix (Seq: 27)] Square Footage - Send]&gt;</t>
        </r>
      </text>
    </comment>
    <comment ref="AH223" authorId="0" shapeId="0" xr:uid="{7CCE1318-1E81-4D91-A6AE-211BAD13A00D}">
      <text>
        <r>
          <rPr>
            <b/>
            <sz val="9"/>
            <color indexed="81"/>
            <rFont val="Tahoma"/>
            <family val="2"/>
          </rPr>
          <t>&lt;[[TCDeals] - [Associated DEV Deal (Seq: 1)] - [Property (Seq: 1)] - [Locations (Seq: 1)] - [Unit Mix (Seq: 27)] Num Units - Send]&gt;</t>
        </r>
      </text>
    </comment>
    <comment ref="AL223" authorId="0" shapeId="0" xr:uid="{59098604-13D2-41E0-8019-2279D062B1DB}">
      <text>
        <r>
          <rPr>
            <b/>
            <sz val="9"/>
            <color indexed="81"/>
            <rFont val="Tahoma"/>
            <family val="2"/>
          </rPr>
          <t>&lt;[[TCDeals] - [Associated DEV Deal (Seq: 1)] - [Property (Seq: 1)] - [Locations (Seq: 1)] - [Unit Mix (Seq: 27)] Unit Mix Ami Percent - Send]&gt;</t>
        </r>
      </text>
    </comment>
    <comment ref="H224" authorId="0" shapeId="0" xr:uid="{4AFAB99A-532A-4DD3-A9B5-F4024B1DC4BE}">
      <text>
        <r>
          <rPr>
            <b/>
            <sz val="9"/>
            <color indexed="81"/>
            <rFont val="Tahoma"/>
            <family val="2"/>
          </rPr>
          <t>&lt;[[TCDeals] - [TC Property Current Stage (Seq: 1)] - [Unit Mix (Seq: 28)] TC Unit Mix Type - Send]&gt;</t>
        </r>
      </text>
    </comment>
    <comment ref="J224" authorId="0" shapeId="0" xr:uid="{515B4142-CBA6-4A3B-8CDB-798A6BA6E265}">
      <text>
        <r>
          <rPr>
            <b/>
            <sz val="9"/>
            <color indexed="81"/>
            <rFont val="Tahoma"/>
            <family val="2"/>
          </rPr>
          <t>&lt;[[TCDeals] - [TC Property Current Stage (Seq: 1)] - [Unit Mix (Seq: 2)] Net Rentable Sq Ft - Send]&gt;</t>
        </r>
      </text>
    </comment>
    <comment ref="L224" authorId="0" shapeId="0" xr:uid="{14F55BA2-3A87-4341-9954-1BBCBC233033}">
      <text>
        <r>
          <rPr>
            <b/>
            <sz val="9"/>
            <color indexed="81"/>
            <rFont val="Tahoma"/>
            <family val="2"/>
          </rPr>
          <t>&lt;[[TCDeals] - [TC Property Current Stage (Seq: 1)] - [Unit Mix (Seq: 2)] Num Units - Send]&gt;</t>
        </r>
      </text>
    </comment>
    <comment ref="N224" authorId="0" shapeId="0" xr:uid="{F4D0C7CD-8B25-4907-8454-36F08895876E}">
      <text>
        <r>
          <rPr>
            <b/>
            <sz val="9"/>
            <color indexed="81"/>
            <rFont val="Tahoma"/>
            <family val="2"/>
          </rPr>
          <t>&lt;[[TCDeals] - [TC Property Current Stage (Seq: 1)] - [Unit Mix (Seq: 2)] Num Units - Send]&gt;</t>
        </r>
      </text>
    </comment>
    <comment ref="P224" authorId="0" shapeId="0" xr:uid="{61A0C783-6B66-47C9-B058-6658E5640CD3}">
      <text>
        <r>
          <rPr>
            <b/>
            <sz val="9"/>
            <color indexed="81"/>
            <rFont val="Tahoma"/>
            <family val="2"/>
          </rPr>
          <t>&lt;[[TCDeals] - [TC Property Current Stage (Seq: 1)] - [Unit Mix (Seq: 2)] Income Target - Send]&gt;</t>
        </r>
      </text>
    </comment>
    <comment ref="Z224" authorId="0" shapeId="0" xr:uid="{1AEAC88F-3D09-47A7-AD26-6DB7776112F6}">
      <text>
        <r>
          <rPr>
            <b/>
            <sz val="9"/>
            <color indexed="81"/>
            <rFont val="Tahoma"/>
            <family val="2"/>
          </rPr>
          <t>&lt;[[TCDeals] - [Associated DEV Deal (Seq: 1)] - [Property (Seq: 1)] - [Locations (Seq: 1)] - [Unit Mix (Seq: 28)] Unit Type - Send]&gt;</t>
        </r>
      </text>
    </comment>
    <comment ref="AB224" authorId="0" shapeId="0" xr:uid="{43DF35A1-5771-489F-9DB7-AEE6D7BA549A}">
      <text>
        <r>
          <rPr>
            <b/>
            <sz val="9"/>
            <color indexed="81"/>
            <rFont val="Tahoma"/>
            <family val="2"/>
          </rPr>
          <t>&lt;[[TCDeals] - [Associated DEV Deal (Seq: 1)] - [Property (Seq: 1)] - [Locations (Seq: 1)] - [Unit Mix (Seq: 28)] Residential Apartment Type - Send]&gt;</t>
        </r>
      </text>
    </comment>
    <comment ref="AD224" authorId="0" shapeId="0" xr:uid="{800A39C3-6044-4A4E-8148-C756CAA54DC6}">
      <text>
        <r>
          <rPr>
            <b/>
            <sz val="9"/>
            <color indexed="81"/>
            <rFont val="Tahoma"/>
            <family val="2"/>
          </rPr>
          <t>&lt;[[TCDeals] - [Associated DEV Deal (Seq: 1)] - [Property (Seq: 1)] - [Locations (Seq: 1)] - [Unit Mix (Seq: 28)] Base Rent - Send]&gt;</t>
        </r>
      </text>
    </comment>
    <comment ref="AF224" authorId="0" shapeId="0" xr:uid="{51182BEB-DB26-4F33-9189-7389F2DB8FC7}">
      <text>
        <r>
          <rPr>
            <b/>
            <sz val="9"/>
            <color indexed="81"/>
            <rFont val="Tahoma"/>
            <family val="2"/>
          </rPr>
          <t>&lt;[[TCDeals] - [Associated DEV Deal (Seq: 1)] - [Property (Seq: 1)] - [Locations (Seq: 1)] - [Unit Mix (Seq: 28)] Square Footage - Send]&gt;</t>
        </r>
      </text>
    </comment>
    <comment ref="AH224" authorId="0" shapeId="0" xr:uid="{0CD3408B-CDF4-4E27-89F1-42503183797B}">
      <text>
        <r>
          <rPr>
            <b/>
            <sz val="9"/>
            <color indexed="81"/>
            <rFont val="Tahoma"/>
            <family val="2"/>
          </rPr>
          <t>&lt;[[TCDeals] - [Associated DEV Deal (Seq: 1)] - [Property (Seq: 1)] - [Locations (Seq: 1)] - [Unit Mix (Seq: 28)] Num Units - Send]&gt;</t>
        </r>
      </text>
    </comment>
    <comment ref="AL224" authorId="0" shapeId="0" xr:uid="{FC4C38FA-D718-4C30-9E86-5A50AD18A39D}">
      <text>
        <r>
          <rPr>
            <b/>
            <sz val="9"/>
            <color indexed="81"/>
            <rFont val="Tahoma"/>
            <family val="2"/>
          </rPr>
          <t>&lt;[[TCDeals] - [Associated DEV Deal (Seq: 1)] - [Property (Seq: 1)] - [Locations (Seq: 1)] - [Unit Mix (Seq: 28)] Unit Mix Ami Percent - Send]&gt;</t>
        </r>
      </text>
    </comment>
    <comment ref="H225" authorId="0" shapeId="0" xr:uid="{8E882162-F349-44E1-83EC-9D42073275EB}">
      <text>
        <r>
          <rPr>
            <b/>
            <sz val="9"/>
            <color indexed="81"/>
            <rFont val="Tahoma"/>
            <family val="2"/>
          </rPr>
          <t>&lt;[[TCDeals] - [TC Property Current Stage (Seq: 1)] - [Unit Mix (Seq: 29)] TC Unit Mix Type - Send]&gt;</t>
        </r>
      </text>
    </comment>
    <comment ref="J225" authorId="0" shapeId="0" xr:uid="{D6C6C924-0065-4F83-B3B3-FAD1EB639E6E}">
      <text>
        <r>
          <rPr>
            <b/>
            <sz val="9"/>
            <color indexed="81"/>
            <rFont val="Tahoma"/>
            <family val="2"/>
          </rPr>
          <t>&lt;[[TCDeals] - [TC Property Current Stage (Seq: 1)] - [Unit Mix (Seq: 2)] Net Rentable Sq Ft - Send]&gt;</t>
        </r>
      </text>
    </comment>
    <comment ref="L225" authorId="0" shapeId="0" xr:uid="{8C252301-04E7-47C1-8D71-401F9C057ED4}">
      <text>
        <r>
          <rPr>
            <b/>
            <sz val="9"/>
            <color indexed="81"/>
            <rFont val="Tahoma"/>
            <family val="2"/>
          </rPr>
          <t>&lt;[[TCDeals] - [TC Property Current Stage (Seq: 1)] - [Unit Mix (Seq: 2)] Num Units - Send]&gt;</t>
        </r>
      </text>
    </comment>
    <comment ref="N225" authorId="0" shapeId="0" xr:uid="{90D18DAD-94CD-4097-960A-023A7F6D893C}">
      <text>
        <r>
          <rPr>
            <b/>
            <sz val="9"/>
            <color indexed="81"/>
            <rFont val="Tahoma"/>
            <family val="2"/>
          </rPr>
          <t>&lt;[[TCDeals] - [TC Property Current Stage (Seq: 1)] - [Unit Mix (Seq: 2)] Num Units - Send]&gt;</t>
        </r>
      </text>
    </comment>
    <comment ref="P225" authorId="0" shapeId="0" xr:uid="{6326CD66-1F9F-4493-B30B-E99261A74E68}">
      <text>
        <r>
          <rPr>
            <b/>
            <sz val="9"/>
            <color indexed="81"/>
            <rFont val="Tahoma"/>
            <family val="2"/>
          </rPr>
          <t>&lt;[[TCDeals] - [TC Property Current Stage (Seq: 1)] - [Unit Mix (Seq: 2)] Income Target - Send]&gt;</t>
        </r>
      </text>
    </comment>
    <comment ref="Z225" authorId="0" shapeId="0" xr:uid="{3C845752-27AF-4E70-8CDC-482572AEC8E9}">
      <text>
        <r>
          <rPr>
            <b/>
            <sz val="9"/>
            <color indexed="81"/>
            <rFont val="Tahoma"/>
            <family val="2"/>
          </rPr>
          <t>&lt;[[TCDeals] - [Associated DEV Deal (Seq: 1)] - [Property (Seq: 1)] - [Locations (Seq: 1)] - [Unit Mix (Seq: 29)] Unit Type - Send]&gt;</t>
        </r>
      </text>
    </comment>
    <comment ref="AB225" authorId="0" shapeId="0" xr:uid="{C0DB0F73-F440-4180-BF8B-2C151932C97C}">
      <text>
        <r>
          <rPr>
            <b/>
            <sz val="9"/>
            <color indexed="81"/>
            <rFont val="Tahoma"/>
            <family val="2"/>
          </rPr>
          <t>&lt;[[TCDeals] - [Associated DEV Deal (Seq: 1)] - [Property (Seq: 1)] - [Locations (Seq: 1)] - [Unit Mix (Seq: 29)] Residential Apartment Type - Send]&gt;</t>
        </r>
      </text>
    </comment>
    <comment ref="AD225" authorId="0" shapeId="0" xr:uid="{8E93DFA4-AB75-48A0-9DF8-56AC19581939}">
      <text>
        <r>
          <rPr>
            <b/>
            <sz val="9"/>
            <color indexed="81"/>
            <rFont val="Tahoma"/>
            <family val="2"/>
          </rPr>
          <t>&lt;[[TCDeals] - [Associated DEV Deal (Seq: 1)] - [Property (Seq: 1)] - [Locations (Seq: 1)] - [Unit Mix (Seq: 29)] Base Rent - Send]&gt;</t>
        </r>
      </text>
    </comment>
    <comment ref="AF225" authorId="0" shapeId="0" xr:uid="{82A5E867-A347-425C-B6D5-69406B3453F3}">
      <text>
        <r>
          <rPr>
            <b/>
            <sz val="9"/>
            <color indexed="81"/>
            <rFont val="Tahoma"/>
            <family val="2"/>
          </rPr>
          <t>&lt;[[TCDeals] - [Associated DEV Deal (Seq: 1)] - [Property (Seq: 1)] - [Locations (Seq: 1)] - [Unit Mix (Seq: 29)] Square Footage - Send]&gt;</t>
        </r>
      </text>
    </comment>
    <comment ref="AH225" authorId="0" shapeId="0" xr:uid="{66B03C7E-C9AB-4568-9C6C-44589BE3C023}">
      <text>
        <r>
          <rPr>
            <b/>
            <sz val="9"/>
            <color indexed="81"/>
            <rFont val="Tahoma"/>
            <family val="2"/>
          </rPr>
          <t>&lt;[[TCDeals] - [Associated DEV Deal (Seq: 1)] - [Property (Seq: 1)] - [Locations (Seq: 1)] - [Unit Mix (Seq: 29)] Num Units - Send]&gt;</t>
        </r>
      </text>
    </comment>
    <comment ref="AL225" authorId="0" shapeId="0" xr:uid="{2B48EE92-5F35-4C68-A27E-954387C47923}">
      <text>
        <r>
          <rPr>
            <b/>
            <sz val="9"/>
            <color indexed="81"/>
            <rFont val="Tahoma"/>
            <family val="2"/>
          </rPr>
          <t>&lt;[[TCDeals] - [Associated DEV Deal (Seq: 1)] - [Property (Seq: 1)] - [Locations (Seq: 1)] - [Unit Mix (Seq: 29)] Unit Mix Ami Percent - Send]&gt;</t>
        </r>
      </text>
    </comment>
    <comment ref="H226" authorId="0" shapeId="0" xr:uid="{B34726E7-9C08-4195-A90F-156ECD600605}">
      <text>
        <r>
          <rPr>
            <b/>
            <sz val="9"/>
            <color indexed="81"/>
            <rFont val="Tahoma"/>
            <family val="2"/>
          </rPr>
          <t>&lt;[[TCDeals] - [TC Property Current Stage (Seq: 1)] - [Unit Mix (Seq: 30)] TC Unit Mix Type - Send]&gt;</t>
        </r>
      </text>
    </comment>
    <comment ref="J226" authorId="0" shapeId="0" xr:uid="{983384C2-39FF-4A52-9244-FA0A86A4BB54}">
      <text>
        <r>
          <rPr>
            <b/>
            <sz val="9"/>
            <color indexed="81"/>
            <rFont val="Tahoma"/>
            <family val="2"/>
          </rPr>
          <t>&lt;[[TCDeals] - [TC Property Current Stage (Seq: 1)] - [Unit Mix (Seq: 2)] Net Rentable Sq Ft - Send]&gt;</t>
        </r>
      </text>
    </comment>
    <comment ref="L226" authorId="0" shapeId="0" xr:uid="{FF20A48C-07B3-4243-9750-E8AD2609EA55}">
      <text>
        <r>
          <rPr>
            <b/>
            <sz val="9"/>
            <color indexed="81"/>
            <rFont val="Tahoma"/>
            <family val="2"/>
          </rPr>
          <t>&lt;[[TCDeals] - [TC Property Current Stage (Seq: 1)] - [Unit Mix (Seq: 3)] Num Units - Send]&gt;</t>
        </r>
      </text>
    </comment>
    <comment ref="N226" authorId="0" shapeId="0" xr:uid="{FDF338FD-8FE0-4A1C-AC6E-48405BC94A53}">
      <text>
        <r>
          <rPr>
            <b/>
            <sz val="9"/>
            <color indexed="81"/>
            <rFont val="Tahoma"/>
            <family val="2"/>
          </rPr>
          <t>&lt;[[TCDeals] - [TC Property Current Stage (Seq: 1)] - [Unit Mix (Seq: 3)] Num Units - Send]&gt;</t>
        </r>
      </text>
    </comment>
    <comment ref="P226" authorId="0" shapeId="0" xr:uid="{CACB67B2-36E4-4662-BDFA-C98A884C7CDE}">
      <text>
        <r>
          <rPr>
            <b/>
            <sz val="9"/>
            <color indexed="81"/>
            <rFont val="Tahoma"/>
            <family val="2"/>
          </rPr>
          <t>&lt;[[TCDeals] - [TC Property Current Stage (Seq: 1)] - [Unit Mix (Seq: 3)] Income Target - Send]&gt;</t>
        </r>
      </text>
    </comment>
    <comment ref="Z226" authorId="0" shapeId="0" xr:uid="{B1563A75-757D-4F82-BC16-845331A29F77}">
      <text>
        <r>
          <rPr>
            <b/>
            <sz val="9"/>
            <color indexed="81"/>
            <rFont val="Tahoma"/>
            <family val="2"/>
          </rPr>
          <t>&lt;[[TCDeals] - [Associated DEV Deal (Seq: 1)] - [Property (Seq: 1)] - [Locations (Seq: 1)] - [Unit Mix (Seq: 30)] Unit Type - Send]&gt;</t>
        </r>
      </text>
    </comment>
    <comment ref="AB226" authorId="0" shapeId="0" xr:uid="{626E5A42-63FB-4405-A167-43AF5D7EADE8}">
      <text>
        <r>
          <rPr>
            <b/>
            <sz val="9"/>
            <color indexed="81"/>
            <rFont val="Tahoma"/>
            <family val="2"/>
          </rPr>
          <t>&lt;[[TCDeals] - [Associated DEV Deal (Seq: 1)] - [Property (Seq: 1)] - [Locations (Seq: 1)] - [Unit Mix (Seq: 30)] Residential Apartment Type - Send]&gt;</t>
        </r>
      </text>
    </comment>
    <comment ref="AD226" authorId="0" shapeId="0" xr:uid="{8D968B06-5F4A-46A3-9701-47E36F1865BC}">
      <text>
        <r>
          <rPr>
            <b/>
            <sz val="9"/>
            <color indexed="81"/>
            <rFont val="Tahoma"/>
            <family val="2"/>
          </rPr>
          <t>&lt;[[TCDeals] - [Associated DEV Deal (Seq: 1)] - [Property (Seq: 1)] - [Locations (Seq: 1)] - [Unit Mix (Seq: 30)] Base Rent - Send]&gt;</t>
        </r>
      </text>
    </comment>
    <comment ref="AF226" authorId="0" shapeId="0" xr:uid="{062DBDF7-2B45-4873-9645-CF7AD9629815}">
      <text>
        <r>
          <rPr>
            <b/>
            <sz val="9"/>
            <color indexed="81"/>
            <rFont val="Tahoma"/>
            <family val="2"/>
          </rPr>
          <t>&lt;[[TCDeals] - [Associated DEV Deal (Seq: 1)] - [Property (Seq: 1)] - [Locations (Seq: 1)] - [Unit Mix (Seq: 30)] Square Footage - Send]&gt;</t>
        </r>
      </text>
    </comment>
    <comment ref="AH226" authorId="0" shapeId="0" xr:uid="{DECE60EC-602C-4813-9313-D1D8B6A4D35E}">
      <text>
        <r>
          <rPr>
            <b/>
            <sz val="9"/>
            <color indexed="81"/>
            <rFont val="Tahoma"/>
            <family val="2"/>
          </rPr>
          <t>&lt;[[TCDeals] - [Associated DEV Deal (Seq: 1)] - [Property (Seq: 1)] - [Locations (Seq: 1)] - [Unit Mix (Seq: 30)] Num Units - Send]&gt;</t>
        </r>
      </text>
    </comment>
    <comment ref="AL226" authorId="0" shapeId="0" xr:uid="{43671CFE-2271-4591-964E-7209FC5351CF}">
      <text>
        <r>
          <rPr>
            <b/>
            <sz val="9"/>
            <color indexed="81"/>
            <rFont val="Tahoma"/>
            <family val="2"/>
          </rPr>
          <t>&lt;[[TCDeals] - [Associated DEV Deal (Seq: 1)] - [Property (Seq: 1)] - [Locations (Seq: 1)] - [Unit Mix (Seq: 30)] Unit Mix Ami Percent - Send]&gt;</t>
        </r>
      </text>
    </comment>
    <comment ref="H227" authorId="0" shapeId="0" xr:uid="{54870A36-2CE6-46C3-91F1-E53BA670ABEB}">
      <text>
        <r>
          <rPr>
            <b/>
            <sz val="9"/>
            <color indexed="81"/>
            <rFont val="Tahoma"/>
            <family val="2"/>
          </rPr>
          <t>&lt;[[TCDeals] - [TC Property Current Stage (Seq: 1)] - [Unit Mix (Seq: 31)] TC Unit Mix Type - Send]&gt;</t>
        </r>
      </text>
    </comment>
    <comment ref="J227" authorId="0" shapeId="0" xr:uid="{1E96C918-B1C7-434B-80D5-BE15AF2E3D28}">
      <text>
        <r>
          <rPr>
            <b/>
            <sz val="9"/>
            <color indexed="81"/>
            <rFont val="Tahoma"/>
            <family val="2"/>
          </rPr>
          <t>&lt;[[TCDeals] - [TC Property Current Stage (Seq: 1)] - [Unit Mix (Seq: 2)] Net Rentable Sq Ft - Send]&gt;</t>
        </r>
      </text>
    </comment>
    <comment ref="L227" authorId="0" shapeId="0" xr:uid="{1F2709AA-48B6-4895-85F7-09CBCE9933E4}">
      <text>
        <r>
          <rPr>
            <b/>
            <sz val="9"/>
            <color indexed="81"/>
            <rFont val="Tahoma"/>
            <family val="2"/>
          </rPr>
          <t>&lt;[[TCDeals] - [TC Property Current Stage (Seq: 1)] - [Unit Mix (Seq: 3)] Num Units - Send]&gt;</t>
        </r>
      </text>
    </comment>
    <comment ref="N227" authorId="0" shapeId="0" xr:uid="{75B4B476-1172-4D9F-A61C-DBCC8E23CD4F}">
      <text>
        <r>
          <rPr>
            <b/>
            <sz val="9"/>
            <color indexed="81"/>
            <rFont val="Tahoma"/>
            <family val="2"/>
          </rPr>
          <t>&lt;[[TCDeals] - [TC Property Current Stage (Seq: 1)] - [Unit Mix (Seq: 3)] Num Units - Send]&gt;</t>
        </r>
      </text>
    </comment>
    <comment ref="P227" authorId="0" shapeId="0" xr:uid="{484CFBFE-566E-4332-B8CB-1F71664EA8F2}">
      <text>
        <r>
          <rPr>
            <b/>
            <sz val="9"/>
            <color indexed="81"/>
            <rFont val="Tahoma"/>
            <family val="2"/>
          </rPr>
          <t>&lt;[[TCDeals] - [TC Property Current Stage (Seq: 1)] - [Unit Mix (Seq: 3)] Income Target - Send]&gt;</t>
        </r>
      </text>
    </comment>
    <comment ref="Z227" authorId="0" shapeId="0" xr:uid="{D7D5A635-595F-4663-9662-62E9B239DF82}">
      <text>
        <r>
          <rPr>
            <b/>
            <sz val="9"/>
            <color indexed="81"/>
            <rFont val="Tahoma"/>
            <family val="2"/>
          </rPr>
          <t>&lt;[[TCDeals] - [Associated DEV Deal (Seq: 1)] - [Property (Seq: 1)] - [Locations (Seq: 1)] - [Unit Mix (Seq: 31)] Unit Type - Send]&gt;</t>
        </r>
      </text>
    </comment>
    <comment ref="AB227" authorId="0" shapeId="0" xr:uid="{85013C02-2118-4F78-951E-697E451C8D3E}">
      <text>
        <r>
          <rPr>
            <b/>
            <sz val="9"/>
            <color indexed="81"/>
            <rFont val="Tahoma"/>
            <family val="2"/>
          </rPr>
          <t>&lt;[[TCDeals] - [Associated DEV Deal (Seq: 1)] - [Property (Seq: 1)] - [Locations (Seq: 1)] - [Unit Mix (Seq: 31)] Residential Apartment Type - Send]&gt;</t>
        </r>
      </text>
    </comment>
    <comment ref="AD227" authorId="0" shapeId="0" xr:uid="{0C6492FA-728D-4986-86EF-6C01DE331376}">
      <text>
        <r>
          <rPr>
            <b/>
            <sz val="9"/>
            <color indexed="81"/>
            <rFont val="Tahoma"/>
            <family val="2"/>
          </rPr>
          <t>&lt;[[TCDeals] - [Associated DEV Deal (Seq: 1)] - [Property (Seq: 1)] - [Locations (Seq: 1)] - [Unit Mix (Seq: 31)] Base Rent - Send]&gt;</t>
        </r>
      </text>
    </comment>
    <comment ref="AF227" authorId="0" shapeId="0" xr:uid="{A2284643-C096-4CD9-9D8B-5C1E258471A1}">
      <text>
        <r>
          <rPr>
            <b/>
            <sz val="9"/>
            <color indexed="81"/>
            <rFont val="Tahoma"/>
            <family val="2"/>
          </rPr>
          <t>&lt;[[TCDeals] - [Associated DEV Deal (Seq: 1)] - [Property (Seq: 1)] - [Locations (Seq: 1)] - [Unit Mix (Seq: 31)] Square Footage - Send]&gt;</t>
        </r>
      </text>
    </comment>
    <comment ref="AH227" authorId="0" shapeId="0" xr:uid="{13ED2544-2AF4-4433-BEC8-B1E8849DD7A7}">
      <text>
        <r>
          <rPr>
            <b/>
            <sz val="9"/>
            <color indexed="81"/>
            <rFont val="Tahoma"/>
            <family val="2"/>
          </rPr>
          <t>&lt;[[TCDeals] - [Associated DEV Deal (Seq: 1)] - [Property (Seq: 1)] - [Locations (Seq: 1)] - [Unit Mix (Seq: 31)] Num Units - Send]&gt;</t>
        </r>
      </text>
    </comment>
    <comment ref="AL227" authorId="0" shapeId="0" xr:uid="{90CD5C26-B124-4E67-B8E8-3AE3F181AA8B}">
      <text>
        <r>
          <rPr>
            <b/>
            <sz val="9"/>
            <color indexed="81"/>
            <rFont val="Tahoma"/>
            <family val="2"/>
          </rPr>
          <t>&lt;[[TCDeals] - [Associated DEV Deal (Seq: 1)] - [Property (Seq: 1)] - [Locations (Seq: 1)] - [Unit Mix (Seq: 31)] Unit Mix Ami Percent - Send]&gt;</t>
        </r>
      </text>
    </comment>
    <comment ref="H228" authorId="0" shapeId="0" xr:uid="{9050893A-0509-4409-A7E2-B2D91CA83F16}">
      <text>
        <r>
          <rPr>
            <b/>
            <sz val="9"/>
            <color indexed="81"/>
            <rFont val="Tahoma"/>
            <family val="2"/>
          </rPr>
          <t>&lt;[[TCDeals] - [TC Property Current Stage (Seq: 1)] - [Unit Mix (Seq: 32)] TC Unit Mix Type - Send]&gt;</t>
        </r>
      </text>
    </comment>
    <comment ref="J228" authorId="0" shapeId="0" xr:uid="{F12D9A78-D9B2-4D18-AB28-AA3F1FE3A924}">
      <text>
        <r>
          <rPr>
            <b/>
            <sz val="9"/>
            <color indexed="81"/>
            <rFont val="Tahoma"/>
            <family val="2"/>
          </rPr>
          <t>&lt;[[TCDeals] - [TC Property Current Stage (Seq: 1)] - [Unit Mix (Seq: 2)] Net Rentable Sq Ft - Send]&gt;</t>
        </r>
      </text>
    </comment>
    <comment ref="L228" authorId="0" shapeId="0" xr:uid="{C3973EFE-45E1-4D2F-8355-C339A0965E6C}">
      <text>
        <r>
          <rPr>
            <b/>
            <sz val="9"/>
            <color indexed="81"/>
            <rFont val="Tahoma"/>
            <family val="2"/>
          </rPr>
          <t>&lt;[[TCDeals] - [TC Property Current Stage (Seq: 1)] - [Unit Mix (Seq: 3)] Num Units - Send]&gt;</t>
        </r>
      </text>
    </comment>
    <comment ref="N228" authorId="0" shapeId="0" xr:uid="{B8D2A00E-45A8-4BB3-B126-A32EAE3446A9}">
      <text>
        <r>
          <rPr>
            <b/>
            <sz val="9"/>
            <color indexed="81"/>
            <rFont val="Tahoma"/>
            <family val="2"/>
          </rPr>
          <t>&lt;[[TCDeals] - [TC Property Current Stage (Seq: 1)] - [Unit Mix (Seq: 3)] Num Units - Send]&gt;</t>
        </r>
      </text>
    </comment>
    <comment ref="P228" authorId="0" shapeId="0" xr:uid="{FED440C8-6DCB-4FFE-8B89-AAB62A6433C2}">
      <text>
        <r>
          <rPr>
            <b/>
            <sz val="9"/>
            <color indexed="81"/>
            <rFont val="Tahoma"/>
            <family val="2"/>
          </rPr>
          <t>&lt;[[TCDeals] - [TC Property Current Stage (Seq: 1)] - [Unit Mix (Seq: 3)] Income Target - Send]&gt;</t>
        </r>
      </text>
    </comment>
    <comment ref="Z228" authorId="0" shapeId="0" xr:uid="{CECFB590-0E4C-44C1-8A6E-22A121E47AAB}">
      <text>
        <r>
          <rPr>
            <b/>
            <sz val="9"/>
            <color indexed="81"/>
            <rFont val="Tahoma"/>
            <family val="2"/>
          </rPr>
          <t>&lt;[[TCDeals] - [Associated DEV Deal (Seq: 1)] - [Property (Seq: 1)] - [Locations (Seq: 1)] - [Unit Mix (Seq: 32)] Unit Type - Send]&gt;</t>
        </r>
      </text>
    </comment>
    <comment ref="AB228" authorId="0" shapeId="0" xr:uid="{35A71487-2EE2-4706-BA51-F280FDE13A87}">
      <text>
        <r>
          <rPr>
            <b/>
            <sz val="9"/>
            <color indexed="81"/>
            <rFont val="Tahoma"/>
            <family val="2"/>
          </rPr>
          <t>&lt;[[TCDeals] - [Associated DEV Deal (Seq: 1)] - [Property (Seq: 1)] - [Locations (Seq: 1)] - [Unit Mix (Seq: 32)] Residential Apartment Type - Send]&gt;</t>
        </r>
      </text>
    </comment>
    <comment ref="AD228" authorId="0" shapeId="0" xr:uid="{45C8003E-FD2B-48C3-AFF4-A3FC8BEDCF54}">
      <text>
        <r>
          <rPr>
            <b/>
            <sz val="9"/>
            <color indexed="81"/>
            <rFont val="Tahoma"/>
            <family val="2"/>
          </rPr>
          <t>&lt;[[TCDeals] - [Associated DEV Deal (Seq: 1)] - [Property (Seq: 1)] - [Locations (Seq: 1)] - [Unit Mix (Seq: 32)] Base Rent - Send]&gt;</t>
        </r>
      </text>
    </comment>
    <comment ref="AF228" authorId="0" shapeId="0" xr:uid="{0702C381-E5EB-4074-A21A-295D8584EF2F}">
      <text>
        <r>
          <rPr>
            <b/>
            <sz val="9"/>
            <color indexed="81"/>
            <rFont val="Tahoma"/>
            <family val="2"/>
          </rPr>
          <t>&lt;[[TCDeals] - [Associated DEV Deal (Seq: 1)] - [Property (Seq: 1)] - [Locations (Seq: 1)] - [Unit Mix (Seq: 32)] Square Footage - Send]&gt;</t>
        </r>
      </text>
    </comment>
    <comment ref="AH228" authorId="0" shapeId="0" xr:uid="{7D311841-D513-4275-A96C-D7FA0EEEB89E}">
      <text>
        <r>
          <rPr>
            <b/>
            <sz val="9"/>
            <color indexed="81"/>
            <rFont val="Tahoma"/>
            <family val="2"/>
          </rPr>
          <t>&lt;[[TCDeals] - [Associated DEV Deal (Seq: 1)] - [Property (Seq: 1)] - [Locations (Seq: 1)] - [Unit Mix (Seq: 32)] Num Units - Send]&gt;</t>
        </r>
      </text>
    </comment>
    <comment ref="AL228" authorId="0" shapeId="0" xr:uid="{95C70C2C-DCB1-4930-A174-1714516BA8D2}">
      <text>
        <r>
          <rPr>
            <b/>
            <sz val="9"/>
            <color indexed="81"/>
            <rFont val="Tahoma"/>
            <family val="2"/>
          </rPr>
          <t>&lt;[[TCDeals] - [Associated DEV Deal (Seq: 1)] - [Property (Seq: 1)] - [Locations (Seq: 1)] - [Unit Mix (Seq: 32)] Unit Mix Ami Percent - Send]&gt;</t>
        </r>
      </text>
    </comment>
    <comment ref="H229" authorId="0" shapeId="0" xr:uid="{44C855FA-9080-4649-80F0-12625C983F3F}">
      <text>
        <r>
          <rPr>
            <b/>
            <sz val="9"/>
            <color indexed="81"/>
            <rFont val="Tahoma"/>
            <family val="2"/>
          </rPr>
          <t>&lt;[[TCDeals] - [TC Property Current Stage (Seq: 1)] - [Unit Mix (Seq: 33)] TC Unit Mix Type - Send]&gt;</t>
        </r>
      </text>
    </comment>
    <comment ref="J229" authorId="0" shapeId="0" xr:uid="{5ACF7A85-05C8-49B6-9292-81D41DD3348E}">
      <text>
        <r>
          <rPr>
            <b/>
            <sz val="9"/>
            <color indexed="81"/>
            <rFont val="Tahoma"/>
            <family val="2"/>
          </rPr>
          <t>&lt;[[TCDeals] - [TC Property Current Stage (Seq: 1)] - [Unit Mix (Seq: 2)] Net Rentable Sq Ft - Send]&gt;</t>
        </r>
      </text>
    </comment>
    <comment ref="L229" authorId="0" shapeId="0" xr:uid="{41AF082D-EA5E-46EB-9B59-33C894B3F0D2}">
      <text>
        <r>
          <rPr>
            <b/>
            <sz val="9"/>
            <color indexed="81"/>
            <rFont val="Tahoma"/>
            <family val="2"/>
          </rPr>
          <t>&lt;[[TCDeals] - [TC Property Current Stage (Seq: 1)] - [Unit Mix (Seq: 3)] Num Units - Send]&gt;</t>
        </r>
      </text>
    </comment>
    <comment ref="N229" authorId="0" shapeId="0" xr:uid="{3539F4DD-26A0-42E8-BC2F-C6A2128586A8}">
      <text>
        <r>
          <rPr>
            <b/>
            <sz val="9"/>
            <color indexed="81"/>
            <rFont val="Tahoma"/>
            <family val="2"/>
          </rPr>
          <t>&lt;[[TCDeals] - [TC Property Current Stage (Seq: 1)] - [Unit Mix (Seq: 3)] Num Units - Send]&gt;</t>
        </r>
      </text>
    </comment>
    <comment ref="P229" authorId="0" shapeId="0" xr:uid="{3A8B9A7B-4236-4491-B846-ABB831BDECE0}">
      <text>
        <r>
          <rPr>
            <b/>
            <sz val="9"/>
            <color indexed="81"/>
            <rFont val="Tahoma"/>
            <family val="2"/>
          </rPr>
          <t>&lt;[[TCDeals] - [TC Property Current Stage (Seq: 1)] - [Unit Mix (Seq: 3)] Income Target - Send]&gt;</t>
        </r>
      </text>
    </comment>
    <comment ref="Z229" authorId="0" shapeId="0" xr:uid="{BCDE90B7-AFE5-4745-9AD3-FAF1021BE14E}">
      <text>
        <r>
          <rPr>
            <b/>
            <sz val="9"/>
            <color indexed="81"/>
            <rFont val="Tahoma"/>
            <family val="2"/>
          </rPr>
          <t>&lt;[[TCDeals] - [Associated DEV Deal (Seq: 1)] - [Property (Seq: 1)] - [Locations (Seq: 1)] - [Unit Mix (Seq: 33)] Unit Type - Send]&gt;</t>
        </r>
      </text>
    </comment>
    <comment ref="AB229" authorId="0" shapeId="0" xr:uid="{E7438665-95E7-431C-A011-A5D9EFEDF335}">
      <text>
        <r>
          <rPr>
            <b/>
            <sz val="9"/>
            <color indexed="81"/>
            <rFont val="Tahoma"/>
            <family val="2"/>
          </rPr>
          <t>&lt;[[TCDeals] - [Associated DEV Deal (Seq: 1)] - [Property (Seq: 1)] - [Locations (Seq: 1)] - [Unit Mix (Seq: 33)] Residential Apartment Type - Send]&gt;</t>
        </r>
      </text>
    </comment>
    <comment ref="AD229" authorId="0" shapeId="0" xr:uid="{C4CC60F7-D930-4CD0-A6FB-7E2D000EE9D4}">
      <text>
        <r>
          <rPr>
            <b/>
            <sz val="9"/>
            <color indexed="81"/>
            <rFont val="Tahoma"/>
            <family val="2"/>
          </rPr>
          <t>&lt;[[TCDeals] - [Associated DEV Deal (Seq: 1)] - [Property (Seq: 1)] - [Locations (Seq: 1)] - [Unit Mix (Seq: 33)] Base Rent - Send]&gt;</t>
        </r>
      </text>
    </comment>
    <comment ref="AF229" authorId="0" shapeId="0" xr:uid="{70106EA4-3030-4338-A0BD-FB99D6646B8B}">
      <text>
        <r>
          <rPr>
            <b/>
            <sz val="9"/>
            <color indexed="81"/>
            <rFont val="Tahoma"/>
            <family val="2"/>
          </rPr>
          <t>&lt;[[TCDeals] - [Associated DEV Deal (Seq: 1)] - [Property (Seq: 1)] - [Locations (Seq: 1)] - [Unit Mix (Seq: 33)] Square Footage - Send]&gt;</t>
        </r>
      </text>
    </comment>
    <comment ref="AH229" authorId="0" shapeId="0" xr:uid="{0721A9B6-2642-4502-804A-78AC63D679D7}">
      <text>
        <r>
          <rPr>
            <b/>
            <sz val="9"/>
            <color indexed="81"/>
            <rFont val="Tahoma"/>
            <family val="2"/>
          </rPr>
          <t>&lt;[[TCDeals] - [Associated DEV Deal (Seq: 1)] - [Property (Seq: 1)] - [Locations (Seq: 1)] - [Unit Mix (Seq: 33)] Num Units - Send]&gt;</t>
        </r>
      </text>
    </comment>
    <comment ref="AL229" authorId="0" shapeId="0" xr:uid="{36155E23-ADA4-4FD3-90D4-126D3F03F979}">
      <text>
        <r>
          <rPr>
            <b/>
            <sz val="9"/>
            <color indexed="81"/>
            <rFont val="Tahoma"/>
            <family val="2"/>
          </rPr>
          <t>&lt;[[TCDeals] - [Associated DEV Deal (Seq: 1)] - [Property (Seq: 1)] - [Locations (Seq: 1)] - [Unit Mix (Seq: 33)] Unit Mix Ami Percent - Send]&gt;</t>
        </r>
      </text>
    </comment>
    <comment ref="H230" authorId="0" shapeId="0" xr:uid="{0173CBF6-4221-4D35-B3F0-D58778B31FD8}">
      <text>
        <r>
          <rPr>
            <b/>
            <sz val="9"/>
            <color indexed="81"/>
            <rFont val="Tahoma"/>
            <family val="2"/>
          </rPr>
          <t>&lt;[[TCDeals] - [TC Property Current Stage (Seq: 1)] - [Unit Mix (Seq: 34)] TC Unit Mix Type - Send]&gt;</t>
        </r>
      </text>
    </comment>
    <comment ref="J230" authorId="0" shapeId="0" xr:uid="{A19B402E-6DB3-441F-912C-0679A2991BE4}">
      <text>
        <r>
          <rPr>
            <b/>
            <sz val="9"/>
            <color indexed="81"/>
            <rFont val="Tahoma"/>
            <family val="2"/>
          </rPr>
          <t>&lt;[[TCDeals] - [TC Property Current Stage (Seq: 1)] - [Unit Mix (Seq: 2)] Net Rentable Sq Ft - Send]&gt;</t>
        </r>
      </text>
    </comment>
    <comment ref="L230" authorId="0" shapeId="0" xr:uid="{B074CE8A-A165-4E29-BE61-1B25598C9DF1}">
      <text>
        <r>
          <rPr>
            <b/>
            <sz val="9"/>
            <color indexed="81"/>
            <rFont val="Tahoma"/>
            <family val="2"/>
          </rPr>
          <t>&lt;[[TCDeals] - [TC Property Current Stage (Seq: 1)] - [Unit Mix (Seq: 3)] Num Units - Send]&gt;</t>
        </r>
      </text>
    </comment>
    <comment ref="N230" authorId="0" shapeId="0" xr:uid="{525C8259-679D-4B0F-99E7-9C3D4D231E74}">
      <text>
        <r>
          <rPr>
            <b/>
            <sz val="9"/>
            <color indexed="81"/>
            <rFont val="Tahoma"/>
            <family val="2"/>
          </rPr>
          <t>&lt;[[TCDeals] - [TC Property Current Stage (Seq: 1)] - [Unit Mix (Seq: 3)] Num Units - Send]&gt;</t>
        </r>
      </text>
    </comment>
    <comment ref="P230" authorId="0" shapeId="0" xr:uid="{947337B0-78DC-42FD-86CA-808D995F1A45}">
      <text>
        <r>
          <rPr>
            <b/>
            <sz val="9"/>
            <color indexed="81"/>
            <rFont val="Tahoma"/>
            <family val="2"/>
          </rPr>
          <t>&lt;[[TCDeals] - [TC Property Current Stage (Seq: 1)] - [Unit Mix (Seq: 3)] Income Target - Send]&gt;</t>
        </r>
      </text>
    </comment>
    <comment ref="Z230" authorId="0" shapeId="0" xr:uid="{0718CCDB-5705-412D-8504-E4CD52343FD5}">
      <text>
        <r>
          <rPr>
            <b/>
            <sz val="9"/>
            <color indexed="81"/>
            <rFont val="Tahoma"/>
            <family val="2"/>
          </rPr>
          <t>&lt;[[TCDeals] - [Associated DEV Deal (Seq: 1)] - [Property (Seq: 1)] - [Locations (Seq: 1)] - [Unit Mix (Seq: 34)] Unit Type - Send]&gt;</t>
        </r>
      </text>
    </comment>
    <comment ref="AB230" authorId="0" shapeId="0" xr:uid="{24F0DA7D-F38B-43BC-A1F4-EBCA833E0511}">
      <text>
        <r>
          <rPr>
            <b/>
            <sz val="9"/>
            <color indexed="81"/>
            <rFont val="Tahoma"/>
            <family val="2"/>
          </rPr>
          <t>&lt;[[TCDeals] - [Associated DEV Deal (Seq: 1)] - [Property (Seq: 1)] - [Locations (Seq: 1)] - [Unit Mix (Seq: 34)] Residential Apartment Type - Send]&gt;</t>
        </r>
      </text>
    </comment>
    <comment ref="AD230" authorId="0" shapeId="0" xr:uid="{41F2AAF1-96C0-4A3E-BF1E-EBECEB375962}">
      <text>
        <r>
          <rPr>
            <b/>
            <sz val="9"/>
            <color indexed="81"/>
            <rFont val="Tahoma"/>
            <family val="2"/>
          </rPr>
          <t>&lt;[[TCDeals] - [Associated DEV Deal (Seq: 1)] - [Property (Seq: 1)] - [Locations (Seq: 1)] - [Unit Mix (Seq: 34)] Base Rent - Send]&gt;</t>
        </r>
      </text>
    </comment>
    <comment ref="AF230" authorId="0" shapeId="0" xr:uid="{706991F3-9940-4154-8741-F769F40D4380}">
      <text>
        <r>
          <rPr>
            <b/>
            <sz val="9"/>
            <color indexed="81"/>
            <rFont val="Tahoma"/>
            <family val="2"/>
          </rPr>
          <t>&lt;[[TCDeals] - [Associated DEV Deal (Seq: 1)] - [Property (Seq: 1)] - [Locations (Seq: 1)] - [Unit Mix (Seq: 34)] Square Footage - Send]&gt;</t>
        </r>
      </text>
    </comment>
    <comment ref="AH230" authorId="0" shapeId="0" xr:uid="{2F95AD6A-2699-4086-AD06-6E361BDC0A5A}">
      <text>
        <r>
          <rPr>
            <b/>
            <sz val="9"/>
            <color indexed="81"/>
            <rFont val="Tahoma"/>
            <family val="2"/>
          </rPr>
          <t>&lt;[[TCDeals] - [Associated DEV Deal (Seq: 1)] - [Property (Seq: 1)] - [Locations (Seq: 1)] - [Unit Mix (Seq: 34)] Num Units - Send]&gt;</t>
        </r>
      </text>
    </comment>
    <comment ref="AL230" authorId="0" shapeId="0" xr:uid="{834058DA-ED32-4C1F-92D1-0B2885414022}">
      <text>
        <r>
          <rPr>
            <b/>
            <sz val="9"/>
            <color indexed="81"/>
            <rFont val="Tahoma"/>
            <family val="2"/>
          </rPr>
          <t>&lt;[[TCDeals] - [Associated DEV Deal (Seq: 1)] - [Property (Seq: 1)] - [Locations (Seq: 1)] - [Unit Mix (Seq: 34)] Unit Mix Ami Percent - Send]&gt;</t>
        </r>
      </text>
    </comment>
    <comment ref="H231" authorId="0" shapeId="0" xr:uid="{EBA069DA-D1B9-408E-B8F1-7DFF19348B47}">
      <text>
        <r>
          <rPr>
            <b/>
            <sz val="9"/>
            <color indexed="81"/>
            <rFont val="Tahoma"/>
            <family val="2"/>
          </rPr>
          <t>&lt;[[TCDeals] - [TC Property Current Stage (Seq: 1)] - [Unit Mix (Seq: 35)] TC Unit Mix Type - Send]&gt;</t>
        </r>
      </text>
    </comment>
    <comment ref="J231" authorId="0" shapeId="0" xr:uid="{E56AC4CB-522D-46BD-9680-6B44BE720479}">
      <text>
        <r>
          <rPr>
            <b/>
            <sz val="9"/>
            <color indexed="81"/>
            <rFont val="Tahoma"/>
            <family val="2"/>
          </rPr>
          <t>&lt;[[TCDeals] - [TC Property Current Stage (Seq: 1)] - [Unit Mix (Seq: 2)] Net Rentable Sq Ft - Send]&gt;</t>
        </r>
      </text>
    </comment>
    <comment ref="L231" authorId="0" shapeId="0" xr:uid="{6726AB09-3802-4C6A-8A8F-24274007FD92}">
      <text>
        <r>
          <rPr>
            <b/>
            <sz val="9"/>
            <color indexed="81"/>
            <rFont val="Tahoma"/>
            <family val="2"/>
          </rPr>
          <t>&lt;[[TCDeals] - [TC Property Current Stage (Seq: 1)] - [Unit Mix (Seq: 3)] Num Units - Send]&gt;</t>
        </r>
      </text>
    </comment>
    <comment ref="N231" authorId="0" shapeId="0" xr:uid="{5545E1B0-5DEA-4FA0-8043-B245FCC9B2B1}">
      <text>
        <r>
          <rPr>
            <b/>
            <sz val="9"/>
            <color indexed="81"/>
            <rFont val="Tahoma"/>
            <family val="2"/>
          </rPr>
          <t>&lt;[[TCDeals] - [TC Property Current Stage (Seq: 1)] - [Unit Mix (Seq: 3)] Num Units - Send]&gt;</t>
        </r>
      </text>
    </comment>
    <comment ref="P231" authorId="0" shapeId="0" xr:uid="{89DFECE4-9F2B-4A9D-804E-14B38282B300}">
      <text>
        <r>
          <rPr>
            <b/>
            <sz val="9"/>
            <color indexed="81"/>
            <rFont val="Tahoma"/>
            <family val="2"/>
          </rPr>
          <t>&lt;[[TCDeals] - [TC Property Current Stage (Seq: 1)] - [Unit Mix (Seq: 3)] Income Target - Send]&gt;</t>
        </r>
      </text>
    </comment>
    <comment ref="Z231" authorId="0" shapeId="0" xr:uid="{3CD52872-48DD-4993-86D4-05AB3B44D233}">
      <text>
        <r>
          <rPr>
            <b/>
            <sz val="9"/>
            <color indexed="81"/>
            <rFont val="Tahoma"/>
            <family val="2"/>
          </rPr>
          <t>&lt;[[TCDeals] - [Associated DEV Deal (Seq: 1)] - [Property (Seq: 1)] - [Locations (Seq: 1)] - [Unit Mix (Seq: 35)] Unit Type - Send]&gt;</t>
        </r>
      </text>
    </comment>
    <comment ref="AB231" authorId="0" shapeId="0" xr:uid="{0736B780-5CE7-43D1-8FF5-A9970EB30044}">
      <text>
        <r>
          <rPr>
            <b/>
            <sz val="9"/>
            <color indexed="81"/>
            <rFont val="Tahoma"/>
            <family val="2"/>
          </rPr>
          <t>&lt;[[TCDeals] - [Associated DEV Deal (Seq: 1)] - [Property (Seq: 1)] - [Locations (Seq: 1)] - [Unit Mix (Seq: 35)] Residential Apartment Type - Send]&gt;</t>
        </r>
      </text>
    </comment>
    <comment ref="AD231" authorId="0" shapeId="0" xr:uid="{3D666979-AB95-48AB-AF7B-9DC6CDE3B6F2}">
      <text>
        <r>
          <rPr>
            <b/>
            <sz val="9"/>
            <color indexed="81"/>
            <rFont val="Tahoma"/>
            <family val="2"/>
          </rPr>
          <t>&lt;[[TCDeals] - [Associated DEV Deal (Seq: 1)] - [Property (Seq: 1)] - [Locations (Seq: 1)] - [Unit Mix (Seq: 35)] Base Rent - Send]&gt;</t>
        </r>
      </text>
    </comment>
    <comment ref="AF231" authorId="0" shapeId="0" xr:uid="{72AF23FD-5124-4A17-BFAD-C87B83223A1D}">
      <text>
        <r>
          <rPr>
            <b/>
            <sz val="9"/>
            <color indexed="81"/>
            <rFont val="Tahoma"/>
            <family val="2"/>
          </rPr>
          <t>&lt;[[TCDeals] - [Associated DEV Deal (Seq: 1)] - [Property (Seq: 1)] - [Locations (Seq: 1)] - [Unit Mix (Seq: 35)] Square Footage - Send]&gt;</t>
        </r>
      </text>
    </comment>
    <comment ref="AH231" authorId="0" shapeId="0" xr:uid="{5F4EBE32-9F64-430E-B1B8-8E61D53AF023}">
      <text>
        <r>
          <rPr>
            <b/>
            <sz val="9"/>
            <color indexed="81"/>
            <rFont val="Tahoma"/>
            <family val="2"/>
          </rPr>
          <t>&lt;[[TCDeals] - [Associated DEV Deal (Seq: 1)] - [Property (Seq: 1)] - [Locations (Seq: 1)] - [Unit Mix (Seq: 35)] Num Units - Send]&gt;</t>
        </r>
      </text>
    </comment>
    <comment ref="AL231" authorId="0" shapeId="0" xr:uid="{73C5ED45-C3EE-48A2-8562-C52F9AA42855}">
      <text>
        <r>
          <rPr>
            <b/>
            <sz val="9"/>
            <color indexed="81"/>
            <rFont val="Tahoma"/>
            <family val="2"/>
          </rPr>
          <t>&lt;[[TCDeals] - [Associated DEV Deal (Seq: 1)] - [Property (Seq: 1)] - [Locations (Seq: 1)] - [Unit Mix (Seq: 35)] Unit Mix Ami Percent - Send]&gt;</t>
        </r>
      </text>
    </comment>
    <comment ref="H232" authorId="0" shapeId="0" xr:uid="{59F67C57-6A67-4A65-98F0-DF252A7A8DF2}">
      <text>
        <r>
          <rPr>
            <b/>
            <sz val="9"/>
            <color indexed="81"/>
            <rFont val="Tahoma"/>
            <family val="2"/>
          </rPr>
          <t>&lt;[[TCDeals] - [TC Property Current Stage (Seq: 1)] - [Unit Mix (Seq: 36)] TC Unit Mix Type - Send]&gt;</t>
        </r>
      </text>
    </comment>
    <comment ref="J232" authorId="0" shapeId="0" xr:uid="{F13DFCC4-52DC-455F-9F23-A63A2A6B7731}">
      <text>
        <r>
          <rPr>
            <b/>
            <sz val="9"/>
            <color indexed="81"/>
            <rFont val="Tahoma"/>
            <family val="2"/>
          </rPr>
          <t>&lt;[[TCDeals] - [TC Property Current Stage (Seq: 1)] - [Unit Mix (Seq: 2)] Net Rentable Sq Ft - Send]&gt;</t>
        </r>
      </text>
    </comment>
    <comment ref="L232" authorId="0" shapeId="0" xr:uid="{705CADA1-3FB5-4574-9B3F-1F28334A40BC}">
      <text>
        <r>
          <rPr>
            <b/>
            <sz val="9"/>
            <color indexed="81"/>
            <rFont val="Tahoma"/>
            <family val="2"/>
          </rPr>
          <t>&lt;[[TCDeals] - [TC Property Current Stage (Seq: 1)] - [Unit Mix (Seq: 3)] Num Units - Send]&gt;</t>
        </r>
      </text>
    </comment>
    <comment ref="N232" authorId="0" shapeId="0" xr:uid="{49F170BB-1738-49F1-AA66-BC7107D6035D}">
      <text>
        <r>
          <rPr>
            <b/>
            <sz val="9"/>
            <color indexed="81"/>
            <rFont val="Tahoma"/>
            <family val="2"/>
          </rPr>
          <t>&lt;[[TCDeals] - [TC Property Current Stage (Seq: 1)] - [Unit Mix (Seq: 3)] Num Units - Send]&gt;</t>
        </r>
      </text>
    </comment>
    <comment ref="P232" authorId="0" shapeId="0" xr:uid="{F50476F0-938F-42A8-AD01-344AA7514E6A}">
      <text>
        <r>
          <rPr>
            <b/>
            <sz val="9"/>
            <color indexed="81"/>
            <rFont val="Tahoma"/>
            <family val="2"/>
          </rPr>
          <t>&lt;[[TCDeals] - [TC Property Current Stage (Seq: 1)] - [Unit Mix (Seq: 3)] Income Target - Send]&gt;</t>
        </r>
      </text>
    </comment>
    <comment ref="Z232" authorId="0" shapeId="0" xr:uid="{B6F321F6-6CEB-4F7B-977A-65EE40334CFC}">
      <text>
        <r>
          <rPr>
            <b/>
            <sz val="9"/>
            <color indexed="81"/>
            <rFont val="Tahoma"/>
            <family val="2"/>
          </rPr>
          <t>&lt;[[TCDeals] - [Associated DEV Deal (Seq: 1)] - [Property (Seq: 1)] - [Locations (Seq: 1)] - [Unit Mix (Seq: 36)] Unit Type - Send]&gt;</t>
        </r>
      </text>
    </comment>
    <comment ref="AB232" authorId="0" shapeId="0" xr:uid="{9975BBBA-A4D8-45C8-A3DD-D5F4DE38EF0D}">
      <text>
        <r>
          <rPr>
            <b/>
            <sz val="9"/>
            <color indexed="81"/>
            <rFont val="Tahoma"/>
            <family val="2"/>
          </rPr>
          <t>&lt;[[TCDeals] - [Associated DEV Deal (Seq: 1)] - [Property (Seq: 1)] - [Locations (Seq: 1)] - [Unit Mix (Seq: 36)] Residential Apartment Type - Send]&gt;</t>
        </r>
      </text>
    </comment>
    <comment ref="AD232" authorId="0" shapeId="0" xr:uid="{8C21B810-7385-48A8-8D55-3565FB341B4D}">
      <text>
        <r>
          <rPr>
            <b/>
            <sz val="9"/>
            <color indexed="81"/>
            <rFont val="Tahoma"/>
            <family val="2"/>
          </rPr>
          <t>&lt;[[TCDeals] - [Associated DEV Deal (Seq: 1)] - [Property (Seq: 1)] - [Locations (Seq: 1)] - [Unit Mix (Seq: 36)] Base Rent - Send]&gt;</t>
        </r>
      </text>
    </comment>
    <comment ref="AF232" authorId="0" shapeId="0" xr:uid="{430DA891-B892-4AAC-B0AC-5DDA75DECC6C}">
      <text>
        <r>
          <rPr>
            <b/>
            <sz val="9"/>
            <color indexed="81"/>
            <rFont val="Tahoma"/>
            <family val="2"/>
          </rPr>
          <t>&lt;[[TCDeals] - [Associated DEV Deal (Seq: 1)] - [Property (Seq: 1)] - [Locations (Seq: 1)] - [Unit Mix (Seq: 36)] Square Footage - Send]&gt;</t>
        </r>
      </text>
    </comment>
    <comment ref="AH232" authorId="0" shapeId="0" xr:uid="{CC756A29-F83C-4670-AD86-1AE558A6BF69}">
      <text>
        <r>
          <rPr>
            <b/>
            <sz val="9"/>
            <color indexed="81"/>
            <rFont val="Tahoma"/>
            <family val="2"/>
          </rPr>
          <t>&lt;[[TCDeals] - [Associated DEV Deal (Seq: 1)] - [Property (Seq: 1)] - [Locations (Seq: 1)] - [Unit Mix (Seq: 36)] Num Units - Send]&gt;</t>
        </r>
      </text>
    </comment>
    <comment ref="AL232" authorId="0" shapeId="0" xr:uid="{1145CCF2-9E43-4F54-90B7-BF12EE343EF7}">
      <text>
        <r>
          <rPr>
            <b/>
            <sz val="9"/>
            <color indexed="81"/>
            <rFont val="Tahoma"/>
            <family val="2"/>
          </rPr>
          <t>&lt;[[TCDeals] - [Associated DEV Deal (Seq: 1)] - [Property (Seq: 1)] - [Locations (Seq: 1)] - [Unit Mix (Seq: 36)] Unit Mix Ami Percent - Send]&gt;</t>
        </r>
      </text>
    </comment>
    <comment ref="H233" authorId="0" shapeId="0" xr:uid="{FB1B04EF-91A9-4B15-8A2E-E436522704C7}">
      <text>
        <r>
          <rPr>
            <b/>
            <sz val="9"/>
            <color indexed="81"/>
            <rFont val="Tahoma"/>
            <family val="2"/>
          </rPr>
          <t>&lt;[[TCDeals] - [TC Property Current Stage (Seq: 1)] - [Unit Mix (Seq: 37)] TC Unit Mix Type - Send]&gt;</t>
        </r>
      </text>
    </comment>
    <comment ref="J233" authorId="0" shapeId="0" xr:uid="{6BA8460E-BFD6-4BE1-8172-36CDEFA7AE0A}">
      <text>
        <r>
          <rPr>
            <b/>
            <sz val="9"/>
            <color indexed="81"/>
            <rFont val="Tahoma"/>
            <family val="2"/>
          </rPr>
          <t>&lt;[[TCDeals] - [TC Property Current Stage (Seq: 1)] - [Unit Mix (Seq: 2)] Net Rentable Sq Ft - Send]&gt;</t>
        </r>
      </text>
    </comment>
    <comment ref="L233" authorId="0" shapeId="0" xr:uid="{1225F126-8A1A-4D3D-BF20-90DE676A15DC}">
      <text>
        <r>
          <rPr>
            <b/>
            <sz val="9"/>
            <color indexed="81"/>
            <rFont val="Tahoma"/>
            <family val="2"/>
          </rPr>
          <t>&lt;[[TCDeals] - [TC Property Current Stage (Seq: 1)] - [Unit Mix (Seq: 3)] Num Units - Send]&gt;</t>
        </r>
      </text>
    </comment>
    <comment ref="N233" authorId="0" shapeId="0" xr:uid="{C52DD109-7CD6-44F2-A892-39E63F23CD4C}">
      <text>
        <r>
          <rPr>
            <b/>
            <sz val="9"/>
            <color indexed="81"/>
            <rFont val="Tahoma"/>
            <family val="2"/>
          </rPr>
          <t>&lt;[[TCDeals] - [TC Property Current Stage (Seq: 1)] - [Unit Mix (Seq: 3)] Num Units - Send]&gt;</t>
        </r>
      </text>
    </comment>
    <comment ref="P233" authorId="0" shapeId="0" xr:uid="{FBE45B4D-B677-4D41-8D17-5029C2A1A5BE}">
      <text>
        <r>
          <rPr>
            <b/>
            <sz val="9"/>
            <color indexed="81"/>
            <rFont val="Tahoma"/>
            <family val="2"/>
          </rPr>
          <t>&lt;[[TCDeals] - [TC Property Current Stage (Seq: 1)] - [Unit Mix (Seq: 3)] Income Target - Send]&gt;</t>
        </r>
      </text>
    </comment>
    <comment ref="Z233" authorId="0" shapeId="0" xr:uid="{3CBDCE09-8F11-45A8-B8BD-EC0D3D0C880E}">
      <text>
        <r>
          <rPr>
            <b/>
            <sz val="9"/>
            <color indexed="81"/>
            <rFont val="Tahoma"/>
            <family val="2"/>
          </rPr>
          <t>&lt;[[TCDeals] - [Associated DEV Deal (Seq: 1)] - [Property (Seq: 1)] - [Locations (Seq: 1)] - [Unit Mix (Seq: 37)] Unit Type - Send]&gt;</t>
        </r>
      </text>
    </comment>
    <comment ref="AB233" authorId="0" shapeId="0" xr:uid="{3C5B76FD-CB6A-41C4-901D-9107671259E2}">
      <text>
        <r>
          <rPr>
            <b/>
            <sz val="9"/>
            <color indexed="81"/>
            <rFont val="Tahoma"/>
            <family val="2"/>
          </rPr>
          <t>&lt;[[TCDeals] - [Associated DEV Deal (Seq: 1)] - [Property (Seq: 1)] - [Locations (Seq: 1)] - [Unit Mix (Seq: 37)] Residential Apartment Type - Send]&gt;</t>
        </r>
      </text>
    </comment>
    <comment ref="AD233" authorId="0" shapeId="0" xr:uid="{1661ABDD-A3EC-4DAA-9A72-E07335C9B1E2}">
      <text>
        <r>
          <rPr>
            <b/>
            <sz val="9"/>
            <color indexed="81"/>
            <rFont val="Tahoma"/>
            <family val="2"/>
          </rPr>
          <t>&lt;[[TCDeals] - [Associated DEV Deal (Seq: 1)] - [Property (Seq: 1)] - [Locations (Seq: 1)] - [Unit Mix (Seq: 37)] Base Rent - Send]&gt;</t>
        </r>
      </text>
    </comment>
    <comment ref="AF233" authorId="0" shapeId="0" xr:uid="{3F4E12BD-9DAF-4C28-A889-4739F8B17BEB}">
      <text>
        <r>
          <rPr>
            <b/>
            <sz val="9"/>
            <color indexed="81"/>
            <rFont val="Tahoma"/>
            <family val="2"/>
          </rPr>
          <t>&lt;[[TCDeals] - [Associated DEV Deal (Seq: 1)] - [Property (Seq: 1)] - [Locations (Seq: 1)] - [Unit Mix (Seq: 37)] Square Footage - Send]&gt;</t>
        </r>
      </text>
    </comment>
    <comment ref="AH233" authorId="0" shapeId="0" xr:uid="{7E9304F7-AF6A-4279-99AC-F50ABC6104FC}">
      <text>
        <r>
          <rPr>
            <b/>
            <sz val="9"/>
            <color indexed="81"/>
            <rFont val="Tahoma"/>
            <family val="2"/>
          </rPr>
          <t>&lt;[[TCDeals] - [Associated DEV Deal (Seq: 1)] - [Property (Seq: 1)] - [Locations (Seq: 1)] - [Unit Mix (Seq: 37)] Num Units - Send]&gt;</t>
        </r>
      </text>
    </comment>
    <comment ref="AL233" authorId="0" shapeId="0" xr:uid="{F362F7ED-E06E-4AF6-BB47-0F5EEBC1D91B}">
      <text>
        <r>
          <rPr>
            <b/>
            <sz val="9"/>
            <color indexed="81"/>
            <rFont val="Tahoma"/>
            <family val="2"/>
          </rPr>
          <t>&lt;[[TCDeals] - [Associated DEV Deal (Seq: 1)] - [Property (Seq: 1)] - [Locations (Seq: 1)] - [Unit Mix (Seq: 37)] Unit Mix Ami Percent - Send]&gt;</t>
        </r>
      </text>
    </comment>
    <comment ref="H234" authorId="0" shapeId="0" xr:uid="{21937774-2A8F-492A-A6CC-BC57657B1680}">
      <text>
        <r>
          <rPr>
            <b/>
            <sz val="9"/>
            <color indexed="81"/>
            <rFont val="Tahoma"/>
            <family val="2"/>
          </rPr>
          <t>&lt;[[TCDeals] - [TC Property Current Stage (Seq: 1)] - [Unit Mix (Seq: 38)] TC Unit Mix Type - Send]&gt;</t>
        </r>
      </text>
    </comment>
    <comment ref="J234" authorId="0" shapeId="0" xr:uid="{A11801E1-458F-408F-AC06-0F98B862D0D5}">
      <text>
        <r>
          <rPr>
            <b/>
            <sz val="9"/>
            <color indexed="81"/>
            <rFont val="Tahoma"/>
            <family val="2"/>
          </rPr>
          <t>&lt;[[TCDeals] - [TC Property Current Stage (Seq: 1)] - [Unit Mix (Seq: 2)] Net Rentable Sq Ft - Send]&gt;</t>
        </r>
      </text>
    </comment>
    <comment ref="L234" authorId="0" shapeId="0" xr:uid="{54448E4D-53D8-4865-ACE6-22CECA8E6693}">
      <text>
        <r>
          <rPr>
            <b/>
            <sz val="9"/>
            <color indexed="81"/>
            <rFont val="Tahoma"/>
            <family val="2"/>
          </rPr>
          <t>&lt;[[TCDeals] - [TC Property Current Stage (Seq: 1)] - [Unit Mix (Seq: 3)] Num Units - Send]&gt;</t>
        </r>
      </text>
    </comment>
    <comment ref="N234" authorId="0" shapeId="0" xr:uid="{9E826A98-B435-48BA-AF48-5F8F90B05EAC}">
      <text>
        <r>
          <rPr>
            <b/>
            <sz val="9"/>
            <color indexed="81"/>
            <rFont val="Tahoma"/>
            <family val="2"/>
          </rPr>
          <t>&lt;[[TCDeals] - [TC Property Current Stage (Seq: 1)] - [Unit Mix (Seq: 3)] Num Units - Send]&gt;</t>
        </r>
      </text>
    </comment>
    <comment ref="P234" authorId="0" shapeId="0" xr:uid="{89D993E8-03DE-4C0C-A0D5-56704069A4AF}">
      <text>
        <r>
          <rPr>
            <b/>
            <sz val="9"/>
            <color indexed="81"/>
            <rFont val="Tahoma"/>
            <family val="2"/>
          </rPr>
          <t>&lt;[[TCDeals] - [TC Property Current Stage (Seq: 1)] - [Unit Mix (Seq: 3)] Income Target - Send]&gt;</t>
        </r>
      </text>
    </comment>
    <comment ref="Z234" authorId="0" shapeId="0" xr:uid="{701F205E-ECA7-4AF0-B863-FCE293449DF0}">
      <text>
        <r>
          <rPr>
            <b/>
            <sz val="9"/>
            <color indexed="81"/>
            <rFont val="Tahoma"/>
            <family val="2"/>
          </rPr>
          <t>&lt;[[TCDeals] - [Associated DEV Deal (Seq: 1)] - [Property (Seq: 1)] - [Locations (Seq: 1)] - [Unit Mix (Seq: 38)] Unit Type - Send]&gt;</t>
        </r>
      </text>
    </comment>
    <comment ref="AB234" authorId="0" shapeId="0" xr:uid="{11C997C4-52F1-4A25-9EDD-7A9A733F6689}">
      <text>
        <r>
          <rPr>
            <b/>
            <sz val="9"/>
            <color indexed="81"/>
            <rFont val="Tahoma"/>
            <family val="2"/>
          </rPr>
          <t>&lt;[[TCDeals] - [Associated DEV Deal (Seq: 1)] - [Property (Seq: 1)] - [Locations (Seq: 1)] - [Unit Mix (Seq: 38)] Residential Apartment Type - Send]&gt;</t>
        </r>
      </text>
    </comment>
    <comment ref="AD234" authorId="0" shapeId="0" xr:uid="{D2BF258E-6EA5-4683-8BD7-C5F6368E25E7}">
      <text>
        <r>
          <rPr>
            <b/>
            <sz val="9"/>
            <color indexed="81"/>
            <rFont val="Tahoma"/>
            <family val="2"/>
          </rPr>
          <t>&lt;[[TCDeals] - [Associated DEV Deal (Seq: 1)] - [Property (Seq: 1)] - [Locations (Seq: 1)] - [Unit Mix (Seq: 38)] Base Rent - Send]&gt;</t>
        </r>
      </text>
    </comment>
    <comment ref="AF234" authorId="0" shapeId="0" xr:uid="{BE649B6E-C54E-4359-AA9D-559CB54C77EF}">
      <text>
        <r>
          <rPr>
            <b/>
            <sz val="9"/>
            <color indexed="81"/>
            <rFont val="Tahoma"/>
            <family val="2"/>
          </rPr>
          <t>&lt;[[TCDeals] - [Associated DEV Deal (Seq: 1)] - [Property (Seq: 1)] - [Locations (Seq: 1)] - [Unit Mix (Seq: 38)] Square Footage - Send]&gt;</t>
        </r>
      </text>
    </comment>
    <comment ref="AH234" authorId="0" shapeId="0" xr:uid="{842E0B82-F211-413D-A10D-D7A00670597F}">
      <text>
        <r>
          <rPr>
            <b/>
            <sz val="9"/>
            <color indexed="81"/>
            <rFont val="Tahoma"/>
            <family val="2"/>
          </rPr>
          <t>&lt;[[TCDeals] - [Associated DEV Deal (Seq: 1)] - [Property (Seq: 1)] - [Locations (Seq: 1)] - [Unit Mix (Seq: 38)] Num Units - Send]&gt;</t>
        </r>
      </text>
    </comment>
    <comment ref="AL234" authorId="0" shapeId="0" xr:uid="{EFA78DFB-1239-4E9D-8467-A0FF808B06E4}">
      <text>
        <r>
          <rPr>
            <b/>
            <sz val="9"/>
            <color indexed="81"/>
            <rFont val="Tahoma"/>
            <family val="2"/>
          </rPr>
          <t>&lt;[[TCDeals] - [Associated DEV Deal (Seq: 1)] - [Property (Seq: 1)] - [Locations (Seq: 1)] - [Unit Mix (Seq: 38)] Unit Mix Ami Percent - Send]&gt;</t>
        </r>
      </text>
    </comment>
    <comment ref="H235" authorId="0" shapeId="0" xr:uid="{8C3BE396-0C66-49DF-B9F9-A41EC97F47F5}">
      <text>
        <r>
          <rPr>
            <b/>
            <sz val="9"/>
            <color indexed="81"/>
            <rFont val="Tahoma"/>
            <family val="2"/>
          </rPr>
          <t>&lt;[[TCDeals] - [TC Property Current Stage (Seq: 1)] - [Unit Mix (Seq: 39)] TC Unit Mix Type - Send]&gt;</t>
        </r>
      </text>
    </comment>
    <comment ref="J235" authorId="0" shapeId="0" xr:uid="{245FFAD6-5DAA-4FC1-B4DE-158DAC1B1A48}">
      <text>
        <r>
          <rPr>
            <b/>
            <sz val="9"/>
            <color indexed="81"/>
            <rFont val="Tahoma"/>
            <family val="2"/>
          </rPr>
          <t>&lt;[[TCDeals] - [TC Property Current Stage (Seq: 1)] - [Unit Mix (Seq: 2)] Net Rentable Sq Ft - Send]&gt;</t>
        </r>
      </text>
    </comment>
    <comment ref="L235" authorId="0" shapeId="0" xr:uid="{A30621ED-AFA8-46F6-AFD3-30AEA66F8746}">
      <text>
        <r>
          <rPr>
            <b/>
            <sz val="9"/>
            <color indexed="81"/>
            <rFont val="Tahoma"/>
            <family val="2"/>
          </rPr>
          <t>&lt;[[TCDeals] - [TC Property Current Stage (Seq: 1)] - [Unit Mix (Seq: 3)] Num Units - Send]&gt;</t>
        </r>
      </text>
    </comment>
    <comment ref="N235" authorId="0" shapeId="0" xr:uid="{7E49A3A8-A262-4666-B9C8-8341975C4C3A}">
      <text>
        <r>
          <rPr>
            <b/>
            <sz val="9"/>
            <color indexed="81"/>
            <rFont val="Tahoma"/>
            <family val="2"/>
          </rPr>
          <t>&lt;[[TCDeals] - [TC Property Current Stage (Seq: 1)] - [Unit Mix (Seq: 3)] Num Units - Send]&gt;</t>
        </r>
      </text>
    </comment>
    <comment ref="P235" authorId="0" shapeId="0" xr:uid="{F38B0422-24C9-44CE-8F26-33CF9E5C087E}">
      <text>
        <r>
          <rPr>
            <b/>
            <sz val="9"/>
            <color indexed="81"/>
            <rFont val="Tahoma"/>
            <family val="2"/>
          </rPr>
          <t>&lt;[[TCDeals] - [TC Property Current Stage (Seq: 1)] - [Unit Mix (Seq: 3)] Income Target - Send]&gt;</t>
        </r>
      </text>
    </comment>
    <comment ref="Z235" authorId="0" shapeId="0" xr:uid="{B71A4961-BE87-4474-BC5C-82DFF072A9D4}">
      <text>
        <r>
          <rPr>
            <b/>
            <sz val="9"/>
            <color indexed="81"/>
            <rFont val="Tahoma"/>
            <family val="2"/>
          </rPr>
          <t>&lt;[[TCDeals] - [Associated DEV Deal (Seq: 1)] - [Property (Seq: 1)] - [Locations (Seq: 1)] - [Unit Mix (Seq: 39)] Unit Type - Send]&gt;</t>
        </r>
      </text>
    </comment>
    <comment ref="AB235" authorId="0" shapeId="0" xr:uid="{010C8C7A-6E13-4BB9-BF9F-EA84E683435F}">
      <text>
        <r>
          <rPr>
            <b/>
            <sz val="9"/>
            <color indexed="81"/>
            <rFont val="Tahoma"/>
            <family val="2"/>
          </rPr>
          <t>&lt;[[TCDeals] - [Associated DEV Deal (Seq: 1)] - [Property (Seq: 1)] - [Locations (Seq: 1)] - [Unit Mix (Seq: 39)] Residential Apartment Type - Send]&gt;</t>
        </r>
      </text>
    </comment>
    <comment ref="AD235" authorId="0" shapeId="0" xr:uid="{33EF5ACB-2863-475F-ADEA-1CE6A155F77C}">
      <text>
        <r>
          <rPr>
            <b/>
            <sz val="9"/>
            <color indexed="81"/>
            <rFont val="Tahoma"/>
            <family val="2"/>
          </rPr>
          <t>&lt;[[TCDeals] - [Associated DEV Deal (Seq: 1)] - [Property (Seq: 1)] - [Locations (Seq: 1)] - [Unit Mix (Seq: 39)] Base Rent - Send]&gt;</t>
        </r>
      </text>
    </comment>
    <comment ref="AF235" authorId="0" shapeId="0" xr:uid="{721A51CA-47A9-4EEA-9E8E-D0DA49C6C5FF}">
      <text>
        <r>
          <rPr>
            <b/>
            <sz val="9"/>
            <color indexed="81"/>
            <rFont val="Tahoma"/>
            <family val="2"/>
          </rPr>
          <t>&lt;[[TCDeals] - [Associated DEV Deal (Seq: 1)] - [Property (Seq: 1)] - [Locations (Seq: 1)] - [Unit Mix (Seq: 39)] Square Footage - Send]&gt;</t>
        </r>
      </text>
    </comment>
    <comment ref="AH235" authorId="0" shapeId="0" xr:uid="{63022B0A-494E-423C-8702-694B0ECC9475}">
      <text>
        <r>
          <rPr>
            <b/>
            <sz val="9"/>
            <color indexed="81"/>
            <rFont val="Tahoma"/>
            <family val="2"/>
          </rPr>
          <t>&lt;[[TCDeals] - [Associated DEV Deal (Seq: 1)] - [Property (Seq: 1)] - [Locations (Seq: 1)] - [Unit Mix (Seq: 39)] Num Units - Send]&gt;</t>
        </r>
      </text>
    </comment>
    <comment ref="AL235" authorId="0" shapeId="0" xr:uid="{E0C908BC-F5AA-48F9-8A79-30D4C86A003D}">
      <text>
        <r>
          <rPr>
            <b/>
            <sz val="9"/>
            <color indexed="81"/>
            <rFont val="Tahoma"/>
            <family val="2"/>
          </rPr>
          <t>&lt;[[TCDeals] - [Associated DEV Deal (Seq: 1)] - [Property (Seq: 1)] - [Locations (Seq: 1)] - [Unit Mix (Seq: 39)] Unit Mix Ami Percent - Send]&gt;</t>
        </r>
      </text>
    </comment>
    <comment ref="H236" authorId="0" shapeId="0" xr:uid="{0E63A885-6B2F-444D-9F55-7EB22BDF9AB6}">
      <text>
        <r>
          <rPr>
            <b/>
            <sz val="9"/>
            <color indexed="81"/>
            <rFont val="Tahoma"/>
            <family val="2"/>
          </rPr>
          <t>&lt;[[TCDeals] - [TC Property Current Stage (Seq: 1)] - [Unit Mix (Seq: 40)] TC Unit Mix Type - Send]&gt;</t>
        </r>
      </text>
    </comment>
    <comment ref="J236" authorId="0" shapeId="0" xr:uid="{E10D3950-66D9-4F05-96F5-3738AB984DD0}">
      <text>
        <r>
          <rPr>
            <b/>
            <sz val="9"/>
            <color indexed="81"/>
            <rFont val="Tahoma"/>
            <family val="2"/>
          </rPr>
          <t>&lt;[[TCDeals] - [TC Property Current Stage (Seq: 1)] - [Unit Mix (Seq: 2)] Net Rentable Sq Ft - Send]&gt;</t>
        </r>
      </text>
    </comment>
    <comment ref="L236" authorId="0" shapeId="0" xr:uid="{71DA2B6F-8815-4156-8D89-BD53DE1EFCAD}">
      <text>
        <r>
          <rPr>
            <b/>
            <sz val="9"/>
            <color indexed="81"/>
            <rFont val="Tahoma"/>
            <family val="2"/>
          </rPr>
          <t>&lt;[[TCDeals] - [TC Property Current Stage (Seq: 1)] - [Unit Mix (Seq: 3)] Num Units - Send]&gt;</t>
        </r>
      </text>
    </comment>
    <comment ref="N236" authorId="0" shapeId="0" xr:uid="{A4162A1D-ABF2-4DDA-876E-1F149F74744F}">
      <text>
        <r>
          <rPr>
            <b/>
            <sz val="9"/>
            <color indexed="81"/>
            <rFont val="Tahoma"/>
            <family val="2"/>
          </rPr>
          <t>&lt;[[TCDeals] - [TC Property Current Stage (Seq: 1)] - [Unit Mix (Seq: 3)] Num Units - Send]&gt;</t>
        </r>
      </text>
    </comment>
    <comment ref="P236" authorId="0" shapeId="0" xr:uid="{BE065DA4-0655-4F34-A43E-F86ABC2D3C3F}">
      <text>
        <r>
          <rPr>
            <b/>
            <sz val="9"/>
            <color indexed="81"/>
            <rFont val="Tahoma"/>
            <family val="2"/>
          </rPr>
          <t>&lt;[[TCDeals] - [TC Property Current Stage (Seq: 1)] - [Unit Mix (Seq: 4)] Income Target - Send]&gt;</t>
        </r>
      </text>
    </comment>
    <comment ref="Z236" authorId="0" shapeId="0" xr:uid="{CC572CED-60B5-436F-93A2-BB4E05378929}">
      <text>
        <r>
          <rPr>
            <b/>
            <sz val="9"/>
            <color indexed="81"/>
            <rFont val="Tahoma"/>
            <family val="2"/>
          </rPr>
          <t>&lt;[[TCDeals] - [Associated DEV Deal (Seq: 1)] - [Property (Seq: 1)] - [Locations (Seq: 1)] - [Unit Mix (Seq: 40)] Unit Type - Send]&gt;</t>
        </r>
      </text>
    </comment>
    <comment ref="AB236" authorId="0" shapeId="0" xr:uid="{784AA208-50A2-4161-A4D6-C76BFB045D64}">
      <text>
        <r>
          <rPr>
            <b/>
            <sz val="9"/>
            <color indexed="81"/>
            <rFont val="Tahoma"/>
            <family val="2"/>
          </rPr>
          <t>&lt;[[TCDeals] - [Associated DEV Deal (Seq: 1)] - [Property (Seq: 1)] - [Locations (Seq: 1)] - [Unit Mix (Seq: 40)] Residential Apartment Type - Send]&gt;</t>
        </r>
      </text>
    </comment>
    <comment ref="AD236" authorId="0" shapeId="0" xr:uid="{35988248-C0B7-4D91-B3B8-A6CA2A82C937}">
      <text>
        <r>
          <rPr>
            <b/>
            <sz val="9"/>
            <color indexed="81"/>
            <rFont val="Tahoma"/>
            <family val="2"/>
          </rPr>
          <t>&lt;[[TCDeals] - [Associated DEV Deal (Seq: 1)] - [Property (Seq: 1)] - [Locations (Seq: 1)] - [Unit Mix (Seq: 40)] Base Rent - Send]&gt;</t>
        </r>
      </text>
    </comment>
    <comment ref="AF236" authorId="0" shapeId="0" xr:uid="{5B8CFBE9-00FE-4475-B6B0-0233ABC79293}">
      <text>
        <r>
          <rPr>
            <b/>
            <sz val="9"/>
            <color indexed="81"/>
            <rFont val="Tahoma"/>
            <family val="2"/>
          </rPr>
          <t>&lt;[[TCDeals] - [Associated DEV Deal (Seq: 1)] - [Property (Seq: 1)] - [Locations (Seq: 1)] - [Unit Mix (Seq: 40)] Square Footage - Send]&gt;</t>
        </r>
      </text>
    </comment>
    <comment ref="AH236" authorId="0" shapeId="0" xr:uid="{2910ED75-5CCD-4CA0-89B2-29EB7574C0F1}">
      <text>
        <r>
          <rPr>
            <b/>
            <sz val="9"/>
            <color indexed="81"/>
            <rFont val="Tahoma"/>
            <family val="2"/>
          </rPr>
          <t>&lt;[[TCDeals] - [Associated DEV Deal (Seq: 1)] - [Property (Seq: 1)] - [Locations (Seq: 1)] - [Unit Mix (Seq: 40)] Num Units - Send]&gt;</t>
        </r>
      </text>
    </comment>
    <comment ref="AL236" authorId="0" shapeId="0" xr:uid="{2C95058D-C5DE-42E7-907F-A7C9D90DC37A}">
      <text>
        <r>
          <rPr>
            <b/>
            <sz val="9"/>
            <color indexed="81"/>
            <rFont val="Tahoma"/>
            <family val="2"/>
          </rPr>
          <t>&lt;[[TCDeals] - [Associated DEV Deal (Seq: 1)] - [Property (Seq: 1)] - [Locations (Seq: 1)] - [Unit Mix (Seq: 40)] Unit Mix Ami Percent - Send]&gt;</t>
        </r>
      </text>
    </comment>
    <comment ref="H237" authorId="0" shapeId="0" xr:uid="{A08905E6-F03A-40BE-A415-CF3ACF52A9D2}">
      <text>
        <r>
          <rPr>
            <b/>
            <sz val="9"/>
            <color indexed="81"/>
            <rFont val="Tahoma"/>
            <family val="2"/>
          </rPr>
          <t>&lt;[[TCDeals] - [TC Property Current Stage (Seq: 1)] - [Unit Mix (Seq: 41)] TC Unit Mix Type - Send]&gt;</t>
        </r>
      </text>
    </comment>
    <comment ref="J237" authorId="0" shapeId="0" xr:uid="{2AA84B77-CCB8-426A-BFF1-C12CDAACD6B6}">
      <text>
        <r>
          <rPr>
            <b/>
            <sz val="9"/>
            <color indexed="81"/>
            <rFont val="Tahoma"/>
            <family val="2"/>
          </rPr>
          <t>&lt;[[TCDeals] - [TC Property Current Stage (Seq: 1)] - [Unit Mix (Seq: 2)] Net Rentable Sq Ft - Send]&gt;</t>
        </r>
      </text>
    </comment>
    <comment ref="L237" authorId="0" shapeId="0" xr:uid="{056A7200-7DB5-416B-9D23-6265B43B7951}">
      <text>
        <r>
          <rPr>
            <b/>
            <sz val="9"/>
            <color indexed="81"/>
            <rFont val="Tahoma"/>
            <family val="2"/>
          </rPr>
          <t>&lt;[[TCDeals] - [TC Property Current Stage (Seq: 1)] - [Unit Mix (Seq: 3)] Num Units - Send]&gt;</t>
        </r>
      </text>
    </comment>
    <comment ref="N237" authorId="0" shapeId="0" xr:uid="{38716F89-53D7-4C3E-9276-EE6A0EB433AA}">
      <text>
        <r>
          <rPr>
            <b/>
            <sz val="9"/>
            <color indexed="81"/>
            <rFont val="Tahoma"/>
            <family val="2"/>
          </rPr>
          <t>&lt;[[TCDeals] - [TC Property Current Stage (Seq: 1)] - [Unit Mix (Seq: 3)] Num Units - Send]&gt;</t>
        </r>
      </text>
    </comment>
    <comment ref="P237" authorId="0" shapeId="0" xr:uid="{64CA796E-E6C5-495A-901A-4BE1CE008621}">
      <text>
        <r>
          <rPr>
            <b/>
            <sz val="9"/>
            <color indexed="81"/>
            <rFont val="Tahoma"/>
            <family val="2"/>
          </rPr>
          <t>&lt;[[TCDeals] - [TC Property Current Stage (Seq: 1)] - [Unit Mix (Seq: 4)] Income Target - Send]&gt;</t>
        </r>
      </text>
    </comment>
    <comment ref="Z237" authorId="0" shapeId="0" xr:uid="{FF4BD29E-9314-4755-8359-1917CC80720D}">
      <text>
        <r>
          <rPr>
            <b/>
            <sz val="9"/>
            <color indexed="81"/>
            <rFont val="Tahoma"/>
            <family val="2"/>
          </rPr>
          <t>&lt;[[TCDeals] - [Associated DEV Deal (Seq: 1)] - [Property (Seq: 1)] - [Locations (Seq: 1)] - [Unit Mix (Seq: 41)] Unit Type - Send]&gt;</t>
        </r>
      </text>
    </comment>
    <comment ref="AB237" authorId="0" shapeId="0" xr:uid="{77B4F117-A0A5-41F7-B035-1D9EDDCA4AAD}">
      <text>
        <r>
          <rPr>
            <b/>
            <sz val="9"/>
            <color indexed="81"/>
            <rFont val="Tahoma"/>
            <family val="2"/>
          </rPr>
          <t>&lt;[[TCDeals] - [Associated DEV Deal (Seq: 1)] - [Property (Seq: 1)] - [Locations (Seq: 1)] - [Unit Mix (Seq: 41)] Residential Apartment Type - Send]&gt;</t>
        </r>
      </text>
    </comment>
    <comment ref="AD237" authorId="0" shapeId="0" xr:uid="{B0A92E35-D2B0-471D-B319-055A61CFA0F3}">
      <text>
        <r>
          <rPr>
            <b/>
            <sz val="9"/>
            <color indexed="81"/>
            <rFont val="Tahoma"/>
            <family val="2"/>
          </rPr>
          <t>&lt;[[TCDeals] - [Associated DEV Deal (Seq: 1)] - [Property (Seq: 1)] - [Locations (Seq: 1)] - [Unit Mix (Seq: 41)] Base Rent - Send]&gt;</t>
        </r>
      </text>
    </comment>
    <comment ref="AF237" authorId="0" shapeId="0" xr:uid="{D40C092B-F7DF-4BC0-8C40-785A9020A1F7}">
      <text>
        <r>
          <rPr>
            <b/>
            <sz val="9"/>
            <color indexed="81"/>
            <rFont val="Tahoma"/>
            <family val="2"/>
          </rPr>
          <t>&lt;[[TCDeals] - [Associated DEV Deal (Seq: 1)] - [Property (Seq: 1)] - [Locations (Seq: 1)] - [Unit Mix (Seq: 41)] Square Footage - Send]&gt;</t>
        </r>
      </text>
    </comment>
    <comment ref="AH237" authorId="0" shapeId="0" xr:uid="{41139EB0-F936-4B72-93D2-8AB1BD4B80B8}">
      <text>
        <r>
          <rPr>
            <b/>
            <sz val="9"/>
            <color indexed="81"/>
            <rFont val="Tahoma"/>
            <family val="2"/>
          </rPr>
          <t>&lt;[[TCDeals] - [Associated DEV Deal (Seq: 1)] - [Property (Seq: 1)] - [Locations (Seq: 1)] - [Unit Mix (Seq: 41)] Num Units - Send]&gt;</t>
        </r>
      </text>
    </comment>
    <comment ref="AL237" authorId="0" shapeId="0" xr:uid="{898D097F-272F-4414-A524-CFA045465276}">
      <text>
        <r>
          <rPr>
            <b/>
            <sz val="9"/>
            <color indexed="81"/>
            <rFont val="Tahoma"/>
            <family val="2"/>
          </rPr>
          <t>&lt;[[TCDeals] - [Associated DEV Deal (Seq: 1)] - [Property (Seq: 1)] - [Locations (Seq: 1)] - [Unit Mix (Seq: 41)] Unit Mix Ami Percent - Send]&gt;</t>
        </r>
      </text>
    </comment>
    <comment ref="H238" authorId="0" shapeId="0" xr:uid="{72FC61D2-25EE-4405-9BE4-A212C609C93D}">
      <text>
        <r>
          <rPr>
            <b/>
            <sz val="9"/>
            <color indexed="81"/>
            <rFont val="Tahoma"/>
            <family val="2"/>
          </rPr>
          <t>&lt;[[TCDeals] - [TC Property Current Stage (Seq: 1)] - [Unit Mix (Seq: 42)] TC Unit Mix Type - Send]&gt;</t>
        </r>
      </text>
    </comment>
    <comment ref="J238" authorId="0" shapeId="0" xr:uid="{2715ABA4-B979-4A99-B1A8-ED0B4A4A60E0}">
      <text>
        <r>
          <rPr>
            <b/>
            <sz val="9"/>
            <color indexed="81"/>
            <rFont val="Tahoma"/>
            <family val="2"/>
          </rPr>
          <t>&lt;[[TCDeals] - [TC Property Current Stage (Seq: 1)] - [Unit Mix (Seq: 2)] Net Rentable Sq Ft - Send]&gt;</t>
        </r>
      </text>
    </comment>
    <comment ref="L238" authorId="0" shapeId="0" xr:uid="{BA677157-1721-4ABA-864B-FA38E46FC458}">
      <text>
        <r>
          <rPr>
            <b/>
            <sz val="9"/>
            <color indexed="81"/>
            <rFont val="Tahoma"/>
            <family val="2"/>
          </rPr>
          <t>&lt;[[TCDeals] - [TC Property Current Stage (Seq: 1)] - [Unit Mix (Seq: 3)] Num Units - Send]&gt;</t>
        </r>
      </text>
    </comment>
    <comment ref="N238" authorId="0" shapeId="0" xr:uid="{6ED4D93D-DE80-4198-83B1-EA8C80600DF7}">
      <text>
        <r>
          <rPr>
            <b/>
            <sz val="9"/>
            <color indexed="81"/>
            <rFont val="Tahoma"/>
            <family val="2"/>
          </rPr>
          <t>&lt;[[TCDeals] - [TC Property Current Stage (Seq: 1)] - [Unit Mix (Seq: 3)] Num Units - Send]&gt;</t>
        </r>
      </text>
    </comment>
    <comment ref="P238" authorId="0" shapeId="0" xr:uid="{1DEAFCC4-9345-465C-8A91-EACF7B994196}">
      <text>
        <r>
          <rPr>
            <b/>
            <sz val="9"/>
            <color indexed="81"/>
            <rFont val="Tahoma"/>
            <family val="2"/>
          </rPr>
          <t>&lt;[[TCDeals] - [TC Property Current Stage (Seq: 1)] - [Unit Mix (Seq: 4)] Income Target - Send]&gt;</t>
        </r>
      </text>
    </comment>
    <comment ref="Z238" authorId="0" shapeId="0" xr:uid="{DFCFD693-6C04-4FC0-8CE7-1C1FDCF601D8}">
      <text>
        <r>
          <rPr>
            <b/>
            <sz val="9"/>
            <color indexed="81"/>
            <rFont val="Tahoma"/>
            <family val="2"/>
          </rPr>
          <t>&lt;[[TCDeals] - [Associated DEV Deal (Seq: 1)] - [Property (Seq: 1)] - [Locations (Seq: 1)] - [Unit Mix (Seq: 42)] Unit Type - Send]&gt;</t>
        </r>
      </text>
    </comment>
    <comment ref="AB238" authorId="0" shapeId="0" xr:uid="{BD311C57-2C1E-46F9-87AB-B94AA0FD5569}">
      <text>
        <r>
          <rPr>
            <b/>
            <sz val="9"/>
            <color indexed="81"/>
            <rFont val="Tahoma"/>
            <family val="2"/>
          </rPr>
          <t>&lt;[[TCDeals] - [Associated DEV Deal (Seq: 1)] - [Property (Seq: 1)] - [Locations (Seq: 1)] - [Unit Mix (Seq: 42)] Residential Apartment Type - Send]&gt;</t>
        </r>
      </text>
    </comment>
    <comment ref="AD238" authorId="0" shapeId="0" xr:uid="{D1688604-8A1F-4F91-A428-6034AA2429CC}">
      <text>
        <r>
          <rPr>
            <b/>
            <sz val="9"/>
            <color indexed="81"/>
            <rFont val="Tahoma"/>
            <family val="2"/>
          </rPr>
          <t>&lt;[[TCDeals] - [Associated DEV Deal (Seq: 1)] - [Property (Seq: 1)] - [Locations (Seq: 1)] - [Unit Mix (Seq: 42)] Base Rent - Send]&gt;</t>
        </r>
      </text>
    </comment>
    <comment ref="AF238" authorId="0" shapeId="0" xr:uid="{AB9C484D-7966-4C17-94DF-E47E3CF318D9}">
      <text>
        <r>
          <rPr>
            <b/>
            <sz val="9"/>
            <color indexed="81"/>
            <rFont val="Tahoma"/>
            <family val="2"/>
          </rPr>
          <t>&lt;[[TCDeals] - [Associated DEV Deal (Seq: 1)] - [Property (Seq: 1)] - [Locations (Seq: 1)] - [Unit Mix (Seq: 42)] Square Footage - Send]&gt;</t>
        </r>
      </text>
    </comment>
    <comment ref="AH238" authorId="0" shapeId="0" xr:uid="{AA493207-257B-4CD5-979C-AFCA9327E4C8}">
      <text>
        <r>
          <rPr>
            <b/>
            <sz val="9"/>
            <color indexed="81"/>
            <rFont val="Tahoma"/>
            <family val="2"/>
          </rPr>
          <t>&lt;[[TCDeals] - [Associated DEV Deal (Seq: 1)] - [Property (Seq: 1)] - [Locations (Seq: 1)] - [Unit Mix (Seq: 42)] Num Units - Send]&gt;</t>
        </r>
      </text>
    </comment>
    <comment ref="AL238" authorId="0" shapeId="0" xr:uid="{95B8E681-BA7C-4BEE-A2CC-8470769B9A1D}">
      <text>
        <r>
          <rPr>
            <b/>
            <sz val="9"/>
            <color indexed="81"/>
            <rFont val="Tahoma"/>
            <family val="2"/>
          </rPr>
          <t>&lt;[[TCDeals] - [Associated DEV Deal (Seq: 1)] - [Property (Seq: 1)] - [Locations (Seq: 1)] - [Unit Mix (Seq: 42)] Unit Mix Ami Percent - Send]&gt;</t>
        </r>
      </text>
    </comment>
    <comment ref="H239" authorId="0" shapeId="0" xr:uid="{BE326FD6-3194-436E-8747-8FE1604EAEAB}">
      <text>
        <r>
          <rPr>
            <b/>
            <sz val="9"/>
            <color indexed="81"/>
            <rFont val="Tahoma"/>
            <family val="2"/>
          </rPr>
          <t>&lt;[[TCDeals] - [TC Property Current Stage (Seq: 1)] - [Unit Mix (Seq: 43)] TC Unit Mix Type - Send]&gt;</t>
        </r>
      </text>
    </comment>
    <comment ref="J239" authorId="0" shapeId="0" xr:uid="{E7FF05B8-DD37-4D3D-9887-9DBA346F9FAA}">
      <text>
        <r>
          <rPr>
            <b/>
            <sz val="9"/>
            <color indexed="81"/>
            <rFont val="Tahoma"/>
            <family val="2"/>
          </rPr>
          <t>&lt;[[TCDeals] - [TC Property Current Stage (Seq: 1)] - [Unit Mix (Seq: 2)] Net Rentable Sq Ft - Send]&gt;</t>
        </r>
      </text>
    </comment>
    <comment ref="L239" authorId="0" shapeId="0" xr:uid="{F6F420AB-6575-45B2-BC28-74B063B98AC2}">
      <text>
        <r>
          <rPr>
            <b/>
            <sz val="9"/>
            <color indexed="81"/>
            <rFont val="Tahoma"/>
            <family val="2"/>
          </rPr>
          <t>&lt;[[TCDeals] - [TC Property Current Stage (Seq: 1)] - [Unit Mix (Seq: 3)] Num Units - Send]&gt;</t>
        </r>
      </text>
    </comment>
    <comment ref="N239" authorId="0" shapeId="0" xr:uid="{F33944A9-2B0F-4B16-84D4-DA90DDF6C974}">
      <text>
        <r>
          <rPr>
            <b/>
            <sz val="9"/>
            <color indexed="81"/>
            <rFont val="Tahoma"/>
            <family val="2"/>
          </rPr>
          <t>&lt;[[TCDeals] - [TC Property Current Stage (Seq: 1)] - [Unit Mix (Seq: 3)] Num Units - Send]&gt;</t>
        </r>
      </text>
    </comment>
    <comment ref="P239" authorId="0" shapeId="0" xr:uid="{B8177984-BAB5-4969-BF8C-D972BEE5A673}">
      <text>
        <r>
          <rPr>
            <b/>
            <sz val="9"/>
            <color indexed="81"/>
            <rFont val="Tahoma"/>
            <family val="2"/>
          </rPr>
          <t>&lt;[[TCDeals] - [TC Property Current Stage (Seq: 1)] - [Unit Mix (Seq: 4)] Income Target - Send]&gt;</t>
        </r>
      </text>
    </comment>
    <comment ref="Z239" authorId="0" shapeId="0" xr:uid="{24F9A327-0697-48BD-A413-3B1C46845B31}">
      <text>
        <r>
          <rPr>
            <b/>
            <sz val="9"/>
            <color indexed="81"/>
            <rFont val="Tahoma"/>
            <family val="2"/>
          </rPr>
          <t>&lt;[[TCDeals] - [Associated DEV Deal (Seq: 1)] - [Property (Seq: 1)] - [Locations (Seq: 1)] - [Unit Mix (Seq: 43)] Unit Type - Send]&gt;</t>
        </r>
      </text>
    </comment>
    <comment ref="AB239" authorId="0" shapeId="0" xr:uid="{A0DD8715-5214-4FA6-BA8F-239FBED8F048}">
      <text>
        <r>
          <rPr>
            <b/>
            <sz val="9"/>
            <color indexed="81"/>
            <rFont val="Tahoma"/>
            <family val="2"/>
          </rPr>
          <t>&lt;[[TCDeals] - [Associated DEV Deal (Seq: 1)] - [Property (Seq: 1)] - [Locations (Seq: 1)] - [Unit Mix (Seq: 43)] Residential Apartment Type - Send]&gt;</t>
        </r>
      </text>
    </comment>
    <comment ref="AD239" authorId="0" shapeId="0" xr:uid="{3FE18B8D-E857-4DA6-820C-95861BBA05E9}">
      <text>
        <r>
          <rPr>
            <b/>
            <sz val="9"/>
            <color indexed="81"/>
            <rFont val="Tahoma"/>
            <family val="2"/>
          </rPr>
          <t>&lt;[[TCDeals] - [Associated DEV Deal (Seq: 1)] - [Property (Seq: 1)] - [Locations (Seq: 1)] - [Unit Mix (Seq: 43)] Base Rent - Send]&gt;</t>
        </r>
      </text>
    </comment>
    <comment ref="AF239" authorId="0" shapeId="0" xr:uid="{4BA3DC8A-B456-4C4E-9E42-928BB514D583}">
      <text>
        <r>
          <rPr>
            <b/>
            <sz val="9"/>
            <color indexed="81"/>
            <rFont val="Tahoma"/>
            <family val="2"/>
          </rPr>
          <t>&lt;[[TCDeals] - [Associated DEV Deal (Seq: 1)] - [Property (Seq: 1)] - [Locations (Seq: 1)] - [Unit Mix (Seq: 43)] Square Footage - Send]&gt;</t>
        </r>
      </text>
    </comment>
    <comment ref="AH239" authorId="0" shapeId="0" xr:uid="{8957FE95-3114-49F8-89DF-D4B6086BD0EF}">
      <text>
        <r>
          <rPr>
            <b/>
            <sz val="9"/>
            <color indexed="81"/>
            <rFont val="Tahoma"/>
            <family val="2"/>
          </rPr>
          <t>&lt;[[TCDeals] - [Associated DEV Deal (Seq: 1)] - [Property (Seq: 1)] - [Locations (Seq: 1)] - [Unit Mix (Seq: 43)] Num Units - Send]&gt;</t>
        </r>
      </text>
    </comment>
    <comment ref="AL239" authorId="0" shapeId="0" xr:uid="{7C9030B8-3EE0-4F20-ADA8-D9AEADA509FA}">
      <text>
        <r>
          <rPr>
            <b/>
            <sz val="9"/>
            <color indexed="81"/>
            <rFont val="Tahoma"/>
            <family val="2"/>
          </rPr>
          <t>&lt;[[TCDeals] - [Associated DEV Deal (Seq: 1)] - [Property (Seq: 1)] - [Locations (Seq: 1)] - [Unit Mix (Seq: 43)] Unit Mix Ami Percent - Send]&gt;</t>
        </r>
      </text>
    </comment>
    <comment ref="H240" authorId="0" shapeId="0" xr:uid="{07898781-8739-45DC-A6EC-96E392EAE498}">
      <text>
        <r>
          <rPr>
            <b/>
            <sz val="9"/>
            <color indexed="81"/>
            <rFont val="Tahoma"/>
            <family val="2"/>
          </rPr>
          <t>&lt;[[TCDeals] - [TC Property Current Stage (Seq: 1)] - [Unit Mix (Seq: 44)] TC Unit Mix Type - Send]&gt;</t>
        </r>
      </text>
    </comment>
    <comment ref="J240" authorId="0" shapeId="0" xr:uid="{ECB8D874-3195-4413-8E3D-64B5992B1A8C}">
      <text>
        <r>
          <rPr>
            <b/>
            <sz val="9"/>
            <color indexed="81"/>
            <rFont val="Tahoma"/>
            <family val="2"/>
          </rPr>
          <t>&lt;[[TCDeals] - [TC Property Current Stage (Seq: 1)] - [Unit Mix (Seq: 2)] Net Rentable Sq Ft - Send]&gt;</t>
        </r>
      </text>
    </comment>
    <comment ref="L240" authorId="0" shapeId="0" xr:uid="{0B9D463A-D606-468F-B952-5E149DC52ADE}">
      <text>
        <r>
          <rPr>
            <b/>
            <sz val="9"/>
            <color indexed="81"/>
            <rFont val="Tahoma"/>
            <family val="2"/>
          </rPr>
          <t>&lt;[[TCDeals] - [TC Property Current Stage (Seq: 1)] - [Unit Mix (Seq: 3)] Num Units - Send]&gt;</t>
        </r>
      </text>
    </comment>
    <comment ref="N240" authorId="0" shapeId="0" xr:uid="{23339B0E-A6F7-422B-976C-8B7BB1FBDFDC}">
      <text>
        <r>
          <rPr>
            <b/>
            <sz val="9"/>
            <color indexed="81"/>
            <rFont val="Tahoma"/>
            <family val="2"/>
          </rPr>
          <t>&lt;[[TCDeals] - [TC Property Current Stage (Seq: 1)] - [Unit Mix (Seq: 3)] Num Units - Send]&gt;</t>
        </r>
      </text>
    </comment>
    <comment ref="P240" authorId="0" shapeId="0" xr:uid="{436A5831-9411-4BC6-9D4B-5BA38676DC66}">
      <text>
        <r>
          <rPr>
            <b/>
            <sz val="9"/>
            <color indexed="81"/>
            <rFont val="Tahoma"/>
            <family val="2"/>
          </rPr>
          <t>&lt;[[TCDeals] - [TC Property Current Stage (Seq: 1)] - [Unit Mix (Seq: 4)] Income Target - Send]&gt;</t>
        </r>
      </text>
    </comment>
    <comment ref="Z240" authorId="0" shapeId="0" xr:uid="{F9ED58C2-EA4A-44D4-B87A-C7F2517EBB7D}">
      <text>
        <r>
          <rPr>
            <b/>
            <sz val="9"/>
            <color indexed="81"/>
            <rFont val="Tahoma"/>
            <family val="2"/>
          </rPr>
          <t>&lt;[[TCDeals] - [Associated DEV Deal (Seq: 1)] - [Property (Seq: 1)] - [Locations (Seq: 1)] - [Unit Mix (Seq: 44)] Unit Type - Send]&gt;</t>
        </r>
      </text>
    </comment>
    <comment ref="AB240" authorId="0" shapeId="0" xr:uid="{1A203D6A-D02D-4FE3-ADAB-2C8870406C2D}">
      <text>
        <r>
          <rPr>
            <b/>
            <sz val="9"/>
            <color indexed="81"/>
            <rFont val="Tahoma"/>
            <family val="2"/>
          </rPr>
          <t>&lt;[[TCDeals] - [Associated DEV Deal (Seq: 1)] - [Property (Seq: 1)] - [Locations (Seq: 1)] - [Unit Mix (Seq: 44)] Residential Apartment Type - Send]&gt;</t>
        </r>
      </text>
    </comment>
    <comment ref="AD240" authorId="0" shapeId="0" xr:uid="{A2DE8CB1-5B6E-48F1-BB1D-92888E4C9717}">
      <text>
        <r>
          <rPr>
            <b/>
            <sz val="9"/>
            <color indexed="81"/>
            <rFont val="Tahoma"/>
            <family val="2"/>
          </rPr>
          <t>&lt;[[TCDeals] - [Associated DEV Deal (Seq: 1)] - [Property (Seq: 1)] - [Locations (Seq: 1)] - [Unit Mix (Seq: 44)] Base Rent - Send]&gt;</t>
        </r>
      </text>
    </comment>
    <comment ref="AF240" authorId="0" shapeId="0" xr:uid="{EB5FF54D-1192-4DFD-834B-40A909A3D9F2}">
      <text>
        <r>
          <rPr>
            <b/>
            <sz val="9"/>
            <color indexed="81"/>
            <rFont val="Tahoma"/>
            <family val="2"/>
          </rPr>
          <t>&lt;[[TCDeals] - [Associated DEV Deal (Seq: 1)] - [Property (Seq: 1)] - [Locations (Seq: 1)] - [Unit Mix (Seq: 44)] Square Footage - Send]&gt;</t>
        </r>
      </text>
    </comment>
    <comment ref="AH240" authorId="0" shapeId="0" xr:uid="{21B2F66D-8831-43C2-ADF9-1AC1A45AD0E8}">
      <text>
        <r>
          <rPr>
            <b/>
            <sz val="9"/>
            <color indexed="81"/>
            <rFont val="Tahoma"/>
            <family val="2"/>
          </rPr>
          <t>&lt;[[TCDeals] - [Associated DEV Deal (Seq: 1)] - [Property (Seq: 1)] - [Locations (Seq: 1)] - [Unit Mix (Seq: 44)] Num Units - Send]&gt;</t>
        </r>
      </text>
    </comment>
    <comment ref="AL240" authorId="0" shapeId="0" xr:uid="{79E34AAC-F96B-4A65-9093-6F9BB9148D6A}">
      <text>
        <r>
          <rPr>
            <b/>
            <sz val="9"/>
            <color indexed="81"/>
            <rFont val="Tahoma"/>
            <family val="2"/>
          </rPr>
          <t>&lt;[[TCDeals] - [Associated DEV Deal (Seq: 1)] - [Property (Seq: 1)] - [Locations (Seq: 1)] - [Unit Mix (Seq: 44)] Unit Mix Ami Percent - Send]&gt;</t>
        </r>
      </text>
    </comment>
    <comment ref="H241" authorId="0" shapeId="0" xr:uid="{A7BAA619-081C-469A-950D-2A57BB6F1F2B}">
      <text>
        <r>
          <rPr>
            <b/>
            <sz val="9"/>
            <color indexed="81"/>
            <rFont val="Tahoma"/>
            <family val="2"/>
          </rPr>
          <t>&lt;[[TCDeals] - [TC Property Current Stage (Seq: 1)] - [Unit Mix (Seq: 45)] TC Unit Mix Type - Send]&gt;</t>
        </r>
      </text>
    </comment>
    <comment ref="J241" authorId="0" shapeId="0" xr:uid="{3FE0FD6F-6FD7-4F92-9537-920882112F49}">
      <text>
        <r>
          <rPr>
            <b/>
            <sz val="9"/>
            <color indexed="81"/>
            <rFont val="Tahoma"/>
            <family val="2"/>
          </rPr>
          <t>&lt;[[TCDeals] - [TC Property Current Stage (Seq: 1)] - [Unit Mix (Seq: 2)] Net Rentable Sq Ft - Send]&gt;</t>
        </r>
      </text>
    </comment>
    <comment ref="L241" authorId="0" shapeId="0" xr:uid="{F85F10DC-3621-49E0-94B3-060D7B27B131}">
      <text>
        <r>
          <rPr>
            <b/>
            <sz val="9"/>
            <color indexed="81"/>
            <rFont val="Tahoma"/>
            <family val="2"/>
          </rPr>
          <t>&lt;[[TCDeals] - [TC Property Current Stage (Seq: 1)] - [Unit Mix (Seq: 3)] Num Units - Send]&gt;</t>
        </r>
      </text>
    </comment>
    <comment ref="N241" authorId="0" shapeId="0" xr:uid="{6FEE28F4-A1C7-4AA2-B1EE-AC0F27282470}">
      <text>
        <r>
          <rPr>
            <b/>
            <sz val="9"/>
            <color indexed="81"/>
            <rFont val="Tahoma"/>
            <family val="2"/>
          </rPr>
          <t>&lt;[[TCDeals] - [TC Property Current Stage (Seq: 1)] - [Unit Mix (Seq: 3)] Num Units - Send]&gt;</t>
        </r>
      </text>
    </comment>
    <comment ref="P241" authorId="0" shapeId="0" xr:uid="{57335A74-8C5F-439E-ACDC-BCB67BDF570B}">
      <text>
        <r>
          <rPr>
            <b/>
            <sz val="9"/>
            <color indexed="81"/>
            <rFont val="Tahoma"/>
            <family val="2"/>
          </rPr>
          <t>&lt;[[TCDeals] - [TC Property Current Stage (Seq: 1)] - [Unit Mix (Seq: 4)] Income Target - Send]&gt;</t>
        </r>
      </text>
    </comment>
    <comment ref="Z241" authorId="0" shapeId="0" xr:uid="{BF6B7EFE-F25C-4B2D-B6BC-C81590BCACEF}">
      <text>
        <r>
          <rPr>
            <b/>
            <sz val="9"/>
            <color indexed="81"/>
            <rFont val="Tahoma"/>
            <family val="2"/>
          </rPr>
          <t>&lt;[[TCDeals] - [Associated DEV Deal (Seq: 1)] - [Property (Seq: 1)] - [Locations (Seq: 1)] - [Unit Mix (Seq: 45)] Unit Type - Send]&gt;</t>
        </r>
      </text>
    </comment>
    <comment ref="AB241" authorId="0" shapeId="0" xr:uid="{F64864B6-0AFC-4341-AB0A-FB28F3407315}">
      <text>
        <r>
          <rPr>
            <b/>
            <sz val="9"/>
            <color indexed="81"/>
            <rFont val="Tahoma"/>
            <family val="2"/>
          </rPr>
          <t>&lt;[[TCDeals] - [Associated DEV Deal (Seq: 1)] - [Property (Seq: 1)] - [Locations (Seq: 1)] - [Unit Mix (Seq: 45)] Residential Apartment Type - Send]&gt;</t>
        </r>
      </text>
    </comment>
    <comment ref="AD241" authorId="0" shapeId="0" xr:uid="{4BFA0E68-CE3C-4670-B5E0-9D79980BF563}">
      <text>
        <r>
          <rPr>
            <b/>
            <sz val="9"/>
            <color indexed="81"/>
            <rFont val="Tahoma"/>
            <family val="2"/>
          </rPr>
          <t>&lt;[[TCDeals] - [Associated DEV Deal (Seq: 1)] - [Property (Seq: 1)] - [Locations (Seq: 1)] - [Unit Mix (Seq: 45)] Base Rent - Send]&gt;</t>
        </r>
      </text>
    </comment>
    <comment ref="AF241" authorId="0" shapeId="0" xr:uid="{045F9A03-6622-44AB-8105-F1C088C86F80}">
      <text>
        <r>
          <rPr>
            <b/>
            <sz val="9"/>
            <color indexed="81"/>
            <rFont val="Tahoma"/>
            <family val="2"/>
          </rPr>
          <t>&lt;[[TCDeals] - [Associated DEV Deal (Seq: 1)] - [Property (Seq: 1)] - [Locations (Seq: 1)] - [Unit Mix (Seq: 45)] Square Footage - Send]&gt;</t>
        </r>
      </text>
    </comment>
    <comment ref="AH241" authorId="0" shapeId="0" xr:uid="{37DDEBE7-A15F-4256-A0CB-8EE3CD8C0F41}">
      <text>
        <r>
          <rPr>
            <b/>
            <sz val="9"/>
            <color indexed="81"/>
            <rFont val="Tahoma"/>
            <family val="2"/>
          </rPr>
          <t>&lt;[[TCDeals] - [Associated DEV Deal (Seq: 1)] - [Property (Seq: 1)] - [Locations (Seq: 1)] - [Unit Mix (Seq: 45)] Num Units - Send]&gt;</t>
        </r>
      </text>
    </comment>
    <comment ref="AL241" authorId="0" shapeId="0" xr:uid="{4B9DBBD8-75C9-48F9-B973-B6046F20207A}">
      <text>
        <r>
          <rPr>
            <b/>
            <sz val="9"/>
            <color indexed="81"/>
            <rFont val="Tahoma"/>
            <family val="2"/>
          </rPr>
          <t>&lt;[[TCDeals] - [Associated DEV Deal (Seq: 1)] - [Property (Seq: 1)] - [Locations (Seq: 1)] - [Unit Mix (Seq: 45)] Unit Mix Ami Percent - Send]&gt;</t>
        </r>
      </text>
    </comment>
    <comment ref="H242" authorId="0" shapeId="0" xr:uid="{158B396F-3595-403D-81C1-822B3E5B940F}">
      <text>
        <r>
          <rPr>
            <b/>
            <sz val="9"/>
            <color indexed="81"/>
            <rFont val="Tahoma"/>
            <family val="2"/>
          </rPr>
          <t>&lt;[[TCDeals] - [TC Property Current Stage (Seq: 1)] - [Unit Mix (Seq: 46)] TC Unit Mix Type - Send]&gt;</t>
        </r>
      </text>
    </comment>
    <comment ref="J242" authorId="0" shapeId="0" xr:uid="{1A2679EA-03E1-4076-A029-2CBFB5DAD05D}">
      <text>
        <r>
          <rPr>
            <b/>
            <sz val="9"/>
            <color indexed="81"/>
            <rFont val="Tahoma"/>
            <family val="2"/>
          </rPr>
          <t>&lt;[[TCDeals] - [TC Property Current Stage (Seq: 1)] - [Unit Mix (Seq: 2)] Net Rentable Sq Ft - Send]&gt;</t>
        </r>
      </text>
    </comment>
    <comment ref="L242" authorId="0" shapeId="0" xr:uid="{B381E95E-A57E-4AB3-A386-E99F5A81BEFF}">
      <text>
        <r>
          <rPr>
            <b/>
            <sz val="9"/>
            <color indexed="81"/>
            <rFont val="Tahoma"/>
            <family val="2"/>
          </rPr>
          <t>&lt;[[TCDeals] - [TC Property Current Stage (Seq: 1)] - [Unit Mix (Seq: 3)] Num Units - Send]&gt;</t>
        </r>
      </text>
    </comment>
    <comment ref="N242" authorId="0" shapeId="0" xr:uid="{4CC3428A-6BB7-4F33-A181-1B1AF1473D6A}">
      <text>
        <r>
          <rPr>
            <b/>
            <sz val="9"/>
            <color indexed="81"/>
            <rFont val="Tahoma"/>
            <family val="2"/>
          </rPr>
          <t>&lt;[[TCDeals] - [TC Property Current Stage (Seq: 1)] - [Unit Mix (Seq: 3)] Num Units - Send]&gt;</t>
        </r>
      </text>
    </comment>
    <comment ref="P242" authorId="0" shapeId="0" xr:uid="{9E222045-D74C-4425-9EDC-95B62F803C55}">
      <text>
        <r>
          <rPr>
            <b/>
            <sz val="9"/>
            <color indexed="81"/>
            <rFont val="Tahoma"/>
            <family val="2"/>
          </rPr>
          <t>&lt;[[TCDeals] - [TC Property Current Stage (Seq: 1)] - [Unit Mix (Seq: 4)] Income Target - Send]&gt;</t>
        </r>
      </text>
    </comment>
    <comment ref="Z242" authorId="0" shapeId="0" xr:uid="{ABCF78C0-AB2A-4ABF-957B-E5DFB9323D28}">
      <text>
        <r>
          <rPr>
            <b/>
            <sz val="9"/>
            <color indexed="81"/>
            <rFont val="Tahoma"/>
            <family val="2"/>
          </rPr>
          <t>&lt;[[TCDeals] - [Associated DEV Deal (Seq: 1)] - [Property (Seq: 1)] - [Locations (Seq: 1)] - [Unit Mix (Seq: 46)] Unit Type - Send]&gt;</t>
        </r>
      </text>
    </comment>
    <comment ref="AB242" authorId="0" shapeId="0" xr:uid="{23100BAD-366A-4DE0-B8FE-11BB122E6F57}">
      <text>
        <r>
          <rPr>
            <b/>
            <sz val="9"/>
            <color indexed="81"/>
            <rFont val="Tahoma"/>
            <family val="2"/>
          </rPr>
          <t>&lt;[[TCDeals] - [Associated DEV Deal (Seq: 1)] - [Property (Seq: 1)] - [Locations (Seq: 1)] - [Unit Mix (Seq: 46)] Residential Apartment Type - Send]&gt;</t>
        </r>
      </text>
    </comment>
    <comment ref="AD242" authorId="0" shapeId="0" xr:uid="{C596F60D-D191-47F3-80C0-149841ADB7DB}">
      <text>
        <r>
          <rPr>
            <b/>
            <sz val="9"/>
            <color indexed="81"/>
            <rFont val="Tahoma"/>
            <family val="2"/>
          </rPr>
          <t>&lt;[[TCDeals] - [Associated DEV Deal (Seq: 1)] - [Property (Seq: 1)] - [Locations (Seq: 1)] - [Unit Mix (Seq: 46)] Base Rent - Send]&gt;</t>
        </r>
      </text>
    </comment>
    <comment ref="AF242" authorId="0" shapeId="0" xr:uid="{EBC5D528-D4D7-4CE8-A307-8DB017AD38E1}">
      <text>
        <r>
          <rPr>
            <b/>
            <sz val="9"/>
            <color indexed="81"/>
            <rFont val="Tahoma"/>
            <family val="2"/>
          </rPr>
          <t>&lt;[[TCDeals] - [Associated DEV Deal (Seq: 1)] - [Property (Seq: 1)] - [Locations (Seq: 1)] - [Unit Mix (Seq: 46)] Square Footage - Send]&gt;</t>
        </r>
      </text>
    </comment>
    <comment ref="AH242" authorId="0" shapeId="0" xr:uid="{24FEDC9F-9DF4-4734-85BF-EF2DF67653BB}">
      <text>
        <r>
          <rPr>
            <b/>
            <sz val="9"/>
            <color indexed="81"/>
            <rFont val="Tahoma"/>
            <family val="2"/>
          </rPr>
          <t>&lt;[[TCDeals] - [Associated DEV Deal (Seq: 1)] - [Property (Seq: 1)] - [Locations (Seq: 1)] - [Unit Mix (Seq: 46)] Num Units - Send]&gt;</t>
        </r>
      </text>
    </comment>
    <comment ref="AL242" authorId="0" shapeId="0" xr:uid="{B712C33C-AB93-4B0E-9549-91ADB58CF0CE}">
      <text>
        <r>
          <rPr>
            <b/>
            <sz val="9"/>
            <color indexed="81"/>
            <rFont val="Tahoma"/>
            <family val="2"/>
          </rPr>
          <t>&lt;[[TCDeals] - [Associated DEV Deal (Seq: 1)] - [Property (Seq: 1)] - [Locations (Seq: 1)] - [Unit Mix (Seq: 46)] Unit Mix Ami Percent - Send]&gt;</t>
        </r>
      </text>
    </comment>
    <comment ref="H243" authorId="0" shapeId="0" xr:uid="{E3B228E8-280D-475A-AD5B-D8A1FD367E97}">
      <text>
        <r>
          <rPr>
            <b/>
            <sz val="9"/>
            <color indexed="81"/>
            <rFont val="Tahoma"/>
            <family val="2"/>
          </rPr>
          <t>&lt;[[TCDeals] - [TC Property Current Stage (Seq: 1)] - [Unit Mix (Seq: 47)] TC Unit Mix Type - Send]&gt;</t>
        </r>
      </text>
    </comment>
    <comment ref="J243" authorId="0" shapeId="0" xr:uid="{5B4E9498-E13B-4201-B3F4-17C9B6D7C736}">
      <text>
        <r>
          <rPr>
            <b/>
            <sz val="9"/>
            <color indexed="81"/>
            <rFont val="Tahoma"/>
            <family val="2"/>
          </rPr>
          <t>&lt;[[TCDeals] - [TC Property Current Stage (Seq: 1)] - [Unit Mix (Seq: 2)] Net Rentable Sq Ft - Send]&gt;</t>
        </r>
      </text>
    </comment>
    <comment ref="L243" authorId="0" shapeId="0" xr:uid="{EF34D555-FFCD-4EDB-87C6-DCF15810B834}">
      <text>
        <r>
          <rPr>
            <b/>
            <sz val="9"/>
            <color indexed="81"/>
            <rFont val="Tahoma"/>
            <family val="2"/>
          </rPr>
          <t>&lt;[[TCDeals] - [TC Property Current Stage (Seq: 1)] - [Unit Mix (Seq: 3)] Num Units - Send]&gt;</t>
        </r>
      </text>
    </comment>
    <comment ref="N243" authorId="0" shapeId="0" xr:uid="{AF6AC49D-F1AF-418F-9E2F-70256E9F1946}">
      <text>
        <r>
          <rPr>
            <b/>
            <sz val="9"/>
            <color indexed="81"/>
            <rFont val="Tahoma"/>
            <family val="2"/>
          </rPr>
          <t>&lt;[[TCDeals] - [TC Property Current Stage (Seq: 1)] - [Unit Mix (Seq: 3)] Num Units - Send]&gt;</t>
        </r>
      </text>
    </comment>
    <comment ref="P243" authorId="0" shapeId="0" xr:uid="{98330E16-030D-442A-B9DA-B7D93A1C21EA}">
      <text>
        <r>
          <rPr>
            <b/>
            <sz val="9"/>
            <color indexed="81"/>
            <rFont val="Tahoma"/>
            <family val="2"/>
          </rPr>
          <t>&lt;[[TCDeals] - [TC Property Current Stage (Seq: 1)] - [Unit Mix (Seq: 4)] Income Target - Send]&gt;</t>
        </r>
      </text>
    </comment>
    <comment ref="Z243" authorId="0" shapeId="0" xr:uid="{21DCBD07-54D7-4426-A11A-41B757BA9C9A}">
      <text>
        <r>
          <rPr>
            <b/>
            <sz val="9"/>
            <color indexed="81"/>
            <rFont val="Tahoma"/>
            <family val="2"/>
          </rPr>
          <t>&lt;[[TCDeals] - [Associated DEV Deal (Seq: 1)] - [Property (Seq: 1)] - [Locations (Seq: 1)] - [Unit Mix (Seq: 47)] Unit Type - Send]&gt;</t>
        </r>
      </text>
    </comment>
    <comment ref="AB243" authorId="0" shapeId="0" xr:uid="{0E297014-0C82-4E84-B6E8-2E25CC1EE17A}">
      <text>
        <r>
          <rPr>
            <b/>
            <sz val="9"/>
            <color indexed="81"/>
            <rFont val="Tahoma"/>
            <family val="2"/>
          </rPr>
          <t>&lt;[[TCDeals] - [Associated DEV Deal (Seq: 1)] - [Property (Seq: 1)] - [Locations (Seq: 1)] - [Unit Mix (Seq: 47)] Residential Apartment Type - Send]&gt;</t>
        </r>
      </text>
    </comment>
    <comment ref="AD243" authorId="0" shapeId="0" xr:uid="{BB2F71AB-800E-44D1-9E34-71317762A6E8}">
      <text>
        <r>
          <rPr>
            <b/>
            <sz val="9"/>
            <color indexed="81"/>
            <rFont val="Tahoma"/>
            <family val="2"/>
          </rPr>
          <t>&lt;[[TCDeals] - [Associated DEV Deal (Seq: 1)] - [Property (Seq: 1)] - [Locations (Seq: 1)] - [Unit Mix (Seq: 47)] Base Rent - Send]&gt;</t>
        </r>
      </text>
    </comment>
    <comment ref="AF243" authorId="0" shapeId="0" xr:uid="{8409FADA-7222-4BED-884F-763BBDD001F2}">
      <text>
        <r>
          <rPr>
            <b/>
            <sz val="9"/>
            <color indexed="81"/>
            <rFont val="Tahoma"/>
            <family val="2"/>
          </rPr>
          <t>&lt;[[TCDeals] - [Associated DEV Deal (Seq: 1)] - [Property (Seq: 1)] - [Locations (Seq: 1)] - [Unit Mix (Seq: 47)] Square Footage - Send]&gt;</t>
        </r>
      </text>
    </comment>
    <comment ref="AH243" authorId="0" shapeId="0" xr:uid="{950905BF-60CF-41D0-A2F5-4C0CB230F6D5}">
      <text>
        <r>
          <rPr>
            <b/>
            <sz val="9"/>
            <color indexed="81"/>
            <rFont val="Tahoma"/>
            <family val="2"/>
          </rPr>
          <t>&lt;[[TCDeals] - [Associated DEV Deal (Seq: 1)] - [Property (Seq: 1)] - [Locations (Seq: 1)] - [Unit Mix (Seq: 47)] Num Units - Send]&gt;</t>
        </r>
      </text>
    </comment>
    <comment ref="AL243" authorId="0" shapeId="0" xr:uid="{DD4E8C84-F5C0-4008-8A0B-522373051662}">
      <text>
        <r>
          <rPr>
            <b/>
            <sz val="9"/>
            <color indexed="81"/>
            <rFont val="Tahoma"/>
            <family val="2"/>
          </rPr>
          <t>&lt;[[TCDeals] - [Associated DEV Deal (Seq: 1)] - [Property (Seq: 1)] - [Locations (Seq: 1)] - [Unit Mix (Seq: 47)] Unit Mix Ami Percent - Send]&gt;</t>
        </r>
      </text>
    </comment>
    <comment ref="H244" authorId="0" shapeId="0" xr:uid="{4AB6FB87-CC2C-4224-BBB2-19122809B4E9}">
      <text>
        <r>
          <rPr>
            <b/>
            <sz val="9"/>
            <color indexed="81"/>
            <rFont val="Tahoma"/>
            <family val="2"/>
          </rPr>
          <t>&lt;[[TCDeals] - [TC Property Current Stage (Seq: 1)] - [Unit Mix (Seq: 48)] TC Unit Mix Type - Send]&gt;</t>
        </r>
      </text>
    </comment>
    <comment ref="J244" authorId="0" shapeId="0" xr:uid="{A0AFDCDD-A61A-45E9-AECF-24CAC5CAB938}">
      <text>
        <r>
          <rPr>
            <b/>
            <sz val="9"/>
            <color indexed="81"/>
            <rFont val="Tahoma"/>
            <family val="2"/>
          </rPr>
          <t>&lt;[[TCDeals] - [TC Property Current Stage (Seq: 1)] - [Unit Mix (Seq: 2)] Net Rentable Sq Ft - Send]&gt;</t>
        </r>
      </text>
    </comment>
    <comment ref="L244" authorId="0" shapeId="0" xr:uid="{F517B215-9D01-4886-93CD-7257E658D5CF}">
      <text>
        <r>
          <rPr>
            <b/>
            <sz val="9"/>
            <color indexed="81"/>
            <rFont val="Tahoma"/>
            <family val="2"/>
          </rPr>
          <t>&lt;[[TCDeals] - [TC Property Current Stage (Seq: 1)] - [Unit Mix (Seq: 3)] Num Units - Send]&gt;</t>
        </r>
      </text>
    </comment>
    <comment ref="N244" authorId="0" shapeId="0" xr:uid="{E39E2B37-805F-4990-9C89-0AC445F1DD27}">
      <text>
        <r>
          <rPr>
            <b/>
            <sz val="9"/>
            <color indexed="81"/>
            <rFont val="Tahoma"/>
            <family val="2"/>
          </rPr>
          <t>&lt;[[TCDeals] - [TC Property Current Stage (Seq: 1)] - [Unit Mix (Seq: 3)] Num Units - Send]&gt;</t>
        </r>
      </text>
    </comment>
    <comment ref="P244" authorId="0" shapeId="0" xr:uid="{3A3B4B28-538F-4884-935B-6FAAC5DAE3E7}">
      <text>
        <r>
          <rPr>
            <b/>
            <sz val="9"/>
            <color indexed="81"/>
            <rFont val="Tahoma"/>
            <family val="2"/>
          </rPr>
          <t>&lt;[[TCDeals] - [TC Property Current Stage (Seq: 1)] - [Unit Mix (Seq: 4)] Income Target - Send]&gt;</t>
        </r>
      </text>
    </comment>
    <comment ref="Z244" authorId="0" shapeId="0" xr:uid="{1A17A8A5-8780-41F3-8546-A5AE561289A6}">
      <text>
        <r>
          <rPr>
            <b/>
            <sz val="9"/>
            <color indexed="81"/>
            <rFont val="Tahoma"/>
            <family val="2"/>
          </rPr>
          <t>&lt;[[TCDeals] - [Associated DEV Deal (Seq: 1)] - [Property (Seq: 1)] - [Locations (Seq: 1)] - [Unit Mix (Seq: 48)] Unit Type - Send]&gt;</t>
        </r>
      </text>
    </comment>
    <comment ref="AB244" authorId="0" shapeId="0" xr:uid="{09BA43A5-9A12-4E75-A18E-8EE2786044EE}">
      <text>
        <r>
          <rPr>
            <b/>
            <sz val="9"/>
            <color indexed="81"/>
            <rFont val="Tahoma"/>
            <family val="2"/>
          </rPr>
          <t>&lt;[[TCDeals] - [Associated DEV Deal (Seq: 1)] - [Property (Seq: 1)] - [Locations (Seq: 1)] - [Unit Mix (Seq: 48)] Residential Apartment Type - Send]&gt;</t>
        </r>
      </text>
    </comment>
    <comment ref="AD244" authorId="0" shapeId="0" xr:uid="{6C48DA33-C102-4D48-8304-6FADEA90F8D0}">
      <text>
        <r>
          <rPr>
            <b/>
            <sz val="9"/>
            <color indexed="81"/>
            <rFont val="Tahoma"/>
            <family val="2"/>
          </rPr>
          <t>&lt;[[TCDeals] - [Associated DEV Deal (Seq: 1)] - [Property (Seq: 1)] - [Locations (Seq: 1)] - [Unit Mix (Seq: 48)] Base Rent - Send]&gt;</t>
        </r>
      </text>
    </comment>
    <comment ref="AF244" authorId="0" shapeId="0" xr:uid="{182B5C85-B135-4698-9271-046E2821503F}">
      <text>
        <r>
          <rPr>
            <b/>
            <sz val="9"/>
            <color indexed="81"/>
            <rFont val="Tahoma"/>
            <family val="2"/>
          </rPr>
          <t>&lt;[[TCDeals] - [Associated DEV Deal (Seq: 1)] - [Property (Seq: 1)] - [Locations (Seq: 1)] - [Unit Mix (Seq: 48)] Square Footage - Send]&gt;</t>
        </r>
      </text>
    </comment>
    <comment ref="AH244" authorId="0" shapeId="0" xr:uid="{0385BBD2-2182-4650-ADD2-43FDCD42C6BB}">
      <text>
        <r>
          <rPr>
            <b/>
            <sz val="9"/>
            <color indexed="81"/>
            <rFont val="Tahoma"/>
            <family val="2"/>
          </rPr>
          <t>&lt;[[TCDeals] - [Associated DEV Deal (Seq: 1)] - [Property (Seq: 1)] - [Locations (Seq: 1)] - [Unit Mix (Seq: 48)] Num Units - Send]&gt;</t>
        </r>
      </text>
    </comment>
    <comment ref="AL244" authorId="0" shapeId="0" xr:uid="{CE8EE8A5-C31C-4E36-81B6-2FDF8B80CD31}">
      <text>
        <r>
          <rPr>
            <b/>
            <sz val="9"/>
            <color indexed="81"/>
            <rFont val="Tahoma"/>
            <family val="2"/>
          </rPr>
          <t>&lt;[[TCDeals] - [Associated DEV Deal (Seq: 1)] - [Property (Seq: 1)] - [Locations (Seq: 1)] - [Unit Mix (Seq: 48)] Unit Mix Ami Percent - Send]&gt;</t>
        </r>
      </text>
    </comment>
    <comment ref="H245" authorId="0" shapeId="0" xr:uid="{B972B14D-F9BC-427C-9A49-2AD2AE865066}">
      <text>
        <r>
          <rPr>
            <b/>
            <sz val="9"/>
            <color indexed="81"/>
            <rFont val="Tahoma"/>
            <family val="2"/>
          </rPr>
          <t>&lt;[[TCDeals] - [TC Property Current Stage (Seq: 1)] - [Unit Mix (Seq: 49)] TC Unit Mix Type - Send]&gt;</t>
        </r>
      </text>
    </comment>
    <comment ref="J245" authorId="0" shapeId="0" xr:uid="{364A9F89-1D87-4165-BAED-38B605596E83}">
      <text>
        <r>
          <rPr>
            <b/>
            <sz val="9"/>
            <color indexed="81"/>
            <rFont val="Tahoma"/>
            <family val="2"/>
          </rPr>
          <t>&lt;[[TCDeals] - [TC Property Current Stage (Seq: 1)] - [Unit Mix (Seq: 2)] Net Rentable Sq Ft - Send]&gt;</t>
        </r>
      </text>
    </comment>
    <comment ref="L245" authorId="0" shapeId="0" xr:uid="{8B71FD37-4C94-4BCF-A80B-229FA1CB4FB4}">
      <text>
        <r>
          <rPr>
            <b/>
            <sz val="9"/>
            <color indexed="81"/>
            <rFont val="Tahoma"/>
            <family val="2"/>
          </rPr>
          <t>&lt;[[TCDeals] - [TC Property Current Stage (Seq: 1)] - [Unit Mix (Seq: 3)] Num Units - Send]&gt;</t>
        </r>
      </text>
    </comment>
    <comment ref="N245" authorId="0" shapeId="0" xr:uid="{D4316D87-19AD-4DA8-AB85-FB5D04F53B21}">
      <text>
        <r>
          <rPr>
            <b/>
            <sz val="9"/>
            <color indexed="81"/>
            <rFont val="Tahoma"/>
            <family val="2"/>
          </rPr>
          <t>&lt;[[TCDeals] - [TC Property Current Stage (Seq: 1)] - [Unit Mix (Seq: 3)] Num Units - Send]&gt;</t>
        </r>
      </text>
    </comment>
    <comment ref="P245" authorId="0" shapeId="0" xr:uid="{A0F5F011-7F4F-4315-94E2-E9518E1C0473}">
      <text>
        <r>
          <rPr>
            <b/>
            <sz val="9"/>
            <color indexed="81"/>
            <rFont val="Tahoma"/>
            <family val="2"/>
          </rPr>
          <t>&lt;[[TCDeals] - [TC Property Current Stage (Seq: 1)] - [Unit Mix (Seq: 4)] Income Target - Send]&gt;</t>
        </r>
      </text>
    </comment>
    <comment ref="Z245" authorId="0" shapeId="0" xr:uid="{1586E0D4-07DC-4030-9007-30609C5830AA}">
      <text>
        <r>
          <rPr>
            <b/>
            <sz val="9"/>
            <color indexed="81"/>
            <rFont val="Tahoma"/>
            <family val="2"/>
          </rPr>
          <t>&lt;[[TCDeals] - [Associated DEV Deal (Seq: 1)] - [Property (Seq: 1)] - [Locations (Seq: 1)] - [Unit Mix (Seq: 49)] Unit Type - Send]&gt;</t>
        </r>
      </text>
    </comment>
    <comment ref="AB245" authorId="0" shapeId="0" xr:uid="{3C6EC6E1-7626-4CD3-8430-6018F72F3D14}">
      <text>
        <r>
          <rPr>
            <b/>
            <sz val="9"/>
            <color indexed="81"/>
            <rFont val="Tahoma"/>
            <family val="2"/>
          </rPr>
          <t>&lt;[[TCDeals] - [Associated DEV Deal (Seq: 1)] - [Property (Seq: 1)] - [Locations (Seq: 1)] - [Unit Mix (Seq: 49)] Residential Apartment Type - Send]&gt;</t>
        </r>
      </text>
    </comment>
    <comment ref="AD245" authorId="0" shapeId="0" xr:uid="{6C64DAEB-AD5E-4F3C-B261-B2E4DA876A17}">
      <text>
        <r>
          <rPr>
            <b/>
            <sz val="9"/>
            <color indexed="81"/>
            <rFont val="Tahoma"/>
            <family val="2"/>
          </rPr>
          <t>&lt;[[TCDeals] - [Associated DEV Deal (Seq: 1)] - [Property (Seq: 1)] - [Locations (Seq: 1)] - [Unit Mix (Seq: 49)] Base Rent - Send]&gt;</t>
        </r>
      </text>
    </comment>
    <comment ref="AF245" authorId="0" shapeId="0" xr:uid="{A975B406-B6D1-4463-9A88-4667684FA791}">
      <text>
        <r>
          <rPr>
            <b/>
            <sz val="9"/>
            <color indexed="81"/>
            <rFont val="Tahoma"/>
            <family val="2"/>
          </rPr>
          <t>&lt;[[TCDeals] - [Associated DEV Deal (Seq: 1)] - [Property (Seq: 1)] - [Locations (Seq: 1)] - [Unit Mix (Seq: 49)] Square Footage - Send]&gt;</t>
        </r>
      </text>
    </comment>
    <comment ref="AH245" authorId="0" shapeId="0" xr:uid="{F1AAD9BA-1D50-4CA5-A107-1EDE0538CC59}">
      <text>
        <r>
          <rPr>
            <b/>
            <sz val="9"/>
            <color indexed="81"/>
            <rFont val="Tahoma"/>
            <family val="2"/>
          </rPr>
          <t>&lt;[[TCDeals] - [Associated DEV Deal (Seq: 1)] - [Property (Seq: 1)] - [Locations (Seq: 1)] - [Unit Mix (Seq: 49)] Num Units - Send]&gt;</t>
        </r>
      </text>
    </comment>
    <comment ref="AL245" authorId="0" shapeId="0" xr:uid="{80B4E5F1-C4A5-49E6-9ED0-2021DA029906}">
      <text>
        <r>
          <rPr>
            <b/>
            <sz val="9"/>
            <color indexed="81"/>
            <rFont val="Tahoma"/>
            <family val="2"/>
          </rPr>
          <t>&lt;[[TCDeals] - [Associated DEV Deal (Seq: 1)] - [Property (Seq: 1)] - [Locations (Seq: 1)] - [Unit Mix (Seq: 49)] Unit Mix Ami Percent - Send]&gt;</t>
        </r>
      </text>
    </comment>
    <comment ref="H246" authorId="0" shapeId="0" xr:uid="{B749D689-5063-49BC-BF83-086C05C5C092}">
      <text>
        <r>
          <rPr>
            <b/>
            <sz val="9"/>
            <color indexed="81"/>
            <rFont val="Tahoma"/>
            <family val="2"/>
          </rPr>
          <t>&lt;[[TCDeals] - [TC Property Current Stage (Seq: 1)] - [Unit Mix (Seq: 50)] TC Unit Mix Type - Send]&gt;</t>
        </r>
      </text>
    </comment>
    <comment ref="J246" authorId="0" shapeId="0" xr:uid="{C1237063-F953-41AA-9D0D-961865DB71F6}">
      <text>
        <r>
          <rPr>
            <b/>
            <sz val="9"/>
            <color indexed="81"/>
            <rFont val="Tahoma"/>
            <family val="2"/>
          </rPr>
          <t>&lt;[[TCDeals] - [TC Property Current Stage (Seq: 1)] - [Unit Mix (Seq: 2)] Net Rentable Sq Ft - Send]&gt;</t>
        </r>
      </text>
    </comment>
    <comment ref="L246" authorId="0" shapeId="0" xr:uid="{F4172FDE-45C8-4435-A0B7-05BD115B4FBB}">
      <text>
        <r>
          <rPr>
            <b/>
            <sz val="9"/>
            <color indexed="81"/>
            <rFont val="Tahoma"/>
            <family val="2"/>
          </rPr>
          <t>&lt;[[TCDeals] - [TC Property Current Stage (Seq: 1)] - [Unit Mix (Seq: 3)] Num Units - Send]&gt;</t>
        </r>
      </text>
    </comment>
    <comment ref="N246" authorId="0" shapeId="0" xr:uid="{F160935F-E0C0-487D-A23B-D5D3A9638E1A}">
      <text>
        <r>
          <rPr>
            <b/>
            <sz val="9"/>
            <color indexed="81"/>
            <rFont val="Tahoma"/>
            <family val="2"/>
          </rPr>
          <t>&lt;[[TCDeals] - [TC Property Current Stage (Seq: 1)] - [Unit Mix (Seq: 3)] Num Units - Send]&gt;</t>
        </r>
      </text>
    </comment>
    <comment ref="P246" authorId="0" shapeId="0" xr:uid="{B5B84031-51D0-438D-9B8D-829972BE4245}">
      <text>
        <r>
          <rPr>
            <b/>
            <sz val="9"/>
            <color indexed="81"/>
            <rFont val="Tahoma"/>
            <family val="2"/>
          </rPr>
          <t>&lt;[[TCDeals] - [TC Property Current Stage (Seq: 1)] - [Unit Mix (Seq: 4)] Income Target - Send]&gt;</t>
        </r>
      </text>
    </comment>
    <comment ref="Z246" authorId="0" shapeId="0" xr:uid="{61CAA823-85D8-4155-B386-C04065C57A70}">
      <text>
        <r>
          <rPr>
            <b/>
            <sz val="9"/>
            <color indexed="81"/>
            <rFont val="Tahoma"/>
            <family val="2"/>
          </rPr>
          <t>&lt;[[TCDeals] - [Associated DEV Deal (Seq: 1)] - [Property (Seq: 1)] - [Locations (Seq: 1)] - [Unit Mix (Seq: 50)] Unit Type - Send]&gt;</t>
        </r>
      </text>
    </comment>
    <comment ref="AB246" authorId="0" shapeId="0" xr:uid="{85DCC382-0532-4421-8BE6-69EDEF24E38C}">
      <text>
        <r>
          <rPr>
            <b/>
            <sz val="9"/>
            <color indexed="81"/>
            <rFont val="Tahoma"/>
            <family val="2"/>
          </rPr>
          <t>&lt;[[TCDeals] - [Associated DEV Deal (Seq: 1)] - [Property (Seq: 1)] - [Locations (Seq: 1)] - [Unit Mix (Seq: 50)] Residential Apartment Type - Send]&gt;</t>
        </r>
      </text>
    </comment>
    <comment ref="AD246" authorId="0" shapeId="0" xr:uid="{6656103F-F124-435C-83AF-D8579EBAF738}">
      <text>
        <r>
          <rPr>
            <b/>
            <sz val="9"/>
            <color indexed="81"/>
            <rFont val="Tahoma"/>
            <family val="2"/>
          </rPr>
          <t>&lt;[[TCDeals] - [Associated DEV Deal (Seq: 1)] - [Property (Seq: 1)] - [Locations (Seq: 1)] - [Unit Mix (Seq: 50)] Base Rent - Send]&gt;</t>
        </r>
      </text>
    </comment>
    <comment ref="AF246" authorId="0" shapeId="0" xr:uid="{1FE89248-18EC-43C5-B11A-E1737274D718}">
      <text>
        <r>
          <rPr>
            <b/>
            <sz val="9"/>
            <color indexed="81"/>
            <rFont val="Tahoma"/>
            <family val="2"/>
          </rPr>
          <t>&lt;[[TCDeals] - [Associated DEV Deal (Seq: 1)] - [Property (Seq: 1)] - [Locations (Seq: 1)] - [Unit Mix (Seq: 50)] Square Footage - Send]&gt;</t>
        </r>
      </text>
    </comment>
    <comment ref="AH246" authorId="0" shapeId="0" xr:uid="{8E5BACD3-57C2-4296-8B59-C0B57854E2DD}">
      <text>
        <r>
          <rPr>
            <b/>
            <sz val="9"/>
            <color indexed="81"/>
            <rFont val="Tahoma"/>
            <family val="2"/>
          </rPr>
          <t>&lt;[[TCDeals] - [Associated DEV Deal (Seq: 1)] - [Property (Seq: 1)] - [Locations (Seq: 1)] - [Unit Mix (Seq: 50)] Num Units - Send]&gt;</t>
        </r>
      </text>
    </comment>
    <comment ref="AL246" authorId="0" shapeId="0" xr:uid="{6521B71F-E465-4307-AB2A-D9381C9AFF7E}">
      <text>
        <r>
          <rPr>
            <b/>
            <sz val="9"/>
            <color indexed="81"/>
            <rFont val="Tahoma"/>
            <family val="2"/>
          </rPr>
          <t>&lt;[[TCDeals] - [Associated DEV Deal (Seq: 1)] - [Property (Seq: 1)] - [Locations (Seq: 1)] - [Unit Mix (Seq: 50)] Unit Mix Ami Percent - Send]&gt;</t>
        </r>
      </text>
    </comment>
    <comment ref="H247" authorId="1" shapeId="0" xr:uid="{277A4A28-2FBD-4237-9E0B-CC35B65E0774}">
      <text>
        <r>
          <rPr>
            <b/>
            <sz val="9"/>
            <color indexed="81"/>
            <rFont val="Tahoma"/>
            <family val="2"/>
          </rPr>
          <t>&lt;[[TCDeals] - [TC Property Current Stage (Seq: 1)] - [Unit Mix (Seq: 51)] TC Unit Mix Type - Send]&gt;</t>
        </r>
      </text>
    </comment>
    <comment ref="J247" authorId="0" shapeId="0" xr:uid="{812C0A0A-4534-4D5B-AB86-9DE34752429A}">
      <text>
        <r>
          <rPr>
            <b/>
            <sz val="9"/>
            <color indexed="81"/>
            <rFont val="Tahoma"/>
            <family val="2"/>
          </rPr>
          <t>&lt;[[TCDeals] - [TC Property Current Stage (Seq: 1)] - [Unit Mix (Seq: 2)] Net Rentable Sq Ft - Send]&gt;</t>
        </r>
      </text>
    </comment>
    <comment ref="L247" authorId="0" shapeId="0" xr:uid="{D30CFA15-1CDB-4CF6-8BDE-6B962158CBB2}">
      <text>
        <r>
          <rPr>
            <b/>
            <sz val="9"/>
            <color indexed="81"/>
            <rFont val="Tahoma"/>
            <family val="2"/>
          </rPr>
          <t>&lt;[[TCDeals] - [TC Property Current Stage (Seq: 1)] - [Unit Mix (Seq: 3)] Num Units - Send]&gt;</t>
        </r>
      </text>
    </comment>
    <comment ref="N247" authorId="0" shapeId="0" xr:uid="{B8A3364B-8D88-4DF2-BE28-68347E296554}">
      <text>
        <r>
          <rPr>
            <b/>
            <sz val="9"/>
            <color indexed="81"/>
            <rFont val="Tahoma"/>
            <family val="2"/>
          </rPr>
          <t>&lt;[[TCDeals] - [TC Property Current Stage (Seq: 1)] - [Unit Mix (Seq: 3)] Num Units - Send]&gt;</t>
        </r>
      </text>
    </comment>
    <comment ref="P247" authorId="1" shapeId="0" xr:uid="{672A6AE5-6FE9-4635-B70F-119C9C9F8468}">
      <text>
        <r>
          <rPr>
            <b/>
            <sz val="9"/>
            <color indexed="81"/>
            <rFont val="Tahoma"/>
            <family val="2"/>
          </rPr>
          <t>&lt;[[TCDeals] - [TC Property Current Stage (Seq: 1)] - [Unit Mix (Seq: 51)] Income Target - Send]&gt;</t>
        </r>
      </text>
    </comment>
    <comment ref="H248" authorId="1" shapeId="0" xr:uid="{1C416E27-A5AF-4C54-B381-F35FF76BE9C5}">
      <text>
        <r>
          <rPr>
            <b/>
            <sz val="9"/>
            <color indexed="81"/>
            <rFont val="Tahoma"/>
            <family val="2"/>
          </rPr>
          <t>&lt;[[TCDeals] - [TC Property Current Stage (Seq: 1)] - [Unit Mix (Seq: 52)] TC Unit Mix Type - Send]&gt;</t>
        </r>
      </text>
    </comment>
    <comment ref="J248" authorId="0" shapeId="0" xr:uid="{DA0107A6-A828-4629-8901-18F2CC2DE2AA}">
      <text>
        <r>
          <rPr>
            <b/>
            <sz val="9"/>
            <color indexed="81"/>
            <rFont val="Tahoma"/>
            <family val="2"/>
          </rPr>
          <t>&lt;[[TCDeals] - [TC Property Current Stage (Seq: 1)] - [Unit Mix (Seq: 2)] Net Rentable Sq Ft - Send]&gt;</t>
        </r>
      </text>
    </comment>
    <comment ref="L248" authorId="0" shapeId="0" xr:uid="{831B56C9-9CE8-42DC-8D54-88C2243FE391}">
      <text>
        <r>
          <rPr>
            <b/>
            <sz val="9"/>
            <color indexed="81"/>
            <rFont val="Tahoma"/>
            <family val="2"/>
          </rPr>
          <t>&lt;[[TCDeals] - [TC Property Current Stage (Seq: 1)] - [Unit Mix (Seq: 3)] Num Units - Send]&gt;</t>
        </r>
      </text>
    </comment>
    <comment ref="N248" authorId="0" shapeId="0" xr:uid="{69D33530-DD24-475E-AE08-2B0FFB8CF9BC}">
      <text>
        <r>
          <rPr>
            <b/>
            <sz val="9"/>
            <color indexed="81"/>
            <rFont val="Tahoma"/>
            <family val="2"/>
          </rPr>
          <t>&lt;[[TCDeals] - [TC Property Current Stage (Seq: 1)] - [Unit Mix (Seq: 3)] Num Units - Send]&gt;</t>
        </r>
      </text>
    </comment>
    <comment ref="P248" authorId="1" shapeId="0" xr:uid="{7C00B99A-A14A-4219-BE5B-4B05281F0A73}">
      <text>
        <r>
          <rPr>
            <b/>
            <sz val="9"/>
            <color indexed="81"/>
            <rFont val="Tahoma"/>
            <family val="2"/>
          </rPr>
          <t>&lt;[[TCDeals] - [TC Property Current Stage (Seq: 1)] - [Unit Mix (Seq: 52)] Income Target - Send]&gt;</t>
        </r>
      </text>
    </comment>
    <comment ref="H249" authorId="1" shapeId="0" xr:uid="{EE34B3E6-DA52-46E9-B5E1-8B8D9C92C1EF}">
      <text>
        <r>
          <rPr>
            <b/>
            <sz val="9"/>
            <color indexed="81"/>
            <rFont val="Tahoma"/>
            <family val="2"/>
          </rPr>
          <t>&lt;[[TCDeals] - [TC Property Current Stage (Seq: 1)] - [Unit Mix (Seq: 53)] TC Unit Mix Type - Send]&gt;</t>
        </r>
      </text>
    </comment>
    <comment ref="J249" authorId="0" shapeId="0" xr:uid="{D5AD632F-7EFE-4781-96B3-2DB42851FC71}">
      <text>
        <r>
          <rPr>
            <b/>
            <sz val="9"/>
            <color indexed="81"/>
            <rFont val="Tahoma"/>
            <family val="2"/>
          </rPr>
          <t>&lt;[[TCDeals] - [TC Property Current Stage (Seq: 1)] - [Unit Mix (Seq: 2)] Net Rentable Sq Ft - Send]&gt;</t>
        </r>
      </text>
    </comment>
    <comment ref="L249" authorId="0" shapeId="0" xr:uid="{57AC98A5-2F89-415A-900E-6D574EC047AC}">
      <text>
        <r>
          <rPr>
            <b/>
            <sz val="9"/>
            <color indexed="81"/>
            <rFont val="Tahoma"/>
            <family val="2"/>
          </rPr>
          <t>&lt;[[TCDeals] - [TC Property Current Stage (Seq: 1)] - [Unit Mix (Seq: 3)] Num Units - Send]&gt;</t>
        </r>
      </text>
    </comment>
    <comment ref="N249" authorId="0" shapeId="0" xr:uid="{855BE463-DAA3-4857-95BA-8B2EDDC58BCF}">
      <text>
        <r>
          <rPr>
            <b/>
            <sz val="9"/>
            <color indexed="81"/>
            <rFont val="Tahoma"/>
            <family val="2"/>
          </rPr>
          <t>&lt;[[TCDeals] - [TC Property Current Stage (Seq: 1)] - [Unit Mix (Seq: 3)] Num Units - Send]&gt;</t>
        </r>
      </text>
    </comment>
    <comment ref="P249" authorId="1" shapeId="0" xr:uid="{3AA88C60-BAE1-4BAA-9017-7236057BCBCF}">
      <text>
        <r>
          <rPr>
            <b/>
            <sz val="9"/>
            <color indexed="81"/>
            <rFont val="Tahoma"/>
            <family val="2"/>
          </rPr>
          <t>&lt;[[TCDeals] - [TC Property Current Stage (Seq: 1)] - [Unit Mix (Seq: 53)] Income Target - Send]&gt;</t>
        </r>
      </text>
    </comment>
    <comment ref="H250" authorId="1" shapeId="0" xr:uid="{3F935392-EE7C-4E22-8030-60BFB94B8F42}">
      <text>
        <r>
          <rPr>
            <b/>
            <sz val="9"/>
            <color indexed="81"/>
            <rFont val="Tahoma"/>
            <family val="2"/>
          </rPr>
          <t>&lt;[[TCDeals] - [TC Property Current Stage (Seq: 1)] - [Unit Mix (Seq: 54)] TC Unit Mix Type - Send]&gt;</t>
        </r>
      </text>
    </comment>
    <comment ref="J250" authorId="0" shapeId="0" xr:uid="{74B09980-7F17-4955-99BB-57C78E5799AD}">
      <text>
        <r>
          <rPr>
            <b/>
            <sz val="9"/>
            <color indexed="81"/>
            <rFont val="Tahoma"/>
            <family val="2"/>
          </rPr>
          <t>&lt;[[TCDeals] - [TC Property Current Stage (Seq: 1)] - [Unit Mix (Seq: 2)] Net Rentable Sq Ft - Send]&gt;</t>
        </r>
      </text>
    </comment>
    <comment ref="L250" authorId="0" shapeId="0" xr:uid="{362CFB55-E2C5-4BE3-8E2D-AA698C59C581}">
      <text>
        <r>
          <rPr>
            <b/>
            <sz val="9"/>
            <color indexed="81"/>
            <rFont val="Tahoma"/>
            <family val="2"/>
          </rPr>
          <t>&lt;[[TCDeals] - [TC Property Current Stage (Seq: 1)] - [Unit Mix (Seq: 3)] Num Units - Send]&gt;</t>
        </r>
      </text>
    </comment>
    <comment ref="N250" authorId="0" shapeId="0" xr:uid="{F7BCBA09-9949-41F7-9E94-974DF770399A}">
      <text>
        <r>
          <rPr>
            <b/>
            <sz val="9"/>
            <color indexed="81"/>
            <rFont val="Tahoma"/>
            <family val="2"/>
          </rPr>
          <t>&lt;[[TCDeals] - [TC Property Current Stage (Seq: 1)] - [Unit Mix (Seq: 3)] Num Units - Send]&gt;</t>
        </r>
      </text>
    </comment>
    <comment ref="P250" authorId="1" shapeId="0" xr:uid="{7175509A-7B15-4394-8DB7-749CBE739580}">
      <text>
        <r>
          <rPr>
            <b/>
            <sz val="9"/>
            <color indexed="81"/>
            <rFont val="Tahoma"/>
            <family val="2"/>
          </rPr>
          <t>&lt;[[TCDeals] - [TC Property Current Stage (Seq: 1)] - [Unit Mix (Seq: 54)] Income Target - Send]&gt;</t>
        </r>
      </text>
    </comment>
    <comment ref="H251" authorId="1" shapeId="0" xr:uid="{BB605D65-3E31-44C7-AA04-F58B737C538E}">
      <text>
        <r>
          <rPr>
            <b/>
            <sz val="9"/>
            <color indexed="81"/>
            <rFont val="Tahoma"/>
            <family val="2"/>
          </rPr>
          <t>&lt;[[TCDeals] - [TC Property Current Stage (Seq: 1)] - [Unit Mix (Seq: 55)] TC Unit Mix Type - Send]&gt;</t>
        </r>
      </text>
    </comment>
    <comment ref="J251" authorId="0" shapeId="0" xr:uid="{D98B63BE-2CE1-4596-B4AB-869E745E3C2A}">
      <text>
        <r>
          <rPr>
            <b/>
            <sz val="9"/>
            <color indexed="81"/>
            <rFont val="Tahoma"/>
            <family val="2"/>
          </rPr>
          <t>&lt;[[TCDeals] - [TC Property Current Stage (Seq: 1)] - [Unit Mix (Seq: 2)] Net Rentable Sq Ft - Send]&gt;</t>
        </r>
      </text>
    </comment>
    <comment ref="L251" authorId="0" shapeId="0" xr:uid="{63E8314F-D8D3-4ABD-8945-F5BC1920891C}">
      <text>
        <r>
          <rPr>
            <b/>
            <sz val="9"/>
            <color indexed="81"/>
            <rFont val="Tahoma"/>
            <family val="2"/>
          </rPr>
          <t>&lt;[[TCDeals] - [TC Property Current Stage (Seq: 1)] - [Unit Mix (Seq: 3)] Num Units - Send]&gt;</t>
        </r>
      </text>
    </comment>
    <comment ref="N251" authorId="0" shapeId="0" xr:uid="{B448B871-5C0F-4148-853D-39ABB183995B}">
      <text>
        <r>
          <rPr>
            <b/>
            <sz val="9"/>
            <color indexed="81"/>
            <rFont val="Tahoma"/>
            <family val="2"/>
          </rPr>
          <t>&lt;[[TCDeals] - [TC Property Current Stage (Seq: 1)] - [Unit Mix (Seq: 3)] Num Units - Send]&gt;</t>
        </r>
      </text>
    </comment>
    <comment ref="P251" authorId="1" shapeId="0" xr:uid="{6B014EAB-309D-4B3E-A493-3582E1721317}">
      <text>
        <r>
          <rPr>
            <b/>
            <sz val="9"/>
            <color indexed="81"/>
            <rFont val="Tahoma"/>
            <family val="2"/>
          </rPr>
          <t>&lt;[[TCDeals] - [TC Property Current Stage (Seq: 1)] - [Unit Mix (Seq: 55)] Income Target - Send]&gt;</t>
        </r>
      </text>
    </comment>
    <comment ref="H252" authorId="1" shapeId="0" xr:uid="{E1EC61F0-CFF7-44D1-9DF5-6F96CE26AE99}">
      <text>
        <r>
          <rPr>
            <b/>
            <sz val="9"/>
            <color indexed="81"/>
            <rFont val="Tahoma"/>
            <family val="2"/>
          </rPr>
          <t>&lt;[[TCDeals] - [TC Property Current Stage (Seq: 1)] - [Unit Mix (Seq: 56)] TC Unit Mix Type - Send]&gt;</t>
        </r>
      </text>
    </comment>
    <comment ref="J252" authorId="0" shapeId="0" xr:uid="{8098E873-2074-4F8A-8E5E-4F17FC9ED31E}">
      <text>
        <r>
          <rPr>
            <b/>
            <sz val="9"/>
            <color indexed="81"/>
            <rFont val="Tahoma"/>
            <family val="2"/>
          </rPr>
          <t>&lt;[[TCDeals] - [TC Property Current Stage (Seq: 1)] - [Unit Mix (Seq: 2)] Net Rentable Sq Ft - Send]&gt;</t>
        </r>
      </text>
    </comment>
    <comment ref="L252" authorId="0" shapeId="0" xr:uid="{9575FF02-2F2F-43A0-A1D9-0CF190E0D06F}">
      <text>
        <r>
          <rPr>
            <b/>
            <sz val="9"/>
            <color indexed="81"/>
            <rFont val="Tahoma"/>
            <family val="2"/>
          </rPr>
          <t>&lt;[[TCDeals] - [TC Property Current Stage (Seq: 1)] - [Unit Mix (Seq: 3)] Num Units - Send]&gt;</t>
        </r>
      </text>
    </comment>
    <comment ref="N252" authorId="0" shapeId="0" xr:uid="{7EA1B78D-30DA-43D0-9E4E-28B56D0E7776}">
      <text>
        <r>
          <rPr>
            <b/>
            <sz val="9"/>
            <color indexed="81"/>
            <rFont val="Tahoma"/>
            <family val="2"/>
          </rPr>
          <t>&lt;[[TCDeals] - [TC Property Current Stage (Seq: 1)] - [Unit Mix (Seq: 3)] Num Units - Send]&gt;</t>
        </r>
      </text>
    </comment>
    <comment ref="P252" authorId="1" shapeId="0" xr:uid="{569B8535-ACC8-41D2-AC0A-D3E69D2809D6}">
      <text>
        <r>
          <rPr>
            <b/>
            <sz val="9"/>
            <color indexed="81"/>
            <rFont val="Tahoma"/>
            <family val="2"/>
          </rPr>
          <t>&lt;[[TCDeals] - [TC Property Current Stage (Seq: 1)] - [Unit Mix (Seq: 56)] Income Target - Send]&gt;</t>
        </r>
      </text>
    </comment>
    <comment ref="H253" authorId="1" shapeId="0" xr:uid="{3E9CB43D-CE87-49F4-8BFB-36FDEB8C4618}">
      <text>
        <r>
          <rPr>
            <b/>
            <sz val="9"/>
            <color indexed="81"/>
            <rFont val="Tahoma"/>
            <family val="2"/>
          </rPr>
          <t>&lt;[[TCDeals] - [TC Property Current Stage (Seq: 1)] - [Unit Mix (Seq: 57)] TC Unit Mix Type - Send]&gt;</t>
        </r>
      </text>
    </comment>
    <comment ref="J253" authorId="0" shapeId="0" xr:uid="{75CE3DA5-FD6B-424F-810D-A308759865BD}">
      <text>
        <r>
          <rPr>
            <b/>
            <sz val="9"/>
            <color indexed="81"/>
            <rFont val="Tahoma"/>
            <family val="2"/>
          </rPr>
          <t>&lt;[[TCDeals] - [TC Property Current Stage (Seq: 1)] - [Unit Mix (Seq: 2)] Net Rentable Sq Ft - Send]&gt;</t>
        </r>
      </text>
    </comment>
    <comment ref="L253" authorId="0" shapeId="0" xr:uid="{820648D2-4184-4FCD-893F-2DCEC11F6193}">
      <text>
        <r>
          <rPr>
            <b/>
            <sz val="9"/>
            <color indexed="81"/>
            <rFont val="Tahoma"/>
            <family val="2"/>
          </rPr>
          <t>&lt;[[TCDeals] - [TC Property Current Stage (Seq: 1)] - [Unit Mix (Seq: 3)] Num Units - Send]&gt;</t>
        </r>
      </text>
    </comment>
    <comment ref="N253" authorId="0" shapeId="0" xr:uid="{C778D254-617C-44DF-B86E-BAFF7FEAE263}">
      <text>
        <r>
          <rPr>
            <b/>
            <sz val="9"/>
            <color indexed="81"/>
            <rFont val="Tahoma"/>
            <family val="2"/>
          </rPr>
          <t>&lt;[[TCDeals] - [TC Property Current Stage (Seq: 1)] - [Unit Mix (Seq: 3)] Num Units - Send]&gt;</t>
        </r>
      </text>
    </comment>
    <comment ref="P253" authorId="1" shapeId="0" xr:uid="{5B5D5CE5-13A0-452C-8245-B93F76B4926F}">
      <text>
        <r>
          <rPr>
            <b/>
            <sz val="9"/>
            <color indexed="81"/>
            <rFont val="Tahoma"/>
            <family val="2"/>
          </rPr>
          <t>&lt;[[TCDeals] - [TC Property Current Stage (Seq: 1)] - [Unit Mix (Seq: 57)] Income Target - Send]&gt;</t>
        </r>
      </text>
    </comment>
    <comment ref="H254" authorId="1" shapeId="0" xr:uid="{963C8876-2985-46BC-9F06-21C5574BFA7B}">
      <text>
        <r>
          <rPr>
            <b/>
            <sz val="9"/>
            <color indexed="81"/>
            <rFont val="Tahoma"/>
            <family val="2"/>
          </rPr>
          <t>&lt;[[TCDeals] - [TC Property Current Stage (Seq: 1)] - [Unit Mix (Seq: 58)] TC Unit Mix Type - Send]&gt;</t>
        </r>
      </text>
    </comment>
    <comment ref="J254" authorId="0" shapeId="0" xr:uid="{7EB5DCED-92A3-40D1-ABC7-54023986A98F}">
      <text>
        <r>
          <rPr>
            <b/>
            <sz val="9"/>
            <color indexed="81"/>
            <rFont val="Tahoma"/>
            <family val="2"/>
          </rPr>
          <t>&lt;[[TCDeals] - [TC Property Current Stage (Seq: 1)] - [Unit Mix (Seq: 2)] Net Rentable Sq Ft - Send]&gt;</t>
        </r>
      </text>
    </comment>
    <comment ref="L254" authorId="0" shapeId="0" xr:uid="{A7BE365A-BE50-4579-AB58-1AD41505F6B5}">
      <text>
        <r>
          <rPr>
            <b/>
            <sz val="9"/>
            <color indexed="81"/>
            <rFont val="Tahoma"/>
            <family val="2"/>
          </rPr>
          <t>&lt;[[TCDeals] - [TC Property Current Stage (Seq: 1)] - [Unit Mix (Seq: 3)] Num Units - Send]&gt;</t>
        </r>
      </text>
    </comment>
    <comment ref="N254" authorId="0" shapeId="0" xr:uid="{92A9E7F9-FEE5-4A66-A79B-F73571846361}">
      <text>
        <r>
          <rPr>
            <b/>
            <sz val="9"/>
            <color indexed="81"/>
            <rFont val="Tahoma"/>
            <family val="2"/>
          </rPr>
          <t>&lt;[[TCDeals] - [TC Property Current Stage (Seq: 1)] - [Unit Mix (Seq: 3)] Num Units - Send]&gt;</t>
        </r>
      </text>
    </comment>
    <comment ref="P254" authorId="1" shapeId="0" xr:uid="{D331E4BF-A51A-4655-9670-4A27A5C0806A}">
      <text>
        <r>
          <rPr>
            <b/>
            <sz val="9"/>
            <color indexed="81"/>
            <rFont val="Tahoma"/>
            <family val="2"/>
          </rPr>
          <t>&lt;[[TCDeals] - [TC Property Current Stage (Seq: 1)] - [Unit Mix (Seq: 58)] Income Target - Send]&gt;</t>
        </r>
      </text>
    </comment>
    <comment ref="H255" authorId="1" shapeId="0" xr:uid="{2542E18C-FFB4-4C83-9718-2F35CB15C8FD}">
      <text>
        <r>
          <rPr>
            <b/>
            <sz val="9"/>
            <color indexed="81"/>
            <rFont val="Tahoma"/>
            <family val="2"/>
          </rPr>
          <t>&lt;[[TCDeals] - [TC Property Current Stage (Seq: 1)] - [Unit Mix (Seq: 59)] TC Unit Mix Type - Send]&gt;</t>
        </r>
      </text>
    </comment>
    <comment ref="J255" authorId="0" shapeId="0" xr:uid="{BC89B01C-57A7-49CA-A48D-5B0B15AE004C}">
      <text>
        <r>
          <rPr>
            <b/>
            <sz val="9"/>
            <color indexed="81"/>
            <rFont val="Tahoma"/>
            <family val="2"/>
          </rPr>
          <t>&lt;[[TCDeals] - [TC Property Current Stage (Seq: 1)] - [Unit Mix (Seq: 2)] Net Rentable Sq Ft - Send]&gt;</t>
        </r>
      </text>
    </comment>
    <comment ref="L255" authorId="0" shapeId="0" xr:uid="{A67FFB49-4F41-4B37-8CAB-19EA90AED38F}">
      <text>
        <r>
          <rPr>
            <b/>
            <sz val="9"/>
            <color indexed="81"/>
            <rFont val="Tahoma"/>
            <family val="2"/>
          </rPr>
          <t>&lt;[[TCDeals] - [TC Property Current Stage (Seq: 1)] - [Unit Mix (Seq: 3)] Num Units - Send]&gt;</t>
        </r>
      </text>
    </comment>
    <comment ref="N255" authorId="0" shapeId="0" xr:uid="{08040B25-0778-4542-BFAD-39F8FFF4A01C}">
      <text>
        <r>
          <rPr>
            <b/>
            <sz val="9"/>
            <color indexed="81"/>
            <rFont val="Tahoma"/>
            <family val="2"/>
          </rPr>
          <t>&lt;[[TCDeals] - [TC Property Current Stage (Seq: 1)] - [Unit Mix (Seq: 3)] Num Units - Send]&gt;</t>
        </r>
      </text>
    </comment>
    <comment ref="P255" authorId="1" shapeId="0" xr:uid="{566EDCD3-7F49-4EA0-B246-49246FF6EC14}">
      <text>
        <r>
          <rPr>
            <b/>
            <sz val="9"/>
            <color indexed="81"/>
            <rFont val="Tahoma"/>
            <family val="2"/>
          </rPr>
          <t>&lt;[[TCDeals] - [TC Property Current Stage (Seq: 1)] - [Unit Mix (Seq: 59)] Income Target - Send]&gt;</t>
        </r>
      </text>
    </comment>
    <comment ref="H256" authorId="1" shapeId="0" xr:uid="{AA598B55-EF13-4200-9677-ECAB3DA6DCDD}">
      <text>
        <r>
          <rPr>
            <b/>
            <sz val="9"/>
            <color indexed="81"/>
            <rFont val="Tahoma"/>
            <family val="2"/>
          </rPr>
          <t>&lt;[[TCDeals] - [TC Property Current Stage (Seq: 1)] - [Unit Mix (Seq: 60)] TC Unit Mix Type - Send]&gt;</t>
        </r>
      </text>
    </comment>
    <comment ref="J256" authorId="0" shapeId="0" xr:uid="{07F4DE72-9EE9-45B5-879A-296B382EED1D}">
      <text>
        <r>
          <rPr>
            <b/>
            <sz val="9"/>
            <color indexed="81"/>
            <rFont val="Tahoma"/>
            <family val="2"/>
          </rPr>
          <t>&lt;[[TCDeals] - [TC Property Current Stage (Seq: 1)] - [Unit Mix (Seq: 2)] Net Rentable Sq Ft - Send]&gt;</t>
        </r>
      </text>
    </comment>
    <comment ref="L256" authorId="0" shapeId="0" xr:uid="{AF4E9078-9C46-4B50-963E-E3995F931E5A}">
      <text>
        <r>
          <rPr>
            <b/>
            <sz val="9"/>
            <color indexed="81"/>
            <rFont val="Tahoma"/>
            <family val="2"/>
          </rPr>
          <t>&lt;[[TCDeals] - [TC Property Current Stage (Seq: 1)] - [Unit Mix (Seq: 3)] Num Units - Send]&gt;</t>
        </r>
      </text>
    </comment>
    <comment ref="N256" authorId="0" shapeId="0" xr:uid="{59335E9B-EFCB-42AA-9BDB-B9AB168916A1}">
      <text>
        <r>
          <rPr>
            <b/>
            <sz val="9"/>
            <color indexed="81"/>
            <rFont val="Tahoma"/>
            <family val="2"/>
          </rPr>
          <t>&lt;[[TCDeals] - [TC Property Current Stage (Seq: 1)] - [Unit Mix (Seq: 3)] Num Units - Send]&gt;</t>
        </r>
      </text>
    </comment>
    <comment ref="P256" authorId="1" shapeId="0" xr:uid="{453EE19E-5FF7-4F54-BA74-608C32CA0894}">
      <text>
        <r>
          <rPr>
            <b/>
            <sz val="9"/>
            <color indexed="81"/>
            <rFont val="Tahoma"/>
            <family val="2"/>
          </rPr>
          <t>&lt;[[TCDeals] - [TC Property Current Stage (Seq: 1)] - [Unit Mix (Seq: 60)] Income Target - Send]&gt;</t>
        </r>
      </text>
    </comment>
    <comment ref="H257" authorId="1" shapeId="0" xr:uid="{1170CA24-AFE3-4279-AF72-C3ED2E87FEE4}">
      <text>
        <r>
          <rPr>
            <b/>
            <sz val="9"/>
            <color indexed="81"/>
            <rFont val="Tahoma"/>
            <family val="2"/>
          </rPr>
          <t>&lt;[[TCDeals] - [TC Property Current Stage (Seq: 1)] - [Unit Mix (Seq: 61)] TC Unit Mix Type - Send]&gt;</t>
        </r>
      </text>
    </comment>
    <comment ref="J257" authorId="0" shapeId="0" xr:uid="{F67F8D8F-AFD9-4D92-B0AC-681EBCE74809}">
      <text>
        <r>
          <rPr>
            <b/>
            <sz val="9"/>
            <color indexed="81"/>
            <rFont val="Tahoma"/>
            <family val="2"/>
          </rPr>
          <t>&lt;[[TCDeals] - [TC Property Current Stage (Seq: 1)] - [Unit Mix (Seq: 2)] Net Rentable Sq Ft - Send]&gt;</t>
        </r>
      </text>
    </comment>
    <comment ref="L257" authorId="0" shapeId="0" xr:uid="{48DEDE17-71D2-422B-99FB-247AE46DE465}">
      <text>
        <r>
          <rPr>
            <b/>
            <sz val="9"/>
            <color indexed="81"/>
            <rFont val="Tahoma"/>
            <family val="2"/>
          </rPr>
          <t>&lt;[[TCDeals] - [TC Property Current Stage (Seq: 1)] - [Unit Mix (Seq: 3)] Num Units - Send]&gt;</t>
        </r>
      </text>
    </comment>
    <comment ref="N257" authorId="0" shapeId="0" xr:uid="{0557DAD4-EAC3-44A3-BF57-523CB3973EB0}">
      <text>
        <r>
          <rPr>
            <b/>
            <sz val="9"/>
            <color indexed="81"/>
            <rFont val="Tahoma"/>
            <family val="2"/>
          </rPr>
          <t>&lt;[[TCDeals] - [TC Property Current Stage (Seq: 1)] - [Unit Mix (Seq: 3)] Num Units - Send]&gt;</t>
        </r>
      </text>
    </comment>
    <comment ref="P257" authorId="1" shapeId="0" xr:uid="{402652B5-6A98-49E0-90B0-0A95E87028B3}">
      <text>
        <r>
          <rPr>
            <b/>
            <sz val="9"/>
            <color indexed="81"/>
            <rFont val="Tahoma"/>
            <family val="2"/>
          </rPr>
          <t>&lt;[[TCDeals] - [TC Property Current Stage (Seq: 1)] - [Unit Mix (Seq: 61)] Income Target - Send]&gt;</t>
        </r>
      </text>
    </comment>
    <comment ref="H258" authorId="1" shapeId="0" xr:uid="{387B3232-FE95-4F76-A3D7-A9444E162F4A}">
      <text>
        <r>
          <rPr>
            <b/>
            <sz val="9"/>
            <color indexed="81"/>
            <rFont val="Tahoma"/>
            <family val="2"/>
          </rPr>
          <t>&lt;[[TCDeals] - [TC Property Current Stage (Seq: 1)] - [Unit Mix (Seq: 62)] TC Unit Mix Type - Send]&gt;</t>
        </r>
      </text>
    </comment>
    <comment ref="J258" authorId="0" shapeId="0" xr:uid="{53B4CA34-58E8-4686-B140-2E344E9E7654}">
      <text>
        <r>
          <rPr>
            <b/>
            <sz val="9"/>
            <color indexed="81"/>
            <rFont val="Tahoma"/>
            <family val="2"/>
          </rPr>
          <t>&lt;[[TCDeals] - [TC Property Current Stage (Seq: 1)] - [Unit Mix (Seq: 2)] Net Rentable Sq Ft - Send]&gt;</t>
        </r>
      </text>
    </comment>
    <comment ref="L258" authorId="0" shapeId="0" xr:uid="{626E5DF7-7500-4D74-A577-7CF8559CC121}">
      <text>
        <r>
          <rPr>
            <b/>
            <sz val="9"/>
            <color indexed="81"/>
            <rFont val="Tahoma"/>
            <family val="2"/>
          </rPr>
          <t>&lt;[[TCDeals] - [TC Property Current Stage (Seq: 1)] - [Unit Mix (Seq: 3)] Num Units - Send]&gt;</t>
        </r>
      </text>
    </comment>
    <comment ref="N258" authorId="0" shapeId="0" xr:uid="{E932ED04-360C-4B94-BDAD-FAB2141FD59F}">
      <text>
        <r>
          <rPr>
            <b/>
            <sz val="9"/>
            <color indexed="81"/>
            <rFont val="Tahoma"/>
            <family val="2"/>
          </rPr>
          <t>&lt;[[TCDeals] - [TC Property Current Stage (Seq: 1)] - [Unit Mix (Seq: 3)] Num Units - Send]&gt;</t>
        </r>
      </text>
    </comment>
    <comment ref="P258" authorId="1" shapeId="0" xr:uid="{C377CE36-04A0-427A-80DA-D9AEE68823D9}">
      <text>
        <r>
          <rPr>
            <b/>
            <sz val="9"/>
            <color indexed="81"/>
            <rFont val="Tahoma"/>
            <family val="2"/>
          </rPr>
          <t>&lt;[[TCDeals] - [TC Property Current Stage (Seq: 1)] - [Unit Mix (Seq: 62)] Income Target - Send]&gt;</t>
        </r>
      </text>
    </comment>
    <comment ref="H259" authorId="1" shapeId="0" xr:uid="{DFF2F0A0-3629-4459-8E48-C426E1AFE147}">
      <text>
        <r>
          <rPr>
            <b/>
            <sz val="9"/>
            <color indexed="81"/>
            <rFont val="Tahoma"/>
            <family val="2"/>
          </rPr>
          <t>&lt;[[TCDeals] - [TC Property Current Stage (Seq: 1)] - [Unit Mix (Seq: 63)] TC Unit Mix Type - Send]&gt;</t>
        </r>
      </text>
    </comment>
    <comment ref="J259" authorId="0" shapeId="0" xr:uid="{BCE01350-2158-4DD6-807C-CD714DEE8C49}">
      <text>
        <r>
          <rPr>
            <b/>
            <sz val="9"/>
            <color indexed="81"/>
            <rFont val="Tahoma"/>
            <family val="2"/>
          </rPr>
          <t>&lt;[[TCDeals] - [TC Property Current Stage (Seq: 1)] - [Unit Mix (Seq: 2)] Net Rentable Sq Ft - Send]&gt;</t>
        </r>
      </text>
    </comment>
    <comment ref="L259" authorId="0" shapeId="0" xr:uid="{4238F591-D258-4D71-991A-773219B76078}">
      <text>
        <r>
          <rPr>
            <b/>
            <sz val="9"/>
            <color indexed="81"/>
            <rFont val="Tahoma"/>
            <family val="2"/>
          </rPr>
          <t>&lt;[[TCDeals] - [TC Property Current Stage (Seq: 1)] - [Unit Mix (Seq: 3)] Num Units - Send]&gt;</t>
        </r>
      </text>
    </comment>
    <comment ref="N259" authorId="0" shapeId="0" xr:uid="{7CF51EC6-EE29-4D7C-A112-3CF6F90550A4}">
      <text>
        <r>
          <rPr>
            <b/>
            <sz val="9"/>
            <color indexed="81"/>
            <rFont val="Tahoma"/>
            <family val="2"/>
          </rPr>
          <t>&lt;[[TCDeals] - [TC Property Current Stage (Seq: 1)] - [Unit Mix (Seq: 3)] Num Units - Send]&gt;</t>
        </r>
      </text>
    </comment>
    <comment ref="P259" authorId="1" shapeId="0" xr:uid="{2C5291C6-DF46-4298-9714-F82A9BFD9D4C}">
      <text>
        <r>
          <rPr>
            <b/>
            <sz val="9"/>
            <color indexed="81"/>
            <rFont val="Tahoma"/>
            <family val="2"/>
          </rPr>
          <t>&lt;[[TCDeals] - [TC Property Current Stage (Seq: 1)] - [Unit Mix (Seq: 63)] Income Target - Send]&gt;</t>
        </r>
      </text>
    </comment>
    <comment ref="Z261" authorId="0" shapeId="0" xr:uid="{8AF108B9-B072-4A25-818F-C338438A8255}">
      <text>
        <r>
          <rPr>
            <b/>
            <sz val="9"/>
            <color indexed="81"/>
            <rFont val="Tahoma"/>
            <family val="2"/>
          </rPr>
          <t>&lt;[[TCDeals] - [Associated DEV Deal (Seq: 1)] - [Property (Seq: 1)] Total Market Units - Send]&gt;</t>
        </r>
      </text>
    </comment>
    <comment ref="Z262" authorId="0" shapeId="0" xr:uid="{2C001573-1A5E-47B6-A2AD-FA14B9CB18EA}">
      <text>
        <r>
          <rPr>
            <b/>
            <sz val="9"/>
            <color indexed="81"/>
            <rFont val="Tahoma"/>
            <family val="2"/>
          </rPr>
          <t>&lt;[[TCDeals] - [Associated DEV Deal (Seq: 1)] - [Property (Seq: 1)] Total LIHTC Units - Send]&gt;</t>
        </r>
      </text>
    </comment>
    <comment ref="D263" authorId="0" shapeId="0" xr:uid="{3B44AC0B-4F86-4CDE-8A0A-45110D194EFE}">
      <text>
        <r>
          <rPr>
            <b/>
            <sz val="9"/>
            <color indexed="81"/>
            <rFont val="Tahoma"/>
            <family val="2"/>
          </rPr>
          <t>&lt;[[TCDeals] - [TC Property Current Stage (Seq: 1)] - [Units (Seq: 1)] TC Unit Type - Send]&gt;</t>
        </r>
      </text>
    </comment>
    <comment ref="E263" authorId="0" shapeId="0" xr:uid="{C7F8860E-CA54-4ADD-A1C5-A73A5B547A22}">
      <text>
        <r>
          <rPr>
            <b/>
            <sz val="9"/>
            <color indexed="81"/>
            <rFont val="Tahoma"/>
            <family val="2"/>
          </rPr>
          <t>&lt;[[TCDeals] - [TC Property Current Stage (Seq: 1)] - [Units (Seq: 1)] Num TC Units - Send]&gt;</t>
        </r>
      </text>
    </comment>
    <comment ref="F263" authorId="0" shapeId="0" xr:uid="{CF57C72F-6C0C-474D-B21E-39DF8BE8F909}">
      <text>
        <r>
          <rPr>
            <b/>
            <sz val="9"/>
            <color indexed="81"/>
            <rFont val="Tahoma"/>
            <family val="2"/>
          </rPr>
          <t>&lt;[[TCDeals] - [TC Property Current Stage (Seq: 1)] - [Units (Seq: 1)] Average Sq Feet - Send]&gt;</t>
        </r>
      </text>
    </comment>
    <comment ref="L263" authorId="0" shapeId="0" xr:uid="{75A6B8E6-004E-4A35-8EEE-80CA5580A7DA}">
      <text>
        <r>
          <rPr>
            <b/>
            <sz val="9"/>
            <color indexed="81"/>
            <rFont val="Tahoma"/>
            <family val="2"/>
          </rPr>
          <t>&lt;[[TCDeals] - [TC Property Current Stage (Seq: 1)] - [Units (Seq: 1)] Total Rental Units - Send]&gt;</t>
        </r>
      </text>
    </comment>
    <comment ref="Z263" authorId="0" shapeId="0" xr:uid="{542BF446-001F-44F2-841B-6BF8059A222A}">
      <text>
        <r>
          <rPr>
            <b/>
            <sz val="9"/>
            <color indexed="81"/>
            <rFont val="Tahoma"/>
            <family val="2"/>
          </rPr>
          <t>&lt;[[TCDeals] - [Associated DEV Deal (Seq: 1)] - [Property (Seq: 1)] Total LIHTC Beds - Send]&gt;</t>
        </r>
      </text>
    </comment>
    <comment ref="D264" authorId="0" shapeId="0" xr:uid="{0E65F77B-FB3E-4C32-B68F-29B699D10B24}">
      <text>
        <r>
          <rPr>
            <b/>
            <sz val="9"/>
            <color indexed="81"/>
            <rFont val="Tahoma"/>
            <family val="2"/>
          </rPr>
          <t>&lt;[[TCDeals] - [TC Property Current Stage (Seq: 1)] - [Units (Seq: 2)] TC Unit Type - Send]&gt;</t>
        </r>
      </text>
    </comment>
    <comment ref="E264" authorId="0" shapeId="0" xr:uid="{D8430642-6A01-421E-A052-F9963674ADCD}">
      <text>
        <r>
          <rPr>
            <b/>
            <sz val="9"/>
            <color indexed="81"/>
            <rFont val="Tahoma"/>
            <family val="2"/>
          </rPr>
          <t>&lt;[[TCDeals] - [TC Property Current Stage (Seq: 1)] - [Units (Seq: 2)] Num TC Units - Send]&gt;</t>
        </r>
      </text>
    </comment>
    <comment ref="F264" authorId="0" shapeId="0" xr:uid="{09FB1276-788F-438A-B81F-D6ED22BFBCBD}">
      <text>
        <r>
          <rPr>
            <b/>
            <sz val="9"/>
            <color indexed="81"/>
            <rFont val="Tahoma"/>
            <family val="2"/>
          </rPr>
          <t>&lt;[[TCDeals] - [TC Property Current Stage (Seq: 1)] - [Units (Seq: 2)] Average Sq Feet - Send]&gt;</t>
        </r>
      </text>
    </comment>
    <comment ref="L264" authorId="0" shapeId="0" xr:uid="{B5FE5A1C-02CD-466B-B721-F16407BAE6D3}">
      <text>
        <r>
          <rPr>
            <b/>
            <sz val="9"/>
            <color indexed="81"/>
            <rFont val="Tahoma"/>
            <family val="2"/>
          </rPr>
          <t>&lt;[[TCDeals] - [TC Property Current Stage (Seq: 1)] - [Units (Seq: 2)] Total Rental Units - Send]&gt;</t>
        </r>
      </text>
    </comment>
    <comment ref="Z264" authorId="0" shapeId="0" xr:uid="{90F5DABE-B188-4D00-8221-0F1FB7014A71}">
      <text>
        <r>
          <rPr>
            <b/>
            <sz val="9"/>
            <color indexed="81"/>
            <rFont val="Tahoma"/>
            <family val="2"/>
          </rPr>
          <t>&lt;[[TCDeals] - [Associated DEV Deal (Seq: 1)] - [Property (Seq: 1)] Total Square Footage - Send]&gt;</t>
        </r>
      </text>
    </comment>
    <comment ref="D265" authorId="0" shapeId="0" xr:uid="{FC4A2655-E7D1-4630-9028-C3294FD3FCD9}">
      <text>
        <r>
          <rPr>
            <b/>
            <sz val="9"/>
            <color indexed="81"/>
            <rFont val="Tahoma"/>
            <family val="2"/>
          </rPr>
          <t>&lt;[[TCDeals] - [TC Property Current Stage (Seq: 1)] - [Units (Seq: 3)] TC Unit Type - Send]&gt;</t>
        </r>
      </text>
    </comment>
    <comment ref="E265" authorId="0" shapeId="0" xr:uid="{1F303DB7-4BE3-4AF3-A7AF-2A1413B1335A}">
      <text>
        <r>
          <rPr>
            <b/>
            <sz val="9"/>
            <color indexed="81"/>
            <rFont val="Tahoma"/>
            <family val="2"/>
          </rPr>
          <t>&lt;[[TCDeals] - [TC Property Current Stage (Seq: 1)] - [Units (Seq: 3)] Num TC Units - Send]&gt;</t>
        </r>
      </text>
    </comment>
    <comment ref="F265" authorId="0" shapeId="0" xr:uid="{82D7E575-F585-409A-93CA-E0633292D550}">
      <text>
        <r>
          <rPr>
            <b/>
            <sz val="9"/>
            <color indexed="81"/>
            <rFont val="Tahoma"/>
            <family val="2"/>
          </rPr>
          <t>&lt;[[TCDeals] - [TC Property Current Stage (Seq: 1)] - [Units (Seq: 3)] Average Sq Feet - Send]&gt;</t>
        </r>
      </text>
    </comment>
    <comment ref="L265" authorId="0" shapeId="0" xr:uid="{11FC8DBB-90D3-48D2-985C-9A4A061BE408}">
      <text>
        <r>
          <rPr>
            <b/>
            <sz val="9"/>
            <color indexed="81"/>
            <rFont val="Tahoma"/>
            <family val="2"/>
          </rPr>
          <t>&lt;[[TCDeals] - [TC Property Current Stage (Seq: 1)] - [Units (Seq: 3)] Total Rental Units - Send]&gt;</t>
        </r>
      </text>
    </comment>
    <comment ref="Z265" authorId="0" shapeId="0" xr:uid="{DEB65BEA-0E1B-48EA-AB1B-0057070FA888}">
      <text>
        <r>
          <rPr>
            <b/>
            <sz val="9"/>
            <color indexed="81"/>
            <rFont val="Tahoma"/>
            <family val="2"/>
          </rPr>
          <t>&lt;[[TCDeals] - [Associated DEV Deal (Seq: 1)] - [Property (Seq: 1)] Total Beds - Send]&gt;</t>
        </r>
      </text>
    </comment>
    <comment ref="D266" authorId="0" shapeId="0" xr:uid="{012F3E02-F567-4F20-83D4-1706E99B7F9E}">
      <text>
        <r>
          <rPr>
            <b/>
            <sz val="9"/>
            <color indexed="81"/>
            <rFont val="Tahoma"/>
            <family val="2"/>
          </rPr>
          <t>&lt;[[TCDeals] - [TC Property Current Stage (Seq: 1)] - [Units (Seq: 4)] TC Unit Type - Send]&gt;</t>
        </r>
      </text>
    </comment>
    <comment ref="E266" authorId="0" shapeId="0" xr:uid="{30EB5B6A-C9F6-46C2-A701-62153E53915C}">
      <text>
        <r>
          <rPr>
            <b/>
            <sz val="9"/>
            <color indexed="81"/>
            <rFont val="Tahoma"/>
            <family val="2"/>
          </rPr>
          <t>&lt;[[TCDeals] - [TC Property Current Stage (Seq: 1)] - [Units (Seq: 4)] Num TC Units - Send]&gt;</t>
        </r>
      </text>
    </comment>
    <comment ref="F266" authorId="0" shapeId="0" xr:uid="{CA52A5A7-6A96-43DD-A9A7-5B6D2B3CA278}">
      <text>
        <r>
          <rPr>
            <b/>
            <sz val="9"/>
            <color indexed="81"/>
            <rFont val="Tahoma"/>
            <family val="2"/>
          </rPr>
          <t>&lt;[[TCDeals] - [TC Property Current Stage (Seq: 1)] - [Units (Seq: 4)] Average Sq Feet - Send]&gt;</t>
        </r>
      </text>
    </comment>
    <comment ref="L266" authorId="0" shapeId="0" xr:uid="{D2FD3E65-10A0-4382-97EE-77884F06ACA8}">
      <text>
        <r>
          <rPr>
            <b/>
            <sz val="9"/>
            <color indexed="81"/>
            <rFont val="Tahoma"/>
            <family val="2"/>
          </rPr>
          <t>&lt;[[TCDeals] - [TC Property Current Stage (Seq: 1)] - [Units (Seq: 4)] Total Rental Units - Send]&gt;</t>
        </r>
      </text>
    </comment>
    <comment ref="Z266" authorId="0" shapeId="0" xr:uid="{4E6243E4-17D6-4473-89FF-1B2FB961E1A3}">
      <text>
        <r>
          <rPr>
            <b/>
            <sz val="9"/>
            <color indexed="81"/>
            <rFont val="Tahoma"/>
            <family val="2"/>
          </rPr>
          <t>&lt;[[TCDeals] - [Associated DEV Deal (Seq: 1)] - [Property (Seq: 1)] Total Units - Send]&gt;</t>
        </r>
      </text>
    </comment>
    <comment ref="D267" authorId="0" shapeId="0" xr:uid="{64FFEF3D-AD53-4CF5-9C24-D3BF037BBC51}">
      <text>
        <r>
          <rPr>
            <b/>
            <sz val="9"/>
            <color indexed="81"/>
            <rFont val="Tahoma"/>
            <family val="2"/>
          </rPr>
          <t>&lt;[[TCDeals] - [TC Property Current Stage (Seq: 1)] - [Units (Seq: 5)] TC Unit Type - Send]&gt;</t>
        </r>
      </text>
    </comment>
    <comment ref="E267" authorId="0" shapeId="0" xr:uid="{348164E6-A9AC-4F32-AA07-09DCEED5730A}">
      <text>
        <r>
          <rPr>
            <b/>
            <sz val="9"/>
            <color indexed="81"/>
            <rFont val="Tahoma"/>
            <family val="2"/>
          </rPr>
          <t>&lt;[[TCDeals] - [TC Property Current Stage (Seq: 1)] - [Units (Seq: 5)] Num TC Units - Send]&gt;</t>
        </r>
      </text>
    </comment>
    <comment ref="F267" authorId="0" shapeId="0" xr:uid="{E5ED6DEE-F7E4-476C-8622-84F84602A7BA}">
      <text>
        <r>
          <rPr>
            <b/>
            <sz val="9"/>
            <color indexed="81"/>
            <rFont val="Tahoma"/>
            <family val="2"/>
          </rPr>
          <t>&lt;[[TCDeals] - [TC Property Current Stage (Seq: 1)] - [Units (Seq: 5)] Average Sq Feet - Send]&gt;</t>
        </r>
      </text>
    </comment>
    <comment ref="L267" authorId="0" shapeId="0" xr:uid="{DE47BA03-FE69-480E-8A14-D94EEF27E517}">
      <text>
        <r>
          <rPr>
            <b/>
            <sz val="9"/>
            <color indexed="81"/>
            <rFont val="Tahoma"/>
            <family val="2"/>
          </rPr>
          <t>&lt;[[TCDeals] - [TC Property Current Stage (Seq: 1)] - [Units (Seq: 5)] Total Rental Units - Send]&gt;</t>
        </r>
      </text>
    </comment>
    <comment ref="Z267" authorId="0" shapeId="0" xr:uid="{068A9F53-CEA1-4EB7-B4EB-A325DFB42517}">
      <text>
        <r>
          <rPr>
            <b/>
            <sz val="9"/>
            <color indexed="81"/>
            <rFont val="Tahoma"/>
            <family val="2"/>
          </rPr>
          <t>&lt;[[TCDeals] - [Associated DEV Deal (Seq: 1)] - [Property (Seq: 1)] Total Low Income Units - Send]&gt;</t>
        </r>
      </text>
    </comment>
    <comment ref="D268" authorId="0" shapeId="0" xr:uid="{9DF0CAEC-F1CB-42F8-93A5-42CB326AB6EB}">
      <text>
        <r>
          <rPr>
            <b/>
            <sz val="9"/>
            <color indexed="81"/>
            <rFont val="Tahoma"/>
            <family val="2"/>
          </rPr>
          <t>&lt;[[TCDeals] - [TC Property Current Stage (Seq: 1)] - [Units (Seq: 6)] TC Unit Type - Send]&gt;</t>
        </r>
      </text>
    </comment>
    <comment ref="E268" authorId="0" shapeId="0" xr:uid="{3A7BFCEF-D83E-4499-8471-3EEF3FEBD9ED}">
      <text>
        <r>
          <rPr>
            <b/>
            <sz val="9"/>
            <color indexed="81"/>
            <rFont val="Tahoma"/>
            <family val="2"/>
          </rPr>
          <t>&lt;[[TCDeals] - [TC Property Current Stage (Seq: 1)] - [Units (Seq: 6)] Num TC Units - Send]&gt;</t>
        </r>
      </text>
    </comment>
    <comment ref="F268" authorId="0" shapeId="0" xr:uid="{F878B727-CB43-4D8A-8052-DC0F5A688870}">
      <text>
        <r>
          <rPr>
            <b/>
            <sz val="9"/>
            <color indexed="81"/>
            <rFont val="Tahoma"/>
            <family val="2"/>
          </rPr>
          <t>&lt;[[TCDeals] - [TC Property Current Stage (Seq: 1)] - [Units (Seq: 6)] Average Sq Feet - Send]&gt;</t>
        </r>
      </text>
    </comment>
    <comment ref="L268" authorId="0" shapeId="0" xr:uid="{94FAF7C9-BA1E-43BB-AE31-2F6D1EC86FAD}">
      <text>
        <r>
          <rPr>
            <b/>
            <sz val="9"/>
            <color indexed="81"/>
            <rFont val="Tahoma"/>
            <family val="2"/>
          </rPr>
          <t>&lt;[[TCDeals] - [TC Property Current Stage (Seq: 1)] - [Units (Seq: 6)] Total Rental Units - Send]&gt;</t>
        </r>
      </text>
    </comment>
    <comment ref="Z268" authorId="0" shapeId="0" xr:uid="{01043658-ACBC-4AA3-B8CA-578F51631A84}">
      <text>
        <r>
          <rPr>
            <b/>
            <sz val="9"/>
            <color indexed="81"/>
            <rFont val="Tahoma"/>
            <family val="2"/>
          </rPr>
          <t>&lt;[[TCDeals] - [Associated DEV Deal (Seq: 1)] - [Property (Seq: 1)] Total Employee Exempt Units - Send]&gt;</t>
        </r>
      </text>
    </comment>
    <comment ref="C271" authorId="0" shapeId="0" xr:uid="{63D13A55-4766-4EE6-B88C-1DA6B8AD5884}">
      <text>
        <r>
          <rPr>
            <b/>
            <sz val="9"/>
            <color indexed="81"/>
            <rFont val="Tahoma"/>
            <family val="2"/>
          </rPr>
          <t>&lt;[[TCDeals] - [TC Property Current Stage (Seq: 1)] Total Bedrooms - Send]&gt;</t>
        </r>
      </text>
    </comment>
    <comment ref="F271" authorId="0" shapeId="0" xr:uid="{39ABAF30-EE31-49C2-B5B0-2D6A26D2B162}">
      <text>
        <r>
          <rPr>
            <b/>
            <sz val="9"/>
            <color indexed="81"/>
            <rFont val="Tahoma"/>
            <family val="2"/>
          </rPr>
          <t>&lt;[[TCDeals] - [TC Property Current Stage (Seq: 1)] TC Net Rentable SF - Send]&gt;</t>
        </r>
      </text>
    </comment>
    <comment ref="C272" authorId="0" shapeId="0" xr:uid="{9465421D-E789-48BE-BD48-653EE81C5E46}">
      <text>
        <r>
          <rPr>
            <b/>
            <sz val="9"/>
            <color indexed="81"/>
            <rFont val="Tahoma"/>
            <family val="2"/>
          </rPr>
          <t>&lt;[[TCDeals] - [TC Property Current Stage (Seq: 1)] Total Floor Sq Ft - Send]&gt;</t>
        </r>
      </text>
    </comment>
    <comment ref="F272" authorId="0" shapeId="0" xr:uid="{FA6E1614-9744-40BB-B464-022594DA63E7}">
      <text>
        <r>
          <rPr>
            <b/>
            <sz val="9"/>
            <color indexed="81"/>
            <rFont val="Tahoma"/>
            <family val="2"/>
          </rPr>
          <t>&lt;[[TCDeals] - [TC Property Current Stage (Seq: 1)] Mkt Net Rentable SF - Send]&gt;</t>
        </r>
      </text>
    </comment>
    <comment ref="C273" authorId="0" shapeId="0" xr:uid="{61037991-47FF-43D6-9F18-9DC1F3B454D5}">
      <text>
        <r>
          <rPr>
            <b/>
            <sz val="9"/>
            <color indexed="81"/>
            <rFont val="Tahoma"/>
            <family val="2"/>
          </rPr>
          <t>&lt;[[TCDeals] - [TC Property Current Stage (Seq: 1)] Total Units - Send]&gt;</t>
        </r>
      </text>
    </comment>
    <comment ref="F273" authorId="0" shapeId="0" xr:uid="{C78CF3F5-BC46-4078-8A6D-22FC71CB192A}">
      <text>
        <r>
          <rPr>
            <b/>
            <sz val="9"/>
            <color indexed="81"/>
            <rFont val="Tahoma"/>
            <family val="2"/>
          </rPr>
          <t>&lt;[[TCDeals] - [TC Property Current Stage (Seq: 1)] Total Employee Exempt Units - Send]&gt;</t>
        </r>
      </text>
    </comment>
    <comment ref="C274" authorId="0" shapeId="0" xr:uid="{D8D17B62-3360-4BEA-8C8B-CBD1D95C6AFA}">
      <text>
        <r>
          <rPr>
            <b/>
            <sz val="9"/>
            <color indexed="81"/>
            <rFont val="Tahoma"/>
            <family val="2"/>
          </rPr>
          <t>&lt;[[TCDeals] - [TC Property Current Stage (Seq: 1)] Total Low Income Units - Send]&gt;</t>
        </r>
      </text>
    </comment>
    <comment ref="C275" authorId="0" shapeId="0" xr:uid="{40BCE384-2A44-4482-9D92-C708813ECC0D}">
      <text>
        <r>
          <rPr>
            <b/>
            <sz val="9"/>
            <color indexed="81"/>
            <rFont val="Tahoma"/>
            <family val="2"/>
          </rPr>
          <t>&lt;[[TCDeals] - [TC Property Current Stage (Seq: 1)] Total Low Income Bedrooms - Send]&gt;</t>
        </r>
      </text>
    </comment>
    <comment ref="F275" authorId="1" shapeId="0" xr:uid="{B94641C2-ACDE-4171-9295-8151DADE8264}">
      <text>
        <r>
          <rPr>
            <b/>
            <sz val="9"/>
            <color indexed="81"/>
            <rFont val="Tahoma"/>
            <family val="2"/>
          </rPr>
          <t>&lt;[[TCDeals] - [TC Property Current Stage (Seq: 1)] Total Residential Heated Sq Ft - Send]&gt;</t>
        </r>
      </text>
    </comment>
    <comment ref="C276" authorId="0" shapeId="0" xr:uid="{75B0369F-7DD1-428B-936C-CD6C36793389}">
      <text>
        <r>
          <rPr>
            <b/>
            <sz val="9"/>
            <color indexed="81"/>
            <rFont val="Tahoma"/>
            <family val="2"/>
          </rPr>
          <t>&lt;[[TCDeals] - [TC Property Current Stage (Seq: 1)] Total Rental Units - Send]&gt;</t>
        </r>
      </text>
    </comment>
    <comment ref="F276" authorId="1" shapeId="0" xr:uid="{A40E4B1B-BDC4-475E-982A-3C9387C667F3}">
      <text>
        <r>
          <rPr>
            <b/>
            <sz val="9"/>
            <color indexed="81"/>
            <rFont val="Tahoma"/>
            <family val="2"/>
          </rPr>
          <t>&lt;[[TCDeals] - [TC Property Current Stage (Seq: 1)] Commercial Sq Ft - Send]&gt;</t>
        </r>
      </text>
    </comment>
    <comment ref="C277" authorId="0" shapeId="0" xr:uid="{068B2391-3663-40FD-8BFD-D4526C214DDD}">
      <text>
        <r>
          <rPr>
            <b/>
            <sz val="9"/>
            <color indexed="81"/>
            <rFont val="Tahoma"/>
            <family val="2"/>
          </rPr>
          <t>&lt;[[TCDeals] - [TC Property Current Stage (Seq: 1)] Total Rental Bedrooms - Send]&gt;</t>
        </r>
      </text>
    </comment>
    <comment ref="C280" authorId="0" shapeId="0" xr:uid="{2ACB8CF8-E2B8-4041-8D1D-5635E0229040}">
      <text>
        <r>
          <rPr>
            <b/>
            <sz val="9"/>
            <color indexed="81"/>
            <rFont val="Tahoma"/>
            <family val="2"/>
          </rPr>
          <t>&lt;[[TCDeals] - [TC Property Current Stage (Seq: 1)] - [Property Financing - Permanent (Seq: 1)] Source Name - Send]&gt;</t>
        </r>
      </text>
    </comment>
    <comment ref="E280" authorId="0" shapeId="0" xr:uid="{4550C8FD-AB81-46C3-9785-9B70B7DF80FD}">
      <text>
        <r>
          <rPr>
            <b/>
            <sz val="9"/>
            <color indexed="81"/>
            <rFont val="Tahoma"/>
            <family val="2"/>
          </rPr>
          <t>&lt;[[TCDeals] - [TC Property Current Stage (Seq: 1)] - [Property Financing - Permanent (Seq: 1)] Financing Type - Send]&gt;</t>
        </r>
      </text>
    </comment>
    <comment ref="G280" authorId="0" shapeId="0" xr:uid="{955CE361-3CCA-471A-A8A2-8A9ED6E277B6}">
      <text>
        <r>
          <rPr>
            <b/>
            <sz val="9"/>
            <color indexed="81"/>
            <rFont val="Tahoma"/>
            <family val="2"/>
          </rPr>
          <t>&lt;[[TCDeals] - [TC Property Current Stage (Seq: 1)] - [Property Financing - Permanent (Seq: 1)] Amount - Send]&gt;</t>
        </r>
      </text>
    </comment>
    <comment ref="I280" authorId="0" shapeId="0" xr:uid="{8D26D172-2573-40DF-950D-06FCCBDA2F5C}">
      <text>
        <r>
          <rPr>
            <b/>
            <sz val="9"/>
            <color indexed="81"/>
            <rFont val="Tahoma"/>
            <family val="2"/>
          </rPr>
          <t>&lt;[[TCDeals] - [TC Property Current Stage (Seq: 1)] - [Property Financing - Permanent (Seq: 1)] Interest Rate - Send]&gt;</t>
        </r>
      </text>
    </comment>
    <comment ref="K280" authorId="0" shapeId="0" xr:uid="{CB907893-C70C-4375-AC55-F363E059825A}">
      <text>
        <r>
          <rPr>
            <b/>
            <sz val="9"/>
            <color indexed="81"/>
            <rFont val="Tahoma"/>
            <family val="2"/>
          </rPr>
          <t>&lt;[[TCDeals] - [TC Property Current Stage (Seq: 1)] - [Property Financing - Permanent (Seq: 1)] Loan Term - Send]&gt;</t>
        </r>
      </text>
    </comment>
    <comment ref="M280" authorId="0" shapeId="0" xr:uid="{E322FE9B-347F-4DB4-B212-533BEC412FF7}">
      <text>
        <r>
          <rPr>
            <b/>
            <sz val="9"/>
            <color indexed="81"/>
            <rFont val="Tahoma"/>
            <family val="2"/>
          </rPr>
          <t>&lt;[[TCDeals] - [TC Property Current Stage (Seq: 1)] - [Property Financing - Permanent (Seq: 1)] Annual Debt Svc Cost - Send]&gt;</t>
        </r>
      </text>
    </comment>
    <comment ref="AF280" authorId="0" shapeId="0" xr:uid="{348809FA-29C4-4544-8C55-C64C6A50ABC6}">
      <text>
        <r>
          <rPr>
            <b/>
            <sz val="9"/>
            <color indexed="81"/>
            <rFont val="Tahoma"/>
            <family val="2"/>
          </rPr>
          <t>&lt;[[TCDeals] - [Associated DEV Deal (Seq: 1)] - [Funding (Seq: 1)] DEV Funding Source - Send]&gt;</t>
        </r>
      </text>
    </comment>
    <comment ref="AH280" authorId="1" shapeId="0" xr:uid="{FD5B5994-91DB-4F23-9BEC-57ED8AD08E22}">
      <text>
        <r>
          <rPr>
            <b/>
            <sz val="9"/>
            <color indexed="81"/>
            <rFont val="Tahoma"/>
            <family val="2"/>
          </rPr>
          <t>&lt;[[TCDeals] - [Associated DEV Deal (Seq: 1)] - [Funding (Seq: 1)] Program Type - Send]&gt;</t>
        </r>
      </text>
    </comment>
    <comment ref="AJ280" authorId="1" shapeId="0" xr:uid="{941A1428-2136-42E7-9C8F-B361C21963D5}">
      <text>
        <r>
          <rPr>
            <b/>
            <sz val="9"/>
            <color indexed="81"/>
            <rFont val="Tahoma"/>
            <family val="2"/>
          </rPr>
          <t>&lt;[[TCDeals] - [Associated DEV Deal (Seq: 1)] - [Funding (Seq: 1)] Loan Product Type - Send]&gt;</t>
        </r>
      </text>
    </comment>
    <comment ref="AL280" authorId="1" shapeId="0" xr:uid="{E9199CB3-6A33-4B4D-949B-E9CB1363F4F2}">
      <text>
        <r>
          <rPr>
            <b/>
            <sz val="9"/>
            <color indexed="81"/>
            <rFont val="Tahoma"/>
            <family val="2"/>
          </rPr>
          <t>&lt;[[TCDeals] - [Associated DEV Deal (Seq: 1)] - [Funding (Seq: 1)] Term - Send]&gt;</t>
        </r>
      </text>
    </comment>
    <comment ref="AN280" authorId="1" shapeId="0" xr:uid="{712F54CB-DBD9-45E0-B2D7-6309E5FDD179}">
      <text>
        <r>
          <rPr>
            <b/>
            <sz val="9"/>
            <color indexed="81"/>
            <rFont val="Tahoma"/>
            <family val="2"/>
          </rPr>
          <t>&lt;[[TCDeals] - [Associated DEV Deal (Seq: 1)] - [Funding (Seq: 1)] Amount - Send]&gt;</t>
        </r>
      </text>
    </comment>
    <comment ref="AP280" authorId="1" shapeId="0" xr:uid="{855E37C8-8413-4626-A97C-E4E801449E55}">
      <text>
        <r>
          <rPr>
            <b/>
            <sz val="9"/>
            <color indexed="81"/>
            <rFont val="Tahoma"/>
            <family val="2"/>
          </rPr>
          <t>&lt;[[TCDeals] - [Associated DEV Deal (Seq: 1)] - [Funding (Seq: 1)] Rate - Send]&gt;</t>
        </r>
      </text>
    </comment>
    <comment ref="AR280" authorId="1" shapeId="0" xr:uid="{62D26F05-A9FD-4D39-A43E-5B4864F9C902}">
      <text>
        <r>
          <rPr>
            <b/>
            <sz val="9"/>
            <color indexed="81"/>
            <rFont val="Tahoma"/>
            <family val="2"/>
          </rPr>
          <t>&lt;[[TCDeals] - [Associated DEV Deal (Seq: 1)] - [Funding (Seq: 1)] Debt Service - Send]&gt;</t>
        </r>
      </text>
    </comment>
    <comment ref="C281" authorId="0" shapeId="0" xr:uid="{93C13268-354F-40A4-9C39-DE3CB05A707D}">
      <text>
        <r>
          <rPr>
            <b/>
            <sz val="9"/>
            <color indexed="81"/>
            <rFont val="Tahoma"/>
            <family val="2"/>
          </rPr>
          <t>&lt;[[TCDeals] - [TC Property Current Stage (Seq: 1)] - [Property Financing - Permanent (Seq: 2)] Source Name - Send]&gt;</t>
        </r>
      </text>
    </comment>
    <comment ref="E281" authorId="0" shapeId="0" xr:uid="{830D0636-435A-48DC-9A0C-9A522E64EAA5}">
      <text>
        <r>
          <rPr>
            <b/>
            <sz val="9"/>
            <color indexed="81"/>
            <rFont val="Tahoma"/>
            <family val="2"/>
          </rPr>
          <t>&lt;[[TCDeals] - [TC Property Current Stage (Seq: 1)] - [Property Financing - Permanent (Seq: 2)] Financing Type - Send]&gt;</t>
        </r>
      </text>
    </comment>
    <comment ref="G281" authorId="0" shapeId="0" xr:uid="{D1FE1D6B-FF9F-4181-BFAE-5A0108D6E985}">
      <text>
        <r>
          <rPr>
            <b/>
            <sz val="9"/>
            <color indexed="81"/>
            <rFont val="Tahoma"/>
            <family val="2"/>
          </rPr>
          <t>&lt;[[TCDeals] - [TC Property Current Stage (Seq: 1)] - [Property Financing - Permanent (Seq: 2)] Amount - Send]&gt;</t>
        </r>
      </text>
    </comment>
    <comment ref="I281" authorId="0" shapeId="0" xr:uid="{0849FE2D-8D86-4A1D-86FE-4A56F6A9F663}">
      <text>
        <r>
          <rPr>
            <b/>
            <sz val="9"/>
            <color indexed="81"/>
            <rFont val="Tahoma"/>
            <family val="2"/>
          </rPr>
          <t>&lt;[[TCDeals] - [TC Property Current Stage (Seq: 1)] - [Property Financing - Permanent (Seq: 2)] Interest Rate - Send]&gt;</t>
        </r>
      </text>
    </comment>
    <comment ref="K281" authorId="0" shapeId="0" xr:uid="{A7A22DE0-D73C-491C-B900-0E4BDE05AACC}">
      <text>
        <r>
          <rPr>
            <b/>
            <sz val="9"/>
            <color indexed="81"/>
            <rFont val="Tahoma"/>
            <family val="2"/>
          </rPr>
          <t>&lt;[[TCDeals] - [TC Property Current Stage (Seq: 1)] - [Property Financing - Permanent (Seq: 2)] Loan Term - Send]&gt;</t>
        </r>
      </text>
    </comment>
    <comment ref="M281" authorId="0" shapeId="0" xr:uid="{24326F4B-75EB-462E-AE28-D1D7530F2526}">
      <text>
        <r>
          <rPr>
            <b/>
            <sz val="9"/>
            <color indexed="81"/>
            <rFont val="Tahoma"/>
            <family val="2"/>
          </rPr>
          <t>&lt;[[TCDeals] - [TC Property Current Stage (Seq: 1)] - [Property Financing - Permanent (Seq: 2)] Annual Debt Svc Cost - Send]&gt;</t>
        </r>
      </text>
    </comment>
    <comment ref="AF281" authorId="0" shapeId="0" xr:uid="{E070486C-EDD4-4E4C-BBA2-B15A74F9E1F2}">
      <text>
        <r>
          <rPr>
            <b/>
            <sz val="9"/>
            <color indexed="81"/>
            <rFont val="Tahoma"/>
            <family val="2"/>
          </rPr>
          <t>&lt;[[TCDeals] - [Associated DEV Deal (Seq: 1)] - [Funding (Seq: 1)] DEV Funding Source - Send]&gt;</t>
        </r>
      </text>
    </comment>
    <comment ref="AH281" authorId="1" shapeId="0" xr:uid="{F7D3C9A1-A3E6-4477-9ADA-E205BEDE2E18}">
      <text>
        <r>
          <rPr>
            <b/>
            <sz val="9"/>
            <color indexed="81"/>
            <rFont val="Tahoma"/>
            <family val="2"/>
          </rPr>
          <t>&lt;[[TCDeals] - [Associated DEV Deal (Seq: 1)] - [Funding (Seq: 2)] Program Type - Send]&gt;</t>
        </r>
      </text>
    </comment>
    <comment ref="AJ281" authorId="1" shapeId="0" xr:uid="{B5295DF4-38A3-4F2E-AED1-FECC5B2BB668}">
      <text>
        <r>
          <rPr>
            <b/>
            <sz val="9"/>
            <color indexed="81"/>
            <rFont val="Tahoma"/>
            <family val="2"/>
          </rPr>
          <t>&lt;[[TCDeals] - [Associated DEV Deal (Seq: 1)] - [Funding (Seq: 2)] Loan Product Type - Send]&gt;</t>
        </r>
      </text>
    </comment>
    <comment ref="AL281" authorId="1" shapeId="0" xr:uid="{EBD7B4A5-02A9-4028-962E-728953349D3F}">
      <text>
        <r>
          <rPr>
            <b/>
            <sz val="9"/>
            <color indexed="81"/>
            <rFont val="Tahoma"/>
            <family val="2"/>
          </rPr>
          <t>&lt;[[TCDeals] - [Associated DEV Deal (Seq: 1)] - [Funding (Seq: 2)] Term - Send]&gt;</t>
        </r>
      </text>
    </comment>
    <comment ref="AN281" authorId="1" shapeId="0" xr:uid="{9F365440-BC94-4675-8EE5-211A5D842161}">
      <text>
        <r>
          <rPr>
            <b/>
            <sz val="9"/>
            <color indexed="81"/>
            <rFont val="Tahoma"/>
            <family val="2"/>
          </rPr>
          <t>&lt;[[TCDeals] - [Associated DEV Deal (Seq: 1)] - [Funding (Seq: 2)] Amount - Send]&gt;</t>
        </r>
      </text>
    </comment>
    <comment ref="AP281" authorId="1" shapeId="0" xr:uid="{F9895C2D-59D5-42E9-864E-6F102D9F8D69}">
      <text>
        <r>
          <rPr>
            <b/>
            <sz val="9"/>
            <color indexed="81"/>
            <rFont val="Tahoma"/>
            <family val="2"/>
          </rPr>
          <t>&lt;[[TCDeals] - [Associated DEV Deal (Seq: 1)] - [Funding (Seq: 2)] Rate - Send]&gt;</t>
        </r>
      </text>
    </comment>
    <comment ref="AR281" authorId="1" shapeId="0" xr:uid="{6F2639C5-015D-4373-A13F-674753CB0D12}">
      <text>
        <r>
          <rPr>
            <b/>
            <sz val="9"/>
            <color indexed="81"/>
            <rFont val="Tahoma"/>
            <family val="2"/>
          </rPr>
          <t>&lt;[[TCDeals] - [Associated DEV Deal (Seq: 1)] - [Funding (Seq: 2)] Debt Service - Send]&gt;</t>
        </r>
      </text>
    </comment>
    <comment ref="C282" authorId="0" shapeId="0" xr:uid="{AAE797FF-5732-4365-AF4F-87D8916F2D89}">
      <text>
        <r>
          <rPr>
            <b/>
            <sz val="9"/>
            <color indexed="81"/>
            <rFont val="Tahoma"/>
            <family val="2"/>
          </rPr>
          <t>&lt;[[TCDeals] - [TC Property Current Stage (Seq: 1)] - [Property Financing - Permanent (Seq: 3)] Source Name - Send]&gt;</t>
        </r>
      </text>
    </comment>
    <comment ref="E282" authorId="0" shapeId="0" xr:uid="{3023D133-8620-4668-A218-1ED9D8BB71ED}">
      <text>
        <r>
          <rPr>
            <b/>
            <sz val="9"/>
            <color indexed="81"/>
            <rFont val="Tahoma"/>
            <family val="2"/>
          </rPr>
          <t>&lt;[[TCDeals] - [TC Property Current Stage (Seq: 1)] - [Property Financing - Permanent (Seq: 3)] Financing Type - Send]&gt;</t>
        </r>
      </text>
    </comment>
    <comment ref="G282" authorId="0" shapeId="0" xr:uid="{525E8670-130E-4B02-AB08-8BC408979CAB}">
      <text>
        <r>
          <rPr>
            <b/>
            <sz val="9"/>
            <color indexed="81"/>
            <rFont val="Tahoma"/>
            <family val="2"/>
          </rPr>
          <t>&lt;[[TCDeals] - [TC Property Current Stage (Seq: 1)] - [Property Financing - Permanent (Seq: 3)] Amount - Send]&gt;</t>
        </r>
      </text>
    </comment>
    <comment ref="I282" authorId="0" shapeId="0" xr:uid="{B703E6F4-5951-4B71-BB6D-8FA96A4C0656}">
      <text>
        <r>
          <rPr>
            <b/>
            <sz val="9"/>
            <color indexed="81"/>
            <rFont val="Tahoma"/>
            <family val="2"/>
          </rPr>
          <t>&lt;[[TCDeals] - [TC Property Current Stage (Seq: 1)] - [Property Financing - Permanent (Seq: 3)] Interest Rate - Send]&gt;</t>
        </r>
      </text>
    </comment>
    <comment ref="K282" authorId="0" shapeId="0" xr:uid="{BCD533DE-7221-425F-8DEE-4D2AEC631149}">
      <text>
        <r>
          <rPr>
            <b/>
            <sz val="9"/>
            <color indexed="81"/>
            <rFont val="Tahoma"/>
            <family val="2"/>
          </rPr>
          <t>&lt;[[TCDeals] - [TC Property Current Stage (Seq: 1)] - [Property Financing - Permanent (Seq: 3)] Loan Term - Send]&gt;</t>
        </r>
      </text>
    </comment>
    <comment ref="M282" authorId="0" shapeId="0" xr:uid="{6CDF6D62-F2A8-4643-88DA-423E80FDFCFF}">
      <text>
        <r>
          <rPr>
            <b/>
            <sz val="9"/>
            <color indexed="81"/>
            <rFont val="Tahoma"/>
            <family val="2"/>
          </rPr>
          <t>&lt;[[TCDeals] - [TC Property Current Stage (Seq: 1)] - [Property Financing - Permanent (Seq: 3)] Annual Debt Svc Cost - Send]&gt;</t>
        </r>
      </text>
    </comment>
    <comment ref="AF282" authorId="0" shapeId="0" xr:uid="{9FCD2307-EEF8-44F7-97A4-73987506454E}">
      <text>
        <r>
          <rPr>
            <b/>
            <sz val="9"/>
            <color indexed="81"/>
            <rFont val="Tahoma"/>
            <family val="2"/>
          </rPr>
          <t>&lt;[[TCDeals] - [Associated DEV Deal (Seq: 1)] - [Funding (Seq: 1)] DEV Funding Source - Send]&gt;</t>
        </r>
      </text>
    </comment>
    <comment ref="AH282" authorId="1" shapeId="0" xr:uid="{735C5FFB-9EDC-4E3C-BA9A-8E65D2459C33}">
      <text>
        <r>
          <rPr>
            <b/>
            <sz val="9"/>
            <color indexed="81"/>
            <rFont val="Tahoma"/>
            <family val="2"/>
          </rPr>
          <t>&lt;[[TCDeals] - [Associated DEV Deal (Seq: 1)] - [Funding (Seq: 3)] Program Type - Send]&gt;</t>
        </r>
      </text>
    </comment>
    <comment ref="AJ282" authorId="1" shapeId="0" xr:uid="{0F1A9CC9-B94B-4FB8-B518-DE29D9B0F951}">
      <text>
        <r>
          <rPr>
            <b/>
            <sz val="9"/>
            <color indexed="81"/>
            <rFont val="Tahoma"/>
            <family val="2"/>
          </rPr>
          <t>&lt;[[TCDeals] - [Associated DEV Deal (Seq: 1)] - [Funding (Seq: 3)] Loan Product Type - Send]&gt;</t>
        </r>
      </text>
    </comment>
    <comment ref="AL282" authorId="1" shapeId="0" xr:uid="{6D29DDF9-6569-45DC-AA87-BE141D9D6CF3}">
      <text>
        <r>
          <rPr>
            <b/>
            <sz val="9"/>
            <color indexed="81"/>
            <rFont val="Tahoma"/>
            <family val="2"/>
          </rPr>
          <t>&lt;[[TCDeals] - [Associated DEV Deal (Seq: 1)] - [Funding (Seq: 3)] Term - Send]&gt;</t>
        </r>
      </text>
    </comment>
    <comment ref="AN282" authorId="1" shapeId="0" xr:uid="{7692C518-862A-4222-8DEE-02D7046C51E3}">
      <text>
        <r>
          <rPr>
            <b/>
            <sz val="9"/>
            <color indexed="81"/>
            <rFont val="Tahoma"/>
            <family val="2"/>
          </rPr>
          <t>&lt;[[TCDeals] - [Associated DEV Deal (Seq: 1)] - [Funding (Seq: 3)] Amount - Send]&gt;</t>
        </r>
      </text>
    </comment>
    <comment ref="AP282" authorId="1" shapeId="0" xr:uid="{A0849891-6DEC-4FB7-9F3F-654A908AFA59}">
      <text>
        <r>
          <rPr>
            <b/>
            <sz val="9"/>
            <color indexed="81"/>
            <rFont val="Tahoma"/>
            <family val="2"/>
          </rPr>
          <t>&lt;[[TCDeals] - [Associated DEV Deal (Seq: 1)] - [Funding (Seq: 3)] Rate - Send]&gt;</t>
        </r>
      </text>
    </comment>
    <comment ref="AR282" authorId="1" shapeId="0" xr:uid="{FD7496F4-EA50-4A7D-A212-B6F08041C503}">
      <text>
        <r>
          <rPr>
            <b/>
            <sz val="9"/>
            <color indexed="81"/>
            <rFont val="Tahoma"/>
            <family val="2"/>
          </rPr>
          <t>&lt;[[TCDeals] - [Associated DEV Deal (Seq: 1)] - [Funding (Seq: 3)] Debt Service - Send]&gt;</t>
        </r>
      </text>
    </comment>
    <comment ref="C283" authorId="0" shapeId="0" xr:uid="{B7E23696-611E-4999-85E5-EB7E2BD58FC0}">
      <text>
        <r>
          <rPr>
            <b/>
            <sz val="9"/>
            <color indexed="81"/>
            <rFont val="Tahoma"/>
            <family val="2"/>
          </rPr>
          <t>&lt;[[TCDeals] - [TC Property Current Stage (Seq: 1)] - [Property Financing - Permanent (Seq: 4)] Source Name - Send]&gt;</t>
        </r>
      </text>
    </comment>
    <comment ref="E283" authorId="0" shapeId="0" xr:uid="{4DFDE7A8-698F-4CBD-AF23-A6A2ECB644CD}">
      <text>
        <r>
          <rPr>
            <b/>
            <sz val="9"/>
            <color indexed="81"/>
            <rFont val="Tahoma"/>
            <family val="2"/>
          </rPr>
          <t>&lt;[[TCDeals] - [TC Property Current Stage (Seq: 1)] - [Property Financing - Permanent (Seq: 4)] Financing Type - Send]&gt;</t>
        </r>
      </text>
    </comment>
    <comment ref="G283" authorId="0" shapeId="0" xr:uid="{A6EE5940-6E2F-4107-A278-866A4B0108FF}">
      <text>
        <r>
          <rPr>
            <b/>
            <sz val="9"/>
            <color indexed="81"/>
            <rFont val="Tahoma"/>
            <family val="2"/>
          </rPr>
          <t>&lt;[[TCDeals] - [TC Property Current Stage (Seq: 1)] - [Property Financing - Permanent (Seq: 4)] Amount - Send]&gt;</t>
        </r>
      </text>
    </comment>
    <comment ref="I283" authorId="0" shapeId="0" xr:uid="{23D32E6C-95FA-4E7D-B378-7AB2C68ACE9A}">
      <text>
        <r>
          <rPr>
            <b/>
            <sz val="9"/>
            <color indexed="81"/>
            <rFont val="Tahoma"/>
            <family val="2"/>
          </rPr>
          <t>&lt;[[TCDeals] - [TC Property Current Stage (Seq: 1)] - [Property Financing - Permanent (Seq: 4)] Interest Rate - Send]&gt;</t>
        </r>
      </text>
    </comment>
    <comment ref="K283" authorId="0" shapeId="0" xr:uid="{C1248508-5F91-4949-96F2-C6C085A368EA}">
      <text>
        <r>
          <rPr>
            <b/>
            <sz val="9"/>
            <color indexed="81"/>
            <rFont val="Tahoma"/>
            <family val="2"/>
          </rPr>
          <t>&lt;[[TCDeals] - [TC Property Current Stage (Seq: 1)] - [Property Financing - Permanent (Seq: 4)] Loan Term - Send]&gt;</t>
        </r>
      </text>
    </comment>
    <comment ref="M283" authorId="0" shapeId="0" xr:uid="{1F0F9333-FFBE-43B3-A5FB-3A2CCE7A2C35}">
      <text>
        <r>
          <rPr>
            <b/>
            <sz val="9"/>
            <color indexed="81"/>
            <rFont val="Tahoma"/>
            <family val="2"/>
          </rPr>
          <t>&lt;[[TCDeals] - [TC Property Current Stage (Seq: 1)] - [Property Financing - Permanent (Seq: 4)] Annual Debt Svc Cost - Send]&gt;</t>
        </r>
      </text>
    </comment>
    <comment ref="AF283" authorId="0" shapeId="0" xr:uid="{D19DECDA-6B31-437B-AB5B-49CCDC7E93A9}">
      <text>
        <r>
          <rPr>
            <b/>
            <sz val="9"/>
            <color indexed="81"/>
            <rFont val="Tahoma"/>
            <family val="2"/>
          </rPr>
          <t>&lt;[[TCDeals] - [Associated DEV Deal (Seq: 1)] - [Funding (Seq: 1)] DEV Funding Source - Send]&gt;</t>
        </r>
      </text>
    </comment>
    <comment ref="AH283" authorId="1" shapeId="0" xr:uid="{1C18A094-4F64-41A6-A8B5-C002A937EAF5}">
      <text>
        <r>
          <rPr>
            <b/>
            <sz val="9"/>
            <color indexed="81"/>
            <rFont val="Tahoma"/>
            <family val="2"/>
          </rPr>
          <t>&lt;[[TCDeals] - [Associated DEV Deal (Seq: 1)] - [Funding (Seq: 4)] Program Type - Send]&gt;</t>
        </r>
      </text>
    </comment>
    <comment ref="AJ283" authorId="1" shapeId="0" xr:uid="{2010E866-196B-4A38-B155-FCBEC26AAFE3}">
      <text>
        <r>
          <rPr>
            <b/>
            <sz val="9"/>
            <color indexed="81"/>
            <rFont val="Tahoma"/>
            <family val="2"/>
          </rPr>
          <t>&lt;[[TCDeals] - [Associated DEV Deal (Seq: 1)] - [Funding (Seq: 4)] Loan Product Type - Send]&gt;</t>
        </r>
      </text>
    </comment>
    <comment ref="AL283" authorId="1" shapeId="0" xr:uid="{D7157BEF-1841-47F6-8EA5-0A980828CE49}">
      <text>
        <r>
          <rPr>
            <b/>
            <sz val="9"/>
            <color indexed="81"/>
            <rFont val="Tahoma"/>
            <family val="2"/>
          </rPr>
          <t>&lt;[[TCDeals] - [Associated DEV Deal (Seq: 1)] - [Funding (Seq: 4)] Term - Send]&gt;</t>
        </r>
      </text>
    </comment>
    <comment ref="AN283" authorId="1" shapeId="0" xr:uid="{7DB6E9D0-3481-423B-BCE3-5FEAC6C59D73}">
      <text>
        <r>
          <rPr>
            <b/>
            <sz val="9"/>
            <color indexed="81"/>
            <rFont val="Tahoma"/>
            <family val="2"/>
          </rPr>
          <t>&lt;[[TCDeals] - [Associated DEV Deal (Seq: 1)] - [Funding (Seq: 4)] Amount - Send]&gt;</t>
        </r>
      </text>
    </comment>
    <comment ref="AP283" authorId="1" shapeId="0" xr:uid="{04D9BC7B-2BCC-4211-A3CF-818F1BF73A6B}">
      <text>
        <r>
          <rPr>
            <b/>
            <sz val="9"/>
            <color indexed="81"/>
            <rFont val="Tahoma"/>
            <family val="2"/>
          </rPr>
          <t>&lt;[[TCDeals] - [Associated DEV Deal (Seq: 1)] - [Funding (Seq: 4)] Rate - Send]&gt;</t>
        </r>
      </text>
    </comment>
    <comment ref="AR283" authorId="1" shapeId="0" xr:uid="{AECA3CD9-BB1B-415E-8756-CD27C527A142}">
      <text>
        <r>
          <rPr>
            <b/>
            <sz val="9"/>
            <color indexed="81"/>
            <rFont val="Tahoma"/>
            <family val="2"/>
          </rPr>
          <t>&lt;[[TCDeals] - [Associated DEV Deal (Seq: 1)] - [Funding (Seq: 4)] Debt Service - Send]&gt;</t>
        </r>
      </text>
    </comment>
    <comment ref="C284" authorId="0" shapeId="0" xr:uid="{BBA30BFD-1200-48D4-8C99-109BACE93D01}">
      <text>
        <r>
          <rPr>
            <b/>
            <sz val="9"/>
            <color indexed="81"/>
            <rFont val="Tahoma"/>
            <family val="2"/>
          </rPr>
          <t>&lt;[[TCDeals] - [TC Property Current Stage (Seq: 1)] - [Property Financing - Permanent (Seq: 5)] Source Name - Send]&gt;</t>
        </r>
      </text>
    </comment>
    <comment ref="E284" authorId="0" shapeId="0" xr:uid="{E5609B63-5170-49EB-9408-54F9341BCB34}">
      <text>
        <r>
          <rPr>
            <b/>
            <sz val="9"/>
            <color indexed="81"/>
            <rFont val="Tahoma"/>
            <family val="2"/>
          </rPr>
          <t>&lt;[[TCDeals] - [TC Property Current Stage (Seq: 1)] - [Property Financing - Permanent (Seq: 5)] Financing Type - Send]&gt;</t>
        </r>
      </text>
    </comment>
    <comment ref="G284" authorId="0" shapeId="0" xr:uid="{131BB8EC-9B5B-442C-A702-3792ED8C5BF4}">
      <text>
        <r>
          <rPr>
            <b/>
            <sz val="9"/>
            <color indexed="81"/>
            <rFont val="Tahoma"/>
            <family val="2"/>
          </rPr>
          <t>&lt;[[TCDeals] - [TC Property Current Stage (Seq: 1)] - [Property Financing - Permanent (Seq: 5)] Amount - Send]&gt;</t>
        </r>
      </text>
    </comment>
    <comment ref="I284" authorId="0" shapeId="0" xr:uid="{716E7810-3E7E-4970-8463-A995DC4353A0}">
      <text>
        <r>
          <rPr>
            <b/>
            <sz val="9"/>
            <color indexed="81"/>
            <rFont val="Tahoma"/>
            <family val="2"/>
          </rPr>
          <t>&lt;[[TCDeals] - [TC Property Current Stage (Seq: 1)] - [Property Financing - Permanent (Seq: 5)] Interest Rate - Send]&gt;</t>
        </r>
      </text>
    </comment>
    <comment ref="K284" authorId="0" shapeId="0" xr:uid="{9BC7DC40-8FE9-4428-8648-BCC8C0D4C1D7}">
      <text>
        <r>
          <rPr>
            <b/>
            <sz val="9"/>
            <color indexed="81"/>
            <rFont val="Tahoma"/>
            <family val="2"/>
          </rPr>
          <t>&lt;[[TCDeals] - [TC Property Current Stage (Seq: 1)] - [Property Financing - Permanent (Seq: 5)] Loan Term - Send]&gt;</t>
        </r>
      </text>
    </comment>
    <comment ref="M284" authorId="0" shapeId="0" xr:uid="{5B398388-6196-4F53-A21C-1BD0FC8AE53D}">
      <text>
        <r>
          <rPr>
            <b/>
            <sz val="9"/>
            <color indexed="81"/>
            <rFont val="Tahoma"/>
            <family val="2"/>
          </rPr>
          <t>&lt;[[TCDeals] - [TC Property Current Stage (Seq: 1)] - [Property Financing - Permanent (Seq: 5)] Annual Debt Svc Cost - Send]&gt;</t>
        </r>
      </text>
    </comment>
    <comment ref="AF284" authorId="0" shapeId="0" xr:uid="{100A6D57-6A15-4273-A141-CA29F979A13A}">
      <text>
        <r>
          <rPr>
            <b/>
            <sz val="9"/>
            <color indexed="81"/>
            <rFont val="Tahoma"/>
            <family val="2"/>
          </rPr>
          <t>&lt;[[TCDeals] - [Associated DEV Deal (Seq: 1)] - [Funding (Seq: 1)] DEV Funding Source - Send]&gt;</t>
        </r>
      </text>
    </comment>
    <comment ref="AH284" authorId="1" shapeId="0" xr:uid="{76E6254D-F928-436E-B820-AD8B16197124}">
      <text>
        <r>
          <rPr>
            <b/>
            <sz val="9"/>
            <color indexed="81"/>
            <rFont val="Tahoma"/>
            <family val="2"/>
          </rPr>
          <t>&lt;[[TCDeals] - [Associated DEV Deal (Seq: 1)] - [Funding (Seq: 5)] Program Type - Send]&gt;</t>
        </r>
      </text>
    </comment>
    <comment ref="AJ284" authorId="1" shapeId="0" xr:uid="{1DFA8ACE-76BE-40C0-A2EE-241FE421955D}">
      <text>
        <r>
          <rPr>
            <b/>
            <sz val="9"/>
            <color indexed="81"/>
            <rFont val="Tahoma"/>
            <family val="2"/>
          </rPr>
          <t>&lt;[[TCDeals] - [Associated DEV Deal (Seq: 1)] - [Funding (Seq: 5)] Loan Product Type - Send]&gt;</t>
        </r>
      </text>
    </comment>
    <comment ref="AL284" authorId="1" shapeId="0" xr:uid="{25EB3B4C-C3F3-493E-988D-07235DC50C68}">
      <text>
        <r>
          <rPr>
            <b/>
            <sz val="9"/>
            <color indexed="81"/>
            <rFont val="Tahoma"/>
            <family val="2"/>
          </rPr>
          <t>&lt;[[TCDeals] - [Associated DEV Deal (Seq: 1)] - [Funding (Seq: 5)] Term - Send]&gt;</t>
        </r>
      </text>
    </comment>
    <comment ref="AN284" authorId="1" shapeId="0" xr:uid="{8F792234-B1DF-4F23-9408-111F708E482B}">
      <text>
        <r>
          <rPr>
            <b/>
            <sz val="9"/>
            <color indexed="81"/>
            <rFont val="Tahoma"/>
            <family val="2"/>
          </rPr>
          <t>&lt;[[TCDeals] - [Associated DEV Deal (Seq: 1)] - [Funding (Seq: 5)] Amount - Send]&gt;</t>
        </r>
      </text>
    </comment>
    <comment ref="AP284" authorId="1" shapeId="0" xr:uid="{B775FB71-AEA7-4DF8-A4EA-19BDCB7B0233}">
      <text>
        <r>
          <rPr>
            <b/>
            <sz val="9"/>
            <color indexed="81"/>
            <rFont val="Tahoma"/>
            <family val="2"/>
          </rPr>
          <t>&lt;[[TCDeals] - [Associated DEV Deal (Seq: 1)] - [Funding (Seq: 5)] Rate - Send]&gt;</t>
        </r>
      </text>
    </comment>
    <comment ref="AR284" authorId="1" shapeId="0" xr:uid="{21EFB93B-70DA-4B7A-9B03-B4E68FD7E4DF}">
      <text>
        <r>
          <rPr>
            <b/>
            <sz val="9"/>
            <color indexed="81"/>
            <rFont val="Tahoma"/>
            <family val="2"/>
          </rPr>
          <t>&lt;[[TCDeals] - [Associated DEV Deal (Seq: 1)] - [Funding (Seq: 5)] Debt Service - Send]&gt;</t>
        </r>
      </text>
    </comment>
    <comment ref="C285" authorId="0" shapeId="0" xr:uid="{1DB349C5-DF15-47C8-A616-745DEAC229CA}">
      <text>
        <r>
          <rPr>
            <b/>
            <sz val="9"/>
            <color indexed="81"/>
            <rFont val="Tahoma"/>
            <family val="2"/>
          </rPr>
          <t>&lt;[[TCDeals] - [TC Property Current Stage (Seq: 1)] - [Property Financing - Permanent (Seq: 6)] Source Name - Send]&gt;</t>
        </r>
      </text>
    </comment>
    <comment ref="E285" authorId="0" shapeId="0" xr:uid="{09B4EBF5-9F17-4865-87A7-4CB1771573FA}">
      <text>
        <r>
          <rPr>
            <b/>
            <sz val="9"/>
            <color indexed="81"/>
            <rFont val="Tahoma"/>
            <family val="2"/>
          </rPr>
          <t>&lt;[[TCDeals] - [TC Property Current Stage (Seq: 1)] - [Property Financing - Permanent (Seq: 6)] Financing Type - Send]&gt;</t>
        </r>
      </text>
    </comment>
    <comment ref="G285" authorId="0" shapeId="0" xr:uid="{F96E3776-0C69-4B7E-85C7-E3E0A00AF159}">
      <text>
        <r>
          <rPr>
            <b/>
            <sz val="9"/>
            <color indexed="81"/>
            <rFont val="Tahoma"/>
            <family val="2"/>
          </rPr>
          <t>&lt;[[TCDeals] - [TC Property Current Stage (Seq: 1)] - [Property Financing - Permanent (Seq: 6)] Amount - Send]&gt;</t>
        </r>
      </text>
    </comment>
    <comment ref="I285" authorId="0" shapeId="0" xr:uid="{A6D414DC-8489-43D6-8D02-A9114DF5646D}">
      <text>
        <r>
          <rPr>
            <b/>
            <sz val="9"/>
            <color indexed="81"/>
            <rFont val="Tahoma"/>
            <family val="2"/>
          </rPr>
          <t>&lt;[[TCDeals] - [TC Property Current Stage (Seq: 1)] - [Property Financing - Permanent (Seq: 6)] Interest Rate - Send]&gt;</t>
        </r>
      </text>
    </comment>
    <comment ref="K285" authorId="0" shapeId="0" xr:uid="{38D09F73-E810-42F3-ABD3-989F90E93966}">
      <text>
        <r>
          <rPr>
            <b/>
            <sz val="9"/>
            <color indexed="81"/>
            <rFont val="Tahoma"/>
            <family val="2"/>
          </rPr>
          <t>&lt;[[TCDeals] - [TC Property Current Stage (Seq: 1)] - [Property Financing - Permanent (Seq: 6)] Loan Term - Send]&gt;</t>
        </r>
      </text>
    </comment>
    <comment ref="M285" authorId="0" shapeId="0" xr:uid="{7009A291-3C7D-4609-9D45-0CB9FF604ECA}">
      <text>
        <r>
          <rPr>
            <b/>
            <sz val="9"/>
            <color indexed="81"/>
            <rFont val="Tahoma"/>
            <family val="2"/>
          </rPr>
          <t>&lt;[[TCDeals] - [TC Property Current Stage (Seq: 1)] - [Property Financing - Permanent (Seq: 6)] Annual Debt Svc Cost - Send]&gt;</t>
        </r>
      </text>
    </comment>
    <comment ref="AF285" authorId="0" shapeId="0" xr:uid="{69A8A42C-02C1-4108-9555-882A634CBD1C}">
      <text>
        <r>
          <rPr>
            <b/>
            <sz val="9"/>
            <color indexed="81"/>
            <rFont val="Tahoma"/>
            <family val="2"/>
          </rPr>
          <t>&lt;[[TCDeals] - [Associated DEV Deal (Seq: 1)] - [Funding (Seq: 1)] DEV Funding Source - Send]&gt;</t>
        </r>
      </text>
    </comment>
    <comment ref="AH285" authorId="1" shapeId="0" xr:uid="{04938548-0D5F-4EE6-9765-A7F343BD65EA}">
      <text>
        <r>
          <rPr>
            <b/>
            <sz val="9"/>
            <color indexed="81"/>
            <rFont val="Tahoma"/>
            <family val="2"/>
          </rPr>
          <t>&lt;[[TCDeals] - [Associated DEV Deal (Seq: 1)] - [Funding (Seq: 6)] Program Type - Send]&gt;</t>
        </r>
      </text>
    </comment>
    <comment ref="AJ285" authorId="1" shapeId="0" xr:uid="{CFE5E4AD-8507-427D-844B-5C45BEADF549}">
      <text>
        <r>
          <rPr>
            <b/>
            <sz val="9"/>
            <color indexed="81"/>
            <rFont val="Tahoma"/>
            <family val="2"/>
          </rPr>
          <t>&lt;[[TCDeals] - [Associated DEV Deal (Seq: 1)] - [Funding (Seq: 6)] Loan Product Type - Send]&gt;</t>
        </r>
      </text>
    </comment>
    <comment ref="AL285" authorId="1" shapeId="0" xr:uid="{CF3C65CF-CF5F-47CE-8209-3868960D58D4}">
      <text>
        <r>
          <rPr>
            <b/>
            <sz val="9"/>
            <color indexed="81"/>
            <rFont val="Tahoma"/>
            <family val="2"/>
          </rPr>
          <t>&lt;[[TCDeals] - [Associated DEV Deal (Seq: 1)] - [Funding (Seq: 6)] Term - Send]&gt;</t>
        </r>
      </text>
    </comment>
    <comment ref="AN285" authorId="1" shapeId="0" xr:uid="{60C7B390-611C-4FB0-91E1-8223C848739A}">
      <text>
        <r>
          <rPr>
            <b/>
            <sz val="9"/>
            <color indexed="81"/>
            <rFont val="Tahoma"/>
            <family val="2"/>
          </rPr>
          <t>&lt;[[TCDeals] - [Associated DEV Deal (Seq: 1)] - [Funding (Seq: 6)] Amount - Send]&gt;</t>
        </r>
      </text>
    </comment>
    <comment ref="AP285" authorId="1" shapeId="0" xr:uid="{FCB0D7FD-A6C0-43AB-BC8C-0B8C01E83E6F}">
      <text>
        <r>
          <rPr>
            <b/>
            <sz val="9"/>
            <color indexed="81"/>
            <rFont val="Tahoma"/>
            <family val="2"/>
          </rPr>
          <t>&lt;[[TCDeals] - [Associated DEV Deal (Seq: 1)] - [Funding (Seq: 6)] Rate - Send]&gt;</t>
        </r>
      </text>
    </comment>
    <comment ref="AR285" authorId="1" shapeId="0" xr:uid="{CB92120A-D710-4DBA-B23F-5B3BA0047C56}">
      <text>
        <r>
          <rPr>
            <b/>
            <sz val="9"/>
            <color indexed="81"/>
            <rFont val="Tahoma"/>
            <family val="2"/>
          </rPr>
          <t>&lt;[[TCDeals] - [Associated DEV Deal (Seq: 1)] - [Funding (Seq: 6)] Debt Service - Send]&gt;</t>
        </r>
      </text>
    </comment>
    <comment ref="C286" authorId="0" shapeId="0" xr:uid="{ABC4208A-4DF6-44FB-92BD-9B73483FD4F7}">
      <text>
        <r>
          <rPr>
            <b/>
            <sz val="9"/>
            <color indexed="81"/>
            <rFont val="Tahoma"/>
            <family val="2"/>
          </rPr>
          <t>&lt;[[TCDeals] - [TC Property Current Stage (Seq: 1)] - [Property Financing - Permanent (Seq: 7)] Source Name - Send]&gt;</t>
        </r>
      </text>
    </comment>
    <comment ref="E286" authorId="0" shapeId="0" xr:uid="{20294ECB-B60D-45BD-8CCC-E6966D0A0696}">
      <text>
        <r>
          <rPr>
            <b/>
            <sz val="9"/>
            <color indexed="81"/>
            <rFont val="Tahoma"/>
            <family val="2"/>
          </rPr>
          <t>&lt;[[TCDeals] - [TC Property Current Stage (Seq: 1)] - [Property Financing - Permanent (Seq: 7)] Financing Type - Send]&gt;</t>
        </r>
      </text>
    </comment>
    <comment ref="G286" authorId="0" shapeId="0" xr:uid="{387D051D-1EA4-4012-9558-701A300582CF}">
      <text>
        <r>
          <rPr>
            <b/>
            <sz val="9"/>
            <color indexed="81"/>
            <rFont val="Tahoma"/>
            <family val="2"/>
          </rPr>
          <t>&lt;[[TCDeals] - [TC Property Current Stage (Seq: 1)] - [Property Financing - Permanent (Seq: 7)] Amount - Send]&gt;</t>
        </r>
      </text>
    </comment>
    <comment ref="I286" authorId="0" shapeId="0" xr:uid="{114A14CA-1347-4E03-837E-37D7AC81DBC0}">
      <text>
        <r>
          <rPr>
            <b/>
            <sz val="9"/>
            <color indexed="81"/>
            <rFont val="Tahoma"/>
            <family val="2"/>
          </rPr>
          <t>&lt;[[TCDeals] - [TC Property Current Stage (Seq: 1)] - [Property Financing - Permanent (Seq: 7)] Interest Rate - Send]&gt;</t>
        </r>
      </text>
    </comment>
    <comment ref="K286" authorId="0" shapeId="0" xr:uid="{9A52AFD5-9C64-4EE2-9D23-3E1D8E228B52}">
      <text>
        <r>
          <rPr>
            <b/>
            <sz val="9"/>
            <color indexed="81"/>
            <rFont val="Tahoma"/>
            <family val="2"/>
          </rPr>
          <t>&lt;[[TCDeals] - [TC Property Current Stage (Seq: 1)] - [Property Financing - Permanent (Seq: 7)] Loan Term - Send]&gt;</t>
        </r>
      </text>
    </comment>
    <comment ref="M286" authorId="0" shapeId="0" xr:uid="{8A466491-7C88-42D9-9FB0-41925F3C6F68}">
      <text>
        <r>
          <rPr>
            <b/>
            <sz val="9"/>
            <color indexed="81"/>
            <rFont val="Tahoma"/>
            <family val="2"/>
          </rPr>
          <t>&lt;[[TCDeals] - [TC Property Current Stage (Seq: 1)] - [Property Financing - Permanent (Seq: 7)] Annual Debt Svc Cost - Send]&gt;</t>
        </r>
      </text>
    </comment>
    <comment ref="AF286" authorId="0" shapeId="0" xr:uid="{2F532CC2-0615-40AC-998A-A22A2CAA3B2D}">
      <text>
        <r>
          <rPr>
            <b/>
            <sz val="9"/>
            <color indexed="81"/>
            <rFont val="Tahoma"/>
            <family val="2"/>
          </rPr>
          <t>&lt;[[TCDeals] - [Associated DEV Deal (Seq: 1)] - [Funding (Seq: 1)] DEV Funding Source - Send]&gt;</t>
        </r>
      </text>
    </comment>
    <comment ref="AH286" authorId="1" shapeId="0" xr:uid="{814AED23-81F9-4F44-A46C-33D02F7216F7}">
      <text>
        <r>
          <rPr>
            <b/>
            <sz val="9"/>
            <color indexed="81"/>
            <rFont val="Tahoma"/>
            <family val="2"/>
          </rPr>
          <t>&lt;[[TCDeals] - [Associated DEV Deal (Seq: 1)] - [Funding (Seq: 7)] Program Type - Send]&gt;</t>
        </r>
      </text>
    </comment>
    <comment ref="AJ286" authorId="1" shapeId="0" xr:uid="{17BAB97A-C5CD-40DF-BF5F-6C325397A6D8}">
      <text>
        <r>
          <rPr>
            <b/>
            <sz val="9"/>
            <color indexed="81"/>
            <rFont val="Tahoma"/>
            <family val="2"/>
          </rPr>
          <t>&lt;[[TCDeals] - [Associated DEV Deal (Seq: 1)] - [Funding (Seq: 7)] Loan Product Type - Send]&gt;</t>
        </r>
      </text>
    </comment>
    <comment ref="AL286" authorId="1" shapeId="0" xr:uid="{59D4A298-1711-4722-BF00-2397B8B7FC66}">
      <text>
        <r>
          <rPr>
            <b/>
            <sz val="9"/>
            <color indexed="81"/>
            <rFont val="Tahoma"/>
            <family val="2"/>
          </rPr>
          <t>&lt;[[TCDeals] - [Associated DEV Deal (Seq: 1)] - [Funding (Seq: 7)] Term - Send]&gt;</t>
        </r>
      </text>
    </comment>
    <comment ref="AN286" authorId="1" shapeId="0" xr:uid="{E22E1B45-3D7A-4F83-973D-8B0605C42842}">
      <text>
        <r>
          <rPr>
            <b/>
            <sz val="9"/>
            <color indexed="81"/>
            <rFont val="Tahoma"/>
            <family val="2"/>
          </rPr>
          <t>&lt;[[TCDeals] - [Associated DEV Deal (Seq: 1)] - [Funding (Seq: 7)] Amount - Send]&gt;</t>
        </r>
      </text>
    </comment>
    <comment ref="AP286" authorId="1" shapeId="0" xr:uid="{A367B875-4B74-4F98-B4DA-D882529530E1}">
      <text>
        <r>
          <rPr>
            <b/>
            <sz val="9"/>
            <color indexed="81"/>
            <rFont val="Tahoma"/>
            <family val="2"/>
          </rPr>
          <t>&lt;[[TCDeals] - [Associated DEV Deal (Seq: 1)] - [Funding (Seq: 7)] Rate - Send]&gt;</t>
        </r>
      </text>
    </comment>
    <comment ref="AR286" authorId="1" shapeId="0" xr:uid="{7B16F124-095E-450C-AC96-6FA4FACA8DD4}">
      <text>
        <r>
          <rPr>
            <b/>
            <sz val="9"/>
            <color indexed="81"/>
            <rFont val="Tahoma"/>
            <family val="2"/>
          </rPr>
          <t>&lt;[[TCDeals] - [Associated DEV Deal (Seq: 1)] - [Funding (Seq: 7)] Debt Service - Send]&gt;</t>
        </r>
      </text>
    </comment>
    <comment ref="C287" authorId="0" shapeId="0" xr:uid="{5303A4F2-8D3B-4F71-A1F0-CBEC920B7929}">
      <text>
        <r>
          <rPr>
            <b/>
            <sz val="9"/>
            <color indexed="81"/>
            <rFont val="Tahoma"/>
            <family val="2"/>
          </rPr>
          <t>&lt;[[TCDeals] - [TC Property Current Stage (Seq: 1)] - [Property Financing - Permanent (Seq: 8)] Source Name - Send]&gt;</t>
        </r>
      </text>
    </comment>
    <comment ref="E287" authorId="0" shapeId="0" xr:uid="{5619283D-BDD0-48BF-8181-A57B08CB43C0}">
      <text>
        <r>
          <rPr>
            <b/>
            <sz val="9"/>
            <color indexed="81"/>
            <rFont val="Tahoma"/>
            <family val="2"/>
          </rPr>
          <t>&lt;[[TCDeals] - [TC Property Current Stage (Seq: 1)] - [Property Financing - Permanent (Seq: 8)] Financing Type - Send]&gt;</t>
        </r>
      </text>
    </comment>
    <comment ref="G287" authorId="0" shapeId="0" xr:uid="{D101EE89-0CC0-4F5C-8432-1BB3B237C717}">
      <text>
        <r>
          <rPr>
            <b/>
            <sz val="9"/>
            <color indexed="81"/>
            <rFont val="Tahoma"/>
            <family val="2"/>
          </rPr>
          <t>&lt;[[TCDeals] - [TC Property Current Stage (Seq: 1)] - [Property Financing - Permanent (Seq: 8)] Amount - Send]&gt;</t>
        </r>
      </text>
    </comment>
    <comment ref="I287" authorId="0" shapeId="0" xr:uid="{1D8482CD-D4A6-463E-82EF-6E220CDE73FC}">
      <text>
        <r>
          <rPr>
            <b/>
            <sz val="9"/>
            <color indexed="81"/>
            <rFont val="Tahoma"/>
            <family val="2"/>
          </rPr>
          <t>&lt;[[TCDeals] - [TC Property Current Stage (Seq: 1)] - [Property Financing - Permanent (Seq: 8)] Interest Rate - Send]&gt;</t>
        </r>
      </text>
    </comment>
    <comment ref="K287" authorId="0" shapeId="0" xr:uid="{B079F406-41D2-4BD9-BC99-42803B7AF2FC}">
      <text>
        <r>
          <rPr>
            <b/>
            <sz val="9"/>
            <color indexed="81"/>
            <rFont val="Tahoma"/>
            <family val="2"/>
          </rPr>
          <t>&lt;[[TCDeals] - [TC Property Current Stage (Seq: 1)] - [Property Financing - Permanent (Seq: 8)] Loan Term - Send]&gt;</t>
        </r>
      </text>
    </comment>
    <comment ref="M287" authorId="0" shapeId="0" xr:uid="{656106D6-1BA6-467A-9E4F-491D6D4ABEBB}">
      <text>
        <r>
          <rPr>
            <b/>
            <sz val="9"/>
            <color indexed="81"/>
            <rFont val="Tahoma"/>
            <family val="2"/>
          </rPr>
          <t>&lt;[[TCDeals] - [TC Property Current Stage (Seq: 1)] - [Property Financing - Permanent (Seq: 8)] Annual Debt Svc Cost - Send]&gt;</t>
        </r>
      </text>
    </comment>
    <comment ref="AF287" authorId="0" shapeId="0" xr:uid="{49D480E4-A17A-4CC0-A51E-E0C3F1B70558}">
      <text>
        <r>
          <rPr>
            <b/>
            <sz val="9"/>
            <color indexed="81"/>
            <rFont val="Tahoma"/>
            <family val="2"/>
          </rPr>
          <t>&lt;[[TCDeals] - [Associated DEV Deal (Seq: 1)] - [Funding (Seq: 1)] DEV Funding Source - Send]&gt;</t>
        </r>
      </text>
    </comment>
    <comment ref="AH287" authorId="1" shapeId="0" xr:uid="{8F154C1F-294E-4C99-BCAA-06FF0B24348A}">
      <text>
        <r>
          <rPr>
            <b/>
            <sz val="9"/>
            <color indexed="81"/>
            <rFont val="Tahoma"/>
            <family val="2"/>
          </rPr>
          <t>&lt;[[TCDeals] - [Associated DEV Deal (Seq: 1)] - [Funding (Seq: 8)] Program Type - Send]&gt;</t>
        </r>
      </text>
    </comment>
    <comment ref="AJ287" authorId="1" shapeId="0" xr:uid="{A6038386-83D6-4661-9537-C1F97D94607C}">
      <text>
        <r>
          <rPr>
            <b/>
            <sz val="9"/>
            <color indexed="81"/>
            <rFont val="Tahoma"/>
            <family val="2"/>
          </rPr>
          <t>&lt;[[TCDeals] - [Associated DEV Deal (Seq: 1)] - [Funding (Seq: 8)] Loan Product Type - Send]&gt;</t>
        </r>
      </text>
    </comment>
    <comment ref="AL287" authorId="1" shapeId="0" xr:uid="{2FD20327-E347-4630-9B0E-66BE23142670}">
      <text>
        <r>
          <rPr>
            <b/>
            <sz val="9"/>
            <color indexed="81"/>
            <rFont val="Tahoma"/>
            <family val="2"/>
          </rPr>
          <t>&lt;[[TCDeals] - [Associated DEV Deal (Seq: 1)] - [Funding (Seq: 8)] Term - Send]&gt;</t>
        </r>
      </text>
    </comment>
    <comment ref="AN287" authorId="1" shapeId="0" xr:uid="{447499BC-7D94-4640-992F-BAAC79C45A10}">
      <text>
        <r>
          <rPr>
            <b/>
            <sz val="9"/>
            <color indexed="81"/>
            <rFont val="Tahoma"/>
            <family val="2"/>
          </rPr>
          <t>&lt;[[TCDeals] - [Associated DEV Deal (Seq: 1)] - [Funding (Seq: 8)] Amount - Send]&gt;</t>
        </r>
      </text>
    </comment>
    <comment ref="AP287" authorId="1" shapeId="0" xr:uid="{EB202D06-6FA2-458A-9259-F7AA6D8735D5}">
      <text>
        <r>
          <rPr>
            <b/>
            <sz val="9"/>
            <color indexed="81"/>
            <rFont val="Tahoma"/>
            <family val="2"/>
          </rPr>
          <t>&lt;[[TCDeals] - [Associated DEV Deal (Seq: 1)] - [Funding (Seq: 8)] Rate - Send]&gt;</t>
        </r>
      </text>
    </comment>
    <comment ref="AR287" authorId="1" shapeId="0" xr:uid="{AF40A71F-5E04-4C55-BD36-26475DDB41D3}">
      <text>
        <r>
          <rPr>
            <b/>
            <sz val="9"/>
            <color indexed="81"/>
            <rFont val="Tahoma"/>
            <family val="2"/>
          </rPr>
          <t>&lt;[[TCDeals] - [Associated DEV Deal (Seq: 1)] - [Funding (Seq: 8)] Debt Service - Send]&gt;</t>
        </r>
      </text>
    </comment>
    <comment ref="C288" authorId="0" shapeId="0" xr:uid="{8C27A9CC-7443-4A7E-8133-2B6861ACAEE8}">
      <text>
        <r>
          <rPr>
            <b/>
            <sz val="9"/>
            <color indexed="81"/>
            <rFont val="Tahoma"/>
            <family val="2"/>
          </rPr>
          <t>&lt;[[TCDeals] - [TC Property Current Stage (Seq: 1)] - [Property Financing - Permanent (Seq: 9)] Source Name - Send]&gt;</t>
        </r>
      </text>
    </comment>
    <comment ref="E288" authorId="0" shapeId="0" xr:uid="{6F711002-35BD-40D1-BF01-2A8EEF8B3BAD}">
      <text>
        <r>
          <rPr>
            <b/>
            <sz val="9"/>
            <color indexed="81"/>
            <rFont val="Tahoma"/>
            <family val="2"/>
          </rPr>
          <t>&lt;[[TCDeals] - [TC Property Current Stage (Seq: 1)] - [Property Financing - Permanent (Seq: 9)] Financing Type - Send]&gt;</t>
        </r>
      </text>
    </comment>
    <comment ref="G288" authorId="0" shapeId="0" xr:uid="{CD7F964E-22A3-400F-92DC-B5C6ABEC99D3}">
      <text>
        <r>
          <rPr>
            <b/>
            <sz val="9"/>
            <color indexed="81"/>
            <rFont val="Tahoma"/>
            <family val="2"/>
          </rPr>
          <t>&lt;[[TCDeals] - [TC Property Current Stage (Seq: 1)] - [Property Financing - Permanent (Seq: 9)] Amount - Send]&gt;</t>
        </r>
      </text>
    </comment>
    <comment ref="I288" authorId="0" shapeId="0" xr:uid="{6A519DB1-43AD-42BC-B1B6-CD2E51B9E6E3}">
      <text>
        <r>
          <rPr>
            <b/>
            <sz val="9"/>
            <color indexed="81"/>
            <rFont val="Tahoma"/>
            <family val="2"/>
          </rPr>
          <t>&lt;[[TCDeals] - [TC Property Current Stage (Seq: 1)] - [Property Financing - Permanent (Seq: 9)] Interest Rate - Send]&gt;</t>
        </r>
      </text>
    </comment>
    <comment ref="K288" authorId="0" shapeId="0" xr:uid="{F52D380C-E1FC-49EA-868A-5099FC98804E}">
      <text>
        <r>
          <rPr>
            <b/>
            <sz val="9"/>
            <color indexed="81"/>
            <rFont val="Tahoma"/>
            <family val="2"/>
          </rPr>
          <t>&lt;[[TCDeals] - [TC Property Current Stage (Seq: 1)] - [Property Financing - Permanent (Seq: 9)] Loan Term - Send]&gt;</t>
        </r>
      </text>
    </comment>
    <comment ref="M288" authorId="0" shapeId="0" xr:uid="{174441ED-2053-4DC4-A487-41F435685532}">
      <text>
        <r>
          <rPr>
            <b/>
            <sz val="9"/>
            <color indexed="81"/>
            <rFont val="Tahoma"/>
            <family val="2"/>
          </rPr>
          <t>&lt;[[TCDeals] - [TC Property Current Stage (Seq: 1)] - [Property Financing - Permanent (Seq: 9)] Annual Debt Svc Cost - Send]&gt;</t>
        </r>
      </text>
    </comment>
    <comment ref="AF288" authorId="0" shapeId="0" xr:uid="{042483BD-3044-40C6-8501-A9424B0AD43C}">
      <text>
        <r>
          <rPr>
            <b/>
            <sz val="9"/>
            <color indexed="81"/>
            <rFont val="Tahoma"/>
            <family val="2"/>
          </rPr>
          <t>&lt;[[TCDeals] - [Associated DEV Deal (Seq: 1)] - [Funding (Seq: 1)] DEV Funding Source - Send]&gt;</t>
        </r>
      </text>
    </comment>
    <comment ref="AH288" authorId="1" shapeId="0" xr:uid="{13532759-15AC-4B95-84A5-28E27F6596BE}">
      <text>
        <r>
          <rPr>
            <b/>
            <sz val="9"/>
            <color indexed="81"/>
            <rFont val="Tahoma"/>
            <family val="2"/>
          </rPr>
          <t>&lt;[[TCDeals] - [Associated DEV Deal (Seq: 1)] - [Funding (Seq: 9)] Program Type - Send]&gt;</t>
        </r>
      </text>
    </comment>
    <comment ref="AJ288" authorId="1" shapeId="0" xr:uid="{DBE57570-860F-4FDF-B401-4BA4EA77092E}">
      <text>
        <r>
          <rPr>
            <b/>
            <sz val="9"/>
            <color indexed="81"/>
            <rFont val="Tahoma"/>
            <family val="2"/>
          </rPr>
          <t>&lt;[[TCDeals] - [Associated DEV Deal (Seq: 1)] - [Funding (Seq: 9)] Loan Product Type - Send]&gt;</t>
        </r>
      </text>
    </comment>
    <comment ref="AL288" authorId="1" shapeId="0" xr:uid="{6FBE4D1E-63D7-444D-83F3-E87B4052DB2A}">
      <text>
        <r>
          <rPr>
            <b/>
            <sz val="9"/>
            <color indexed="81"/>
            <rFont val="Tahoma"/>
            <family val="2"/>
          </rPr>
          <t>&lt;[[TCDeals] - [Associated DEV Deal (Seq: 1)] - [Funding (Seq: 9)] Term - Send]&gt;</t>
        </r>
      </text>
    </comment>
    <comment ref="AN288" authorId="1" shapeId="0" xr:uid="{6F4C5EAE-D833-4E43-9BB7-5F8036DBB1B8}">
      <text>
        <r>
          <rPr>
            <b/>
            <sz val="9"/>
            <color indexed="81"/>
            <rFont val="Tahoma"/>
            <family val="2"/>
          </rPr>
          <t>&lt;[[TCDeals] - [Associated DEV Deal (Seq: 1)] - [Funding (Seq: 9)] Amount - Send]&gt;</t>
        </r>
      </text>
    </comment>
    <comment ref="AP288" authorId="1" shapeId="0" xr:uid="{B739F727-6D27-4779-81C0-8A7C0193DE41}">
      <text>
        <r>
          <rPr>
            <b/>
            <sz val="9"/>
            <color indexed="81"/>
            <rFont val="Tahoma"/>
            <family val="2"/>
          </rPr>
          <t>&lt;[[TCDeals] - [Associated DEV Deal (Seq: 1)] - [Funding (Seq: 9)] Rate - Send]&gt;</t>
        </r>
      </text>
    </comment>
    <comment ref="AR288" authorId="1" shapeId="0" xr:uid="{14EB4C0C-CCE4-42D9-933D-C1D49239DEDF}">
      <text>
        <r>
          <rPr>
            <b/>
            <sz val="9"/>
            <color indexed="81"/>
            <rFont val="Tahoma"/>
            <family val="2"/>
          </rPr>
          <t>&lt;[[TCDeals] - [Associated DEV Deal (Seq: 1)] - [Funding (Seq: 9)] Debt Service - Send]&gt;</t>
        </r>
      </text>
    </comment>
    <comment ref="C289" authorId="0" shapeId="0" xr:uid="{57780C98-C523-463C-8F3C-25528FDDAE12}">
      <text>
        <r>
          <rPr>
            <b/>
            <sz val="9"/>
            <color indexed="81"/>
            <rFont val="Tahoma"/>
            <family val="2"/>
          </rPr>
          <t>&lt;[[TCDeals] - [TC Property Current Stage (Seq: 1)] - [Property Financing - Permanent (Seq: 10)] Source Name - Send]&gt;</t>
        </r>
      </text>
    </comment>
    <comment ref="E289" authorId="0" shapeId="0" xr:uid="{948F7CC1-04B8-456B-BFC9-0F2782216F00}">
      <text>
        <r>
          <rPr>
            <b/>
            <sz val="9"/>
            <color indexed="81"/>
            <rFont val="Tahoma"/>
            <family val="2"/>
          </rPr>
          <t>&lt;[[TCDeals] - [TC Property Current Stage (Seq: 1)] - [Property Financing - Permanent (Seq: 10)] Financing Type - Send]&gt;</t>
        </r>
      </text>
    </comment>
    <comment ref="G289" authorId="0" shapeId="0" xr:uid="{98443244-6D30-427D-8909-ABD777F2DA68}">
      <text>
        <r>
          <rPr>
            <b/>
            <sz val="9"/>
            <color indexed="81"/>
            <rFont val="Tahoma"/>
            <family val="2"/>
          </rPr>
          <t>&lt;[[TCDeals] - [TC Property Current Stage (Seq: 1)] - [Property Financing - Permanent (Seq: 10)] Amount - Send]&gt;</t>
        </r>
      </text>
    </comment>
    <comment ref="I289" authorId="0" shapeId="0" xr:uid="{E94CE36F-DA88-485B-A96A-90512EC6E3BF}">
      <text>
        <r>
          <rPr>
            <b/>
            <sz val="9"/>
            <color indexed="81"/>
            <rFont val="Tahoma"/>
            <family val="2"/>
          </rPr>
          <t>&lt;[[TCDeals] - [TC Property Current Stage (Seq: 1)] - [Property Financing - Permanent (Seq: 10)] Interest Rate - Send]&gt;</t>
        </r>
      </text>
    </comment>
    <comment ref="K289" authorId="0" shapeId="0" xr:uid="{C89CAD2E-D055-40A7-9FE7-C8E821781D82}">
      <text>
        <r>
          <rPr>
            <b/>
            <sz val="9"/>
            <color indexed="81"/>
            <rFont val="Tahoma"/>
            <family val="2"/>
          </rPr>
          <t>&lt;[[TCDeals] - [TC Property Current Stage (Seq: 1)] - [Property Financing - Permanent (Seq: 10)] Loan Term - Send]&gt;</t>
        </r>
      </text>
    </comment>
    <comment ref="M289" authorId="0" shapeId="0" xr:uid="{A04AAF0A-767B-4178-8226-31E138A8F100}">
      <text>
        <r>
          <rPr>
            <b/>
            <sz val="9"/>
            <color indexed="81"/>
            <rFont val="Tahoma"/>
            <family val="2"/>
          </rPr>
          <t>&lt;[[TCDeals] - [TC Property Current Stage (Seq: 1)] - [Property Financing - Permanent (Seq: 10)] Annual Debt Svc Cost - Send]&gt;</t>
        </r>
      </text>
    </comment>
    <comment ref="AF289" authorId="0" shapeId="0" xr:uid="{7A685A0C-E03E-49A4-BC22-543469C2E65C}">
      <text>
        <r>
          <rPr>
            <b/>
            <sz val="9"/>
            <color indexed="81"/>
            <rFont val="Tahoma"/>
            <family val="2"/>
          </rPr>
          <t>&lt;[[TCDeals] - [Associated DEV Deal (Seq: 1)] - [Funding (Seq: 1)] DEV Funding Source - Send]&gt;</t>
        </r>
      </text>
    </comment>
    <comment ref="AH289" authorId="1" shapeId="0" xr:uid="{48D1130B-7F87-4B0E-9459-9059A1ECF780}">
      <text>
        <r>
          <rPr>
            <b/>
            <sz val="9"/>
            <color indexed="81"/>
            <rFont val="Tahoma"/>
            <family val="2"/>
          </rPr>
          <t>&lt;[[TCDeals] - [Associated DEV Deal (Seq: 1)] - [Funding (Seq: 10)] Program Type - Send]&gt;</t>
        </r>
      </text>
    </comment>
    <comment ref="AJ289" authorId="1" shapeId="0" xr:uid="{7B8FAF5B-BB5A-47C7-8314-F9B9FD85D03C}">
      <text>
        <r>
          <rPr>
            <b/>
            <sz val="9"/>
            <color indexed="81"/>
            <rFont val="Tahoma"/>
            <family val="2"/>
          </rPr>
          <t>&lt;[[TCDeals] - [Associated DEV Deal (Seq: 1)] - [Funding (Seq: 10)] Loan Product Type - Send]&gt;</t>
        </r>
      </text>
    </comment>
    <comment ref="AL289" authorId="1" shapeId="0" xr:uid="{667C0527-FCAB-42A5-AE4D-C780BA41A4B9}">
      <text>
        <r>
          <rPr>
            <b/>
            <sz val="9"/>
            <color indexed="81"/>
            <rFont val="Tahoma"/>
            <family val="2"/>
          </rPr>
          <t>&lt;[[TCDeals] - [Associated DEV Deal (Seq: 1)] - [Funding (Seq: 10)] Term - Send]&gt;</t>
        </r>
      </text>
    </comment>
    <comment ref="AN289" authorId="1" shapeId="0" xr:uid="{0E060F07-C615-4EAD-A1E1-0A6F9D35D01A}">
      <text>
        <r>
          <rPr>
            <b/>
            <sz val="9"/>
            <color indexed="81"/>
            <rFont val="Tahoma"/>
            <family val="2"/>
          </rPr>
          <t>&lt;[[TCDeals] - [Associated DEV Deal (Seq: 1)] - [Funding (Seq: 10)] Amount - Send]&gt;</t>
        </r>
      </text>
    </comment>
    <comment ref="AP289" authorId="1" shapeId="0" xr:uid="{BF91FF2E-A006-4B58-8F56-7E8D802C18DB}">
      <text>
        <r>
          <rPr>
            <b/>
            <sz val="9"/>
            <color indexed="81"/>
            <rFont val="Tahoma"/>
            <family val="2"/>
          </rPr>
          <t>&lt;[[TCDeals] - [Associated DEV Deal (Seq: 1)] - [Funding (Seq: 10)] Rate - Send]&gt;</t>
        </r>
      </text>
    </comment>
    <comment ref="AR289" authorId="1" shapeId="0" xr:uid="{310AE8F9-0BE8-450D-A8AF-18B2E9053DF8}">
      <text>
        <r>
          <rPr>
            <b/>
            <sz val="9"/>
            <color indexed="81"/>
            <rFont val="Tahoma"/>
            <family val="2"/>
          </rPr>
          <t>&lt;[[TCDeals] - [Associated DEV Deal (Seq: 1)] - [Funding (Seq: 10)] Debt Service - Send]&gt;</t>
        </r>
      </text>
    </comment>
    <comment ref="C290" authorId="2" shapeId="0" xr:uid="{ADC9D71B-AAD8-4689-961E-590E756B07A3}">
      <text>
        <r>
          <rPr>
            <b/>
            <sz val="9"/>
            <color indexed="81"/>
            <rFont val="Tahoma"/>
            <family val="2"/>
          </rPr>
          <t>&lt;[[TCDeals] - [TC Property Current Stage (Seq: 1)] - [Property Financing - Permanent (Seq: 11)] Source Name - Send]&gt;</t>
        </r>
      </text>
    </comment>
    <comment ref="E290" authorId="2" shapeId="0" xr:uid="{8146D8B4-5A0F-446F-8436-00687CF23B31}">
      <text>
        <r>
          <rPr>
            <b/>
            <sz val="9"/>
            <color indexed="81"/>
            <rFont val="Tahoma"/>
            <family val="2"/>
          </rPr>
          <t>&lt;[[TCDeals] - [TC Property Current Stage (Seq: 1)] - [Property Financing - Permanent (Seq: 11)] Financing Type - Send]&gt;</t>
        </r>
      </text>
    </comment>
    <comment ref="G290" authorId="2" shapeId="0" xr:uid="{A8AB356E-7598-490C-B1CC-3E9AD5E51861}">
      <text>
        <r>
          <rPr>
            <b/>
            <sz val="9"/>
            <color indexed="81"/>
            <rFont val="Tahoma"/>
            <family val="2"/>
          </rPr>
          <t>&lt;[[TCDeals] - [TC Property Current Stage (Seq: 1)] - [Property Financing - Permanent (Seq: 11)] Amount - Send]&gt;</t>
        </r>
      </text>
    </comment>
    <comment ref="I290" authorId="2" shapeId="0" xr:uid="{5646E6DD-68A5-4983-8137-5781A073B78C}">
      <text>
        <r>
          <rPr>
            <b/>
            <sz val="9"/>
            <color indexed="81"/>
            <rFont val="Tahoma"/>
            <family val="2"/>
          </rPr>
          <t>&lt;[[TCDeals] - [TC Property Current Stage (Seq: 1)] - [Property Financing - Permanent (Seq: 11)] Interest Rate - Send]&gt;</t>
        </r>
      </text>
    </comment>
    <comment ref="K290" authorId="2" shapeId="0" xr:uid="{D0663AC2-20EA-4F6A-863F-2ECA44F9F6B4}">
      <text>
        <r>
          <rPr>
            <b/>
            <sz val="9"/>
            <color indexed="81"/>
            <rFont val="Tahoma"/>
            <family val="2"/>
          </rPr>
          <t>&lt;[[TCDeals] - [TC Property Current Stage (Seq: 1)] - [Property Financing - Permanent (Seq: 11)] Loan Term - Send]&gt;</t>
        </r>
      </text>
    </comment>
    <comment ref="M290" authorId="2" shapeId="0" xr:uid="{501D34CD-F45B-4205-A4EA-B1D633491FBB}">
      <text>
        <r>
          <rPr>
            <b/>
            <sz val="9"/>
            <color indexed="81"/>
            <rFont val="Tahoma"/>
            <family val="2"/>
          </rPr>
          <t>&lt;[[TCDeals] - [TC Property Current Stage (Seq: 1)] - [Property Financing - Permanent (Seq: 11)] Annual Debt Svc Cost - Send]&gt;</t>
        </r>
      </text>
    </comment>
    <comment ref="C291" authorId="2" shapeId="0" xr:uid="{C8315624-1930-461D-8AC1-739230A351A3}">
      <text>
        <r>
          <rPr>
            <b/>
            <sz val="9"/>
            <color indexed="81"/>
            <rFont val="Tahoma"/>
            <family val="2"/>
          </rPr>
          <t>&lt;[[TCDeals] - [TC Property Current Stage (Seq: 1)] - [Property Financing - Permanent (Seq: 12)] Source Name - Send]&gt;</t>
        </r>
      </text>
    </comment>
    <comment ref="E291" authorId="2" shapeId="0" xr:uid="{2E425C4A-21D5-41F9-8704-17B1392EA826}">
      <text>
        <r>
          <rPr>
            <b/>
            <sz val="9"/>
            <color indexed="81"/>
            <rFont val="Tahoma"/>
            <family val="2"/>
          </rPr>
          <t>&lt;[[TCDeals] - [TC Property Current Stage (Seq: 1)] - [Property Financing - Permanent (Seq: 12)] Financing Type - Send]&gt;</t>
        </r>
      </text>
    </comment>
    <comment ref="G291" authorId="2" shapeId="0" xr:uid="{C5EBA1C5-D12A-4219-BEC3-E4D3AAE6C917}">
      <text>
        <r>
          <rPr>
            <b/>
            <sz val="9"/>
            <color indexed="81"/>
            <rFont val="Tahoma"/>
            <family val="2"/>
          </rPr>
          <t>&lt;[[TCDeals] - [TC Property Current Stage (Seq: 1)] - [Property Financing - Permanent (Seq: 12)] Amount - Send]&gt;</t>
        </r>
      </text>
    </comment>
    <comment ref="I291" authorId="2" shapeId="0" xr:uid="{3DCCCCBA-A1F8-45C4-9E4D-3F9E1D3D4196}">
      <text>
        <r>
          <rPr>
            <b/>
            <sz val="9"/>
            <color indexed="81"/>
            <rFont val="Tahoma"/>
            <family val="2"/>
          </rPr>
          <t>&lt;[[TCDeals] - [TC Property Current Stage (Seq: 1)] - [Property Financing - Permanent (Seq: 12)] Interest Rate - Send]&gt;</t>
        </r>
      </text>
    </comment>
    <comment ref="K291" authorId="2" shapeId="0" xr:uid="{A0F68C54-5774-4B27-903A-0E27F8FB4F2D}">
      <text>
        <r>
          <rPr>
            <b/>
            <sz val="9"/>
            <color indexed="81"/>
            <rFont val="Tahoma"/>
            <family val="2"/>
          </rPr>
          <t>&lt;[[TCDeals] - [TC Property Current Stage (Seq: 1)] - [Property Financing - Permanent (Seq: 12)] Loan Term - Send]&gt;</t>
        </r>
      </text>
    </comment>
    <comment ref="M291" authorId="2" shapeId="0" xr:uid="{733DEE21-DD51-45AE-AADB-9C7DE7EBA98B}">
      <text>
        <r>
          <rPr>
            <b/>
            <sz val="9"/>
            <color indexed="81"/>
            <rFont val="Tahoma"/>
            <family val="2"/>
          </rPr>
          <t>&lt;[[TCDeals] - [TC Property Current Stage (Seq: 1)] - [Property Financing - Permanent (Seq: 12)] Annual Debt Svc Cost - Send]&gt;</t>
        </r>
      </text>
    </comment>
    <comment ref="C292" authorId="2" shapeId="0" xr:uid="{99D0BD4E-B580-4835-9E47-C73B226B9E7B}">
      <text>
        <r>
          <rPr>
            <b/>
            <sz val="9"/>
            <color indexed="81"/>
            <rFont val="Tahoma"/>
            <family val="2"/>
          </rPr>
          <t>&lt;[[TCDeals] - [TC Property Current Stage (Seq: 1)] - [Property Financing - Permanent (Seq: 13)] Source Name - Send]&gt;</t>
        </r>
      </text>
    </comment>
    <comment ref="E292" authorId="2" shapeId="0" xr:uid="{30D9AE02-CEC1-4104-92E2-A52A1BC42400}">
      <text>
        <r>
          <rPr>
            <b/>
            <sz val="9"/>
            <color indexed="81"/>
            <rFont val="Tahoma"/>
            <family val="2"/>
          </rPr>
          <t>&lt;[[TCDeals] - [TC Property Current Stage (Seq: 1)] - [Property Financing - Permanent (Seq: 13)] Financing Type - Send]&gt;</t>
        </r>
      </text>
    </comment>
    <comment ref="G292" authorId="2" shapeId="0" xr:uid="{C73A735C-4F7A-4CCF-BC2F-47876D8496EF}">
      <text>
        <r>
          <rPr>
            <b/>
            <sz val="9"/>
            <color indexed="81"/>
            <rFont val="Tahoma"/>
            <family val="2"/>
          </rPr>
          <t>&lt;[[TCDeals] - [TC Property Current Stage (Seq: 1)] - [Property Financing - Permanent (Seq: 13)] Amount - Send]&gt;</t>
        </r>
      </text>
    </comment>
    <comment ref="I292" authorId="2" shapeId="0" xr:uid="{2294DA15-44BA-4061-9DD6-EB9861E93DE8}">
      <text>
        <r>
          <rPr>
            <b/>
            <sz val="9"/>
            <color indexed="81"/>
            <rFont val="Tahoma"/>
            <family val="2"/>
          </rPr>
          <t>&lt;[[TCDeals] - [TC Property Current Stage (Seq: 1)] - [Property Financing - Permanent (Seq: 13)] Interest Rate - Send]&gt;</t>
        </r>
      </text>
    </comment>
    <comment ref="K292" authorId="2" shapeId="0" xr:uid="{A810090C-A95D-46E0-9D0B-1F9C59B9DC33}">
      <text>
        <r>
          <rPr>
            <b/>
            <sz val="9"/>
            <color indexed="81"/>
            <rFont val="Tahoma"/>
            <family val="2"/>
          </rPr>
          <t>&lt;[[TCDeals] - [TC Property Current Stage (Seq: 1)] - [Property Financing - Permanent (Seq: 13)] Loan Term - Send]&gt;</t>
        </r>
      </text>
    </comment>
    <comment ref="M292" authorId="2" shapeId="0" xr:uid="{332CD7C5-CBAF-4636-B344-78EC8A8CB126}">
      <text>
        <r>
          <rPr>
            <b/>
            <sz val="9"/>
            <color indexed="81"/>
            <rFont val="Tahoma"/>
            <family val="2"/>
          </rPr>
          <t>&lt;[[TCDeals] - [TC Property Current Stage (Seq: 1)] - [Property Financing - Permanent (Seq: 13)] Annual Debt Svc Cost - Send]&gt;</t>
        </r>
      </text>
    </comment>
    <comment ref="C295" authorId="0" shapeId="0" xr:uid="{45EC7A14-540D-4EBD-A75C-254BDBDF11A1}">
      <text>
        <r>
          <rPr>
            <b/>
            <sz val="9"/>
            <color indexed="81"/>
            <rFont val="Tahoma"/>
            <family val="2"/>
          </rPr>
          <t>&lt;[[TCDeals] - [TC Property Current Stage (Seq: 1)] - [Property Financing - Grant (Seq: 1)] Source Name - Send]&gt;</t>
        </r>
      </text>
    </comment>
    <comment ref="E295" authorId="0" shapeId="0" xr:uid="{7CB8F34F-E0B9-47A2-8780-080CDEFA41B9}">
      <text>
        <r>
          <rPr>
            <b/>
            <sz val="9"/>
            <color indexed="81"/>
            <rFont val="Tahoma"/>
            <family val="2"/>
          </rPr>
          <t>&lt;[[TCDeals] - [TC Property Current Stage (Seq: 1)] - [Property Financing - Grant (Seq: 1)] Financing Type - Send]&gt;</t>
        </r>
      </text>
    </comment>
    <comment ref="G295" authorId="0" shapeId="0" xr:uid="{4486FAF6-D9EF-4D22-8E67-8D3233152944}">
      <text>
        <r>
          <rPr>
            <b/>
            <sz val="9"/>
            <color indexed="81"/>
            <rFont val="Tahoma"/>
            <family val="2"/>
          </rPr>
          <t>&lt;[[TCDeals] - [TC Property Current Stage (Seq: 1)] - [Property Financing - Grant (Seq: 1)] Amount - Send]&gt;</t>
        </r>
      </text>
    </comment>
    <comment ref="Z295" authorId="1" shapeId="0" xr:uid="{612EEF5C-D3AC-4FE4-848C-9B274C7EF3F6}">
      <text>
        <r>
          <rPr>
            <b/>
            <sz val="9"/>
            <color indexed="81"/>
            <rFont val="Tahoma"/>
            <family val="2"/>
          </rPr>
          <t>&lt;[[TCDeals] - [Associated DEV Deal (Seq: 1)] - [Funding (Seq: 11)] DEV Funding Source - Send]&gt;</t>
        </r>
      </text>
    </comment>
    <comment ref="AB295" authorId="1" shapeId="0" xr:uid="{39D4A1EC-62B4-4052-9F89-4A8BD201586D}">
      <text>
        <r>
          <rPr>
            <b/>
            <sz val="9"/>
            <color indexed="81"/>
            <rFont val="Tahoma"/>
            <family val="2"/>
          </rPr>
          <t>&lt;[[TCDeals] - [Associated DEV Deal (Seq: 1)] - [Funding (Seq: 11)] Program Type - Send]&gt;</t>
        </r>
      </text>
    </comment>
    <comment ref="AD295" authorId="1" shapeId="0" xr:uid="{11039EF0-ABF8-4588-9155-A76B38A67CB6}">
      <text>
        <r>
          <rPr>
            <b/>
            <sz val="9"/>
            <color indexed="81"/>
            <rFont val="Tahoma"/>
            <family val="2"/>
          </rPr>
          <t>&lt;[[TCDeals] - [Associated DEV Deal (Seq: 1)] - [Funding (Seq: 11)] Loan Product Type - Send]&gt;</t>
        </r>
      </text>
    </comment>
    <comment ref="AF295" authorId="1" shapeId="0" xr:uid="{03502BBA-ADA0-45C1-A789-1698A0B5559B}">
      <text>
        <r>
          <rPr>
            <b/>
            <sz val="9"/>
            <color indexed="81"/>
            <rFont val="Tahoma"/>
            <family val="2"/>
          </rPr>
          <t>&lt;[[TCDeals] - [Associated DEV Deal (Seq: 1)] - [Funding (Seq: 11)] Term - Send]&gt;</t>
        </r>
      </text>
    </comment>
    <comment ref="AH295" authorId="1" shapeId="0" xr:uid="{E8F855A9-17A5-49B8-A06F-6A186DC777DD}">
      <text>
        <r>
          <rPr>
            <b/>
            <sz val="9"/>
            <color indexed="81"/>
            <rFont val="Tahoma"/>
            <family val="2"/>
          </rPr>
          <t>&lt;[[TCDeals] - [Associated DEV Deal (Seq: 1)] - [Funding (Seq: 11)] Amount - Send]&gt;</t>
        </r>
      </text>
    </comment>
    <comment ref="AJ295" authorId="1" shapeId="0" xr:uid="{662178AF-D3ED-49DC-9414-D06C77203819}">
      <text>
        <r>
          <rPr>
            <b/>
            <sz val="9"/>
            <color indexed="81"/>
            <rFont val="Tahoma"/>
            <family val="2"/>
          </rPr>
          <t>&lt;[[TCDeals] - [Associated DEV Deal (Seq: 1)] - [Funding (Seq: 11)] Rate - Send]&gt;</t>
        </r>
      </text>
    </comment>
    <comment ref="AL295" authorId="1" shapeId="0" xr:uid="{3F8E87E0-D27D-4B56-953B-51C63EF386ED}">
      <text>
        <r>
          <rPr>
            <b/>
            <sz val="9"/>
            <color indexed="81"/>
            <rFont val="Tahoma"/>
            <family val="2"/>
          </rPr>
          <t>&lt;[[TCDeals] - [Associated DEV Deal (Seq: 1)] - [Funding (Seq: 11)] Debt Service - Send]&gt;</t>
        </r>
      </text>
    </comment>
    <comment ref="C296" authorId="0" shapeId="0" xr:uid="{E9902741-95FC-4295-888B-AA6347FFE802}">
      <text>
        <r>
          <rPr>
            <b/>
            <sz val="9"/>
            <color indexed="81"/>
            <rFont val="Tahoma"/>
            <family val="2"/>
          </rPr>
          <t>&lt;[[TCDeals] - [TC Property Current Stage (Seq: 1)] - [Property Financing - Grant (Seq: 2)] Source Name - Send]&gt;</t>
        </r>
      </text>
    </comment>
    <comment ref="E296" authorId="0" shapeId="0" xr:uid="{8B84CE58-19B0-4848-8C3F-B683EE8E83DA}">
      <text>
        <r>
          <rPr>
            <b/>
            <sz val="9"/>
            <color indexed="81"/>
            <rFont val="Tahoma"/>
            <family val="2"/>
          </rPr>
          <t>&lt;[[TCDeals] - [TC Property Current Stage (Seq: 1)] - [Property Financing - Grant (Seq: 2)] Financing Type - Send]&gt;</t>
        </r>
      </text>
    </comment>
    <comment ref="G296" authorId="0" shapeId="0" xr:uid="{486636F2-90DD-44F4-9D90-F2D51DD2AD68}">
      <text>
        <r>
          <rPr>
            <b/>
            <sz val="9"/>
            <color indexed="81"/>
            <rFont val="Tahoma"/>
            <family val="2"/>
          </rPr>
          <t>&lt;[[TCDeals] - [TC Property Current Stage (Seq: 1)] - [Property Financing - Grant (Seq: 2)] Amount - Send]&gt;</t>
        </r>
      </text>
    </comment>
    <comment ref="Z296" authorId="1" shapeId="0" xr:uid="{407CC837-4D83-408B-929A-18CBC6729F24}">
      <text>
        <r>
          <rPr>
            <b/>
            <sz val="9"/>
            <color indexed="81"/>
            <rFont val="Tahoma"/>
            <family val="2"/>
          </rPr>
          <t>&lt;[[TCDeals] - [Associated DEV Deal (Seq: 1)] - [Funding (Seq: 12)] DEV Funding Source - Send]&gt;</t>
        </r>
      </text>
    </comment>
    <comment ref="AB296" authorId="1" shapeId="0" xr:uid="{08D1D85C-8899-471C-A2BA-9687D39AA408}">
      <text>
        <r>
          <rPr>
            <b/>
            <sz val="9"/>
            <color indexed="81"/>
            <rFont val="Tahoma"/>
            <family val="2"/>
          </rPr>
          <t>&lt;[[TCDeals] - [Associated DEV Deal (Seq: 1)] - [Funding (Seq: 12)] Program Type - Send]&gt;</t>
        </r>
      </text>
    </comment>
    <comment ref="AD296" authorId="1" shapeId="0" xr:uid="{93A38CB8-368B-42D7-8FDC-77754B52D922}">
      <text>
        <r>
          <rPr>
            <b/>
            <sz val="9"/>
            <color indexed="81"/>
            <rFont val="Tahoma"/>
            <family val="2"/>
          </rPr>
          <t>&lt;[[TCDeals] - [Associated DEV Deal (Seq: 1)] - [Funding (Seq: 12)] Loan Product Type - Send]&gt;</t>
        </r>
      </text>
    </comment>
    <comment ref="AF296" authorId="1" shapeId="0" xr:uid="{4E0A1C17-ADA2-4329-853C-F8F8F344AA6B}">
      <text>
        <r>
          <rPr>
            <b/>
            <sz val="9"/>
            <color indexed="81"/>
            <rFont val="Tahoma"/>
            <family val="2"/>
          </rPr>
          <t>&lt;[[TCDeals] - [Associated DEV Deal (Seq: 1)] - [Funding (Seq: 12)] Term - Send]&gt;</t>
        </r>
      </text>
    </comment>
    <comment ref="AH296" authorId="1" shapeId="0" xr:uid="{C9F9D9CF-EFBE-4261-92BC-94B4AEF3A65C}">
      <text>
        <r>
          <rPr>
            <b/>
            <sz val="9"/>
            <color indexed="81"/>
            <rFont val="Tahoma"/>
            <family val="2"/>
          </rPr>
          <t>&lt;[[TCDeals] - [Associated DEV Deal (Seq: 1)] - [Funding (Seq: 12)] Amount - Send]&gt;</t>
        </r>
      </text>
    </comment>
    <comment ref="AJ296" authorId="1" shapeId="0" xr:uid="{6D560F4B-4FDD-4198-9DA9-3C4F902F7E1C}">
      <text>
        <r>
          <rPr>
            <b/>
            <sz val="9"/>
            <color indexed="81"/>
            <rFont val="Tahoma"/>
            <family val="2"/>
          </rPr>
          <t>&lt;[[TCDeals] - [Associated DEV Deal (Seq: 1)] - [Funding (Seq: 12)] Rate - Send]&gt;</t>
        </r>
      </text>
    </comment>
    <comment ref="AL296" authorId="1" shapeId="0" xr:uid="{CA98309F-1D09-4FEE-922E-71F7D7D0775F}">
      <text>
        <r>
          <rPr>
            <b/>
            <sz val="9"/>
            <color indexed="81"/>
            <rFont val="Tahoma"/>
            <family val="2"/>
          </rPr>
          <t>&lt;[[TCDeals] - [Associated DEV Deal (Seq: 1)] - [Funding (Seq: 12)] Debt Service - Send]&gt;</t>
        </r>
      </text>
    </comment>
    <comment ref="C297" authorId="0" shapeId="0" xr:uid="{EEDFBEDF-790B-418D-BC64-ED386B362BAA}">
      <text>
        <r>
          <rPr>
            <b/>
            <sz val="9"/>
            <color indexed="81"/>
            <rFont val="Tahoma"/>
            <family val="2"/>
          </rPr>
          <t>&lt;[[TCDeals] - [TC Property Current Stage (Seq: 1)] - [Property Financing - Grant (Seq: 3)] Source Name - Send]&gt;</t>
        </r>
      </text>
    </comment>
    <comment ref="E297" authorId="0" shapeId="0" xr:uid="{E262E5FD-664E-499A-A37E-95E5B67CDB34}">
      <text>
        <r>
          <rPr>
            <b/>
            <sz val="9"/>
            <color indexed="81"/>
            <rFont val="Tahoma"/>
            <family val="2"/>
          </rPr>
          <t>&lt;[[TCDeals] - [TC Property Current Stage (Seq: 1)] - [Property Financing - Grant (Seq: 3)] Financing Type - Send]&gt;</t>
        </r>
      </text>
    </comment>
    <comment ref="G297" authorId="0" shapeId="0" xr:uid="{54D76942-2B9D-4D2F-B33A-AEB00BB6B94A}">
      <text>
        <r>
          <rPr>
            <b/>
            <sz val="9"/>
            <color indexed="81"/>
            <rFont val="Tahoma"/>
            <family val="2"/>
          </rPr>
          <t>&lt;[[TCDeals] - [TC Property Current Stage (Seq: 1)] - [Property Financing - Grant (Seq: 3)] Amount - Send]&gt;</t>
        </r>
      </text>
    </comment>
    <comment ref="Z297" authorId="1" shapeId="0" xr:uid="{408598F9-F4D8-4F92-9AC9-742D1D423408}">
      <text>
        <r>
          <rPr>
            <b/>
            <sz val="9"/>
            <color indexed="81"/>
            <rFont val="Tahoma"/>
            <family val="2"/>
          </rPr>
          <t>&lt;[[TCDeals] - [Associated DEV Deal (Seq: 1)] - [Funding (Seq: 13)] DEV Funding Source - Send]&gt;</t>
        </r>
      </text>
    </comment>
    <comment ref="AB297" authorId="1" shapeId="0" xr:uid="{1C4F2818-B906-4E2D-9ABC-7E465B036648}">
      <text>
        <r>
          <rPr>
            <b/>
            <sz val="9"/>
            <color indexed="81"/>
            <rFont val="Tahoma"/>
            <family val="2"/>
          </rPr>
          <t>&lt;[[TCDeals] - [Associated DEV Deal (Seq: 1)] - [Funding (Seq: 13)] Program Type - Send]&gt;</t>
        </r>
      </text>
    </comment>
    <comment ref="AD297" authorId="1" shapeId="0" xr:uid="{600ED53F-8493-4DBA-BF71-2E6950027771}">
      <text>
        <r>
          <rPr>
            <b/>
            <sz val="9"/>
            <color indexed="81"/>
            <rFont val="Tahoma"/>
            <family val="2"/>
          </rPr>
          <t>&lt;[[TCDeals] - [Associated DEV Deal (Seq: 1)] - [Funding (Seq: 13)] Loan Product Type - Send]&gt;</t>
        </r>
      </text>
    </comment>
    <comment ref="AF297" authorId="1" shapeId="0" xr:uid="{723C3A1C-1397-4894-8900-139303B8AA61}">
      <text>
        <r>
          <rPr>
            <b/>
            <sz val="9"/>
            <color indexed="81"/>
            <rFont val="Tahoma"/>
            <family val="2"/>
          </rPr>
          <t>&lt;[[TCDeals] - [Associated DEV Deal (Seq: 1)] - [Funding (Seq: 13)] Term - Send]&gt;</t>
        </r>
      </text>
    </comment>
    <comment ref="AH297" authorId="1" shapeId="0" xr:uid="{75C81E27-30C3-4A2D-917D-AFF6E4B4E1D0}">
      <text>
        <r>
          <rPr>
            <b/>
            <sz val="9"/>
            <color indexed="81"/>
            <rFont val="Tahoma"/>
            <family val="2"/>
          </rPr>
          <t>&lt;[[TCDeals] - [Associated DEV Deal (Seq: 1)] - [Funding (Seq: 13)] Amount - Send]&gt;</t>
        </r>
      </text>
    </comment>
    <comment ref="AJ297" authorId="1" shapeId="0" xr:uid="{186A5CC8-C7FA-4E44-AFF2-003FF599096B}">
      <text>
        <r>
          <rPr>
            <b/>
            <sz val="9"/>
            <color indexed="81"/>
            <rFont val="Tahoma"/>
            <family val="2"/>
          </rPr>
          <t>&lt;[[TCDeals] - [Associated DEV Deal (Seq: 1)] - [Funding (Seq: 13)] Rate - Send]&gt;</t>
        </r>
      </text>
    </comment>
    <comment ref="AL297" authorId="1" shapeId="0" xr:uid="{A17F7F4A-1C6D-48C5-8B95-921C3E9CCAA3}">
      <text>
        <r>
          <rPr>
            <b/>
            <sz val="9"/>
            <color indexed="81"/>
            <rFont val="Tahoma"/>
            <family val="2"/>
          </rPr>
          <t>&lt;[[TCDeals] - [Associated DEV Deal (Seq: 1)] - [Funding (Seq: 13)] Debt Service - Send]&gt;</t>
        </r>
      </text>
    </comment>
    <comment ref="C298" authorId="0" shapeId="0" xr:uid="{DB5AF2BB-B626-46A4-B5D7-33A8F4D52974}">
      <text>
        <r>
          <rPr>
            <b/>
            <sz val="9"/>
            <color indexed="81"/>
            <rFont val="Tahoma"/>
            <family val="2"/>
          </rPr>
          <t>&lt;[[TCDeals] - [TC Property Current Stage (Seq: 1)] - [Property Financing - Grant (Seq: 4)] Source Name - Send]&gt;</t>
        </r>
      </text>
    </comment>
    <comment ref="E298" authorId="0" shapeId="0" xr:uid="{BA73C8DD-6540-46C2-B841-C58792141852}">
      <text>
        <r>
          <rPr>
            <b/>
            <sz val="9"/>
            <color indexed="81"/>
            <rFont val="Tahoma"/>
            <family val="2"/>
          </rPr>
          <t>&lt;[[TCDeals] - [TC Property Current Stage (Seq: 1)] - [Property Financing - Grant (Seq: 4)] Financing Type - Send]&gt;</t>
        </r>
      </text>
    </comment>
    <comment ref="G298" authorId="0" shapeId="0" xr:uid="{157D5D05-0F3C-43EB-BD6E-D448E18743E6}">
      <text>
        <r>
          <rPr>
            <b/>
            <sz val="9"/>
            <color indexed="81"/>
            <rFont val="Tahoma"/>
            <family val="2"/>
          </rPr>
          <t>&lt;[[TCDeals] - [TC Property Current Stage (Seq: 1)] - [Property Financing - Grant (Seq: 4)] Amount - Send]&gt;</t>
        </r>
      </text>
    </comment>
    <comment ref="Z298" authorId="1" shapeId="0" xr:uid="{6F305DEE-7ADD-46D7-AF2C-705640BA6AD3}">
      <text>
        <r>
          <rPr>
            <b/>
            <sz val="9"/>
            <color indexed="81"/>
            <rFont val="Tahoma"/>
            <family val="2"/>
          </rPr>
          <t>&lt;[[TCDeals] - [Associated DEV Deal (Seq: 1)] - [Funding (Seq: 14)] DEV Funding Source - Send]&gt;</t>
        </r>
      </text>
    </comment>
    <comment ref="AB298" authorId="1" shapeId="0" xr:uid="{5677285E-D5A2-4AF1-8F8F-9F9AC975E26F}">
      <text>
        <r>
          <rPr>
            <b/>
            <sz val="9"/>
            <color indexed="81"/>
            <rFont val="Tahoma"/>
            <family val="2"/>
          </rPr>
          <t>&lt;[[TCDeals] - [Associated DEV Deal (Seq: 1)] - [Funding (Seq: 14)] Program Type - Send]&gt;</t>
        </r>
      </text>
    </comment>
    <comment ref="AD298" authorId="1" shapeId="0" xr:uid="{C9BD68A0-CB75-476F-9EE2-F06D2ED90554}">
      <text>
        <r>
          <rPr>
            <b/>
            <sz val="9"/>
            <color indexed="81"/>
            <rFont val="Tahoma"/>
            <family val="2"/>
          </rPr>
          <t>&lt;[[TCDeals] - [Associated DEV Deal (Seq: 1)] - [Funding (Seq: 14)] Loan Product Type - Send]&gt;</t>
        </r>
      </text>
    </comment>
    <comment ref="AF298" authorId="1" shapeId="0" xr:uid="{5021307C-5986-4687-976C-508D460A930F}">
      <text>
        <r>
          <rPr>
            <b/>
            <sz val="9"/>
            <color indexed="81"/>
            <rFont val="Tahoma"/>
            <family val="2"/>
          </rPr>
          <t>&lt;[[TCDeals] - [Associated DEV Deal (Seq: 1)] - [Funding (Seq: 14)] Term - Send]&gt;</t>
        </r>
      </text>
    </comment>
    <comment ref="AH298" authorId="1" shapeId="0" xr:uid="{507C0FCF-66E8-4316-B8AA-07712A913BCB}">
      <text>
        <r>
          <rPr>
            <b/>
            <sz val="9"/>
            <color indexed="81"/>
            <rFont val="Tahoma"/>
            <family val="2"/>
          </rPr>
          <t>&lt;[[TCDeals] - [Associated DEV Deal (Seq: 1)] - [Funding (Seq: 14)] Amount - Send]&gt;</t>
        </r>
      </text>
    </comment>
    <comment ref="AJ298" authorId="1" shapeId="0" xr:uid="{06DE0343-C9CD-4080-9A0A-6169E69A884D}">
      <text>
        <r>
          <rPr>
            <b/>
            <sz val="9"/>
            <color indexed="81"/>
            <rFont val="Tahoma"/>
            <family val="2"/>
          </rPr>
          <t>&lt;[[TCDeals] - [Associated DEV Deal (Seq: 1)] - [Funding (Seq: 14)] Rate - Send]&gt;</t>
        </r>
      </text>
    </comment>
    <comment ref="AL298" authorId="1" shapeId="0" xr:uid="{5B9BD82E-A123-42C5-B736-D51F97C7C162}">
      <text>
        <r>
          <rPr>
            <b/>
            <sz val="9"/>
            <color indexed="81"/>
            <rFont val="Tahoma"/>
            <family val="2"/>
          </rPr>
          <t>&lt;[[TCDeals] - [Associated DEV Deal (Seq: 1)] - [Funding (Seq: 14)] Debt Service - Send]&gt;</t>
        </r>
      </text>
    </comment>
    <comment ref="C299" authorId="0" shapeId="0" xr:uid="{4E673977-730A-4663-8D75-3045264F7537}">
      <text>
        <r>
          <rPr>
            <b/>
            <sz val="9"/>
            <color indexed="81"/>
            <rFont val="Tahoma"/>
            <family val="2"/>
          </rPr>
          <t>&lt;[[TCDeals] - [TC Property Current Stage (Seq: 1)] - [Property Financing - Grant (Seq: 5)] Source Name - Send]&gt;</t>
        </r>
      </text>
    </comment>
    <comment ref="E299" authorId="0" shapeId="0" xr:uid="{91C7B47E-733D-4B48-B14B-1E099DF37C81}">
      <text>
        <r>
          <rPr>
            <b/>
            <sz val="9"/>
            <color indexed="81"/>
            <rFont val="Tahoma"/>
            <family val="2"/>
          </rPr>
          <t>&lt;[[TCDeals] - [TC Property Current Stage (Seq: 1)] - [Property Financing - Grant (Seq: 5)] Financing Type - Send]&gt;</t>
        </r>
      </text>
    </comment>
    <comment ref="G299" authorId="0" shapeId="0" xr:uid="{42268E51-9D39-4C40-B692-6B265577F1B9}">
      <text>
        <r>
          <rPr>
            <b/>
            <sz val="9"/>
            <color indexed="81"/>
            <rFont val="Tahoma"/>
            <family val="2"/>
          </rPr>
          <t>&lt;[[TCDeals] - [TC Property Current Stage (Seq: 1)] - [Property Financing - Grant (Seq: 5)] Amount - Send]&gt;</t>
        </r>
      </text>
    </comment>
    <comment ref="Z299" authorId="1" shapeId="0" xr:uid="{3D92D618-D6EC-40AC-A9BC-5FB213AA7198}">
      <text>
        <r>
          <rPr>
            <b/>
            <sz val="9"/>
            <color indexed="81"/>
            <rFont val="Tahoma"/>
            <family val="2"/>
          </rPr>
          <t>&lt;[[TCDeals] - [Associated DEV Deal (Seq: 1)] - [Funding (Seq: 15)] DEV Funding Source - Send]&gt;</t>
        </r>
      </text>
    </comment>
    <comment ref="AB299" authorId="1" shapeId="0" xr:uid="{21927564-AB68-41A0-BE69-7CB84A692292}">
      <text>
        <r>
          <rPr>
            <b/>
            <sz val="9"/>
            <color indexed="81"/>
            <rFont val="Tahoma"/>
            <family val="2"/>
          </rPr>
          <t>&lt;[[TCDeals] - [Associated DEV Deal (Seq: 1)] - [Funding (Seq: 15)] Program Type - Send]&gt;</t>
        </r>
      </text>
    </comment>
    <comment ref="AD299" authorId="1" shapeId="0" xr:uid="{7B76C6F6-87E7-4455-8398-AAD84BD7ABB8}">
      <text>
        <r>
          <rPr>
            <b/>
            <sz val="9"/>
            <color indexed="81"/>
            <rFont val="Tahoma"/>
            <family val="2"/>
          </rPr>
          <t>&lt;[[TCDeals] - [Associated DEV Deal (Seq: 1)] - [Funding (Seq: 15)] Loan Product Type - Send]&gt;</t>
        </r>
      </text>
    </comment>
    <comment ref="AF299" authorId="1" shapeId="0" xr:uid="{5FBE81BB-F817-426D-98D0-463DA4B2EF86}">
      <text>
        <r>
          <rPr>
            <b/>
            <sz val="9"/>
            <color indexed="81"/>
            <rFont val="Tahoma"/>
            <family val="2"/>
          </rPr>
          <t>&lt;[[TCDeals] - [Associated DEV Deal (Seq: 1)] - [Funding (Seq: 15)] Term - Send]&gt;</t>
        </r>
      </text>
    </comment>
    <comment ref="AH299" authorId="1" shapeId="0" xr:uid="{F77E12EC-BF3A-491E-8C48-4BD150912297}">
      <text>
        <r>
          <rPr>
            <b/>
            <sz val="9"/>
            <color indexed="81"/>
            <rFont val="Tahoma"/>
            <family val="2"/>
          </rPr>
          <t>&lt;[[TCDeals] - [Associated DEV Deal (Seq: 1)] - [Funding (Seq: 15)] Amount - Send]&gt;</t>
        </r>
      </text>
    </comment>
    <comment ref="AJ299" authorId="1" shapeId="0" xr:uid="{76B6062E-6EA1-491A-B186-9FCDEC8182FD}">
      <text>
        <r>
          <rPr>
            <b/>
            <sz val="9"/>
            <color indexed="81"/>
            <rFont val="Tahoma"/>
            <family val="2"/>
          </rPr>
          <t>&lt;[[TCDeals] - [Associated DEV Deal (Seq: 1)] - [Funding (Seq: 15)] Rate - Send]&gt;</t>
        </r>
      </text>
    </comment>
    <comment ref="AL299" authorId="1" shapeId="0" xr:uid="{4912DAE7-A312-4412-BA46-19217FBDC483}">
      <text>
        <r>
          <rPr>
            <b/>
            <sz val="9"/>
            <color indexed="81"/>
            <rFont val="Tahoma"/>
            <family val="2"/>
          </rPr>
          <t>&lt;[[TCDeals] - [Associated DEV Deal (Seq: 1)] - [Funding (Seq: 15)] Debt Service - Send]&gt;</t>
        </r>
      </text>
    </comment>
    <comment ref="C300" authorId="0" shapeId="0" xr:uid="{C639C89C-242A-4469-A7D3-64064813159E}">
      <text>
        <r>
          <rPr>
            <b/>
            <sz val="9"/>
            <color indexed="81"/>
            <rFont val="Tahoma"/>
            <family val="2"/>
          </rPr>
          <t>&lt;[[TCDeals] - [TC Property Current Stage (Seq: 1)] - [Property Financing - Grant (Seq: 6)] Source Name - Send]&gt;</t>
        </r>
      </text>
    </comment>
    <comment ref="E300" authorId="0" shapeId="0" xr:uid="{8BD14C8B-4232-49FC-95A3-A6C8103B20EB}">
      <text>
        <r>
          <rPr>
            <b/>
            <sz val="9"/>
            <color indexed="81"/>
            <rFont val="Tahoma"/>
            <family val="2"/>
          </rPr>
          <t>&lt;[[TCDeals] - [TC Property Current Stage (Seq: 1)] - [Property Financing - Grant (Seq: 6)] Financing Type - Send]&gt;</t>
        </r>
      </text>
    </comment>
    <comment ref="G300" authorId="0" shapeId="0" xr:uid="{276FF235-0698-4FC9-9EDE-3FBC89DEDCF9}">
      <text>
        <r>
          <rPr>
            <b/>
            <sz val="9"/>
            <color indexed="81"/>
            <rFont val="Tahoma"/>
            <family val="2"/>
          </rPr>
          <t>&lt;[[TCDeals] - [TC Property Current Stage (Seq: 1)] - [Property Financing - Grant (Seq: 6)] Amount - Send]&gt;</t>
        </r>
      </text>
    </comment>
    <comment ref="C301" authorId="0" shapeId="0" xr:uid="{6BC70FB8-6F79-4798-B350-E48DE94343C5}">
      <text>
        <r>
          <rPr>
            <b/>
            <sz val="9"/>
            <color indexed="81"/>
            <rFont val="Tahoma"/>
            <family val="2"/>
          </rPr>
          <t>&lt;[[TCDeals] - [TC Property Current Stage (Seq: 1)] - [Property Financing - Grant (Seq: 7)] Source Name - Send]&gt;</t>
        </r>
      </text>
    </comment>
    <comment ref="E301" authorId="0" shapeId="0" xr:uid="{E487E5FB-6A33-4CB8-9B03-F065930E9954}">
      <text>
        <r>
          <rPr>
            <b/>
            <sz val="9"/>
            <color indexed="81"/>
            <rFont val="Tahoma"/>
            <family val="2"/>
          </rPr>
          <t>&lt;[[TCDeals] - [TC Property Current Stage (Seq: 1)] - [Property Financing - Grant (Seq: 7)] Financing Type - Send]&gt;</t>
        </r>
      </text>
    </comment>
    <comment ref="G301" authorId="0" shapeId="0" xr:uid="{3E1F6DD3-B6A0-4A57-A44D-E9ED736CBB64}">
      <text>
        <r>
          <rPr>
            <b/>
            <sz val="9"/>
            <color indexed="81"/>
            <rFont val="Tahoma"/>
            <family val="2"/>
          </rPr>
          <t>&lt;[[TCDeals] - [TC Property Current Stage (Seq: 1)] - [Property Financing - Grant (Seq: 7)] Amount - Send]&gt;</t>
        </r>
      </text>
    </comment>
    <comment ref="C302" authorId="2" shapeId="0" xr:uid="{AAD5AA7F-27FA-4371-8CB1-F331FFE0AE06}">
      <text>
        <r>
          <rPr>
            <b/>
            <sz val="9"/>
            <color indexed="81"/>
            <rFont val="Tahoma"/>
            <family val="2"/>
          </rPr>
          <t>&lt;[[TCDeals] - [TC Property Current Stage (Seq: 1)] - [Property Financing - Grant (Seq: 8)] Source Name - Send]&gt;</t>
        </r>
      </text>
    </comment>
    <comment ref="E302" authorId="2" shapeId="0" xr:uid="{A8F8AAB4-0B13-4975-9E4E-42DC1C3C21CF}">
      <text>
        <r>
          <rPr>
            <b/>
            <sz val="9"/>
            <color indexed="81"/>
            <rFont val="Tahoma"/>
            <family val="2"/>
          </rPr>
          <t>&lt;[[TCDeals] - [TC Property Current Stage (Seq: 1)] - [Property Financing - Grant (Seq: 8)] Financing Type - Send]&gt;</t>
        </r>
      </text>
    </comment>
    <comment ref="G302" authorId="2" shapeId="0" xr:uid="{EC13AEF4-3C38-42D7-8FF8-5AD2B03A0572}">
      <text>
        <r>
          <rPr>
            <b/>
            <sz val="9"/>
            <color indexed="81"/>
            <rFont val="Tahoma"/>
            <family val="2"/>
          </rPr>
          <t>&lt;[[TCDeals] - [TC Property Current Stage (Seq: 1)] - [Property Financing - Grant (Seq: 8)] Amount - Send]&gt;</t>
        </r>
      </text>
    </comment>
    <comment ref="C303" authorId="2" shapeId="0" xr:uid="{0E658EEE-A844-476E-AEB2-A8E8A46C3EA7}">
      <text>
        <r>
          <rPr>
            <b/>
            <sz val="9"/>
            <color indexed="81"/>
            <rFont val="Tahoma"/>
            <family val="2"/>
          </rPr>
          <t>&lt;[[TCDeals] - [TC Property Current Stage (Seq: 1)] - [Property Financing - Grant (Seq: 9)] Source Name - Send]&gt;</t>
        </r>
      </text>
    </comment>
    <comment ref="E303" authorId="2" shapeId="0" xr:uid="{6B66C8B1-CC2F-4209-85D8-1DFBC8E19448}">
      <text>
        <r>
          <rPr>
            <b/>
            <sz val="9"/>
            <color indexed="81"/>
            <rFont val="Tahoma"/>
            <family val="2"/>
          </rPr>
          <t>&lt;[[TCDeals] - [TC Property Current Stage (Seq: 1)] - [Property Financing - Grant (Seq: 9)] Financing Type - Send]&gt;</t>
        </r>
      </text>
    </comment>
    <comment ref="G303" authorId="2" shapeId="0" xr:uid="{4B774916-5B11-4C4E-A9C1-2B9391D5AEB2}">
      <text>
        <r>
          <rPr>
            <b/>
            <sz val="9"/>
            <color indexed="81"/>
            <rFont val="Tahoma"/>
            <family val="2"/>
          </rPr>
          <t>&lt;[[TCDeals] - [TC Property Current Stage (Seq: 1)] - [Property Financing - Grant (Seq: 9)] Amount - Send]&gt;</t>
        </r>
      </text>
    </comment>
    <comment ref="C304" authorId="2" shapeId="0" xr:uid="{118CA7D3-99A6-46EF-BC4A-6C2B01E3A871}">
      <text>
        <r>
          <rPr>
            <b/>
            <sz val="9"/>
            <color indexed="81"/>
            <rFont val="Tahoma"/>
            <family val="2"/>
          </rPr>
          <t>&lt;[[TCDeals] - [TC Property Current Stage (Seq: 1)] - [Property Financing - Grant (Seq: 10)] Source Name - Send]&gt;</t>
        </r>
      </text>
    </comment>
    <comment ref="E304" authorId="2" shapeId="0" xr:uid="{6AA91D9A-E3D4-40DF-8FB9-AEA1EF6ADE52}">
      <text>
        <r>
          <rPr>
            <b/>
            <sz val="9"/>
            <color indexed="81"/>
            <rFont val="Tahoma"/>
            <family val="2"/>
          </rPr>
          <t>&lt;[[TCDeals] - [TC Property Current Stage (Seq: 1)] - [Property Financing - Grant (Seq: 10)] Financing Type - Send]&gt;</t>
        </r>
      </text>
    </comment>
    <comment ref="G304" authorId="2" shapeId="0" xr:uid="{20CE4245-18F2-4C21-977A-DA8815014915}">
      <text>
        <r>
          <rPr>
            <b/>
            <sz val="9"/>
            <color indexed="81"/>
            <rFont val="Tahoma"/>
            <family val="2"/>
          </rPr>
          <t>&lt;[[TCDeals] - [TC Property Current Stage (Seq: 1)] - [Property Financing - Grant (Seq: 10)] Amount - Send]&gt;</t>
        </r>
      </text>
    </comment>
    <comment ref="C305" authorId="2" shapeId="0" xr:uid="{1BF0471A-BE2B-4FA4-9D80-BE4DE3A10D99}">
      <text>
        <r>
          <rPr>
            <b/>
            <sz val="9"/>
            <color indexed="81"/>
            <rFont val="Tahoma"/>
            <family val="2"/>
          </rPr>
          <t>&lt;[[TCDeals] - [TC Property Current Stage (Seq: 1)] - [Property Financing - Grant (Seq: 11)] Source Name - Send]&gt;</t>
        </r>
      </text>
    </comment>
    <comment ref="E305" authorId="2" shapeId="0" xr:uid="{4870F9CF-BBBC-4545-9EDA-05F84007280E}">
      <text>
        <r>
          <rPr>
            <b/>
            <sz val="9"/>
            <color indexed="81"/>
            <rFont val="Tahoma"/>
            <family val="2"/>
          </rPr>
          <t>&lt;[[TCDeals] - [TC Property Current Stage (Seq: 1)] - [Property Financing - Grant (Seq: 11)] Financing Type - Send]&gt;</t>
        </r>
      </text>
    </comment>
    <comment ref="G305" authorId="2" shapeId="0" xr:uid="{1596DCF9-60B6-43B4-BAFF-E0C14EA5DD55}">
      <text>
        <r>
          <rPr>
            <b/>
            <sz val="9"/>
            <color indexed="81"/>
            <rFont val="Tahoma"/>
            <family val="2"/>
          </rPr>
          <t>&lt;[[TCDeals] - [TC Property Current Stage (Seq: 1)] - [Property Financing - Grant (Seq: 11)] Amount - Send]&gt;</t>
        </r>
      </text>
    </comment>
    <comment ref="C308" authorId="0" shapeId="0" xr:uid="{6CD1DC1D-3922-442E-8EF5-59C34929FCAC}">
      <text>
        <r>
          <rPr>
            <b/>
            <sz val="9"/>
            <color indexed="81"/>
            <rFont val="Tahoma"/>
            <family val="2"/>
          </rPr>
          <t>&lt;[[TCDeals] - [TC Property Current Stage (Seq: 1)] - [Property Financing - Subsidized Funding (Seq: 1)] Source Name - Send]&gt;</t>
        </r>
      </text>
    </comment>
    <comment ref="E308" authorId="0" shapeId="0" xr:uid="{5DB20EE4-B287-4A1A-9A8D-FB3EB513B1AF}">
      <text>
        <r>
          <rPr>
            <b/>
            <sz val="9"/>
            <color indexed="81"/>
            <rFont val="Tahoma"/>
            <family val="2"/>
          </rPr>
          <t>&lt;[[TCDeals] - [TC Property Current Stage (Seq: 1)] - [Property Financing - Subsidized Funding (Seq: 1)] Financing Type - Send]&gt;</t>
        </r>
      </text>
    </comment>
    <comment ref="G308" authorId="0" shapeId="0" xr:uid="{AAF25B19-069E-4230-85CC-93A5E2A31007}">
      <text>
        <r>
          <rPr>
            <b/>
            <sz val="9"/>
            <color indexed="81"/>
            <rFont val="Tahoma"/>
            <family val="2"/>
          </rPr>
          <t>&lt;[[TCDeals] - [TC Property Current Stage (Seq: 1)] - [Property Financing - Subsidized Funding (Seq: 1)] Amount - Send]&gt;</t>
        </r>
      </text>
    </comment>
    <comment ref="I308" authorId="0" shapeId="0" xr:uid="{C46D248A-A788-48CB-8D6E-AD966ED07093}">
      <text>
        <r>
          <rPr>
            <b/>
            <sz val="9"/>
            <color indexed="81"/>
            <rFont val="Tahoma"/>
            <family val="2"/>
          </rPr>
          <t>&lt;[[TCDeals] - [TC Property Current Stage (Seq: 1)] - [Property Financing - Subsidized Funding (Seq: 1)] Interest Rate - Send]&gt;</t>
        </r>
      </text>
    </comment>
    <comment ref="K308" authorId="0" shapeId="0" xr:uid="{0BB90D14-E7F9-46A8-84CB-A99C6AA96F1E}">
      <text>
        <r>
          <rPr>
            <b/>
            <sz val="9"/>
            <color indexed="81"/>
            <rFont val="Tahoma"/>
            <family val="2"/>
          </rPr>
          <t>&lt;[[TCDeals] - [TC Property Current Stage (Seq: 1)] - [Property Financing - Subsidized Funding (Seq: 1)] Loan Term - Send]&gt;</t>
        </r>
      </text>
    </comment>
    <comment ref="C309" authorId="0" shapeId="0" xr:uid="{5DB39946-0ACA-4E88-96A8-4BBE6C97D60E}">
      <text>
        <r>
          <rPr>
            <b/>
            <sz val="9"/>
            <color indexed="81"/>
            <rFont val="Tahoma"/>
            <family val="2"/>
          </rPr>
          <t>&lt;[[TCDeals] - [TC Property Current Stage (Seq: 1)] - [Property Financing - Subsidized Funding (Seq: 2)] Source Name - Send]&gt;</t>
        </r>
      </text>
    </comment>
    <comment ref="E309" authorId="0" shapeId="0" xr:uid="{3AD510ED-AF3B-4BD6-9FF6-A56957931124}">
      <text>
        <r>
          <rPr>
            <b/>
            <sz val="9"/>
            <color indexed="81"/>
            <rFont val="Tahoma"/>
            <family val="2"/>
          </rPr>
          <t>&lt;[[TCDeals] - [TC Property Current Stage (Seq: 1)] - [Property Financing - Subsidized Funding (Seq: 2)] Financing Type - Send]&gt;</t>
        </r>
      </text>
    </comment>
    <comment ref="G309" authorId="0" shapeId="0" xr:uid="{291E0F35-4172-4CA6-A80F-76BED45FB80A}">
      <text>
        <r>
          <rPr>
            <b/>
            <sz val="9"/>
            <color indexed="81"/>
            <rFont val="Tahoma"/>
            <family val="2"/>
          </rPr>
          <t>&lt;[[TCDeals] - [TC Property Current Stage (Seq: 1)] - [Property Financing - Subsidized Funding (Seq: 2)] Amount - Send]&gt;</t>
        </r>
      </text>
    </comment>
    <comment ref="I309" authorId="0" shapeId="0" xr:uid="{C1ED1787-6DE5-4012-87BC-5EDDC39F78C1}">
      <text>
        <r>
          <rPr>
            <b/>
            <sz val="9"/>
            <color indexed="81"/>
            <rFont val="Tahoma"/>
            <family val="2"/>
          </rPr>
          <t>&lt;[[TCDeals] - [TC Property Current Stage (Seq: 1)] - [Property Financing - Subsidized Funding (Seq: 2)] Interest Rate - Send]&gt;</t>
        </r>
      </text>
    </comment>
    <comment ref="K309" authorId="0" shapeId="0" xr:uid="{CF56A762-F0ED-4BA2-BB02-2523E9EE86BB}">
      <text>
        <r>
          <rPr>
            <b/>
            <sz val="9"/>
            <color indexed="81"/>
            <rFont val="Tahoma"/>
            <family val="2"/>
          </rPr>
          <t>&lt;[[TCDeals] - [TC Property Current Stage (Seq: 1)] - [Property Financing - Subsidized Funding (Seq: 2)] Loan Term - Send]&gt;</t>
        </r>
      </text>
    </comment>
    <comment ref="C310" authorId="0" shapeId="0" xr:uid="{55EE4770-B466-4485-B15A-ED5AD20FB95D}">
      <text>
        <r>
          <rPr>
            <b/>
            <sz val="9"/>
            <color indexed="81"/>
            <rFont val="Tahoma"/>
            <family val="2"/>
          </rPr>
          <t>&lt;[[TCDeals] - [TC Property Current Stage (Seq: 1)] - [Property Financing - Subsidized Funding (Seq: 3)] Source Name - Send]&gt;</t>
        </r>
      </text>
    </comment>
    <comment ref="E310" authorId="0" shapeId="0" xr:uid="{E632D6A8-4CE7-46D2-ADB4-EE9B3AB1491E}">
      <text>
        <r>
          <rPr>
            <b/>
            <sz val="9"/>
            <color indexed="81"/>
            <rFont val="Tahoma"/>
            <family val="2"/>
          </rPr>
          <t>&lt;[[TCDeals] - [TC Property Current Stage (Seq: 1)] - [Property Financing - Subsidized Funding (Seq: 3)] Financing Type - Send]&gt;</t>
        </r>
      </text>
    </comment>
    <comment ref="G310" authorId="0" shapeId="0" xr:uid="{788BE1A1-458A-42E4-AF94-5D84EC0D98FD}">
      <text>
        <r>
          <rPr>
            <b/>
            <sz val="9"/>
            <color indexed="81"/>
            <rFont val="Tahoma"/>
            <family val="2"/>
          </rPr>
          <t>&lt;[[TCDeals] - [TC Property Current Stage (Seq: 1)] - [Property Financing - Subsidized Funding (Seq: 3)] Amount - Send]&gt;</t>
        </r>
      </text>
    </comment>
    <comment ref="I310" authorId="0" shapeId="0" xr:uid="{C78B50FF-9E94-44A5-92E6-DB2459CFBEDF}">
      <text>
        <r>
          <rPr>
            <b/>
            <sz val="9"/>
            <color indexed="81"/>
            <rFont val="Tahoma"/>
            <family val="2"/>
          </rPr>
          <t>&lt;[[TCDeals] - [TC Property Current Stage (Seq: 1)] - [Property Financing - Subsidized Funding (Seq: 3)] Interest Rate - Send]&gt;</t>
        </r>
      </text>
    </comment>
    <comment ref="K310" authorId="0" shapeId="0" xr:uid="{C126AA00-90A5-4879-8718-D24A933A0B4E}">
      <text>
        <r>
          <rPr>
            <b/>
            <sz val="9"/>
            <color indexed="81"/>
            <rFont val="Tahoma"/>
            <family val="2"/>
          </rPr>
          <t>&lt;[[TCDeals] - [TC Property Current Stage (Seq: 1)] - [Property Financing - Subsidized Funding (Seq: 3)] Loan Term - Send]&gt;</t>
        </r>
      </text>
    </comment>
    <comment ref="C311" authorId="0" shapeId="0" xr:uid="{34F512FF-F606-43E8-8D76-A4B709FA9EB3}">
      <text>
        <r>
          <rPr>
            <b/>
            <sz val="9"/>
            <color indexed="81"/>
            <rFont val="Tahoma"/>
            <family val="2"/>
          </rPr>
          <t>&lt;[[TCDeals] - [TC Property Current Stage (Seq: 1)] - [Property Financing - Subsidized Funding (Seq: 4)] Source Name - Send]&gt;</t>
        </r>
      </text>
    </comment>
    <comment ref="E311" authorId="0" shapeId="0" xr:uid="{93BBF274-339D-4FE1-BC12-70AAC44D806E}">
      <text>
        <r>
          <rPr>
            <b/>
            <sz val="9"/>
            <color indexed="81"/>
            <rFont val="Tahoma"/>
            <family val="2"/>
          </rPr>
          <t>&lt;[[TCDeals] - [TC Property Current Stage (Seq: 1)] - [Property Financing - Subsidized Funding (Seq: 4)] Financing Type - Send]&gt;</t>
        </r>
      </text>
    </comment>
    <comment ref="G311" authorId="0" shapeId="0" xr:uid="{24F134D8-DA2B-403A-97CA-FAAB449C8E1D}">
      <text>
        <r>
          <rPr>
            <b/>
            <sz val="9"/>
            <color indexed="81"/>
            <rFont val="Tahoma"/>
            <family val="2"/>
          </rPr>
          <t>&lt;[[TCDeals] - [TC Property Current Stage (Seq: 1)] - [Property Financing - Subsidized Funding (Seq: 4)] Amount - Send]&gt;</t>
        </r>
      </text>
    </comment>
    <comment ref="I311" authorId="0" shapeId="0" xr:uid="{59593C50-5278-4EA5-950E-42A8BD398BFC}">
      <text>
        <r>
          <rPr>
            <b/>
            <sz val="9"/>
            <color indexed="81"/>
            <rFont val="Tahoma"/>
            <family val="2"/>
          </rPr>
          <t>&lt;[[TCDeals] - [TC Property Current Stage (Seq: 1)] - [Property Financing - Subsidized Funding (Seq: 4)] Interest Rate - Send]&gt;</t>
        </r>
      </text>
    </comment>
    <comment ref="K311" authorId="0" shapeId="0" xr:uid="{309ADCCA-7540-4BFD-B770-568CBF86B17F}">
      <text>
        <r>
          <rPr>
            <b/>
            <sz val="9"/>
            <color indexed="81"/>
            <rFont val="Tahoma"/>
            <family val="2"/>
          </rPr>
          <t>&lt;[[TCDeals] - [TC Property Current Stage (Seq: 1)] - [Property Financing - Subsidized Funding (Seq: 4)] Loan Term - Send]&gt;</t>
        </r>
      </text>
    </comment>
    <comment ref="C312" authorId="0" shapeId="0" xr:uid="{814C44C4-8210-4148-88D7-EF8EFE00322E}">
      <text>
        <r>
          <rPr>
            <b/>
            <sz val="9"/>
            <color indexed="81"/>
            <rFont val="Tahoma"/>
            <family val="2"/>
          </rPr>
          <t>&lt;[[TCDeals] - [TC Property Current Stage (Seq: 1)] - [Property Financing - Subsidized Funding (Seq: 5)] Source Name - Send]&gt;</t>
        </r>
      </text>
    </comment>
    <comment ref="E312" authorId="0" shapeId="0" xr:uid="{EA520B6C-0BB2-4A57-8E85-186F3B335870}">
      <text>
        <r>
          <rPr>
            <b/>
            <sz val="9"/>
            <color indexed="81"/>
            <rFont val="Tahoma"/>
            <family val="2"/>
          </rPr>
          <t>&lt;[[TCDeals] - [TC Property Current Stage (Seq: 1)] - [Property Financing - Subsidized Funding (Seq: 5)] Financing Type - Send]&gt;</t>
        </r>
      </text>
    </comment>
    <comment ref="G312" authorId="0" shapeId="0" xr:uid="{AE3CE663-E555-4FCA-AFFB-ACC031D6B074}">
      <text>
        <r>
          <rPr>
            <b/>
            <sz val="9"/>
            <color indexed="81"/>
            <rFont val="Tahoma"/>
            <family val="2"/>
          </rPr>
          <t>&lt;[[TCDeals] - [TC Property Current Stage (Seq: 1)] - [Property Financing - Subsidized Funding (Seq: 5)] Amount - Send]&gt;</t>
        </r>
      </text>
    </comment>
    <comment ref="I312" authorId="0" shapeId="0" xr:uid="{1CDD8FDD-946F-4F16-8418-E02B91D65E33}">
      <text>
        <r>
          <rPr>
            <b/>
            <sz val="9"/>
            <color indexed="81"/>
            <rFont val="Tahoma"/>
            <family val="2"/>
          </rPr>
          <t>&lt;[[TCDeals] - [TC Property Current Stage (Seq: 1)] - [Property Financing - Subsidized Funding (Seq: 5)] Interest Rate - Send]&gt;</t>
        </r>
      </text>
    </comment>
    <comment ref="K312" authorId="0" shapeId="0" xr:uid="{6169AEC9-27EB-485D-B342-AC64460E1630}">
      <text>
        <r>
          <rPr>
            <b/>
            <sz val="9"/>
            <color indexed="81"/>
            <rFont val="Tahoma"/>
            <family val="2"/>
          </rPr>
          <t>&lt;[[TCDeals] - [TC Property Current Stage (Seq: 1)] - [Property Financing - Subsidized Funding (Seq: 5)] Loan Term - Send]&gt;</t>
        </r>
      </text>
    </comment>
    <comment ref="C313" authorId="0" shapeId="0" xr:uid="{D65BFA8E-6201-4B8E-840E-7FC4EC7FDF7B}">
      <text>
        <r>
          <rPr>
            <b/>
            <sz val="9"/>
            <color indexed="81"/>
            <rFont val="Tahoma"/>
            <family val="2"/>
          </rPr>
          <t>&lt;[[TCDeals] - [TC Property Current Stage (Seq: 1)] - [Property Financing - Subsidized Funding (Seq: 6)] Source Name - Send]&gt;</t>
        </r>
      </text>
    </comment>
    <comment ref="E313" authorId="0" shapeId="0" xr:uid="{D154EAB8-4ED7-4ECE-AFE9-230DFFAEE5B3}">
      <text>
        <r>
          <rPr>
            <b/>
            <sz val="9"/>
            <color indexed="81"/>
            <rFont val="Tahoma"/>
            <family val="2"/>
          </rPr>
          <t>&lt;[[TCDeals] - [TC Property Current Stage (Seq: 1)] - [Property Financing - Subsidized Funding (Seq: 6)] Financing Type - Send]&gt;</t>
        </r>
      </text>
    </comment>
    <comment ref="G313" authorId="0" shapeId="0" xr:uid="{BC55C2C8-99F7-4881-9EBB-16D7AEF7DE82}">
      <text>
        <r>
          <rPr>
            <b/>
            <sz val="9"/>
            <color indexed="81"/>
            <rFont val="Tahoma"/>
            <family val="2"/>
          </rPr>
          <t>&lt;[[TCDeals] - [TC Property Current Stage (Seq: 1)] - [Property Financing - Subsidized Funding (Seq: 6)] Amount - Send]&gt;</t>
        </r>
      </text>
    </comment>
    <comment ref="I313" authorId="0" shapeId="0" xr:uid="{C7A19579-5AC8-4959-A56E-94027252CD7B}">
      <text>
        <r>
          <rPr>
            <b/>
            <sz val="9"/>
            <color indexed="81"/>
            <rFont val="Tahoma"/>
            <family val="2"/>
          </rPr>
          <t>&lt;[[TCDeals] - [TC Property Current Stage (Seq: 1)] - [Property Financing - Subsidized Funding (Seq: 6)] Interest Rate - Send]&gt;</t>
        </r>
      </text>
    </comment>
    <comment ref="K313" authorId="0" shapeId="0" xr:uid="{6D8A2249-BE93-4F79-B393-1E00ACA7ABBB}">
      <text>
        <r>
          <rPr>
            <b/>
            <sz val="9"/>
            <color indexed="81"/>
            <rFont val="Tahoma"/>
            <family val="2"/>
          </rPr>
          <t>&lt;[[TCDeals] - [TC Property Current Stage (Seq: 1)] - [Property Financing - Subsidized Funding (Seq: 6)] Loan Term - Send]&gt;</t>
        </r>
      </text>
    </comment>
    <comment ref="C314" authorId="0" shapeId="0" xr:uid="{F01EB02F-98FF-4149-B0C2-2776DE041E82}">
      <text>
        <r>
          <rPr>
            <b/>
            <sz val="9"/>
            <color indexed="81"/>
            <rFont val="Tahoma"/>
            <family val="2"/>
          </rPr>
          <t>&lt;[[TCDeals] - [TC Property Current Stage (Seq: 1)] - [Property Financing - Subsidized Funding (Seq: 7)] Source Name - Send]&gt;</t>
        </r>
      </text>
    </comment>
    <comment ref="E314" authorId="0" shapeId="0" xr:uid="{D038E040-8F4F-4242-9410-EF27FA811BEA}">
      <text>
        <r>
          <rPr>
            <b/>
            <sz val="9"/>
            <color indexed="81"/>
            <rFont val="Tahoma"/>
            <family val="2"/>
          </rPr>
          <t>&lt;[[TCDeals] - [TC Property Current Stage (Seq: 1)] - [Property Financing - Subsidized Funding (Seq: 7)] Financing Type - Send]&gt;</t>
        </r>
      </text>
    </comment>
    <comment ref="G314" authorId="0" shapeId="0" xr:uid="{B44DCC6F-EF92-4573-ACEE-65541FDDD269}">
      <text>
        <r>
          <rPr>
            <b/>
            <sz val="9"/>
            <color indexed="81"/>
            <rFont val="Tahoma"/>
            <family val="2"/>
          </rPr>
          <t>&lt;[[TCDeals] - [TC Property Current Stage (Seq: 1)] - [Property Financing - Subsidized Funding (Seq: 7)] Amount - Send]&gt;</t>
        </r>
      </text>
    </comment>
    <comment ref="I314" authorId="0" shapeId="0" xr:uid="{4BA7CACF-4F83-44A2-9646-F93BACE43F30}">
      <text>
        <r>
          <rPr>
            <b/>
            <sz val="9"/>
            <color indexed="81"/>
            <rFont val="Tahoma"/>
            <family val="2"/>
          </rPr>
          <t>&lt;[[TCDeals] - [TC Property Current Stage (Seq: 1)] - [Property Financing - Subsidized Funding (Seq: 7)] Interest Rate - Send]&gt;</t>
        </r>
      </text>
    </comment>
    <comment ref="K314" authorId="0" shapeId="0" xr:uid="{34C21FFE-3888-47CA-B415-1AB190F63B95}">
      <text>
        <r>
          <rPr>
            <b/>
            <sz val="9"/>
            <color indexed="81"/>
            <rFont val="Tahoma"/>
            <family val="2"/>
          </rPr>
          <t>&lt;[[TCDeals] - [TC Property Current Stage (Seq: 1)] - [Property Financing - Subsidized Funding (Seq: 7)] Loan Term - Send]&gt;</t>
        </r>
      </text>
    </comment>
    <comment ref="C315" authorId="0" shapeId="0" xr:uid="{0F3A2E8C-D0F5-477E-96F9-FDB74277535A}">
      <text>
        <r>
          <rPr>
            <b/>
            <sz val="9"/>
            <color indexed="81"/>
            <rFont val="Tahoma"/>
            <family val="2"/>
          </rPr>
          <t>&lt;[[TCDeals] - [TC Property Current Stage (Seq: 1)] - [Property Financing - Subsidized Funding (Seq: 8)] Source Name - Send]&gt;</t>
        </r>
      </text>
    </comment>
    <comment ref="E315" authorId="0" shapeId="0" xr:uid="{B0DA1C76-3E65-444D-B999-83C849770118}">
      <text>
        <r>
          <rPr>
            <b/>
            <sz val="9"/>
            <color indexed="81"/>
            <rFont val="Tahoma"/>
            <family val="2"/>
          </rPr>
          <t>&lt;[[TCDeals] - [TC Property Current Stage (Seq: 1)] - [Property Financing - Subsidized Funding (Seq: 8)] Financing Type - Send]&gt;</t>
        </r>
      </text>
    </comment>
    <comment ref="G315" authorId="0" shapeId="0" xr:uid="{9860B17A-0703-4451-8207-6FA334DF125F}">
      <text>
        <r>
          <rPr>
            <b/>
            <sz val="9"/>
            <color indexed="81"/>
            <rFont val="Tahoma"/>
            <family val="2"/>
          </rPr>
          <t>&lt;[[TCDeals] - [TC Property Current Stage (Seq: 1)] - [Property Financing - Subsidized Funding (Seq: 8)] Amount - Send]&gt;</t>
        </r>
      </text>
    </comment>
    <comment ref="I315" authorId="0" shapeId="0" xr:uid="{88167DB0-2EAE-404A-B8CC-6B5B1AD0FDB1}">
      <text>
        <r>
          <rPr>
            <b/>
            <sz val="9"/>
            <color indexed="81"/>
            <rFont val="Tahoma"/>
            <family val="2"/>
          </rPr>
          <t>&lt;[[TCDeals] - [TC Property Current Stage (Seq: 1)] - [Property Financing - Subsidized Funding (Seq: 8)] Interest Rate - Send]&gt;</t>
        </r>
      </text>
    </comment>
    <comment ref="K315" authorId="0" shapeId="0" xr:uid="{AA4FC088-2667-4BAA-9E9A-EF722C7BCE8F}">
      <text>
        <r>
          <rPr>
            <b/>
            <sz val="9"/>
            <color indexed="81"/>
            <rFont val="Tahoma"/>
            <family val="2"/>
          </rPr>
          <t>&lt;[[TCDeals] - [TC Property Current Stage (Seq: 1)] - [Property Financing - Subsidized Funding (Seq: 8)] Loan Term - Send]&gt;</t>
        </r>
      </text>
    </comment>
    <comment ref="C316" authorId="0" shapeId="0" xr:uid="{01F5EEE1-C73B-46C5-A747-11E3E9CD6A77}">
      <text>
        <r>
          <rPr>
            <b/>
            <sz val="9"/>
            <color indexed="81"/>
            <rFont val="Tahoma"/>
            <family val="2"/>
          </rPr>
          <t>&lt;[[TCDeals] - [TC Property Current Stage (Seq: 1)] - [Property Financing - Subsidized Funding (Seq: 9)] Source Name - Send]&gt;</t>
        </r>
      </text>
    </comment>
    <comment ref="E316" authorId="0" shapeId="0" xr:uid="{1A4F05BA-AA42-49E5-8032-DF5274F5B7C0}">
      <text>
        <r>
          <rPr>
            <b/>
            <sz val="9"/>
            <color indexed="81"/>
            <rFont val="Tahoma"/>
            <family val="2"/>
          </rPr>
          <t>&lt;[[TCDeals] - [TC Property Current Stage (Seq: 1)] - [Property Financing - Subsidized Funding (Seq: 9)] Financing Type - Send]&gt;</t>
        </r>
      </text>
    </comment>
    <comment ref="G316" authorId="0" shapeId="0" xr:uid="{CF1020D6-7DAA-4F5A-A7EB-F0B4C54DD62B}">
      <text>
        <r>
          <rPr>
            <b/>
            <sz val="9"/>
            <color indexed="81"/>
            <rFont val="Tahoma"/>
            <family val="2"/>
          </rPr>
          <t>&lt;[[TCDeals] - [TC Property Current Stage (Seq: 1)] - [Property Financing - Subsidized Funding (Seq: 9)] Amount - Send]&gt;</t>
        </r>
      </text>
    </comment>
    <comment ref="I316" authorId="0" shapeId="0" xr:uid="{A97F7A86-19AA-40B5-94AB-FEDF333CCAFC}">
      <text>
        <r>
          <rPr>
            <b/>
            <sz val="9"/>
            <color indexed="81"/>
            <rFont val="Tahoma"/>
            <family val="2"/>
          </rPr>
          <t>&lt;[[TCDeals] - [TC Property Current Stage (Seq: 1)] - [Property Financing - Subsidized Funding (Seq: 9)] Interest Rate - Send]&gt;</t>
        </r>
      </text>
    </comment>
    <comment ref="K316" authorId="0" shapeId="0" xr:uid="{2559FA5E-8487-47D3-995A-539AC654A18D}">
      <text>
        <r>
          <rPr>
            <b/>
            <sz val="9"/>
            <color indexed="81"/>
            <rFont val="Tahoma"/>
            <family val="2"/>
          </rPr>
          <t>&lt;[[TCDeals] - [TC Property Current Stage (Seq: 1)] - [Property Financing - Subsidized Funding (Seq: 9)] Loan Term - Send]&gt;</t>
        </r>
      </text>
    </comment>
    <comment ref="C317" authorId="0" shapeId="0" xr:uid="{A6B5EFFA-42E4-462C-B70A-81A70B09B697}">
      <text>
        <r>
          <rPr>
            <b/>
            <sz val="9"/>
            <color indexed="81"/>
            <rFont val="Tahoma"/>
            <family val="2"/>
          </rPr>
          <t>&lt;[[TCDeals] - [TC Property Current Stage (Seq: 1)] - [Property Financing - Subsidized Funding (Seq: 10)] Source Name - Send]&gt;</t>
        </r>
      </text>
    </comment>
    <comment ref="E317" authorId="0" shapeId="0" xr:uid="{CC919806-AB80-4C39-B046-ECC499C098F7}">
      <text>
        <r>
          <rPr>
            <b/>
            <sz val="9"/>
            <color indexed="81"/>
            <rFont val="Tahoma"/>
            <family val="2"/>
          </rPr>
          <t>&lt;[[TCDeals] - [TC Property Current Stage (Seq: 1)] - [Property Financing - Subsidized Funding (Seq: 10)] Financing Type - Send]&gt;</t>
        </r>
      </text>
    </comment>
    <comment ref="G317" authorId="0" shapeId="0" xr:uid="{450A19A9-EDB5-40FB-994F-44C23B97AEA3}">
      <text>
        <r>
          <rPr>
            <b/>
            <sz val="9"/>
            <color indexed="81"/>
            <rFont val="Tahoma"/>
            <family val="2"/>
          </rPr>
          <t>&lt;[[TCDeals] - [TC Property Current Stage (Seq: 1)] - [Property Financing - Subsidized Funding (Seq: 10)] Amount - Send]&gt;</t>
        </r>
      </text>
    </comment>
    <comment ref="I317" authorId="0" shapeId="0" xr:uid="{7DC37AD2-36F8-4CBB-B54F-BF2A4837D8D9}">
      <text>
        <r>
          <rPr>
            <b/>
            <sz val="9"/>
            <color indexed="81"/>
            <rFont val="Tahoma"/>
            <family val="2"/>
          </rPr>
          <t>&lt;[[TCDeals] - [TC Property Current Stage (Seq: 1)] - [Property Financing - Subsidized Funding (Seq: 10)] Interest Rate - Send]&gt;</t>
        </r>
      </text>
    </comment>
    <comment ref="K317" authorId="0" shapeId="0" xr:uid="{F732342A-4F38-40A2-A98D-86FFF434F315}">
      <text>
        <r>
          <rPr>
            <b/>
            <sz val="9"/>
            <color indexed="81"/>
            <rFont val="Tahoma"/>
            <family val="2"/>
          </rPr>
          <t>&lt;[[TCDeals] - [TC Property Current Stage (Seq: 1)] - [Property Financing - Subsidized Funding (Seq: 10)] Loan Term - Send]&gt;</t>
        </r>
      </text>
    </comment>
    <comment ref="C318" authorId="0" shapeId="0" xr:uid="{290C6247-8EEE-4B42-B1E7-EE03BF762152}">
      <text>
        <r>
          <rPr>
            <b/>
            <sz val="9"/>
            <color indexed="81"/>
            <rFont val="Tahoma"/>
            <family val="2"/>
          </rPr>
          <t>&lt;[[TCDeals] - [TC Property Current Stage (Seq: 1)] - [Property Financing - Subsidized Funding (Seq: 11)] Source Name - Send]&gt;</t>
        </r>
      </text>
    </comment>
    <comment ref="E318" authorId="0" shapeId="0" xr:uid="{E4D115FB-CCCF-49EC-8698-2971C0DC06CA}">
      <text>
        <r>
          <rPr>
            <b/>
            <sz val="9"/>
            <color indexed="81"/>
            <rFont val="Tahoma"/>
            <family val="2"/>
          </rPr>
          <t>&lt;[[TCDeals] - [TC Property Current Stage (Seq: 1)] - [Property Financing - Subsidized Funding (Seq: 11)] Financing Type - Send]&gt;</t>
        </r>
      </text>
    </comment>
    <comment ref="G318" authorId="0" shapeId="0" xr:uid="{9E178F33-BF9B-439F-B573-E1A34A493872}">
      <text>
        <r>
          <rPr>
            <b/>
            <sz val="9"/>
            <color indexed="81"/>
            <rFont val="Tahoma"/>
            <family val="2"/>
          </rPr>
          <t>&lt;[[TCDeals] - [TC Property Current Stage (Seq: 1)] - [Property Financing - Subsidized Funding (Seq: 11)] Amount - Send]&gt;</t>
        </r>
      </text>
    </comment>
    <comment ref="I318" authorId="0" shapeId="0" xr:uid="{B7E6E87D-357C-4FFC-9472-900A9F67B7DB}">
      <text>
        <r>
          <rPr>
            <b/>
            <sz val="9"/>
            <color indexed="81"/>
            <rFont val="Tahoma"/>
            <family val="2"/>
          </rPr>
          <t>&lt;[[TCDeals] - [TC Property Current Stage (Seq: 1)] - [Property Financing - Subsidized Funding (Seq: 11)] Interest Rate - Send]&gt;</t>
        </r>
      </text>
    </comment>
    <comment ref="K318" authorId="0" shapeId="0" xr:uid="{96A8CD44-3684-41A2-AF3F-D219DDF325C4}">
      <text>
        <r>
          <rPr>
            <b/>
            <sz val="9"/>
            <color indexed="81"/>
            <rFont val="Tahoma"/>
            <family val="2"/>
          </rPr>
          <t>&lt;[[TCDeals] - [TC Property Current Stage (Seq: 1)] - [Property Financing - Subsidized Funding (Seq: 11)] Loan Term - Send]&gt;</t>
        </r>
      </text>
    </comment>
    <comment ref="C319" authorId="0" shapeId="0" xr:uid="{5DB0805A-BD37-442D-85CC-9E95A3B4A20D}">
      <text>
        <r>
          <rPr>
            <b/>
            <sz val="9"/>
            <color indexed="81"/>
            <rFont val="Tahoma"/>
            <family val="2"/>
          </rPr>
          <t>&lt;[[TCDeals] - [TC Property Current Stage (Seq: 1)] - [Property Financing - Subsidized Funding (Seq: 12)] Source Name - Send]&gt;</t>
        </r>
      </text>
    </comment>
    <comment ref="E319" authorId="0" shapeId="0" xr:uid="{61910C80-DB20-4A93-96FA-9CF0C300833E}">
      <text>
        <r>
          <rPr>
            <b/>
            <sz val="9"/>
            <color indexed="81"/>
            <rFont val="Tahoma"/>
            <family val="2"/>
          </rPr>
          <t>&lt;[[TCDeals] - [TC Property Current Stage (Seq: 1)] - [Property Financing - Subsidized Funding (Seq: 12)] Financing Type - Send]&gt;</t>
        </r>
      </text>
    </comment>
    <comment ref="G319" authorId="0" shapeId="0" xr:uid="{306F35CB-74CB-46AB-81B3-73238AC0A06D}">
      <text>
        <r>
          <rPr>
            <b/>
            <sz val="9"/>
            <color indexed="81"/>
            <rFont val="Tahoma"/>
            <family val="2"/>
          </rPr>
          <t>&lt;[[TCDeals] - [TC Property Current Stage (Seq: 1)] - [Property Financing - Subsidized Funding (Seq: 12)] Amount - Send]&gt;</t>
        </r>
      </text>
    </comment>
    <comment ref="I319" authorId="0" shapeId="0" xr:uid="{665D32E9-7554-4D66-A76D-24C4BEF0493E}">
      <text>
        <r>
          <rPr>
            <b/>
            <sz val="9"/>
            <color indexed="81"/>
            <rFont val="Tahoma"/>
            <family val="2"/>
          </rPr>
          <t>&lt;[[TCDeals] - [TC Property Current Stage (Seq: 1)] - [Property Financing - Subsidized Funding (Seq: 12)] Interest Rate - Send]&gt;</t>
        </r>
      </text>
    </comment>
    <comment ref="K319" authorId="0" shapeId="0" xr:uid="{8AD3E82B-2184-4832-A9FC-4CA1E41F7A47}">
      <text>
        <r>
          <rPr>
            <b/>
            <sz val="9"/>
            <color indexed="81"/>
            <rFont val="Tahoma"/>
            <family val="2"/>
          </rPr>
          <t>&lt;[[TCDeals] - [TC Property Current Stage (Seq: 1)] - [Property Financing - Subsidized Funding (Seq: 12)] Loan Term - Send]&gt;</t>
        </r>
      </text>
    </comment>
    <comment ref="AC324" authorId="1" shapeId="0" xr:uid="{BEAD8D30-50C2-409D-B21E-762EF86886E5}">
      <text>
        <r>
          <rPr>
            <b/>
            <sz val="9"/>
            <color indexed="81"/>
            <rFont val="Tahoma"/>
            <family val="2"/>
          </rPr>
          <t>&lt;[[TCDeals] - [Associated DEV Deal (Seq: 1)] - [Budget Initial (Seq: 1)] SC - Land Acquisition - Send]&gt;</t>
        </r>
      </text>
    </comment>
    <comment ref="C325" authorId="1" shapeId="0" xr:uid="{21EBFB85-BCE2-4472-BACD-4B8E78987C09}">
      <text>
        <r>
          <rPr>
            <b/>
            <sz val="9"/>
            <color indexed="81"/>
            <rFont val="Tahoma"/>
            <family val="2"/>
          </rPr>
          <t>&lt;[[TCDeals] - [TC Property Current Stage (Seq: 1)] - [Actual Costs (Seq: 1)] Land Acq Cost - Send]&gt;</t>
        </r>
      </text>
    </comment>
    <comment ref="D325" authorId="1" shapeId="0" xr:uid="{2AB8BA79-7E28-4C5A-9C90-FF7D20BAE6DC}">
      <text>
        <r>
          <rPr>
            <b/>
            <sz val="9"/>
            <color indexed="81"/>
            <rFont val="Tahoma"/>
            <family val="2"/>
          </rPr>
          <t>&lt;[[TCDeals] - [TC Property Current Stage (Seq: 1)] - [4% Construction Costs (Seq: 1)] Land Acq Cost - Send]&gt;</t>
        </r>
      </text>
    </comment>
    <comment ref="E325" authorId="1" shapeId="0" xr:uid="{CFCABF45-E60E-4E8B-BA29-D7FAAF531215}">
      <text>
        <r>
          <rPr>
            <b/>
            <sz val="9"/>
            <color indexed="81"/>
            <rFont val="Tahoma"/>
            <family val="2"/>
          </rPr>
          <t>&lt;[[TCDeals] - [TC Property Current Stage (Seq: 1)] - [9% Construction Costs (Seq: 1)] Land Acq Cost - Send]&gt;</t>
        </r>
      </text>
    </comment>
    <comment ref="F325" authorId="1" shapeId="0" xr:uid="{0566D404-E63E-4DEF-884F-EE37434D5C7B}">
      <text>
        <r>
          <rPr>
            <b/>
            <sz val="9"/>
            <color indexed="81"/>
            <rFont val="Tahoma"/>
            <family val="2"/>
          </rPr>
          <t>&lt;[[TCDeals] - [TC Property Current Stage (Seq: 1)] - [State LIHTC Property Costs (Seq: 1)] Land Acq Cost - Send]&gt;</t>
        </r>
      </text>
    </comment>
    <comment ref="AC325" authorId="1" shapeId="0" xr:uid="{6AB79EAE-DE95-4D4E-AFC5-826AA2C45FBC}">
      <text>
        <r>
          <rPr>
            <b/>
            <sz val="9"/>
            <color indexed="81"/>
            <rFont val="Tahoma"/>
            <family val="2"/>
          </rPr>
          <t>&lt;[[TCDeals] - [Associated DEV Deal (Seq: 1)] - [Budget Initial (Seq: 1)] SC - Acquisition - Send]&gt;</t>
        </r>
      </text>
    </comment>
    <comment ref="C326" authorId="1" shapeId="0" xr:uid="{BC7FF734-FDAD-41FB-B94E-4FEF3F78B722}">
      <text>
        <r>
          <rPr>
            <b/>
            <sz val="9"/>
            <color indexed="81"/>
            <rFont val="Tahoma"/>
            <family val="2"/>
          </rPr>
          <t>&lt;[[TCDeals] - [TC Property Current Stage (Seq: 1)] - [Actual Costs (Seq: 1)] Existing Improvements Cost - Send]&gt;</t>
        </r>
      </text>
    </comment>
    <comment ref="D326" authorId="1" shapeId="0" xr:uid="{76CD0A49-A8FF-4C52-B4EF-2B8A260E275D}">
      <text>
        <r>
          <rPr>
            <b/>
            <sz val="9"/>
            <color indexed="81"/>
            <rFont val="Tahoma"/>
            <family val="2"/>
          </rPr>
          <t>&lt;[[TCDeals] - [TC Property Current Stage (Seq: 1)] - [4% Construction Costs (Seq: 1)] Existing Improvements Cost - Send]&gt;</t>
        </r>
      </text>
    </comment>
    <comment ref="E326" authorId="1" shapeId="0" xr:uid="{C5B7907E-1C2C-43BE-9F78-5CFD5F7088B6}">
      <text>
        <r>
          <rPr>
            <b/>
            <sz val="9"/>
            <color indexed="81"/>
            <rFont val="Tahoma"/>
            <family val="2"/>
          </rPr>
          <t>&lt;[[TCDeals] - [TC Property Current Stage (Seq: 1)] - [9% Construction Costs (Seq: 1)] Existing Improvements Cost - Send]&gt;</t>
        </r>
      </text>
    </comment>
    <comment ref="F326" authorId="1" shapeId="0" xr:uid="{9380BAF2-7ED6-4A79-BBF2-732076CBC2E0}">
      <text>
        <r>
          <rPr>
            <b/>
            <sz val="9"/>
            <color indexed="81"/>
            <rFont val="Tahoma"/>
            <family val="2"/>
          </rPr>
          <t>&lt;[[TCDeals] - [TC Property Current Stage (Seq: 1)] - [State LIHTC Property Costs (Seq: 1)] Existing Improvements Cost - Send]&gt;</t>
        </r>
      </text>
    </comment>
    <comment ref="C327" authorId="1" shapeId="0" xr:uid="{AC669674-9851-478D-830A-891403FADB0C}">
      <text>
        <r>
          <rPr>
            <b/>
            <sz val="9"/>
            <color indexed="81"/>
            <rFont val="Tahoma"/>
            <family val="2"/>
          </rPr>
          <t>&lt;[[TCDeals] - [TC Property Current Stage (Seq: 1)] - [Actual Costs (Seq: 1)] Actual Addl Cost 1 - Send]&gt;</t>
        </r>
      </text>
    </comment>
    <comment ref="D327" authorId="1" shapeId="0" xr:uid="{597D5F24-5FD3-4D5D-93EC-1B48E18CC140}">
      <text>
        <r>
          <rPr>
            <b/>
            <sz val="9"/>
            <color indexed="81"/>
            <rFont val="Tahoma"/>
            <family val="2"/>
          </rPr>
          <t>&lt;[[TCDeals] - [TC Property Current Stage (Seq: 1)] - [4% Construction Costs (Seq: 1)] Rehab Addl Cost 1 - Send]&gt;</t>
        </r>
      </text>
    </comment>
    <comment ref="E327" authorId="1" shapeId="0" xr:uid="{BB05BE02-9440-49A9-8F35-A1EF7EDF9F1A}">
      <text>
        <r>
          <rPr>
            <b/>
            <sz val="9"/>
            <color indexed="81"/>
            <rFont val="Tahoma"/>
            <family val="2"/>
          </rPr>
          <t>&lt;[[TCDeals] - [TC Property Current Stage (Seq: 1)] - [9% Construction Costs (Seq: 1)] PVC Addl Cost 1 - Send]&gt;</t>
        </r>
      </text>
    </comment>
    <comment ref="F327" authorId="1" shapeId="0" xr:uid="{622149AB-3A8A-4E96-B160-8FDE9671DBDD}">
      <text>
        <r>
          <rPr>
            <b/>
            <sz val="9"/>
            <color indexed="81"/>
            <rFont val="Tahoma"/>
            <family val="2"/>
          </rPr>
          <t>&lt;[[TCDeals] - [TC Property Current Stage (Seq: 1)] - [State LIHTC Property Costs (Seq: 1)] Additional Costs1 - Send]&gt;</t>
        </r>
      </text>
    </comment>
    <comment ref="AC328" authorId="1" shapeId="0" xr:uid="{8C4920D4-84C7-42D3-9A4D-7B0C57F55820}">
      <text>
        <r>
          <rPr>
            <b/>
            <sz val="9"/>
            <color indexed="81"/>
            <rFont val="Tahoma"/>
            <family val="2"/>
          </rPr>
          <t>&lt;[[TCDeals] - [Associated DEV Deal (Seq: 1)] - [Budget Initial (Seq: 1)] HC - Structures - Send]&gt;</t>
        </r>
      </text>
    </comment>
    <comment ref="AC330" authorId="1" shapeId="0" xr:uid="{019C7BB2-26A1-432D-AD71-2A4C499EEC36}">
      <text>
        <r>
          <rPr>
            <b/>
            <sz val="9"/>
            <color indexed="81"/>
            <rFont val="Tahoma"/>
            <family val="2"/>
          </rPr>
          <t>&lt;[[TCDeals] - [Associated DEV Deal (Seq: 1)] - [Budget Initial (Seq: 1)] HC - Accessory Structures - Send]&gt;</t>
        </r>
      </text>
    </comment>
    <comment ref="AC331" authorId="1" shapeId="0" xr:uid="{A6DF6E10-8EB7-4B36-8255-8E2A3114ADAC}">
      <text>
        <r>
          <rPr>
            <b/>
            <sz val="9"/>
            <color indexed="81"/>
            <rFont val="Tahoma"/>
            <family val="2"/>
          </rPr>
          <t>&lt;[[TCDeals] - [Associated DEV Deal (Seq: 1)] - [Budget Initial (Seq: 1)] HC - Other1 - Send]&gt;</t>
        </r>
      </text>
    </comment>
    <comment ref="AE331" authorId="1" shapeId="0" xr:uid="{46C7C069-70C1-43A0-828C-D049961C631C}">
      <text>
        <r>
          <rPr>
            <b/>
            <sz val="9"/>
            <color indexed="81"/>
            <rFont val="Tahoma"/>
            <family val="2"/>
          </rPr>
          <t>&lt;[[TCDeals] - [Associated DEV Deal (Seq: 1)] - [Budget Initial (Seq: 1)] HC - Other1 Comments - Send]&gt;</t>
        </r>
      </text>
    </comment>
    <comment ref="C332" authorId="1" shapeId="0" xr:uid="{3DEB7922-4ADF-465F-B227-F594F6995CF7}">
      <text>
        <r>
          <rPr>
            <b/>
            <sz val="9"/>
            <color indexed="81"/>
            <rFont val="Tahoma"/>
            <family val="2"/>
          </rPr>
          <t>&lt;[[TCDeals] - [TC Property Current Stage (Seq: 1)] - [Actual Costs (Seq: 1)] Unit Structures New - Send]&gt;</t>
        </r>
      </text>
    </comment>
    <comment ref="D332" authorId="1" shapeId="0" xr:uid="{290E2D65-3042-446A-B4CE-E56B79B6C1DD}">
      <text>
        <r>
          <rPr>
            <b/>
            <sz val="9"/>
            <color indexed="81"/>
            <rFont val="Tahoma"/>
            <family val="2"/>
          </rPr>
          <t>&lt;[[TCDeals] - [TC Property Current Stage (Seq: 1)] - [4% Construction Costs (Seq: 1)] Unit Structures New - Send]&gt;</t>
        </r>
      </text>
    </comment>
    <comment ref="E332" authorId="1" shapeId="0" xr:uid="{E8EFA636-4024-46DA-8534-B354522D761B}">
      <text>
        <r>
          <rPr>
            <b/>
            <sz val="9"/>
            <color indexed="81"/>
            <rFont val="Tahoma"/>
            <family val="2"/>
          </rPr>
          <t>&lt;[[TCDeals] - [TC Property Current Stage (Seq: 1)] - [9% Construction Costs (Seq: 1)] Unit Structures New - Send]&gt;</t>
        </r>
      </text>
    </comment>
    <comment ref="F332" authorId="1" shapeId="0" xr:uid="{DF897AA8-AA75-4CF4-9BF1-BF24CF971B21}">
      <text>
        <r>
          <rPr>
            <b/>
            <sz val="9"/>
            <color indexed="81"/>
            <rFont val="Tahoma"/>
            <family val="2"/>
          </rPr>
          <t>&lt;[[TCDeals] - [TC Property Current Stage (Seq: 1)] - [State LIHTC Property Costs (Seq: 1)] Unit Structures New - Send]&gt;</t>
        </r>
      </text>
    </comment>
    <comment ref="AC332" authorId="1" shapeId="0" xr:uid="{DE7E57DB-0773-4844-A8FB-1FD1F00B25EC}">
      <text>
        <r>
          <rPr>
            <b/>
            <sz val="9"/>
            <color indexed="81"/>
            <rFont val="Tahoma"/>
            <family val="2"/>
          </rPr>
          <t>&lt;[[TCDeals] - [Associated DEV Deal (Seq: 1)] - [Budget Initial (Seq: 1)] HC - Other2 - Send]&gt;</t>
        </r>
      </text>
    </comment>
    <comment ref="AE332" authorId="1" shapeId="0" xr:uid="{74F2A99F-030C-44C4-BAE8-BF9E7D18564E}">
      <text>
        <r>
          <rPr>
            <b/>
            <sz val="9"/>
            <color indexed="81"/>
            <rFont val="Tahoma"/>
            <family val="2"/>
          </rPr>
          <t>&lt;[[TCDeals] - [Associated DEV Deal (Seq: 1)] - [Budget Initial (Seq: 1)] HC - Other2 Comments - Send]&gt;</t>
        </r>
      </text>
    </comment>
    <comment ref="C333" authorId="1" shapeId="0" xr:uid="{5EE3BCC9-E8ED-427B-AAF2-C014F8217E33}">
      <text>
        <r>
          <rPr>
            <b/>
            <sz val="9"/>
            <color indexed="81"/>
            <rFont val="Tahoma"/>
            <family val="2"/>
          </rPr>
          <t>&lt;[[TCDeals] - [TC Property Current Stage (Seq: 1)] - [Actual Costs (Seq: 1)] Unit Structures Rehab - Send]&gt;</t>
        </r>
      </text>
    </comment>
    <comment ref="D333" authorId="1" shapeId="0" xr:uid="{1343F2E3-B569-4843-A729-E82931E2341F}">
      <text>
        <r>
          <rPr>
            <b/>
            <sz val="9"/>
            <color indexed="81"/>
            <rFont val="Tahoma"/>
            <family val="2"/>
          </rPr>
          <t>&lt;[[TCDeals] - [TC Property Current Stage (Seq: 1)] - [4% Construction Costs (Seq: 1)] Unit Structures Rehab - Send]&gt;</t>
        </r>
      </text>
    </comment>
    <comment ref="E333" authorId="1" shapeId="0" xr:uid="{62C1F142-314D-4DFC-BD7E-684A42C30694}">
      <text>
        <r>
          <rPr>
            <b/>
            <sz val="9"/>
            <color indexed="81"/>
            <rFont val="Tahoma"/>
            <family val="2"/>
          </rPr>
          <t>&lt;[[TCDeals] - [TC Property Current Stage (Seq: 1)] - [9% Construction Costs (Seq: 1)] Unit Structures Rehab - Send]&gt;</t>
        </r>
      </text>
    </comment>
    <comment ref="F333" authorId="1" shapeId="0" xr:uid="{EB1D1EEA-78E4-490E-BD47-C87073C06106}">
      <text>
        <r>
          <rPr>
            <b/>
            <sz val="9"/>
            <color indexed="81"/>
            <rFont val="Tahoma"/>
            <family val="2"/>
          </rPr>
          <t>&lt;[[TCDeals] - [TC Property Current Stage (Seq: 1)] - [State LIHTC Property Costs (Seq: 1)] Unit Structures Rehab - Send]&gt;</t>
        </r>
      </text>
    </comment>
    <comment ref="C334" authorId="1" shapeId="0" xr:uid="{6D9A8F73-2396-4BC6-902B-7BA584FC1804}">
      <text>
        <r>
          <rPr>
            <b/>
            <sz val="9"/>
            <color indexed="81"/>
            <rFont val="Tahoma"/>
            <family val="2"/>
          </rPr>
          <t>&lt;[[TCDeals] - [TC Property Current Stage (Seq: 1)] - [Actual Costs (Seq: 1)] Accessory Buildings - Send]&gt;</t>
        </r>
      </text>
    </comment>
    <comment ref="D334" authorId="1" shapeId="0" xr:uid="{61A203B9-C2AF-4E12-8BD9-8B55C5342B55}">
      <text>
        <r>
          <rPr>
            <b/>
            <sz val="9"/>
            <color indexed="81"/>
            <rFont val="Tahoma"/>
            <family val="2"/>
          </rPr>
          <t>&lt;[[TCDeals] - [TC Property Current Stage (Seq: 1)] - [4% Construction Costs (Seq: 1)] Accessory Buildings - Send]&gt;</t>
        </r>
      </text>
    </comment>
    <comment ref="E334" authorId="1" shapeId="0" xr:uid="{EC8E0817-57AA-4913-A484-FC29EA290D51}">
      <text>
        <r>
          <rPr>
            <b/>
            <sz val="9"/>
            <color indexed="81"/>
            <rFont val="Tahoma"/>
            <family val="2"/>
          </rPr>
          <t>&lt;[[TCDeals] - [TC Property Current Stage (Seq: 1)] - [9% Construction Costs (Seq: 1)] Accessory Buildings - Send]&gt;</t>
        </r>
      </text>
    </comment>
    <comment ref="F334" authorId="1" shapeId="0" xr:uid="{CDF49D84-7E72-44DB-B5E2-D78C0E3A720B}">
      <text>
        <r>
          <rPr>
            <b/>
            <sz val="9"/>
            <color indexed="81"/>
            <rFont val="Tahoma"/>
            <family val="2"/>
          </rPr>
          <t>&lt;[[TCDeals] - [TC Property Current Stage (Seq: 1)] - [State LIHTC Property Costs (Seq: 1)] Accessory Buildings - Send]&gt;</t>
        </r>
      </text>
    </comment>
    <comment ref="AC334" authorId="1" shapeId="0" xr:uid="{A2D041C5-FEB5-4223-855C-BC829E02E710}">
      <text>
        <r>
          <rPr>
            <b/>
            <sz val="9"/>
            <color indexed="81"/>
            <rFont val="Tahoma"/>
            <family val="2"/>
          </rPr>
          <t>&lt;[[TCDeals] - [Associated DEV Deal (Seq: 1)] - [Budget Initial (Seq: 1)] HC - Off Site Improvment - Send]&gt;</t>
        </r>
      </text>
    </comment>
    <comment ref="C335" authorId="1" shapeId="0" xr:uid="{ADA3B1B8-5CE3-4867-8CAE-C3B07C8F771E}">
      <text>
        <r>
          <rPr>
            <b/>
            <sz val="9"/>
            <color indexed="81"/>
            <rFont val="Tahoma"/>
            <family val="2"/>
          </rPr>
          <t>&lt;[[TCDeals] - [TC Property Current Stage (Seq: 1)] - [Actual Costs (Seq: 1)] Other Costs - Send]&gt;</t>
        </r>
      </text>
    </comment>
    <comment ref="D335" authorId="1" shapeId="0" xr:uid="{62269DDB-FFEB-4FEA-87CE-A1BD28C29BF2}">
      <text>
        <r>
          <rPr>
            <b/>
            <sz val="9"/>
            <color indexed="81"/>
            <rFont val="Tahoma"/>
            <family val="2"/>
          </rPr>
          <t>&lt;[[TCDeals] - [TC Property Current Stage (Seq: 1)] - [4% Construction Costs (Seq: 1)] Other Costs - Send]&gt;</t>
        </r>
      </text>
    </comment>
    <comment ref="E335" authorId="1" shapeId="0" xr:uid="{604CD027-9B43-4A7E-AAA6-0C19A4B51E6F}">
      <text>
        <r>
          <rPr>
            <b/>
            <sz val="9"/>
            <color indexed="81"/>
            <rFont val="Tahoma"/>
            <family val="2"/>
          </rPr>
          <t>&lt;[[TCDeals] - [TC Property Current Stage (Seq: 1)] - [9% Construction Costs (Seq: 1)] Other Costs - Send]&gt;</t>
        </r>
      </text>
    </comment>
    <comment ref="F335" authorId="1" shapeId="0" xr:uid="{41E48771-64C6-4394-BC80-50EAD1E5F829}">
      <text>
        <r>
          <rPr>
            <b/>
            <sz val="9"/>
            <color indexed="81"/>
            <rFont val="Tahoma"/>
            <family val="2"/>
          </rPr>
          <t>&lt;[[TCDeals] - [TC Property Current Stage (Seq: 1)] - [State LIHTC Property Costs (Seq: 1)] Other Costs - Send]&gt;</t>
        </r>
      </text>
    </comment>
    <comment ref="C336" authorId="1" shapeId="0" xr:uid="{A8044C79-15E0-4860-824F-4E2C0E5A444C}">
      <text>
        <r>
          <rPr>
            <b/>
            <sz val="9"/>
            <color indexed="81"/>
            <rFont val="Tahoma"/>
            <family val="2"/>
          </rPr>
          <t>&lt;[[TCDeals] - [TC Property Current Stage (Seq: 1)] - [Actual Costs (Seq: 1)] Actual Addl Cost 2 - Send]&gt;</t>
        </r>
      </text>
    </comment>
    <comment ref="D336" authorId="1" shapeId="0" xr:uid="{9702BEFA-4456-42AD-BEDA-6B4CEE835D00}">
      <text>
        <r>
          <rPr>
            <b/>
            <sz val="9"/>
            <color indexed="81"/>
            <rFont val="Tahoma"/>
            <family val="2"/>
          </rPr>
          <t>&lt;[[TCDeals] - [TC Property Current Stage (Seq: 1)] - [4% Construction Costs (Seq: 1)] Rehab Addl Cost 2 - Send]&gt;</t>
        </r>
      </text>
    </comment>
    <comment ref="E336" authorId="1" shapeId="0" xr:uid="{9C59C278-A105-4AF9-8246-542238F3789C}">
      <text>
        <r>
          <rPr>
            <b/>
            <sz val="9"/>
            <color indexed="81"/>
            <rFont val="Tahoma"/>
            <family val="2"/>
          </rPr>
          <t>&lt;[[TCDeals] - [TC Property Current Stage (Seq: 1)] - [9% Construction Costs (Seq: 1)] PVC Addl Cost 2 - Send]&gt;</t>
        </r>
      </text>
    </comment>
    <comment ref="F336" authorId="1" shapeId="0" xr:uid="{A87D8FB4-C7E6-4A5C-BA5C-E278C3FFEA97}">
      <text>
        <r>
          <rPr>
            <b/>
            <sz val="9"/>
            <color indexed="81"/>
            <rFont val="Tahoma"/>
            <family val="2"/>
          </rPr>
          <t>&lt;[[TCDeals] - [TC Property Current Stage (Seq: 1)] - [State LIHTC Property Costs (Seq: 1)] Additional Costs2 - Send]&gt;</t>
        </r>
      </text>
    </comment>
    <comment ref="AC336" authorId="1" shapeId="0" xr:uid="{E5983844-BEB7-4EB6-8F18-812599EB4C0E}">
      <text>
        <r>
          <rPr>
            <b/>
            <sz val="9"/>
            <color indexed="81"/>
            <rFont val="Tahoma"/>
            <family val="2"/>
          </rPr>
          <t>&lt;[[TCDeals] - [Associated DEV Deal (Seq: 1)] - [Budget Initial (Seq: 1)] HC - Demolition - Send]&gt;</t>
        </r>
      </text>
    </comment>
    <comment ref="AC337" authorId="1" shapeId="0" xr:uid="{5552C08A-F2F7-40B3-8263-A9D0A532FD47}">
      <text>
        <r>
          <rPr>
            <b/>
            <sz val="9"/>
            <color indexed="81"/>
            <rFont val="Tahoma"/>
            <family val="2"/>
          </rPr>
          <t>&lt;[[TCDeals] - [Associated DEV Deal (Seq: 1)] - [Budget Initial (Seq: 1)] HC - Site Improvments - Send]&gt;</t>
        </r>
      </text>
    </comment>
    <comment ref="AC338" authorId="1" shapeId="0" xr:uid="{050D8FD0-784A-47D2-B7F6-05E5BF08C7EC}">
      <text>
        <r>
          <rPr>
            <b/>
            <sz val="9"/>
            <color indexed="81"/>
            <rFont val="Tahoma"/>
            <family val="2"/>
          </rPr>
          <t>&lt;[[TCDeals] - [Associated DEV Deal (Seq: 1)] - [Budget Initial (Seq: 1)] HC - Lawns - Send]&gt;</t>
        </r>
      </text>
    </comment>
    <comment ref="AC339" authorId="1" shapeId="0" xr:uid="{1A8BBF16-A7FB-4CEC-8ADA-8015C65CFABF}">
      <text>
        <r>
          <rPr>
            <b/>
            <sz val="9"/>
            <color indexed="81"/>
            <rFont val="Tahoma"/>
            <family val="2"/>
          </rPr>
          <t>&lt;[[TCDeals] - [Associated DEV Deal (Seq: 1)] - [Budget Initial (Seq: 1)] SC - Furn Fixt Equip - Send]&gt;</t>
        </r>
      </text>
    </comment>
    <comment ref="AC340" authorId="1" shapeId="0" xr:uid="{489A649C-6185-414E-9728-3A868907196D}">
      <text>
        <r>
          <rPr>
            <b/>
            <sz val="9"/>
            <color indexed="81"/>
            <rFont val="Tahoma"/>
            <family val="2"/>
          </rPr>
          <t>&lt;[[TCDeals] - [Associated DEV Deal (Seq: 1)] - [Budget Initial (Seq: 1)] HC - Other Work - Send]&gt;</t>
        </r>
      </text>
    </comment>
    <comment ref="AC342" authorId="1" shapeId="0" xr:uid="{C06FC9A7-56B8-4F3F-97D4-4D58DEAA4B37}">
      <text>
        <r>
          <rPr>
            <b/>
            <sz val="9"/>
            <color indexed="81"/>
            <rFont val="Tahoma"/>
            <family val="2"/>
          </rPr>
          <t>&lt;[[TCDeals] - [Associated DEV Deal (Seq: 1)] - [Budget Initial (Seq: 1)] HC - General Req - Send]&gt;</t>
        </r>
      </text>
    </comment>
    <comment ref="AC343" authorId="1" shapeId="0" xr:uid="{D80F53F3-772B-4551-9CE5-93EE5D02D426}">
      <text>
        <r>
          <rPr>
            <b/>
            <sz val="9"/>
            <color indexed="81"/>
            <rFont val="Tahoma"/>
            <family val="2"/>
          </rPr>
          <t>&lt;[[TCDeals] - [Associated DEV Deal (Seq: 1)] - [Budget Initial (Seq: 1)] HC - Overhead - Send]&gt;</t>
        </r>
      </text>
    </comment>
    <comment ref="AC344" authorId="1" shapeId="0" xr:uid="{F4D27C55-2CD5-4439-B652-8FA471B61F37}">
      <text>
        <r>
          <rPr>
            <b/>
            <sz val="9"/>
            <color indexed="81"/>
            <rFont val="Tahoma"/>
            <family val="2"/>
          </rPr>
          <t>&lt;[[TCDeals] - [Associated DEV Deal (Seq: 1)] - [Budget Initial (Seq: 1)] HC - Profit - Send]&gt;</t>
        </r>
      </text>
    </comment>
    <comment ref="C345" authorId="1" shapeId="0" xr:uid="{B8AE21DC-B66B-4C55-84BA-8D21CD84DC1E}">
      <text>
        <r>
          <rPr>
            <b/>
            <sz val="9"/>
            <color indexed="81"/>
            <rFont val="Tahoma"/>
            <family val="2"/>
          </rPr>
          <t>&lt;[[TCDeals] - [TC Property Current Stage (Seq: 1)] - [Actual Costs (Seq: 1)] Off Site Improvements - Send]&gt;</t>
        </r>
      </text>
    </comment>
    <comment ref="D345" authorId="1" shapeId="0" xr:uid="{BE98A615-6EED-43F4-8CE6-B3E5CDA246EC}">
      <text>
        <r>
          <rPr>
            <b/>
            <sz val="9"/>
            <color indexed="81"/>
            <rFont val="Tahoma"/>
            <family val="2"/>
          </rPr>
          <t>&lt;[[TCDeals] - [TC Property Current Stage (Seq: 1)] - [4% Construction Costs (Seq: 1)] Off Site Improvements - Send]&gt;</t>
        </r>
      </text>
    </comment>
    <comment ref="E345" authorId="1" shapeId="0" xr:uid="{749210C0-5689-41F6-BB17-0D4ED77960DB}">
      <text>
        <r>
          <rPr>
            <b/>
            <sz val="9"/>
            <color indexed="81"/>
            <rFont val="Tahoma"/>
            <family val="2"/>
          </rPr>
          <t>&lt;[[TCDeals] - [TC Property Current Stage (Seq: 1)] - [9% Construction Costs (Seq: 1)] Off Site Improvements - Send]&gt;</t>
        </r>
      </text>
    </comment>
    <comment ref="F345" authorId="1" shapeId="0" xr:uid="{848BC2A9-2D27-482A-AE55-079FAB081A83}">
      <text>
        <r>
          <rPr>
            <b/>
            <sz val="9"/>
            <color indexed="81"/>
            <rFont val="Tahoma"/>
            <family val="2"/>
          </rPr>
          <t>&lt;[[TCDeals] - [TC Property Current Stage (Seq: 1)] - [State LIHTC Property Costs (Seq: 1)] Off Site Improvements - Send]&gt;</t>
        </r>
      </text>
    </comment>
    <comment ref="AC345" authorId="1" shapeId="0" xr:uid="{F78C3BFC-2A17-46D6-972B-721066419425}">
      <text>
        <r>
          <rPr>
            <b/>
            <sz val="9"/>
            <color indexed="81"/>
            <rFont val="Tahoma"/>
            <family val="2"/>
          </rPr>
          <t>&lt;[[TCDeals] - [Associated DEV Deal (Seq: 1)] - [Budget Initial (Seq: 1)] HC - Other3 - Send]&gt;</t>
        </r>
      </text>
    </comment>
    <comment ref="AE345" authorId="1" shapeId="0" xr:uid="{A0DA8209-A30F-4A15-B169-D072099DD9E4}">
      <text>
        <r>
          <rPr>
            <b/>
            <sz val="9"/>
            <color indexed="81"/>
            <rFont val="Tahoma"/>
            <family val="2"/>
          </rPr>
          <t>&lt;[[TCDeals] - [Associated DEV Deal (Seq: 1)] - [Budget Initial (Seq: 1)] HC - Other3 Comments - Send]&gt;</t>
        </r>
      </text>
    </comment>
    <comment ref="C347" authorId="1" shapeId="0" xr:uid="{437E3AA0-490A-4F26-94E1-20FB14A1E7BE}">
      <text>
        <r>
          <rPr>
            <b/>
            <sz val="9"/>
            <color indexed="81"/>
            <rFont val="Tahoma"/>
            <family val="2"/>
          </rPr>
          <t>&lt;[[TCDeals] - [TC Property Current Stage (Seq: 1)] - [Actual Costs (Seq: 1)] Demolition - Send]&gt;</t>
        </r>
      </text>
    </comment>
    <comment ref="D347" authorId="1" shapeId="0" xr:uid="{8AF41436-BAB3-46E3-9F65-533F129334D2}">
      <text>
        <r>
          <rPr>
            <b/>
            <sz val="9"/>
            <color indexed="81"/>
            <rFont val="Tahoma"/>
            <family val="2"/>
          </rPr>
          <t>&lt;[[TCDeals] - [TC Property Current Stage (Seq: 1)] - [4% Construction Costs (Seq: 1)] Demolition - Send]&gt;</t>
        </r>
      </text>
    </comment>
    <comment ref="E347" authorId="1" shapeId="0" xr:uid="{CD32AEDA-2560-4740-8086-F3ECB3F74FD4}">
      <text>
        <r>
          <rPr>
            <b/>
            <sz val="9"/>
            <color indexed="81"/>
            <rFont val="Tahoma"/>
            <family val="2"/>
          </rPr>
          <t>&lt;[[TCDeals] - [TC Property Current Stage (Seq: 1)] - [9% Construction Costs (Seq: 1)] Demolition - Send]&gt;</t>
        </r>
      </text>
    </comment>
    <comment ref="F347" authorId="1" shapeId="0" xr:uid="{F953B5F5-C8FF-4D85-8B25-F7A1280D0B0D}">
      <text>
        <r>
          <rPr>
            <b/>
            <sz val="9"/>
            <color indexed="81"/>
            <rFont val="Tahoma"/>
            <family val="2"/>
          </rPr>
          <t>&lt;[[TCDeals] - [TC Property Current Stage (Seq: 1)] - [State LIHTC Property Costs (Seq: 1)] Demolition - Send]&gt;</t>
        </r>
      </text>
    </comment>
    <comment ref="AC347" authorId="1" shapeId="0" xr:uid="{4CAB01E9-9EF1-48ED-95F9-9FF538F73C02}">
      <text>
        <r>
          <rPr>
            <b/>
            <sz val="9"/>
            <color indexed="81"/>
            <rFont val="Tahoma"/>
            <family val="2"/>
          </rPr>
          <t>&lt;[[TCDeals] - [Associated DEV Deal (Seq: 1)] - [Budget Initial (Seq: 1)] HC - Contingency - Send]&gt;</t>
        </r>
      </text>
    </comment>
    <comment ref="C348" authorId="1" shapeId="0" xr:uid="{A5F6BEB9-2885-4216-ADB1-6588BF7CC7AF}">
      <text>
        <r>
          <rPr>
            <b/>
            <sz val="9"/>
            <color indexed="81"/>
            <rFont val="Tahoma"/>
            <family val="2"/>
          </rPr>
          <t>&lt;[[TCDeals] - [TC Property Current Stage (Seq: 1)] - [Actual Costs (Seq: 1)] Site Work - Send]&gt;</t>
        </r>
      </text>
    </comment>
    <comment ref="D348" authorId="1" shapeId="0" xr:uid="{ACD68600-4AD9-4D13-8222-E9883B18830D}">
      <text>
        <r>
          <rPr>
            <b/>
            <sz val="9"/>
            <color indexed="81"/>
            <rFont val="Tahoma"/>
            <family val="2"/>
          </rPr>
          <t>&lt;[[TCDeals] - [TC Property Current Stage (Seq: 1)] - [4% Construction Costs (Seq: 1)] Site Work - Send]&gt;</t>
        </r>
      </text>
    </comment>
    <comment ref="E348" authorId="1" shapeId="0" xr:uid="{977BF721-7CFE-4560-9BA3-C9641D69510B}">
      <text>
        <r>
          <rPr>
            <b/>
            <sz val="9"/>
            <color indexed="81"/>
            <rFont val="Tahoma"/>
            <family val="2"/>
          </rPr>
          <t>&lt;[[TCDeals] - [TC Property Current Stage (Seq: 1)] - [9% Construction Costs (Seq: 1)] Site Work - Send]&gt;</t>
        </r>
      </text>
    </comment>
    <comment ref="F348" authorId="1" shapeId="0" xr:uid="{F3F73CED-A41D-4F8C-B25B-0339DBF59FE6}">
      <text>
        <r>
          <rPr>
            <b/>
            <sz val="9"/>
            <color indexed="81"/>
            <rFont val="Tahoma"/>
            <family val="2"/>
          </rPr>
          <t>&lt;[[TCDeals] - [TC Property Current Stage (Seq: 1)] - [State LIHTC Property Costs (Seq: 1)] Site Work - Send]&gt;</t>
        </r>
      </text>
    </comment>
    <comment ref="AC348" authorId="1" shapeId="0" xr:uid="{AC799D11-BE35-489D-8448-F275C83A3697}">
      <text>
        <r>
          <rPr>
            <b/>
            <sz val="9"/>
            <color indexed="81"/>
            <rFont val="Tahoma"/>
            <family val="2"/>
          </rPr>
          <t>&lt;[[TCDeals] - [Associated DEV Deal (Seq: 1)] - [Budget Initial (Seq: 1)] SC - Contingency - Send]&gt;</t>
        </r>
      </text>
    </comment>
    <comment ref="AC350" authorId="1" shapeId="0" xr:uid="{62C7F033-ECE6-45D8-BB80-E74D4993B4D0}">
      <text>
        <r>
          <rPr>
            <b/>
            <sz val="9"/>
            <color indexed="81"/>
            <rFont val="Tahoma"/>
            <family val="2"/>
          </rPr>
          <t>&lt;[[TCDeals] - [Associated DEV Deal (Seq: 1)] - [Budget Initial (Seq: 1)] SC -HFA Finance Fee - Send]&gt;</t>
        </r>
      </text>
    </comment>
    <comment ref="C351" authorId="1" shapeId="0" xr:uid="{52D0321E-6B2D-4A64-BD2E-EA9900A3EAEB}">
      <text>
        <r>
          <rPr>
            <b/>
            <sz val="9"/>
            <color indexed="81"/>
            <rFont val="Tahoma"/>
            <family val="2"/>
          </rPr>
          <t>&lt;[[TCDeals] - [TC Property Current Stage (Seq: 1)] - [Actual Costs (Seq: 1)] Lawns - Send]&gt;</t>
        </r>
      </text>
    </comment>
    <comment ref="D351" authorId="1" shapeId="0" xr:uid="{119CB64F-2848-4A2B-8BBD-92317DDBA993}">
      <text>
        <r>
          <rPr>
            <b/>
            <sz val="9"/>
            <color indexed="81"/>
            <rFont val="Tahoma"/>
            <family val="2"/>
          </rPr>
          <t>&lt;[[TCDeals] - [TC Property Current Stage (Seq: 1)] - [4% Construction Costs (Seq: 1)] Lawns - Send]&gt;</t>
        </r>
      </text>
    </comment>
    <comment ref="E351" authorId="1" shapeId="0" xr:uid="{A9EE58F7-A7C6-474B-A4F0-E346CB1DD89B}">
      <text>
        <r>
          <rPr>
            <b/>
            <sz val="9"/>
            <color indexed="81"/>
            <rFont val="Tahoma"/>
            <family val="2"/>
          </rPr>
          <t>&lt;[[TCDeals] - [TC Property Current Stage (Seq: 1)] - [9% Construction Costs (Seq: 1)] Lawns - Send]&gt;</t>
        </r>
      </text>
    </comment>
    <comment ref="F351" authorId="1" shapeId="0" xr:uid="{28E60D53-BDC0-45E5-AE0D-F5722CBE7564}">
      <text>
        <r>
          <rPr>
            <b/>
            <sz val="9"/>
            <color indexed="81"/>
            <rFont val="Tahoma"/>
            <family val="2"/>
          </rPr>
          <t>&lt;[[TCDeals] - [TC Property Current Stage (Seq: 1)] - [State LIHTC Property Costs (Seq: 1)] Lawns - Send]&gt;</t>
        </r>
      </text>
    </comment>
    <comment ref="AC351" authorId="1" shapeId="0" xr:uid="{2100BF12-C799-4197-A9B3-319769478A21}">
      <text>
        <r>
          <rPr>
            <b/>
            <sz val="9"/>
            <color indexed="81"/>
            <rFont val="Tahoma"/>
            <family val="2"/>
          </rPr>
          <t>&lt;[[TCDeals] - [Associated DEV Deal (Seq: 1)] - [Budget Initial (Seq: 1)] SC - Other1 - Send]&gt;</t>
        </r>
      </text>
    </comment>
    <comment ref="AE351" authorId="1" shapeId="0" xr:uid="{DD162B47-A003-4D3E-857F-6D83E99F97D2}">
      <text>
        <r>
          <rPr>
            <b/>
            <sz val="9"/>
            <color indexed="81"/>
            <rFont val="Tahoma"/>
            <family val="2"/>
          </rPr>
          <t>&lt;[[TCDeals] - [Associated DEV Deal (Seq: 1)] - [Budget Initial (Seq: 1)] SC - Other1 Comments - Send]&gt;</t>
        </r>
      </text>
    </comment>
    <comment ref="C354" authorId="1" shapeId="0" xr:uid="{CD291FDF-C7C7-44FB-B298-521980033953}">
      <text>
        <r>
          <rPr>
            <b/>
            <sz val="9"/>
            <color indexed="81"/>
            <rFont val="Tahoma"/>
            <family val="2"/>
          </rPr>
          <t>&lt;[[TCDeals] - [TC Property Current Stage (Seq: 1)] - [Actual Costs (Seq: 1)] Other Site Work - Send]&gt;</t>
        </r>
      </text>
    </comment>
    <comment ref="D354" authorId="1" shapeId="0" xr:uid="{134A927B-0545-4FBE-93EA-1A1007A9E683}">
      <text>
        <r>
          <rPr>
            <b/>
            <sz val="9"/>
            <color indexed="81"/>
            <rFont val="Tahoma"/>
            <family val="2"/>
          </rPr>
          <t>&lt;[[TCDeals] - [TC Property Current Stage (Seq: 1)] - [4% Construction Costs (Seq: 1)] Other Site Work - Send]&gt;</t>
        </r>
      </text>
    </comment>
    <comment ref="E354" authorId="1" shapeId="0" xr:uid="{C7818BA3-F242-44E9-A161-9A5B3BD5BAC1}">
      <text>
        <r>
          <rPr>
            <b/>
            <sz val="9"/>
            <color indexed="81"/>
            <rFont val="Tahoma"/>
            <family val="2"/>
          </rPr>
          <t>&lt;[[TCDeals] - [TC Property Current Stage (Seq: 1)] - [9% Construction Costs (Seq: 1)] Other Site Work - Send]&gt;</t>
        </r>
      </text>
    </comment>
    <comment ref="F354" authorId="1" shapeId="0" xr:uid="{B7522B46-A426-48F0-BD67-90619CE6D599}">
      <text>
        <r>
          <rPr>
            <b/>
            <sz val="9"/>
            <color indexed="81"/>
            <rFont val="Tahoma"/>
            <family val="2"/>
          </rPr>
          <t>&lt;[[TCDeals] - [TC Property Current Stage (Seq: 1)] - [State LIHTC Property Costs (Seq: 1)] Other Work - Send]&gt;</t>
        </r>
      </text>
    </comment>
    <comment ref="AC355" authorId="1" shapeId="0" xr:uid="{F791E70B-4F64-47CC-99B4-47703C58C8F4}">
      <text>
        <r>
          <rPr>
            <b/>
            <sz val="9"/>
            <color indexed="81"/>
            <rFont val="Tahoma"/>
            <family val="2"/>
          </rPr>
          <t>&lt;[[TCDeals] - [Associated DEV Deal (Seq: 1)] - [Budget Initial (Seq: 1)] SC - Other2 - Send]&gt;</t>
        </r>
      </text>
    </comment>
    <comment ref="AE355" authorId="1" shapeId="0" xr:uid="{D1D45BBE-400C-4D10-A888-093338D07DDF}">
      <text>
        <r>
          <rPr>
            <b/>
            <sz val="9"/>
            <color indexed="81"/>
            <rFont val="Tahoma"/>
            <family val="2"/>
          </rPr>
          <t>&lt;[[TCDeals] - [Associated DEV Deal (Seq: 1)] - [Budget Initial (Seq: 1)] SC - Other2 Comments - Send]&gt;</t>
        </r>
      </text>
    </comment>
    <comment ref="AC356" authorId="1" shapeId="0" xr:uid="{DB35BAF8-2D96-476F-B6E3-956EFB23A447}">
      <text>
        <r>
          <rPr>
            <b/>
            <sz val="9"/>
            <color indexed="81"/>
            <rFont val="Tahoma"/>
            <family val="2"/>
          </rPr>
          <t>&lt;[[TCDeals] - [Associated DEV Deal (Seq: 1)] - [Budget Initial (Seq: 1)] SC - Contruction Interest - Send]&gt;</t>
        </r>
      </text>
    </comment>
    <comment ref="C357" authorId="1" shapeId="0" xr:uid="{D79189B2-E0A7-44C5-8B3A-E505B431CF25}">
      <text>
        <r>
          <rPr>
            <b/>
            <sz val="9"/>
            <color indexed="81"/>
            <rFont val="Tahoma"/>
            <family val="2"/>
          </rPr>
          <t>&lt;[[TCDeals] - [TC Property Current Stage (Seq: 1)] - [Actual Costs (Seq: 1)] General Requirements - Send]&gt;</t>
        </r>
      </text>
    </comment>
    <comment ref="D357" authorId="1" shapeId="0" xr:uid="{E833355D-B377-42C4-BB6D-D2BD46F33D69}">
      <text>
        <r>
          <rPr>
            <b/>
            <sz val="9"/>
            <color indexed="81"/>
            <rFont val="Tahoma"/>
            <family val="2"/>
          </rPr>
          <t>&lt;[[TCDeals] - [TC Property Current Stage (Seq: 1)] - [4% Construction Costs (Seq: 1)] General Requirements - Send]&gt;</t>
        </r>
      </text>
    </comment>
    <comment ref="E357" authorId="1" shapeId="0" xr:uid="{71F3B7D9-F4E6-44D3-BEF4-1084510A951B}">
      <text>
        <r>
          <rPr>
            <b/>
            <sz val="9"/>
            <color indexed="81"/>
            <rFont val="Tahoma"/>
            <family val="2"/>
          </rPr>
          <t>&lt;[[TCDeals] - [TC Property Current Stage (Seq: 1)] - [9% Construction Costs (Seq: 1)] General Requirements - Send]&gt;</t>
        </r>
      </text>
    </comment>
    <comment ref="F357" authorId="1" shapeId="0" xr:uid="{703E72CF-A677-4E0A-BEA1-73781628DA73}">
      <text>
        <r>
          <rPr>
            <b/>
            <sz val="9"/>
            <color indexed="81"/>
            <rFont val="Tahoma"/>
            <family val="2"/>
          </rPr>
          <t>&lt;[[TCDeals] - [TC Property Current Stage (Seq: 1)] - [State LIHTC Property Costs (Seq: 1)] General Requirements - Send]&gt;</t>
        </r>
      </text>
    </comment>
    <comment ref="C358" authorId="1" shapeId="0" xr:uid="{3535D88D-1372-4279-974C-C6BE12709E2E}">
      <text>
        <r>
          <rPr>
            <b/>
            <sz val="9"/>
            <color indexed="81"/>
            <rFont val="Tahoma"/>
            <family val="2"/>
          </rPr>
          <t>&lt;[[TCDeals] - [TC Property Current Stage (Seq: 1)] - [Actual Costs (Seq: 1)] Builders Overhead - Send]&gt;</t>
        </r>
      </text>
    </comment>
    <comment ref="D358" authorId="1" shapeId="0" xr:uid="{1D1295F7-FCFD-4E0D-B829-2900D7494334}">
      <text>
        <r>
          <rPr>
            <b/>
            <sz val="9"/>
            <color indexed="81"/>
            <rFont val="Tahoma"/>
            <family val="2"/>
          </rPr>
          <t>&lt;[[TCDeals] - [TC Property Current Stage (Seq: 1)] - [4% Construction Costs (Seq: 1)] Builders Overhead - Send]&gt;</t>
        </r>
      </text>
    </comment>
    <comment ref="E358" authorId="1" shapeId="0" xr:uid="{D9AA08BD-0CCF-40D1-8E42-B106FE568380}">
      <text>
        <r>
          <rPr>
            <b/>
            <sz val="9"/>
            <color indexed="81"/>
            <rFont val="Tahoma"/>
            <family val="2"/>
          </rPr>
          <t>&lt;[[TCDeals] - [TC Property Current Stage (Seq: 1)] - [9% Construction Costs (Seq: 1)] Builders Overhead - Send]&gt;</t>
        </r>
      </text>
    </comment>
    <comment ref="F358" authorId="1" shapeId="0" xr:uid="{1FCFEAB7-6B87-4DEC-9DCE-9BB4D9FF5FC5}">
      <text>
        <r>
          <rPr>
            <b/>
            <sz val="9"/>
            <color indexed="81"/>
            <rFont val="Tahoma"/>
            <family val="2"/>
          </rPr>
          <t>&lt;[[TCDeals] - [TC Property Current Stage (Seq: 1)] - [State LIHTC Property Costs (Seq: 1)] Builders Overhead - Send]&gt;</t>
        </r>
      </text>
    </comment>
    <comment ref="AC358" authorId="1" shapeId="0" xr:uid="{6A8AF0E8-8730-47BB-BD41-E8EDD9CD7886}">
      <text>
        <r>
          <rPr>
            <b/>
            <sz val="9"/>
            <color indexed="81"/>
            <rFont val="Tahoma"/>
            <family val="2"/>
          </rPr>
          <t>&lt;[[TCDeals] - [Associated DEV Deal (Seq: 1)] - [Budget Initial (Seq: 1)] SC - Other3 - Send]&gt;</t>
        </r>
      </text>
    </comment>
    <comment ref="AE358" authorId="1" shapeId="0" xr:uid="{755B5052-903C-4165-A3D2-9F604BA8CEE4}">
      <text>
        <r>
          <rPr>
            <b/>
            <sz val="9"/>
            <color indexed="81"/>
            <rFont val="Tahoma"/>
            <family val="2"/>
          </rPr>
          <t>&lt;[[TCDeals] - [Associated DEV Deal (Seq: 1)] - [Budget Initial (Seq: 1)] SC - Other3 Comments - Send]&gt;</t>
        </r>
      </text>
    </comment>
    <comment ref="C359" authorId="1" shapeId="0" xr:uid="{9E30E6A5-7881-48A0-AD03-CB60D90BBF71}">
      <text>
        <r>
          <rPr>
            <b/>
            <sz val="9"/>
            <color indexed="81"/>
            <rFont val="Tahoma"/>
            <family val="2"/>
          </rPr>
          <t>&lt;[[TCDeals] - [TC Property Current Stage (Seq: 1)] - [Actual Costs (Seq: 1)] Builders Profit - Send]&gt;</t>
        </r>
      </text>
    </comment>
    <comment ref="D359" authorId="1" shapeId="0" xr:uid="{BAF8B6FE-2F91-42C9-A4FB-897481964AA5}">
      <text>
        <r>
          <rPr>
            <b/>
            <sz val="9"/>
            <color indexed="81"/>
            <rFont val="Tahoma"/>
            <family val="2"/>
          </rPr>
          <t>&lt;[[TCDeals] - [TC Property Current Stage (Seq: 1)] - [4% Construction Costs (Seq: 1)] Builders Profit - Send]&gt;</t>
        </r>
      </text>
    </comment>
    <comment ref="E359" authorId="1" shapeId="0" xr:uid="{5707B9DD-9C55-4F91-8724-2491C1663B91}">
      <text>
        <r>
          <rPr>
            <b/>
            <sz val="9"/>
            <color indexed="81"/>
            <rFont val="Tahoma"/>
            <family val="2"/>
          </rPr>
          <t>&lt;[[TCDeals] - [TC Property Current Stage (Seq: 1)] - [9% Construction Costs (Seq: 1)] Builders Profit - Send]&gt;</t>
        </r>
      </text>
    </comment>
    <comment ref="F359" authorId="1" shapeId="0" xr:uid="{78C1BC68-E868-42D0-AC7A-DA0B44A826C3}">
      <text>
        <r>
          <rPr>
            <b/>
            <sz val="9"/>
            <color indexed="81"/>
            <rFont val="Tahoma"/>
            <family val="2"/>
          </rPr>
          <t>&lt;[[TCDeals] - [TC Property Current Stage (Seq: 1)] - [State LIHTC Property Costs (Seq: 1)] Builders Profit - Send]&gt;</t>
        </r>
      </text>
    </comment>
    <comment ref="C360" authorId="1" shapeId="0" xr:uid="{81772437-2A96-41E8-B104-7FE5A784E3D0}">
      <text>
        <r>
          <rPr>
            <b/>
            <sz val="9"/>
            <color indexed="81"/>
            <rFont val="Tahoma"/>
            <family val="2"/>
          </rPr>
          <t>&lt;[[TCDeals] - [TC Property Current Stage (Seq: 1)] - [Actual Costs (Seq: 1)] Other Construction1 - Send]&gt;</t>
        </r>
      </text>
    </comment>
    <comment ref="D360" authorId="1" shapeId="0" xr:uid="{56B790AF-EDDA-4133-9F28-E938EB887E61}">
      <text>
        <r>
          <rPr>
            <b/>
            <sz val="9"/>
            <color indexed="81"/>
            <rFont val="Tahoma"/>
            <family val="2"/>
          </rPr>
          <t>&lt;[[TCDeals] - [TC Property Current Stage (Seq: 1)] - [4% Construction Costs (Seq: 1)] Other Construction1 - Send]&gt;</t>
        </r>
      </text>
    </comment>
    <comment ref="E360" authorId="1" shapeId="0" xr:uid="{7B63CF6C-A863-4F25-B307-7A6E70ABDD60}">
      <text>
        <r>
          <rPr>
            <b/>
            <sz val="9"/>
            <color indexed="81"/>
            <rFont val="Tahoma"/>
            <family val="2"/>
          </rPr>
          <t>&lt;[[TCDeals] - [TC Property Current Stage (Seq: 1)] - [9% Construction Costs (Seq: 1)] Other Construction1 - Send]&gt;</t>
        </r>
      </text>
    </comment>
    <comment ref="F360" authorId="1" shapeId="0" xr:uid="{58D21B84-D721-4F95-B7F5-EE5D195AB9FD}">
      <text>
        <r>
          <rPr>
            <b/>
            <sz val="9"/>
            <color indexed="81"/>
            <rFont val="Tahoma"/>
            <family val="2"/>
          </rPr>
          <t>&lt;[[TCDeals] - [TC Property Current Stage (Seq: 1)] - [State LIHTC Property Costs (Seq: 1)] Other Construction1 - Send]&gt;</t>
        </r>
      </text>
    </comment>
    <comment ref="AC360" authorId="1" shapeId="0" xr:uid="{80627E98-D379-4AAF-84CF-0C47E195FD56}">
      <text>
        <r>
          <rPr>
            <b/>
            <sz val="9"/>
            <color indexed="81"/>
            <rFont val="Tahoma"/>
            <family val="2"/>
          </rPr>
          <t>&lt;[[TCDeals] - [Associated DEV Deal (Seq: 1)] - [Budget Initial (Seq: 1)] SC - Letter Of Credit - Send]&gt;</t>
        </r>
      </text>
    </comment>
    <comment ref="AC361" authorId="1" shapeId="0" xr:uid="{780AD673-4861-49C2-A267-FEEDA97FBA85}">
      <text>
        <r>
          <rPr>
            <b/>
            <sz val="9"/>
            <color indexed="81"/>
            <rFont val="Tahoma"/>
            <family val="2"/>
          </rPr>
          <t>&lt;[[TCDeals] - [Associated DEV Deal (Seq: 1)] - [Budget Initial (Seq: 1)] SC - Taxes During Const - Send]&gt;</t>
        </r>
      </text>
    </comment>
    <comment ref="AC362" authorId="1" shapeId="0" xr:uid="{B9D465A4-C472-4278-8B84-702BCC36E525}">
      <text>
        <r>
          <rPr>
            <b/>
            <sz val="9"/>
            <color indexed="81"/>
            <rFont val="Tahoma"/>
            <family val="2"/>
          </rPr>
          <t>&lt;[[TCDeals] - [Associated DEV Deal (Seq: 1)] - [Budget Initial (Seq: 1)] SC - Title Recording - Send]&gt;</t>
        </r>
      </text>
    </comment>
    <comment ref="AC363" authorId="1" shapeId="0" xr:uid="{AD55EB0B-3129-4E3A-AEF4-B703AF07A7E7}">
      <text>
        <r>
          <rPr>
            <b/>
            <sz val="9"/>
            <color indexed="81"/>
            <rFont val="Tahoma"/>
            <family val="2"/>
          </rPr>
          <t>&lt;[[TCDeals] - [Associated DEV Deal (Seq: 1)] - [Budget Initial (Seq: 1)] SC - Insurance - Send]&gt;</t>
        </r>
      </text>
    </comment>
    <comment ref="AC364" authorId="1" shapeId="0" xr:uid="{9B347526-39D7-470F-B831-29C7B77F8E75}">
      <text>
        <r>
          <rPr>
            <b/>
            <sz val="9"/>
            <color indexed="81"/>
            <rFont val="Tahoma"/>
            <family val="2"/>
          </rPr>
          <t>&lt;[[TCDeals] - [Associated DEV Deal (Seq: 1)] - [Budget Initial (Seq: 1)] SC - Tenant Relocation - Send]&gt;</t>
        </r>
      </text>
    </comment>
    <comment ref="C366" authorId="1" shapeId="0" xr:uid="{F8EDF969-DAD1-4704-B020-A7BB520117AD}">
      <text>
        <r>
          <rPr>
            <b/>
            <sz val="9"/>
            <color indexed="81"/>
            <rFont val="Tahoma"/>
            <family val="2"/>
          </rPr>
          <t>&lt;[[TCDeals] - [TC Property Current Stage (Seq: 1)] - [Actual Costs (Seq: 1)] Other Construction3 - Send]&gt;</t>
        </r>
      </text>
    </comment>
    <comment ref="D366" authorId="1" shapeId="0" xr:uid="{D48FF883-1D8C-49B5-880B-03D28F241300}">
      <text>
        <r>
          <rPr>
            <b/>
            <sz val="9"/>
            <color indexed="81"/>
            <rFont val="Tahoma"/>
            <family val="2"/>
          </rPr>
          <t>&lt;[[TCDeals] - [TC Property Current Stage (Seq: 1)] - [4% Construction Costs (Seq: 1)] Other Construction3 - Send]&gt;</t>
        </r>
      </text>
    </comment>
    <comment ref="E366" authorId="1" shapeId="0" xr:uid="{8086F0F2-CA52-466A-84D5-E941299B7102}">
      <text>
        <r>
          <rPr>
            <b/>
            <sz val="9"/>
            <color indexed="81"/>
            <rFont val="Tahoma"/>
            <family val="2"/>
          </rPr>
          <t>&lt;[[TCDeals] - [TC Property Current Stage (Seq: 1)] - [9% Construction Costs (Seq: 1)] Other Construction3 - Send]&gt;</t>
        </r>
      </text>
    </comment>
    <comment ref="F366" authorId="1" shapeId="0" xr:uid="{6158FDA9-4331-40E1-A4BF-469F98E31A6B}">
      <text>
        <r>
          <rPr>
            <b/>
            <sz val="9"/>
            <color indexed="81"/>
            <rFont val="Tahoma"/>
            <family val="2"/>
          </rPr>
          <t>&lt;[[TCDeals] - [TC Property Current Stage (Seq: 1)] - [State LIHTC Property Costs (Seq: 1)] Other Construction3 - Send]&gt;</t>
        </r>
      </text>
    </comment>
    <comment ref="AC366" authorId="1" shapeId="0" xr:uid="{1D12B57D-1E81-4EF5-AB64-BFD463B604C1}">
      <text>
        <r>
          <rPr>
            <b/>
            <sz val="9"/>
            <color indexed="81"/>
            <rFont val="Tahoma"/>
            <family val="2"/>
          </rPr>
          <t>&lt;[[TCDeals] - [Associated DEV Deal (Seq: 1)] - [Budget Initial (Seq: 1)] SC - Other4 - Send]&gt;</t>
        </r>
      </text>
    </comment>
    <comment ref="AE366" authorId="1" shapeId="0" xr:uid="{7B7FC785-E2AD-4F90-9215-48F5CEBA1187}">
      <text>
        <r>
          <rPr>
            <b/>
            <sz val="9"/>
            <color indexed="81"/>
            <rFont val="Tahoma"/>
            <family val="2"/>
          </rPr>
          <t>&lt;[[TCDeals] - [Associated DEV Deal (Seq: 1)] - [Budget Initial (Seq: 1)] HC - Other4 Comments - Send]&gt;</t>
        </r>
      </text>
    </comment>
    <comment ref="C367" authorId="1" shapeId="0" xr:uid="{00BA877A-D954-4093-94B4-167C43563E6F}">
      <text>
        <r>
          <rPr>
            <b/>
            <sz val="9"/>
            <color indexed="81"/>
            <rFont val="Tahoma"/>
            <family val="2"/>
          </rPr>
          <t>&lt;[[TCDeals] - [TC Property Current Stage (Seq: 1)] - [Actual Costs (Seq: 1)] Other Contingency Total - Send]&gt;</t>
        </r>
      </text>
    </comment>
    <comment ref="D367" authorId="1" shapeId="0" xr:uid="{94E2ED4C-D2C2-49CA-8511-8AF584C4281F}">
      <text>
        <r>
          <rPr>
            <b/>
            <sz val="9"/>
            <color indexed="81"/>
            <rFont val="Tahoma"/>
            <family val="2"/>
          </rPr>
          <t>&lt;[[TCDeals] - [TC Property Current Stage (Seq: 1)] - [4% Construction Costs (Seq: 1)] Other Contingency Total - Send]&gt;</t>
        </r>
      </text>
    </comment>
    <comment ref="E367" authorId="1" shapeId="0" xr:uid="{EEC7C0F2-1259-43DA-B005-F1CE2EE73FA4}">
      <text>
        <r>
          <rPr>
            <b/>
            <sz val="9"/>
            <color indexed="81"/>
            <rFont val="Tahoma"/>
            <family val="2"/>
          </rPr>
          <t>&lt;[[TCDeals] - [TC Property Current Stage (Seq: 1)] - [9% Construction Costs (Seq: 1)] Other Contingency Total - Send]&gt;</t>
        </r>
      </text>
    </comment>
    <comment ref="F367" authorId="1" shapeId="0" xr:uid="{AC6623A5-2D1A-41C1-90CC-EA7EDB6A8E7E}">
      <text>
        <r>
          <rPr>
            <b/>
            <sz val="9"/>
            <color indexed="81"/>
            <rFont val="Tahoma"/>
            <family val="2"/>
          </rPr>
          <t>&lt;[[TCDeals] - [TC Property Current Stage (Seq: 1)] - [State LIHTC Property Costs (Seq: 1)] Other Contingency Total - Send]&gt;</t>
        </r>
      </text>
    </comment>
    <comment ref="AC368" authorId="1" shapeId="0" xr:uid="{D5AD90F8-23B3-4544-BD4D-F978532AB4BC}">
      <text>
        <r>
          <rPr>
            <b/>
            <sz val="9"/>
            <color indexed="81"/>
            <rFont val="Tahoma"/>
            <family val="2"/>
          </rPr>
          <t>&lt;[[TCDeals] - [Associated DEV Deal (Seq: 1)] - [Budget Initial (Seq: 1)] SC - Other5 - Send]&gt;</t>
        </r>
      </text>
    </comment>
    <comment ref="AE368" authorId="1" shapeId="0" xr:uid="{4FF425C7-2EDA-45F3-926D-D103ABC6A92B}">
      <text>
        <r>
          <rPr>
            <b/>
            <sz val="9"/>
            <color indexed="81"/>
            <rFont val="Tahoma"/>
            <family val="2"/>
          </rPr>
          <t>&lt;[[TCDeals] - [Associated DEV Deal (Seq: 1)] - [Budget Initial (Seq: 1)] SC - Other5 Comments - Send]&gt;</t>
        </r>
      </text>
    </comment>
    <comment ref="AC370" authorId="1" shapeId="0" xr:uid="{D4CA79A3-D9B2-4FE7-99A6-EC76C81D438E}">
      <text>
        <r>
          <rPr>
            <b/>
            <sz val="9"/>
            <color indexed="81"/>
            <rFont val="Tahoma"/>
            <family val="2"/>
          </rPr>
          <t>&lt;[[TCDeals] - [Associated DEV Deal (Seq: 1)] - [Budget Initial (Seq: 1)] SC - Mortgage Banker - Send]&gt;</t>
        </r>
      </text>
    </comment>
    <comment ref="AC371" authorId="1" shapeId="0" xr:uid="{6609C1B9-FE71-40AB-8CC9-F88EEBAB6ED4}">
      <text>
        <r>
          <rPr>
            <b/>
            <sz val="9"/>
            <color indexed="81"/>
            <rFont val="Tahoma"/>
            <family val="2"/>
          </rPr>
          <t>&lt;[[TCDeals] - [Associated DEV Deal (Seq: 1)] - [Budget Initial (Seq: 1)] SC - Legal - Send]&gt;</t>
        </r>
      </text>
    </comment>
    <comment ref="AC372" authorId="1" shapeId="0" xr:uid="{F0F28779-A846-4977-B1AB-D728C3999D51}">
      <text>
        <r>
          <rPr>
            <b/>
            <sz val="9"/>
            <color indexed="81"/>
            <rFont val="Tahoma"/>
            <family val="2"/>
          </rPr>
          <t>&lt;[[TCDeals] - [Associated DEV Deal (Seq: 1)] - [Budget Initial (Seq: 1)] SC - Other6 - Send]&gt;</t>
        </r>
      </text>
    </comment>
    <comment ref="AE372" authorId="1" shapeId="0" xr:uid="{C47BF87A-206A-4CBA-BD28-763DFCE83213}">
      <text>
        <r>
          <rPr>
            <b/>
            <sz val="9"/>
            <color indexed="81"/>
            <rFont val="Tahoma"/>
            <family val="2"/>
          </rPr>
          <t>&lt;[[TCDeals] - [Associated DEV Deal (Seq: 1)] - [Budget Initial (Seq: 1)] SC - Other6 Comments - Send]&gt;</t>
        </r>
      </text>
    </comment>
    <comment ref="C373" authorId="1" shapeId="0" xr:uid="{0A2366BD-43EF-4545-86A9-71C55E98595B}">
      <text>
        <r>
          <rPr>
            <b/>
            <sz val="9"/>
            <color indexed="81"/>
            <rFont val="Tahoma"/>
            <family val="2"/>
          </rPr>
          <t>&lt;[[TCDeals] - [TC Property Current Stage (Seq: 1)] - [Actual Costs (Seq: 1)] Actual Addl Cost 4 - Send]&gt;</t>
        </r>
      </text>
    </comment>
    <comment ref="D373" authorId="1" shapeId="0" xr:uid="{4057113D-1606-41BB-B21F-9A39CCCD7218}">
      <text>
        <r>
          <rPr>
            <b/>
            <sz val="9"/>
            <color indexed="81"/>
            <rFont val="Tahoma"/>
            <family val="2"/>
          </rPr>
          <t>&lt;[[TCDeals] - [TC Property Current Stage (Seq: 1)] - [4% Construction Costs (Seq: 1)] Rehab Addl Cost 4 - Send]&gt;</t>
        </r>
      </text>
    </comment>
    <comment ref="E373" authorId="1" shapeId="0" xr:uid="{5CAAFB38-87DF-4F64-B78F-7F7A8FBEACD9}">
      <text>
        <r>
          <rPr>
            <b/>
            <sz val="9"/>
            <color indexed="81"/>
            <rFont val="Tahoma"/>
            <family val="2"/>
          </rPr>
          <t>&lt;[[TCDeals] - [TC Property Current Stage (Seq: 1)] - [9% Construction Costs (Seq: 1)] PVC Addl Cost 4 - Send]&gt;</t>
        </r>
      </text>
    </comment>
    <comment ref="F373" authorId="1" shapeId="0" xr:uid="{5C2407DB-A1C5-4A5F-8E78-35CE78AA8D74}">
      <text>
        <r>
          <rPr>
            <b/>
            <sz val="9"/>
            <color indexed="81"/>
            <rFont val="Tahoma"/>
            <family val="2"/>
          </rPr>
          <t>&lt;[[TCDeals] - [TC Property Current Stage (Seq: 1)] - [State LIHTC Property Costs (Seq: 1)] Additional Costs4 - Send]&gt;</t>
        </r>
      </text>
    </comment>
    <comment ref="C374" authorId="1" shapeId="0" xr:uid="{1563E501-F782-454A-BB06-BB427050CACA}">
      <text>
        <r>
          <rPr>
            <b/>
            <sz val="9"/>
            <color indexed="81"/>
            <rFont val="Tahoma"/>
            <family val="2"/>
          </rPr>
          <t>&lt;[[TCDeals] - [TC Property Current Stage (Seq: 1)] - [Actual Costs (Seq: 1)] Constr Loan Orig Fee - Send]&gt;</t>
        </r>
      </text>
    </comment>
    <comment ref="D374" authorId="1" shapeId="0" xr:uid="{EDF0C1F6-CC59-41A1-91CE-191DE8E4CD12}">
      <text>
        <r>
          <rPr>
            <b/>
            <sz val="9"/>
            <color indexed="81"/>
            <rFont val="Tahoma"/>
            <family val="2"/>
          </rPr>
          <t>&lt;[[TCDeals] - [TC Property Current Stage (Seq: 1)] - [4% Construction Costs (Seq: 1)] Constr Loan Orig Fee - Send]&gt;</t>
        </r>
      </text>
    </comment>
    <comment ref="E374" authorId="1" shapeId="0" xr:uid="{08F39E0F-E42C-4F3F-BA0F-18DB207A6BD2}">
      <text>
        <r>
          <rPr>
            <b/>
            <sz val="9"/>
            <color indexed="81"/>
            <rFont val="Tahoma"/>
            <family val="2"/>
          </rPr>
          <t>&lt;[[TCDeals] - [TC Property Current Stage (Seq: 1)] - [9% Construction Costs (Seq: 1)] Constr Loan Orig Fee - Send]&gt;</t>
        </r>
      </text>
    </comment>
    <comment ref="F374" authorId="1" shapeId="0" xr:uid="{071E5451-6C94-44CB-8DB3-EF49FDA2F2C3}">
      <text>
        <r>
          <rPr>
            <b/>
            <sz val="9"/>
            <color indexed="81"/>
            <rFont val="Tahoma"/>
            <family val="2"/>
          </rPr>
          <t>&lt;[[TCDeals] - [TC Property Current Stage (Seq: 1)] - [State LIHTC Property Costs (Seq: 1)] Constr Loan Orig Fee - Send]&gt;</t>
        </r>
      </text>
    </comment>
    <comment ref="AC374" authorId="1" shapeId="0" xr:uid="{CBED07E5-D536-40B5-A2B6-75718B0B406D}">
      <text>
        <r>
          <rPr>
            <b/>
            <sz val="9"/>
            <color indexed="81"/>
            <rFont val="Tahoma"/>
            <family val="2"/>
          </rPr>
          <t>&lt;[[TCDeals] - [Associated DEV Deal (Seq: 1)] - [Budget Initial (Seq: 1)] SC - Design Architect - Send]&gt;</t>
        </r>
      </text>
    </comment>
    <comment ref="AC375" authorId="1" shapeId="0" xr:uid="{D4DF39E0-BA4C-4658-9821-50E8C28A6D00}">
      <text>
        <r>
          <rPr>
            <b/>
            <sz val="9"/>
            <color indexed="81"/>
            <rFont val="Tahoma"/>
            <family val="2"/>
          </rPr>
          <t>&lt;[[TCDeals] - [Associated DEV Deal (Seq: 1)] - [Budget Initial (Seq: 1)] SC - Architect Supervision - Send]&gt;</t>
        </r>
      </text>
    </comment>
    <comment ref="AC376" authorId="1" shapeId="0" xr:uid="{0C2D3430-4755-4033-8A45-04F29E68A930}">
      <text>
        <r>
          <rPr>
            <b/>
            <sz val="9"/>
            <color indexed="81"/>
            <rFont val="Tahoma"/>
            <family val="2"/>
          </rPr>
          <t>&lt;[[TCDeals] - [Associated DEV Deal (Seq: 1)] - [Budget Initial (Seq: 1)] SC - Design Engineering - Send]&gt;</t>
        </r>
      </text>
    </comment>
    <comment ref="AC377" authorId="1" shapeId="0" xr:uid="{D869F2FD-C673-4D75-9938-BE5F86CCBFEC}">
      <text>
        <r>
          <rPr>
            <b/>
            <sz val="9"/>
            <color indexed="81"/>
            <rFont val="Tahoma"/>
            <family val="2"/>
          </rPr>
          <t>&lt;[[TCDeals] - [Associated DEV Deal (Seq: 1)] - [Budget Initial (Seq: 1)] SC - Survey - Send]&gt;</t>
        </r>
      </text>
    </comment>
    <comment ref="AC378" authorId="1" shapeId="0" xr:uid="{2FE7C007-9AA8-437A-9B72-F32333C18336}">
      <text>
        <r>
          <rPr>
            <b/>
            <sz val="9"/>
            <color indexed="81"/>
            <rFont val="Tahoma"/>
            <family val="2"/>
          </rPr>
          <t>&lt;[[TCDeals] - [Associated DEV Deal (Seq: 1)] - [Budget Initial (Seq: 1)] SC - Other7 - Send]&gt;</t>
        </r>
      </text>
    </comment>
    <comment ref="AE378" authorId="1" shapeId="0" xr:uid="{E8418282-EA5A-4B39-A990-251F850333FA}">
      <text>
        <r>
          <rPr>
            <b/>
            <sz val="9"/>
            <color indexed="81"/>
            <rFont val="Tahoma"/>
            <family val="2"/>
          </rPr>
          <t>&lt;[[TCDeals] - [Associated DEV Deal (Seq: 1)] - [Budget Initial (Seq: 1)] SC - Other7 Comments - Send]&gt;</t>
        </r>
      </text>
    </comment>
    <comment ref="C380" authorId="1" shapeId="0" xr:uid="{F434072D-5716-43BE-AF38-945403F87C16}">
      <text>
        <r>
          <rPr>
            <b/>
            <sz val="9"/>
            <color indexed="81"/>
            <rFont val="Tahoma"/>
            <family val="2"/>
          </rPr>
          <t>&lt;[[TCDeals] - [TC Property Current Stage (Seq: 1)] - [Actual Costs (Seq: 1)] Actual Addl Cost 6 - Send]&gt;</t>
        </r>
      </text>
    </comment>
    <comment ref="D380" authorId="1" shapeId="0" xr:uid="{3B2D41F0-324D-4425-B26D-031A5E0B30BB}">
      <text>
        <r>
          <rPr>
            <b/>
            <sz val="9"/>
            <color indexed="81"/>
            <rFont val="Tahoma"/>
            <family val="2"/>
          </rPr>
          <t>&lt;[[TCDeals] - [TC Property Current Stage (Seq: 1)] - [4% Construction Costs (Seq: 1)] Rehab Addl Cost 6 - Send]&gt;</t>
        </r>
      </text>
    </comment>
    <comment ref="E380" authorId="1" shapeId="0" xr:uid="{EF900295-B83D-4331-844C-D720B133547E}">
      <text>
        <r>
          <rPr>
            <b/>
            <sz val="9"/>
            <color indexed="81"/>
            <rFont val="Tahoma"/>
            <family val="2"/>
          </rPr>
          <t>&lt;[[TCDeals] - [TC Property Current Stage (Seq: 1)] - [9% Construction Costs (Seq: 1)] PVC Addl Cost 6 - Send]&gt;</t>
        </r>
      </text>
    </comment>
    <comment ref="F380" authorId="1" shapeId="0" xr:uid="{EFD965E1-5B47-46C6-9392-33DE0CE6B7C4}">
      <text>
        <r>
          <rPr>
            <b/>
            <sz val="9"/>
            <color indexed="81"/>
            <rFont val="Tahoma"/>
            <family val="2"/>
          </rPr>
          <t>&lt;[[TCDeals] - [TC Property Current Stage (Seq: 1)] - [State LIHTC Property Costs (Seq: 1)] Additional Costs6 - Send]&gt;</t>
        </r>
      </text>
    </comment>
    <comment ref="AC380" authorId="1" shapeId="0" xr:uid="{370C6364-1734-4D9F-87AE-BAF22E1ACB1F}">
      <text>
        <r>
          <rPr>
            <b/>
            <sz val="9"/>
            <color indexed="81"/>
            <rFont val="Tahoma"/>
            <family val="2"/>
          </rPr>
          <t>&lt;[[TCDeals] - [Associated DEV Deal (Seq: 1)] - [Budget Initial (Seq: 1)] SC - Org Costs - Send]&gt;</t>
        </r>
      </text>
    </comment>
    <comment ref="AC381" authorId="1" shapeId="0" xr:uid="{5ADC8214-FF98-4E45-8EFA-4C98A7382E55}">
      <text>
        <r>
          <rPr>
            <b/>
            <sz val="9"/>
            <color indexed="81"/>
            <rFont val="Tahoma"/>
            <family val="2"/>
          </rPr>
          <t>&lt;[[TCDeals] - [Associated DEV Deal (Seq: 1)] - [Budget Initial (Seq: 1)] SC - Equity Financed - Send]&gt;</t>
        </r>
      </text>
    </comment>
    <comment ref="C383" authorId="1" shapeId="0" xr:uid="{BEC332D7-80E0-44A4-83B6-A3E4E64B9926}">
      <text>
        <r>
          <rPr>
            <b/>
            <sz val="9"/>
            <color indexed="81"/>
            <rFont val="Tahoma"/>
            <family val="2"/>
          </rPr>
          <t>&lt;[[TCDeals] - [TC Property Current Stage (Seq: 1)] - [Actual Costs (Seq: 1)] Actual Addl Cost 16 - Send]&gt;</t>
        </r>
      </text>
    </comment>
    <comment ref="D383" authorId="1" shapeId="0" xr:uid="{DD8F8FBB-48F4-4B0A-92BF-9A7D9D632931}">
      <text>
        <r>
          <rPr>
            <b/>
            <sz val="9"/>
            <color indexed="81"/>
            <rFont val="Tahoma"/>
            <family val="2"/>
          </rPr>
          <t>&lt;[[TCDeals] - [TC Property Current Stage (Seq: 1)] - [4% Construction Costs (Seq: 1)] Rehab Addl Cost 16 - Send]&gt;</t>
        </r>
      </text>
    </comment>
    <comment ref="E383" authorId="1" shapeId="0" xr:uid="{2C0D31FD-3E7B-4661-BE8F-A08BCFDE64E9}">
      <text>
        <r>
          <rPr>
            <b/>
            <sz val="9"/>
            <color indexed="81"/>
            <rFont val="Tahoma"/>
            <family val="2"/>
          </rPr>
          <t>&lt;[[TCDeals] - [TC Property Current Stage (Seq: 1)] - [9% Construction Costs (Seq: 1)] PVC Addl Cost 16 - Send]&gt;</t>
        </r>
      </text>
    </comment>
    <comment ref="F383" authorId="1" shapeId="0" xr:uid="{7F0AB29D-6FC4-409C-BD5C-7C22CBA0E833}">
      <text>
        <r>
          <rPr>
            <b/>
            <sz val="9"/>
            <color indexed="81"/>
            <rFont val="Tahoma"/>
            <family val="2"/>
          </rPr>
          <t>&lt;[[TCDeals] - [TC Property Current Stage (Seq: 1)] - [State LIHTC Property Costs (Seq: 1)] Additional Costs16 - Send]&gt;</t>
        </r>
      </text>
    </comment>
    <comment ref="AC384" authorId="1" shapeId="0" xr:uid="{525A0DE9-F281-4C91-9021-C7899407A4DA}">
      <text>
        <r>
          <rPr>
            <b/>
            <sz val="9"/>
            <color indexed="81"/>
            <rFont val="Tahoma"/>
            <family val="2"/>
          </rPr>
          <t>&lt;[[TCDeals] - [Associated DEV Deal (Seq: 1)] - [Budget Initial (Seq: 1)] SC - Reserves - Send]&gt;</t>
        </r>
      </text>
    </comment>
    <comment ref="AC385" authorId="1" shapeId="0" xr:uid="{7FA112B2-3979-4F9B-8CA8-20EF88349B60}">
      <text>
        <r>
          <rPr>
            <b/>
            <sz val="9"/>
            <color indexed="81"/>
            <rFont val="Tahoma"/>
            <family val="2"/>
          </rPr>
          <t>&lt;[[TCDeals] - [Associated DEV Deal (Seq: 1)] - [Budget Initial (Seq: 1)] SC -RR Funding - Send]&gt;</t>
        </r>
      </text>
    </comment>
    <comment ref="AC386" authorId="1" shapeId="0" xr:uid="{BB84F28A-F5B3-4790-991C-A6EA175A04AA}">
      <text>
        <r>
          <rPr>
            <b/>
            <sz val="9"/>
            <color indexed="81"/>
            <rFont val="Tahoma"/>
            <family val="2"/>
          </rPr>
          <t>&lt;[[TCDeals] - [Associated DEV Deal (Seq: 1)] - [Budget Initial (Seq: 1)] SC - Monitoring Lease Up Res - Send]&gt;</t>
        </r>
      </text>
    </comment>
    <comment ref="C387" authorId="1" shapeId="0" xr:uid="{73AC23EE-98EB-4346-AF78-D90DDB2BE693}">
      <text>
        <r>
          <rPr>
            <b/>
            <sz val="9"/>
            <color indexed="81"/>
            <rFont val="Tahoma"/>
            <family val="2"/>
          </rPr>
          <t>&lt;[[TCDeals] - [TC Property Current Stage (Seq: 1)] - [Actual Costs (Seq: 1)] Constr Interest - Send]&gt;</t>
        </r>
      </text>
    </comment>
    <comment ref="D387" authorId="1" shapeId="0" xr:uid="{B81A48C6-D4F3-4339-8CBF-657683C14EC6}">
      <text>
        <r>
          <rPr>
            <b/>
            <sz val="9"/>
            <color indexed="81"/>
            <rFont val="Tahoma"/>
            <family val="2"/>
          </rPr>
          <t>&lt;[[TCDeals] - [TC Property Current Stage (Seq: 1)] - [4% Construction Costs (Seq: 1)] Constr Interest - Send]&gt;</t>
        </r>
      </text>
    </comment>
    <comment ref="E387" authorId="1" shapeId="0" xr:uid="{EE6E6297-9A1F-466E-BBDE-49C5BDEBD637}">
      <text>
        <r>
          <rPr>
            <b/>
            <sz val="9"/>
            <color indexed="81"/>
            <rFont val="Tahoma"/>
            <family val="2"/>
          </rPr>
          <t>&lt;[[TCDeals] - [TC Property Current Stage (Seq: 1)] - [9% Construction Costs (Seq: 1)] Constr Interest - Send]&gt;</t>
        </r>
      </text>
    </comment>
    <comment ref="F387" authorId="1" shapeId="0" xr:uid="{0484EDF0-EAA8-4240-8DE3-F4F8EB81EF03}">
      <text>
        <r>
          <rPr>
            <b/>
            <sz val="9"/>
            <color indexed="81"/>
            <rFont val="Tahoma"/>
            <family val="2"/>
          </rPr>
          <t>&lt;[[TCDeals] - [TC Property Current Stage (Seq: 1)] - [State LIHTC Property Costs (Seq: 1)] Constr Interest - Send]&gt;</t>
        </r>
      </text>
    </comment>
    <comment ref="C390" authorId="1" shapeId="0" xr:uid="{417698F4-DA89-4938-8DAF-CF74751AA0DB}">
      <text>
        <r>
          <rPr>
            <b/>
            <sz val="9"/>
            <color indexed="81"/>
            <rFont val="Tahoma"/>
            <family val="2"/>
          </rPr>
          <t>&lt;[[TCDeals] - [TC Property Current Stage (Seq: 1)] - [Actual Costs (Seq: 1)] Closing Legal Fees - Send]&gt;</t>
        </r>
      </text>
    </comment>
    <comment ref="D390" authorId="1" shapeId="0" xr:uid="{0A5225F5-F884-4F30-B69E-DA9D77333A9B}">
      <text>
        <r>
          <rPr>
            <b/>
            <sz val="9"/>
            <color indexed="81"/>
            <rFont val="Tahoma"/>
            <family val="2"/>
          </rPr>
          <t>&lt;[[TCDeals] - [TC Property Current Stage (Seq: 1)] - [4% Construction Costs (Seq: 1)] Closing Legal Fees - Send]&gt;</t>
        </r>
      </text>
    </comment>
    <comment ref="E390" authorId="1" shapeId="0" xr:uid="{84DBB954-191D-491B-B83E-322F67899BE5}">
      <text>
        <r>
          <rPr>
            <b/>
            <sz val="9"/>
            <color indexed="81"/>
            <rFont val="Tahoma"/>
            <family val="2"/>
          </rPr>
          <t>&lt;[[TCDeals] - [TC Property Current Stage (Seq: 1)] - [9% Construction Costs (Seq: 1)] Closing Legal Fees - Send]&gt;</t>
        </r>
      </text>
    </comment>
    <comment ref="F390" authorId="1" shapeId="0" xr:uid="{15AC1C64-FF60-4219-ACDB-860EE912A55E}">
      <text>
        <r>
          <rPr>
            <b/>
            <sz val="9"/>
            <color indexed="81"/>
            <rFont val="Tahoma"/>
            <family val="2"/>
          </rPr>
          <t>&lt;[[TCDeals] - [TC Property Current Stage (Seq: 1)] - [State LIHTC Property Costs (Seq: 1)] Closing Legal Fees - Send]&gt;</t>
        </r>
      </text>
    </comment>
    <comment ref="AC392" authorId="1" shapeId="0" xr:uid="{557809FF-CADE-436E-9833-5E25F55B4D7F}">
      <text>
        <r>
          <rPr>
            <b/>
            <sz val="9"/>
            <color indexed="81"/>
            <rFont val="Tahoma"/>
            <family val="2"/>
          </rPr>
          <t>&lt;[[TCDeals] - [Associated DEV Deal (Seq: 1)] - [Budget Initial (Seq: 1)] SC - Appraisal - Send]&gt;</t>
        </r>
      </text>
    </comment>
    <comment ref="C393" authorId="1" shapeId="0" xr:uid="{83CFDFB3-04DC-4C14-9E57-9F572BF6F467}">
      <text>
        <r>
          <rPr>
            <b/>
            <sz val="9"/>
            <color indexed="81"/>
            <rFont val="Tahoma"/>
            <family val="2"/>
          </rPr>
          <t>&lt;[[TCDeals] - [TC Property Current Stage (Seq: 1)] - [Actual Costs (Seq: 1)] Credit Enhancement - Send]&gt;</t>
        </r>
      </text>
    </comment>
    <comment ref="D393" authorId="1" shapeId="0" xr:uid="{EC61337E-2AF2-48C5-A499-113D4D0593B8}">
      <text>
        <r>
          <rPr>
            <b/>
            <sz val="9"/>
            <color indexed="81"/>
            <rFont val="Tahoma"/>
            <family val="2"/>
          </rPr>
          <t>&lt;[[TCDeals] - [TC Property Current Stage (Seq: 1)] - [4% Construction Costs (Seq: 1)] Credit Enhancement - Send]&gt;</t>
        </r>
      </text>
    </comment>
    <comment ref="E393" authorId="1" shapeId="0" xr:uid="{427FE420-DB7B-4491-B594-3BC65599A222}">
      <text>
        <r>
          <rPr>
            <b/>
            <sz val="9"/>
            <color indexed="81"/>
            <rFont val="Tahoma"/>
            <family val="2"/>
          </rPr>
          <t>&lt;[[TCDeals] - [TC Property Current Stage (Seq: 1)] - [9% Construction Costs (Seq: 1)] Credit Enhancement - Send]&gt;</t>
        </r>
      </text>
    </comment>
    <comment ref="F393" authorId="1" shapeId="0" xr:uid="{46D085DF-EE3A-4877-BDA5-4119374D5904}">
      <text>
        <r>
          <rPr>
            <b/>
            <sz val="9"/>
            <color indexed="81"/>
            <rFont val="Tahoma"/>
            <family val="2"/>
          </rPr>
          <t>&lt;[[TCDeals] - [TC Property Current Stage (Seq: 1)] - [State LIHTC Property Costs (Seq: 1)] Credit Enhancement - Send]&gt;</t>
        </r>
      </text>
    </comment>
    <comment ref="AC393" authorId="1" shapeId="0" xr:uid="{DD3E4F35-661B-4A48-B678-10106D12846C}">
      <text>
        <r>
          <rPr>
            <b/>
            <sz val="9"/>
            <color indexed="81"/>
            <rFont val="Tahoma"/>
            <family val="2"/>
          </rPr>
          <t>&lt;[[TCDeals] - [Associated DEV Deal (Seq: 1)] - [Budget Initial (Seq: 1)] SC - Market Study - Send]&gt;</t>
        </r>
      </text>
    </comment>
    <comment ref="C394" authorId="1" shapeId="0" xr:uid="{930E0DE7-9E9A-42DF-BF78-08F968510649}">
      <text>
        <r>
          <rPr>
            <b/>
            <sz val="9"/>
            <color indexed="81"/>
            <rFont val="Tahoma"/>
            <family val="2"/>
          </rPr>
          <t>&lt;[[TCDeals] - [TC Property Current Stage (Seq: 1)] - [Actual Costs (Seq: 1)] Taxes Construction - Send]&gt;</t>
        </r>
      </text>
    </comment>
    <comment ref="D394" authorId="1" shapeId="0" xr:uid="{0F6388DB-E340-4104-9B3E-3332BA27E725}">
      <text>
        <r>
          <rPr>
            <b/>
            <sz val="9"/>
            <color indexed="81"/>
            <rFont val="Tahoma"/>
            <family val="2"/>
          </rPr>
          <t>&lt;[[TCDeals] - [TC Property Current Stage (Seq: 1)] - [4% Construction Costs (Seq: 1)] Taxes Construction - Send]&gt;</t>
        </r>
      </text>
    </comment>
    <comment ref="E394" authorId="1" shapeId="0" xr:uid="{D49F324B-8D11-48AD-8279-6E03A4A37AF0}">
      <text>
        <r>
          <rPr>
            <b/>
            <sz val="9"/>
            <color indexed="81"/>
            <rFont val="Tahoma"/>
            <family val="2"/>
          </rPr>
          <t>&lt;[[TCDeals] - [TC Property Current Stage (Seq: 1)] - [9% Construction Costs (Seq: 1)] Taxes Construction - Send]&gt;</t>
        </r>
      </text>
    </comment>
    <comment ref="F394" authorId="1" shapeId="0" xr:uid="{9FA8295D-CFF8-4336-AE9B-043AEB0E84A6}">
      <text>
        <r>
          <rPr>
            <b/>
            <sz val="9"/>
            <color indexed="81"/>
            <rFont val="Tahoma"/>
            <family val="2"/>
          </rPr>
          <t>&lt;[[TCDeals] - [TC Property Current Stage (Seq: 1)] - [State LIHTC Property Costs (Seq: 1)] Taxesduring Constr - Send]&gt;</t>
        </r>
      </text>
    </comment>
    <comment ref="AC394" authorId="1" shapeId="0" xr:uid="{44118A21-55A1-4EC7-A990-C6CA7FB231F5}">
      <text>
        <r>
          <rPr>
            <b/>
            <sz val="9"/>
            <color indexed="81"/>
            <rFont val="Tahoma"/>
            <family val="2"/>
          </rPr>
          <t>&lt;[[TCDeals] - [Associated DEV Deal (Seq: 1)] - [Budget Initial (Seq: 1)] SC - Property Reports - Send]&gt;</t>
        </r>
      </text>
    </comment>
    <comment ref="C395" authorId="1" shapeId="0" xr:uid="{E960BA40-83EA-484E-A97D-055FA46E6440}">
      <text>
        <r>
          <rPr>
            <b/>
            <sz val="9"/>
            <color indexed="81"/>
            <rFont val="Tahoma"/>
            <family val="2"/>
          </rPr>
          <t>&lt;[[TCDeals] - [TC Property Current Stage (Seq: 1)] - [Actual Costs (Seq: 1)] Title And Recording - Send]&gt;</t>
        </r>
      </text>
    </comment>
    <comment ref="D395" authorId="1" shapeId="0" xr:uid="{E13F155A-28B7-45E9-BB41-7E96089ADEC9}">
      <text>
        <r>
          <rPr>
            <b/>
            <sz val="9"/>
            <color indexed="81"/>
            <rFont val="Tahoma"/>
            <family val="2"/>
          </rPr>
          <t>&lt;[[TCDeals] - [TC Property Current Stage (Seq: 1)] - [4% Construction Costs (Seq: 1)] Title And Recording - Send]&gt;</t>
        </r>
      </text>
    </comment>
    <comment ref="E395" authorId="1" shapeId="0" xr:uid="{E72B8A87-4BBF-4F2F-A7DE-CE52F3901D79}">
      <text>
        <r>
          <rPr>
            <b/>
            <sz val="9"/>
            <color indexed="81"/>
            <rFont val="Tahoma"/>
            <family val="2"/>
          </rPr>
          <t>&lt;[[TCDeals] - [TC Property Current Stage (Seq: 1)] - [9% Construction Costs (Seq: 1)] Title And Recording - Send]&gt;</t>
        </r>
      </text>
    </comment>
    <comment ref="F395" authorId="1" shapeId="0" xr:uid="{7A3DA5D8-F9C8-45EA-8063-3EF2B392C7E6}">
      <text>
        <r>
          <rPr>
            <b/>
            <sz val="9"/>
            <color indexed="81"/>
            <rFont val="Tahoma"/>
            <family val="2"/>
          </rPr>
          <t>&lt;[[TCDeals] - [TC Property Current Stage (Seq: 1)] - [State LIHTC Property Costs (Seq: 1)] Title And Recording - Send]&gt;</t>
        </r>
      </text>
    </comment>
    <comment ref="AC395" authorId="1" shapeId="0" xr:uid="{BD0E49DA-C9AA-4057-A4D3-5EA8360597A3}">
      <text>
        <r>
          <rPr>
            <b/>
            <sz val="9"/>
            <color indexed="81"/>
            <rFont val="Tahoma"/>
            <family val="2"/>
          </rPr>
          <t>&lt;[[TCDeals] - [Associated DEV Deal (Seq: 1)] - [Budget Initial (Seq: 1)] SC - Environmental - Send]&gt;</t>
        </r>
      </text>
    </comment>
    <comment ref="C397" authorId="1" shapeId="0" xr:uid="{3A5C5F29-EF92-4E28-B1BE-6C98F1BC5CCE}">
      <text>
        <r>
          <rPr>
            <b/>
            <sz val="9"/>
            <color indexed="81"/>
            <rFont val="Tahoma"/>
            <family val="2"/>
          </rPr>
          <t>&lt;[[TCDeals] - [TC Property Current Stage (Seq: 1)] - [Actual Costs (Seq: 1)] Insurance Construction - Send]&gt;</t>
        </r>
      </text>
    </comment>
    <comment ref="D397" authorId="1" shapeId="0" xr:uid="{898BD52C-EC0F-49ED-BAFC-EEE8C0A9E585}">
      <text>
        <r>
          <rPr>
            <b/>
            <sz val="9"/>
            <color indexed="81"/>
            <rFont val="Tahoma"/>
            <family val="2"/>
          </rPr>
          <t>&lt;[[TCDeals] - [TC Property Current Stage (Seq: 1)] - [4% Construction Costs (Seq: 1)] Insurance Construction - Send]&gt;</t>
        </r>
      </text>
    </comment>
    <comment ref="E397" authorId="1" shapeId="0" xr:uid="{4D86AEAD-117E-4E3F-B3F1-F440FEE24CA3}">
      <text>
        <r>
          <rPr>
            <b/>
            <sz val="9"/>
            <color indexed="81"/>
            <rFont val="Tahoma"/>
            <family val="2"/>
          </rPr>
          <t>&lt;[[TCDeals] - [TC Property Current Stage (Seq: 1)] - [9% Construction Costs (Seq: 1)] Insurance Construction - Send]&gt;</t>
        </r>
      </text>
    </comment>
    <comment ref="F397" authorId="1" shapeId="0" xr:uid="{61C9D535-A784-48B8-A18D-E03433821A01}">
      <text>
        <r>
          <rPr>
            <b/>
            <sz val="9"/>
            <color indexed="81"/>
            <rFont val="Tahoma"/>
            <family val="2"/>
          </rPr>
          <t>&lt;[[TCDeals] - [TC Property Current Stage (Seq: 1)] - [State LIHTC Property Costs (Seq: 1)] Insuranceduring Constr - Send]&gt;</t>
        </r>
      </text>
    </comment>
    <comment ref="AC397" authorId="1" shapeId="0" xr:uid="{FAC806FD-766A-4B58-9360-E752FBF0DD17}">
      <text>
        <r>
          <rPr>
            <b/>
            <sz val="9"/>
            <color indexed="81"/>
            <rFont val="Tahoma"/>
            <family val="2"/>
          </rPr>
          <t>&lt;[[TCDeals] - [Associated DEV Deal (Seq: 1)] - [Budget Initial (Seq: 1)] SC - Tax Credit Fee - Send]&gt;</t>
        </r>
      </text>
    </comment>
    <comment ref="C400" authorId="1" shapeId="0" xr:uid="{AA593185-57AC-4F5C-9C79-3A73DE6D23E5}">
      <text>
        <r>
          <rPr>
            <b/>
            <sz val="9"/>
            <color indexed="81"/>
            <rFont val="Tahoma"/>
            <family val="2"/>
          </rPr>
          <t>&lt;[[TCDeals] - [TC Property Current Stage (Seq: 1)] - [Actual Costs (Seq: 1)] Actual Addl Cost 12 - Send]&gt;</t>
        </r>
      </text>
    </comment>
    <comment ref="D400" authorId="1" shapeId="0" xr:uid="{71959BD4-7BE3-450A-AEB3-12E4FC8F5704}">
      <text>
        <r>
          <rPr>
            <b/>
            <sz val="9"/>
            <color indexed="81"/>
            <rFont val="Tahoma"/>
            <family val="2"/>
          </rPr>
          <t>&lt;[[TCDeals] - [TC Property Current Stage (Seq: 1)] - [4% Construction Costs (Seq: 1)] Rehab Addl Cost 12 - Send]&gt;</t>
        </r>
      </text>
    </comment>
    <comment ref="E400" authorId="1" shapeId="0" xr:uid="{2B57FFF3-4A89-49D1-ACAB-B5E50872E3F4}">
      <text>
        <r>
          <rPr>
            <b/>
            <sz val="9"/>
            <color indexed="81"/>
            <rFont val="Tahoma"/>
            <family val="2"/>
          </rPr>
          <t>&lt;[[TCDeals] - [TC Property Current Stage (Seq: 1)] - [9% Construction Costs (Seq: 1)] PVC Addl Cost 12 - Send]&gt;</t>
        </r>
      </text>
    </comment>
    <comment ref="F400" authorId="1" shapeId="0" xr:uid="{A9569F0B-FE07-455D-9352-3C187BCD3ADE}">
      <text>
        <r>
          <rPr>
            <b/>
            <sz val="9"/>
            <color indexed="81"/>
            <rFont val="Tahoma"/>
            <family val="2"/>
          </rPr>
          <t>&lt;[[TCDeals] - [TC Property Current Stage (Seq: 1)] - [State LIHTC Property Costs (Seq: 1)] Additional Costs12 - Send]&gt;</t>
        </r>
      </text>
    </comment>
    <comment ref="AC400" authorId="1" shapeId="0" xr:uid="{D70DF1C5-B85D-462A-849E-64C7F631D8AB}">
      <text>
        <r>
          <rPr>
            <b/>
            <sz val="9"/>
            <color indexed="81"/>
            <rFont val="Tahoma"/>
            <family val="2"/>
          </rPr>
          <t>&lt;[[TCDeals] - [Associated DEV Deal (Seq: 1)] - [Budget Initial (Seq: 1)] SC - Tap Fees - Send]&gt;</t>
        </r>
      </text>
    </comment>
    <comment ref="C401" authorId="1" shapeId="0" xr:uid="{5FED18E8-672A-48E6-9541-AF890E67D2F4}">
      <text>
        <r>
          <rPr>
            <b/>
            <sz val="9"/>
            <color indexed="81"/>
            <rFont val="Tahoma"/>
            <family val="2"/>
          </rPr>
          <t>&lt;[[TCDeals] - [TC Property Current Stage (Seq: 1)] - [Actual Costs (Seq: 1)] Actual Addl Cost 11 - Send]&gt;</t>
        </r>
      </text>
    </comment>
    <comment ref="D401" authorId="1" shapeId="0" xr:uid="{20553DC6-A634-44FD-89F1-69FBEDB54E06}">
      <text>
        <r>
          <rPr>
            <b/>
            <sz val="9"/>
            <color indexed="81"/>
            <rFont val="Tahoma"/>
            <family val="2"/>
          </rPr>
          <t>&lt;[[TCDeals] - [TC Property Current Stage (Seq: 1)] - [4% Construction Costs (Seq: 1)] Rehab Addl Cost 11 - Send]&gt;</t>
        </r>
      </text>
    </comment>
    <comment ref="E401" authorId="1" shapeId="0" xr:uid="{E326D836-5499-4322-A346-CCD5D60ECD8F}">
      <text>
        <r>
          <rPr>
            <b/>
            <sz val="9"/>
            <color indexed="81"/>
            <rFont val="Tahoma"/>
            <family val="2"/>
          </rPr>
          <t>&lt;[[TCDeals] - [TC Property Current Stage (Seq: 1)] - [9% Construction Costs (Seq: 1)] PVC Addl Cost 11 - Send]&gt;</t>
        </r>
      </text>
    </comment>
    <comment ref="F401" authorId="1" shapeId="0" xr:uid="{FC089ABA-5AE5-406A-9DA5-CEF7C1A2091B}">
      <text>
        <r>
          <rPr>
            <b/>
            <sz val="9"/>
            <color indexed="81"/>
            <rFont val="Tahoma"/>
            <family val="2"/>
          </rPr>
          <t>&lt;[[TCDeals] - [TC Property Current Stage (Seq: 1)] - [State LIHTC Property Costs (Seq: 1)] Additional Costs11 - Send]&gt;</t>
        </r>
      </text>
    </comment>
    <comment ref="AC401" authorId="1" shapeId="0" xr:uid="{1515F1F6-CE43-4DF6-893A-EA62F654BC2B}">
      <text>
        <r>
          <rPr>
            <b/>
            <sz val="9"/>
            <color indexed="81"/>
            <rFont val="Tahoma"/>
            <family val="2"/>
          </rPr>
          <t>&lt;[[TCDeals] - [Associated DEV Deal (Seq: 1)] - [Budget Initial (Seq: 1)] SC - Certification - Send]&gt;</t>
        </r>
      </text>
    </comment>
    <comment ref="C402" authorId="2" shapeId="0" xr:uid="{881F1FC8-B3DD-4992-9B93-4ED760A08A45}">
      <text>
        <r>
          <rPr>
            <b/>
            <sz val="9"/>
            <color indexed="81"/>
            <rFont val="Tahoma"/>
            <family val="2"/>
          </rPr>
          <t>&lt;[[TCDeals] - [TC Property Current Stage (Seq: 1)] - [Actual Costs (Seq: 1)] Other Construction2 - Send]&gt;</t>
        </r>
      </text>
    </comment>
    <comment ref="D402" authorId="2" shapeId="0" xr:uid="{1DE8D2D0-D9C9-4A6B-B5E4-156F6E414220}">
      <text>
        <r>
          <rPr>
            <b/>
            <sz val="9"/>
            <color indexed="81"/>
            <rFont val="Tahoma"/>
            <family val="2"/>
          </rPr>
          <t>&lt;[[TCDeals] - [TC Property Current Stage (Seq: 1)] - [4% Construction Costs (Seq: 1)] Other Construction2 - Send]&gt;</t>
        </r>
      </text>
    </comment>
    <comment ref="E402" authorId="2" shapeId="0" xr:uid="{143C41B5-7FAF-4DAE-8924-64A298041E80}">
      <text>
        <r>
          <rPr>
            <b/>
            <sz val="9"/>
            <color indexed="81"/>
            <rFont val="Tahoma"/>
            <family val="2"/>
          </rPr>
          <t>&lt;[[TCDeals] - [TC Property Current Stage (Seq: 1)] - [9% Construction Costs (Seq: 1)] Other Construction2 - Send]&gt;</t>
        </r>
      </text>
    </comment>
    <comment ref="F402" authorId="2" shapeId="0" xr:uid="{2F9787D5-1E6A-43AB-B73F-61DFCE397044}">
      <text>
        <r>
          <rPr>
            <b/>
            <sz val="9"/>
            <color indexed="81"/>
            <rFont val="Tahoma"/>
            <family val="2"/>
          </rPr>
          <t>&lt;[[TCDeals] - [TC Property Current Stage (Seq: 1)] - [State LIHTC Property Costs (Seq: 1)] Other Construction2 - Send]&gt;</t>
        </r>
      </text>
    </comment>
    <comment ref="AC402" authorId="1" shapeId="0" xr:uid="{6FDFBF27-52DB-408D-BAF1-D6AFCFB5E6B0}">
      <text>
        <r>
          <rPr>
            <b/>
            <sz val="9"/>
            <color indexed="81"/>
            <rFont val="Tahoma"/>
            <family val="2"/>
          </rPr>
          <t>&lt;[[TCDeals] - [Associated DEV Deal (Seq: 1)] - [Budget Initial (Seq: 1)] SC - Mrkt Gen Lease Up - Send]&gt;</t>
        </r>
      </text>
    </comment>
    <comment ref="AC403" authorId="1" shapeId="0" xr:uid="{0824B5DF-8CC1-4368-BD9C-89DD60924214}">
      <text>
        <r>
          <rPr>
            <b/>
            <sz val="9"/>
            <color indexed="81"/>
            <rFont val="Tahoma"/>
            <family val="2"/>
          </rPr>
          <t>&lt;[[TCDeals] - [Associated DEV Deal (Seq: 1)] - [Budget Initial (Seq: 1)] SC - Other8 - Send]&gt;</t>
        </r>
      </text>
    </comment>
    <comment ref="AE403" authorId="1" shapeId="0" xr:uid="{2086F620-3E67-47DF-9F03-0FDD84EE858A}">
      <text>
        <r>
          <rPr>
            <b/>
            <sz val="9"/>
            <color indexed="81"/>
            <rFont val="Tahoma"/>
            <family val="2"/>
          </rPr>
          <t>&lt;[[TCDeals] - [Associated DEV Deal (Seq: 1)] - [Budget Initial (Seq: 1)] SC - Other8 Comments - Send]&gt;</t>
        </r>
      </text>
    </comment>
    <comment ref="AC404" authorId="1" shapeId="0" xr:uid="{52473CCE-2226-4C11-8A91-082AA488B3AB}">
      <text>
        <r>
          <rPr>
            <b/>
            <sz val="9"/>
            <color indexed="81"/>
            <rFont val="Tahoma"/>
            <family val="2"/>
          </rPr>
          <t>&lt;[[TCDeals] - [Associated DEV Deal (Seq: 1)] - [Budget Initial (Seq: 1)] SC - Miscellaneous - Send]&gt;</t>
        </r>
      </text>
    </comment>
    <comment ref="AC406" authorId="1" shapeId="0" xr:uid="{DF544BFE-93A2-4970-ACED-84739165A23F}">
      <text>
        <r>
          <rPr>
            <b/>
            <sz val="9"/>
            <color indexed="81"/>
            <rFont val="Tahoma"/>
            <family val="2"/>
          </rPr>
          <t>&lt;[[TCDeals] - [Associated DEV Deal (Seq: 1)] - [Budget Initial (Seq: 1)] SC - Development Mgt - Send]&gt;</t>
        </r>
      </text>
    </comment>
    <comment ref="C407" authorId="1" shapeId="0" xr:uid="{FA50F28B-B355-4A74-A5D7-0E5F79724E10}">
      <text>
        <r>
          <rPr>
            <b/>
            <sz val="9"/>
            <color indexed="81"/>
            <rFont val="Tahoma"/>
            <family val="2"/>
          </rPr>
          <t>&lt;[[TCDeals] - [TC Property Current Stage (Seq: 1)] - [Actual Costs (Seq: 1)] Perm Loan Fee - Send]&gt;</t>
        </r>
      </text>
    </comment>
    <comment ref="AC407" authorId="1" shapeId="0" xr:uid="{02624676-4F0A-487E-8AA7-C37C5BA5A996}">
      <text>
        <r>
          <rPr>
            <b/>
            <sz val="9"/>
            <color indexed="81"/>
            <rFont val="Tahoma"/>
            <family val="2"/>
          </rPr>
          <t>&lt;[[TCDeals] - [Associated DEV Deal (Seq: 1)] - [Budget Initial (Seq: 1)] SC - Other9 - Send]&gt;</t>
        </r>
      </text>
    </comment>
    <comment ref="AE407" authorId="1" shapeId="0" xr:uid="{5D5AA96F-EE48-4D1E-892A-BC37F8D99686}">
      <text>
        <r>
          <rPr>
            <b/>
            <sz val="9"/>
            <color indexed="81"/>
            <rFont val="Tahoma"/>
            <family val="2"/>
          </rPr>
          <t>&lt;[[TCDeals] - [Associated DEV Deal (Seq: 1)] - [Budget Initial (Seq: 1)] SC - Other9 Comments - Send]&gt;</t>
        </r>
      </text>
    </comment>
    <comment ref="C408" authorId="1" shapeId="0" xr:uid="{AFEAF809-FE83-4FFB-A24E-B6651F10CDBD}">
      <text>
        <r>
          <rPr>
            <b/>
            <sz val="9"/>
            <color indexed="81"/>
            <rFont val="Tahoma"/>
            <family val="2"/>
          </rPr>
          <t>&lt;[[TCDeals] - [TC Property Current Stage (Seq: 1)] - [Actual Costs (Seq: 1)] Actual Addl Cost 7 - Send]&gt;</t>
        </r>
      </text>
    </comment>
    <comment ref="AC409" authorId="1" shapeId="0" xr:uid="{B7A8226B-3B77-4A94-B84D-9E8A183B4752}">
      <text>
        <r>
          <rPr>
            <b/>
            <sz val="9"/>
            <color indexed="81"/>
            <rFont val="Tahoma"/>
            <family val="2"/>
          </rPr>
          <t>&lt;[[TCDeals] - [Associated DEV Deal (Seq: 1)] - [Budget Initial (Seq: 1)] SC - Consultants - Send]&gt;</t>
        </r>
      </text>
    </comment>
    <comment ref="C411" authorId="1" shapeId="0" xr:uid="{2C317BB0-1B5F-4D4C-8347-A29E8B3BE088}">
      <text>
        <r>
          <rPr>
            <b/>
            <sz val="9"/>
            <color indexed="81"/>
            <rFont val="Tahoma"/>
            <family val="2"/>
          </rPr>
          <t>&lt;[[TCDeals] - [TC Property Current Stage (Seq: 1)] - [Actual Costs (Seq: 1)] Other Perm Loan Fees - Send]&gt;</t>
        </r>
      </text>
    </comment>
    <comment ref="C414" authorId="1" shapeId="0" xr:uid="{3AA9970B-C62F-4150-9305-FA2C01D31B6B}">
      <text>
        <r>
          <rPr>
            <b/>
            <sz val="9"/>
            <color indexed="81"/>
            <rFont val="Tahoma"/>
            <family val="2"/>
          </rPr>
          <t>&lt;[[TCDeals] - [TC Property Current Stage (Seq: 1)] - [Actual Costs (Seq: 1)] Actual Addl Cost 14 - Send]&gt;</t>
        </r>
      </text>
    </comment>
    <comment ref="D414" authorId="1" shapeId="0" xr:uid="{3EE07FE9-931E-438B-8BF4-A9A59C7A178F}">
      <text>
        <r>
          <rPr>
            <b/>
            <sz val="9"/>
            <color indexed="81"/>
            <rFont val="Tahoma"/>
            <family val="2"/>
          </rPr>
          <t>&lt;[[TCDeals] - [TC Property Current Stage (Seq: 1)] - [4% Construction Costs (Seq: 1)] Rehab Addl Cost 14 - Send]&gt;</t>
        </r>
      </text>
    </comment>
    <comment ref="E414" authorId="1" shapeId="0" xr:uid="{8030229D-1E3B-4B83-8102-2FB5B95D5FC3}">
      <text>
        <r>
          <rPr>
            <b/>
            <sz val="9"/>
            <color indexed="81"/>
            <rFont val="Tahoma"/>
            <family val="2"/>
          </rPr>
          <t>&lt;[[TCDeals] - [TC Property Current Stage (Seq: 1)] - [9% Construction Costs (Seq: 1)] PVC Addl Cost 14 - Send]&gt;</t>
        </r>
      </text>
    </comment>
    <comment ref="F414" authorId="1" shapeId="0" xr:uid="{DD38DB52-4A01-4557-9ADA-82C2A6F62FEE}">
      <text>
        <r>
          <rPr>
            <b/>
            <sz val="9"/>
            <color indexed="81"/>
            <rFont val="Tahoma"/>
            <family val="2"/>
          </rPr>
          <t>&lt;[[TCDeals] - [TC Property Current Stage (Seq: 1)] - [State LIHTC Property Costs (Seq: 1)] Additional Costs14 - Send]&gt;</t>
        </r>
      </text>
    </comment>
    <comment ref="C415" authorId="1" shapeId="0" xr:uid="{7AE46BDC-78E2-40D4-9AF0-EA3A4F6BC859}">
      <text>
        <r>
          <rPr>
            <b/>
            <sz val="9"/>
            <color indexed="81"/>
            <rFont val="Tahoma"/>
            <family val="2"/>
          </rPr>
          <t>&lt;[[TCDeals] - [TC Property Current Stage (Seq: 1)] - [Actual Costs (Seq: 1)] Actual Addl Cost 8 - Send]&gt;</t>
        </r>
      </text>
    </comment>
    <comment ref="D415" authorId="1" shapeId="0" xr:uid="{F51AA112-DC28-4626-965A-825582766717}">
      <text>
        <r>
          <rPr>
            <b/>
            <sz val="9"/>
            <color indexed="81"/>
            <rFont val="Tahoma"/>
            <family val="2"/>
          </rPr>
          <t>&lt;[[TCDeals] - [TC Property Current Stage (Seq: 1)] - [4% Construction Costs (Seq: 1)] Rehab Addl Cost 8 - Send]&gt;</t>
        </r>
      </text>
    </comment>
    <comment ref="E415" authorId="1" shapeId="0" xr:uid="{6412F0AF-509B-4645-BF8B-E1AE7E7B25CB}">
      <text>
        <r>
          <rPr>
            <b/>
            <sz val="9"/>
            <color indexed="81"/>
            <rFont val="Tahoma"/>
            <family val="2"/>
          </rPr>
          <t>&lt;[[TCDeals] - [TC Property Current Stage (Seq: 1)] - [9% Construction Costs (Seq: 1)] PVC Addl Cost 8 - Send]&gt;</t>
        </r>
      </text>
    </comment>
    <comment ref="F415" authorId="1" shapeId="0" xr:uid="{49A859A7-823A-4B66-954A-D82751A744AE}">
      <text>
        <r>
          <rPr>
            <b/>
            <sz val="9"/>
            <color indexed="81"/>
            <rFont val="Tahoma"/>
            <family val="2"/>
          </rPr>
          <t>&lt;[[TCDeals] - [TC Property Current Stage (Seq: 1)] - [State LIHTC Property Costs (Seq: 1)] Additional Costs8 - Send]&gt;</t>
        </r>
      </text>
    </comment>
    <comment ref="C418" authorId="1" shapeId="0" xr:uid="{E10D22DF-9FAD-43AA-BF22-8E1125CF2093}">
      <text>
        <r>
          <rPr>
            <b/>
            <sz val="9"/>
            <color indexed="81"/>
            <rFont val="Tahoma"/>
            <family val="2"/>
          </rPr>
          <t>&lt;[[TCDeals] - [TC Property Current Stage (Seq: 1)] - [Actual Costs (Seq: 1)] Arch Engin Design Fee - Send]&gt;</t>
        </r>
      </text>
    </comment>
    <comment ref="D418" authorId="1" shapeId="0" xr:uid="{5C2E3089-3C32-487D-AA90-EA4CD51F5C9B}">
      <text>
        <r>
          <rPr>
            <b/>
            <sz val="9"/>
            <color indexed="81"/>
            <rFont val="Tahoma"/>
            <family val="2"/>
          </rPr>
          <t>&lt;[[TCDeals] - [TC Property Current Stage (Seq: 1)] - [4% Construction Costs (Seq: 1)] Arch Engin Design Fee - Send]&gt;</t>
        </r>
      </text>
    </comment>
    <comment ref="E418" authorId="1" shapeId="0" xr:uid="{150D65B3-1B44-4D6C-A143-2FAA2E921E84}">
      <text>
        <r>
          <rPr>
            <b/>
            <sz val="9"/>
            <color indexed="81"/>
            <rFont val="Tahoma"/>
            <family val="2"/>
          </rPr>
          <t>&lt;[[TCDeals] - [TC Property Current Stage (Seq: 1)] - [9% Construction Costs (Seq: 1)] Arch Engin Design Fee - Send]&gt;</t>
        </r>
      </text>
    </comment>
    <comment ref="F418" authorId="1" shapeId="0" xr:uid="{738E41C9-805A-4E09-B4BB-B52C3C515EB1}">
      <text>
        <r>
          <rPr>
            <b/>
            <sz val="9"/>
            <color indexed="81"/>
            <rFont val="Tahoma"/>
            <family val="2"/>
          </rPr>
          <t>&lt;[[TCDeals] - [TC Property Current Stage (Seq: 1)] - [State LIHTC Property Costs (Seq: 1)] Arch Engin Design Fee - Send]&gt;</t>
        </r>
      </text>
    </comment>
    <comment ref="C419" authorId="1" shapeId="0" xr:uid="{1AA9FBF5-3168-457B-BB9C-2C7164E7E3F3}">
      <text>
        <r>
          <rPr>
            <b/>
            <sz val="9"/>
            <color indexed="81"/>
            <rFont val="Tahoma"/>
            <family val="2"/>
          </rPr>
          <t>&lt;[[TCDeals] - [TC Property Current Stage (Seq: 1)] - [Actual Costs (Seq: 1)] Arch Supervision Fee - Send]&gt;</t>
        </r>
      </text>
    </comment>
    <comment ref="D419" authorId="1" shapeId="0" xr:uid="{E88C393F-840D-485B-A695-BAF541FA62A2}">
      <text>
        <r>
          <rPr>
            <b/>
            <sz val="9"/>
            <color indexed="81"/>
            <rFont val="Tahoma"/>
            <family val="2"/>
          </rPr>
          <t>&lt;[[TCDeals] - [TC Property Current Stage (Seq: 1)] - [4% Construction Costs (Seq: 1)] Arch Supervision Fee - Send]&gt;</t>
        </r>
      </text>
    </comment>
    <comment ref="E419" authorId="1" shapeId="0" xr:uid="{17BDBBFC-89DE-46F0-B5A1-85F29058365E}">
      <text>
        <r>
          <rPr>
            <b/>
            <sz val="9"/>
            <color indexed="81"/>
            <rFont val="Tahoma"/>
            <family val="2"/>
          </rPr>
          <t>&lt;[[TCDeals] - [TC Property Current Stage (Seq: 1)] - [9% Construction Costs (Seq: 1)] Arch Supervision Fee - Send]&gt;</t>
        </r>
      </text>
    </comment>
    <comment ref="F419" authorId="1" shapeId="0" xr:uid="{DBCEE4B8-4FE8-41BB-8983-491AF1117E01}">
      <text>
        <r>
          <rPr>
            <b/>
            <sz val="9"/>
            <color indexed="81"/>
            <rFont val="Tahoma"/>
            <family val="2"/>
          </rPr>
          <t>&lt;[[TCDeals] - [TC Property Current Stage (Seq: 1)] - [State LIHTC Property Costs (Seq: 1)] Arch Supervision Fee - Send]&gt;</t>
        </r>
      </text>
    </comment>
    <comment ref="C420" authorId="1" shapeId="0" xr:uid="{DC0952DF-E131-4AFF-B7FB-C877F2323D6D}">
      <text>
        <r>
          <rPr>
            <b/>
            <sz val="9"/>
            <color indexed="81"/>
            <rFont val="Tahoma"/>
            <family val="2"/>
          </rPr>
          <t>&lt;[[TCDeals] - [TC Property Current Stage (Seq: 1)] - [Actual Costs (Seq: 1)] Engineering - Send]&gt;</t>
        </r>
      </text>
    </comment>
    <comment ref="D420" authorId="1" shapeId="0" xr:uid="{48207BAF-A1E5-4091-8DAD-5025EC29F1B8}">
      <text>
        <r>
          <rPr>
            <b/>
            <sz val="9"/>
            <color indexed="81"/>
            <rFont val="Tahoma"/>
            <family val="2"/>
          </rPr>
          <t>&lt;[[TCDeals] - [TC Property Current Stage (Seq: 1)] - [4% Construction Costs (Seq: 1)] Engineering - Send]&gt;</t>
        </r>
      </text>
    </comment>
    <comment ref="E420" authorId="1" shapeId="0" xr:uid="{F9E39BB9-AF2F-427D-8B70-20C4547C8CF9}">
      <text>
        <r>
          <rPr>
            <b/>
            <sz val="9"/>
            <color indexed="81"/>
            <rFont val="Tahoma"/>
            <family val="2"/>
          </rPr>
          <t>&lt;[[TCDeals] - [TC Property Current Stage (Seq: 1)] - [9% Construction Costs (Seq: 1)] Engineering - Send]&gt;</t>
        </r>
      </text>
    </comment>
    <comment ref="F420" authorId="1" shapeId="0" xr:uid="{2C65C7E4-7906-4ED8-A6A9-0B78B9F9E111}">
      <text>
        <r>
          <rPr>
            <b/>
            <sz val="9"/>
            <color indexed="81"/>
            <rFont val="Tahoma"/>
            <family val="2"/>
          </rPr>
          <t>&lt;[[TCDeals] - [TC Property Current Stage (Seq: 1)] - [State LIHTC Property Costs (Seq: 1)] Engineering - Send]&gt;</t>
        </r>
      </text>
    </comment>
    <comment ref="C421" authorId="1" shapeId="0" xr:uid="{813C6A3F-D229-4C9C-B717-02AB8BFF6329}">
      <text>
        <r>
          <rPr>
            <b/>
            <sz val="9"/>
            <color indexed="81"/>
            <rFont val="Tahoma"/>
            <family val="2"/>
          </rPr>
          <t>&lt;[[TCDeals] - [TC Property Current Stage (Seq: 1)] - [Actual Costs (Seq: 1)] Actual Addl Cost 9 - Send]&gt;</t>
        </r>
      </text>
    </comment>
    <comment ref="D421" authorId="1" shapeId="0" xr:uid="{6838AD91-6DB7-4A64-9B15-837E7927389B}">
      <text>
        <r>
          <rPr>
            <b/>
            <sz val="9"/>
            <color indexed="81"/>
            <rFont val="Tahoma"/>
            <family val="2"/>
          </rPr>
          <t>&lt;[[TCDeals] - [TC Property Current Stage (Seq: 1)] - [4% Construction Costs (Seq: 1)] Rehab Addl Cost 9 - Send]&gt;</t>
        </r>
      </text>
    </comment>
    <comment ref="E421" authorId="1" shapeId="0" xr:uid="{5AB8D3F6-A8F6-49DE-80A2-EE5BFE08362D}">
      <text>
        <r>
          <rPr>
            <b/>
            <sz val="9"/>
            <color indexed="81"/>
            <rFont val="Tahoma"/>
            <family val="2"/>
          </rPr>
          <t>&lt;[[TCDeals] - [TC Property Current Stage (Seq: 1)] - [9% Construction Costs (Seq: 1)] PVC Addl Cost 9 - Send]&gt;</t>
        </r>
      </text>
    </comment>
    <comment ref="F421" authorId="1" shapeId="0" xr:uid="{B2FEC409-5DBD-43AF-8E83-C493D812A442}">
      <text>
        <r>
          <rPr>
            <b/>
            <sz val="9"/>
            <color indexed="81"/>
            <rFont val="Tahoma"/>
            <family val="2"/>
          </rPr>
          <t>&lt;[[TCDeals] - [TC Property Current Stage (Seq: 1)] - [State LIHTC Property Costs (Seq: 1)] Additional Costs9 - Send]&gt;</t>
        </r>
      </text>
    </comment>
    <comment ref="C422" authorId="1" shapeId="0" xr:uid="{DD0C14FA-FCC1-4EA0-9A6F-DF14E3765BB8}">
      <text>
        <r>
          <rPr>
            <b/>
            <sz val="9"/>
            <color indexed="81"/>
            <rFont val="Tahoma"/>
            <family val="2"/>
          </rPr>
          <t>&lt;[[TCDeals] - [TC Property Current Stage (Seq: 1)] - [Actual Costs (Seq: 1)] Actual Addl Cost 3 - Send]&gt;</t>
        </r>
      </text>
    </comment>
    <comment ref="D422" authorId="1" shapeId="0" xr:uid="{5E98F1B9-B3BD-4F14-969D-0DAA7EB781F9}">
      <text>
        <r>
          <rPr>
            <b/>
            <sz val="9"/>
            <color indexed="81"/>
            <rFont val="Tahoma"/>
            <family val="2"/>
          </rPr>
          <t>&lt;[[TCDeals] - [TC Property Current Stage (Seq: 1)] - [4% Construction Costs (Seq: 1)] Rehab Addl Cost 3 - Send]&gt;</t>
        </r>
      </text>
    </comment>
    <comment ref="E422" authorId="1" shapeId="0" xr:uid="{31F87765-7A84-4486-956F-FBE79643C381}">
      <text>
        <r>
          <rPr>
            <b/>
            <sz val="9"/>
            <color indexed="81"/>
            <rFont val="Tahoma"/>
            <family val="2"/>
          </rPr>
          <t>&lt;[[TCDeals] - [TC Property Current Stage (Seq: 1)] - [9% Construction Costs (Seq: 1)] PVC Addl Cost 3 - Send]&gt;</t>
        </r>
      </text>
    </comment>
    <comment ref="F422" authorId="1" shapeId="0" xr:uid="{CD599C3E-EA88-4475-89A9-9179F9155590}">
      <text>
        <r>
          <rPr>
            <b/>
            <sz val="9"/>
            <color indexed="81"/>
            <rFont val="Tahoma"/>
            <family val="2"/>
          </rPr>
          <t>&lt;[[TCDeals] - [TC Property Current Stage (Seq: 1)] - [State LIHTC Property Costs (Seq: 1)] Additional Costs3 - Send]&gt;</t>
        </r>
      </text>
    </comment>
    <comment ref="C429" authorId="2" shapeId="0" xr:uid="{FFD13F37-CC64-4C2C-98DA-459CFC786AEC}">
      <text>
        <r>
          <rPr>
            <b/>
            <sz val="9"/>
            <color indexed="81"/>
            <rFont val="Tahoma"/>
            <family val="2"/>
          </rPr>
          <t>&lt;[[TCDeals] - [TC Property Current Stage (Seq: 1)] - [Actual Costs (Seq: 1)] Actual Addl Cost 5 - Send]&gt;</t>
        </r>
      </text>
    </comment>
    <comment ref="C431" authorId="1" shapeId="0" xr:uid="{D8F04DB4-929B-4F46-927C-31CF48945F13}">
      <text>
        <r>
          <rPr>
            <b/>
            <sz val="9"/>
            <color indexed="81"/>
            <rFont val="Tahoma"/>
            <family val="2"/>
          </rPr>
          <t>&lt;[[TCDeals] - [TC Property Current Stage (Seq: 1)] - [Actual Costs (Seq: 1)] Oper Reserve - Send]&gt;</t>
        </r>
      </text>
    </comment>
    <comment ref="D431" authorId="1" shapeId="0" xr:uid="{A531790D-92B8-40CD-9CF8-0B971F6A056E}">
      <text>
        <r>
          <rPr>
            <b/>
            <sz val="9"/>
            <color indexed="81"/>
            <rFont val="Tahoma"/>
            <family val="2"/>
          </rPr>
          <t>&lt;[[TCDeals] - [TC Property Current Stage (Seq: 1)] - [4% Construction Costs (Seq: 1)] Oper Reserve - Send]&gt;</t>
        </r>
      </text>
    </comment>
    <comment ref="E431" authorId="1" shapeId="0" xr:uid="{EF26A323-3C84-4EE4-9FFE-2F86E9A9B3B6}">
      <text>
        <r>
          <rPr>
            <b/>
            <sz val="9"/>
            <color indexed="81"/>
            <rFont val="Tahoma"/>
            <family val="2"/>
          </rPr>
          <t>&lt;[[TCDeals] - [TC Property Current Stage (Seq: 1)] - [9% Construction Costs (Seq: 1)] Oper Reserve - Send]&gt;</t>
        </r>
      </text>
    </comment>
    <comment ref="F431" authorId="1" shapeId="0" xr:uid="{57DC49EF-68F4-4874-994A-DC168ED00603}">
      <text>
        <r>
          <rPr>
            <b/>
            <sz val="9"/>
            <color indexed="81"/>
            <rFont val="Tahoma"/>
            <family val="2"/>
          </rPr>
          <t>&lt;[[TCDeals] - [TC Property Current Stage (Seq: 1)] - [State LIHTC Property Costs (Seq: 1)] Oper Reserve - Send]&gt;</t>
        </r>
      </text>
    </comment>
    <comment ref="C432" authorId="1" shapeId="0" xr:uid="{59EE244D-739C-4995-8DFA-74E458A7245B}">
      <text>
        <r>
          <rPr>
            <b/>
            <sz val="9"/>
            <color indexed="81"/>
            <rFont val="Tahoma"/>
            <family val="2"/>
          </rPr>
          <t>&lt;[[TCDeals] - [TC Property Current Stage (Seq: 1)] - [Actual Costs (Seq: 1)] Actual Addl Cost 19 - Send]&gt;</t>
        </r>
      </text>
    </comment>
    <comment ref="D432" authorId="1" shapeId="0" xr:uid="{3C1FB0DC-D8FD-40BF-93D5-57A4615A7166}">
      <text>
        <r>
          <rPr>
            <b/>
            <sz val="9"/>
            <color indexed="81"/>
            <rFont val="Tahoma"/>
            <family val="2"/>
          </rPr>
          <t>&lt;[[TCDeals] - [TC Property Current Stage (Seq: 1)] - [4% Construction Costs (Seq: 1)] Rehab Addl Cost 19 - Send]&gt;</t>
        </r>
      </text>
    </comment>
    <comment ref="E432" authorId="1" shapeId="0" xr:uid="{1C517477-FF31-4FD1-8E57-284C81FADFEA}">
      <text>
        <r>
          <rPr>
            <b/>
            <sz val="9"/>
            <color indexed="81"/>
            <rFont val="Tahoma"/>
            <family val="2"/>
          </rPr>
          <t>&lt;[[TCDeals] - [TC Property Current Stage (Seq: 1)] - [9% Construction Costs (Seq: 1)] PVC Addl Cost 19 - Send]&gt;</t>
        </r>
      </text>
    </comment>
    <comment ref="F432" authorId="1" shapeId="0" xr:uid="{56A35054-BD07-4B11-840F-433B442CF918}">
      <text>
        <r>
          <rPr>
            <b/>
            <sz val="9"/>
            <color indexed="81"/>
            <rFont val="Tahoma"/>
            <family val="2"/>
          </rPr>
          <t>&lt;[[TCDeals] - [TC Property Current Stage (Seq: 1)] - [State LIHTC Property Costs (Seq: 1)] Additional Costs19 - Send]&gt;</t>
        </r>
      </text>
    </comment>
    <comment ref="C433" authorId="1" shapeId="0" xr:uid="{9CD6BBE9-93F0-47FC-8392-EF9075D26F96}">
      <text>
        <r>
          <rPr>
            <b/>
            <sz val="9"/>
            <color indexed="81"/>
            <rFont val="Tahoma"/>
            <family val="2"/>
          </rPr>
          <t>&lt;[[TCDeals] - [TC Property Current Stage (Seq: 1)] - [Actual Costs (Seq: 1)] Actual Addl Cost 20 - Send]&gt;</t>
        </r>
      </text>
    </comment>
    <comment ref="D433" authorId="1" shapeId="0" xr:uid="{A7A82FE5-D6E2-463B-884B-70C33098020F}">
      <text>
        <r>
          <rPr>
            <b/>
            <sz val="9"/>
            <color indexed="81"/>
            <rFont val="Tahoma"/>
            <family val="2"/>
          </rPr>
          <t>&lt;[[TCDeals] - [TC Property Current Stage (Seq: 1)] - [4% Construction Costs (Seq: 1)] Rehab Addl Cost 20 - Send]&gt;</t>
        </r>
      </text>
    </comment>
    <comment ref="E433" authorId="1" shapeId="0" xr:uid="{9FCB840F-D0DF-4C79-8BF5-E92FE89A554A}">
      <text>
        <r>
          <rPr>
            <b/>
            <sz val="9"/>
            <color indexed="81"/>
            <rFont val="Tahoma"/>
            <family val="2"/>
          </rPr>
          <t>&lt;[[TCDeals] - [TC Property Current Stage (Seq: 1)] - [9% Construction Costs (Seq: 1)] PVC Addl Cost 20 - Send]&gt;</t>
        </r>
      </text>
    </comment>
    <comment ref="F433" authorId="1" shapeId="0" xr:uid="{755D75EF-859A-46BF-BAF1-EC54F6C2BC00}">
      <text>
        <r>
          <rPr>
            <b/>
            <sz val="9"/>
            <color indexed="81"/>
            <rFont val="Tahoma"/>
            <family val="2"/>
          </rPr>
          <t>&lt;[[TCDeals] - [TC Property Current Stage (Seq: 1)] - [State LIHTC Property Costs (Seq: 1)] Additional Costs20 - Send]&gt;</t>
        </r>
      </text>
    </comment>
    <comment ref="C442" authorId="1" shapeId="0" xr:uid="{F8E5EB3D-3C73-4F36-90EE-8AC53198B881}">
      <text>
        <r>
          <rPr>
            <b/>
            <sz val="9"/>
            <color indexed="81"/>
            <rFont val="Tahoma"/>
            <family val="2"/>
          </rPr>
          <t>&lt;[[TCDeals] - [TC Property Current Stage (Seq: 1)] - [Actual Costs (Seq: 1)] Appraisal Fee - Send]&gt;</t>
        </r>
      </text>
    </comment>
    <comment ref="D442" authorId="1" shapeId="0" xr:uid="{004B3819-B121-4321-B7FA-D255E8F98C81}">
      <text>
        <r>
          <rPr>
            <b/>
            <sz val="9"/>
            <color indexed="81"/>
            <rFont val="Tahoma"/>
            <family val="2"/>
          </rPr>
          <t>&lt;[[TCDeals] - [TC Property Current Stage (Seq: 1)] - [4% Construction Costs (Seq: 1)] Appraisal Fee - Send]&gt;</t>
        </r>
      </text>
    </comment>
    <comment ref="E442" authorId="1" shapeId="0" xr:uid="{CF9EA080-DE65-4F88-9BCC-060A5F0E6693}">
      <text>
        <r>
          <rPr>
            <b/>
            <sz val="9"/>
            <color indexed="81"/>
            <rFont val="Tahoma"/>
            <family val="2"/>
          </rPr>
          <t>&lt;[[TCDeals] - [TC Property Current Stage (Seq: 1)] - [9% Construction Costs (Seq: 1)] Appraisal Fee - Send]&gt;</t>
        </r>
      </text>
    </comment>
    <comment ref="F442" authorId="1" shapeId="0" xr:uid="{1762107C-2816-4B38-A611-4BD55AA1A01D}">
      <text>
        <r>
          <rPr>
            <b/>
            <sz val="9"/>
            <color indexed="81"/>
            <rFont val="Tahoma"/>
            <family val="2"/>
          </rPr>
          <t>&lt;[[TCDeals] - [TC Property Current Stage (Seq: 1)] - [State LIHTC Property Costs (Seq: 1)] Appraisal Fee - Send]&gt;</t>
        </r>
      </text>
    </comment>
    <comment ref="C443" authorId="1" shapeId="0" xr:uid="{19E43441-E996-4554-BF48-B3A4993073C5}">
      <text>
        <r>
          <rPr>
            <b/>
            <sz val="9"/>
            <color indexed="81"/>
            <rFont val="Tahoma"/>
            <family val="2"/>
          </rPr>
          <t>&lt;[[TCDeals] - [TC Property Current Stage (Seq: 1)] - [Actual Costs (Seq: 1)] Market Study - Send]&gt;</t>
        </r>
      </text>
    </comment>
    <comment ref="D443" authorId="1" shapeId="0" xr:uid="{FA933C08-213B-4FFF-8E8F-17BD35872DAE}">
      <text>
        <r>
          <rPr>
            <b/>
            <sz val="9"/>
            <color indexed="81"/>
            <rFont val="Tahoma"/>
            <family val="2"/>
          </rPr>
          <t>&lt;[[TCDeals] - [TC Property Current Stage (Seq: 1)] - [4% Construction Costs (Seq: 1)] Market Study - Send]&gt;</t>
        </r>
      </text>
    </comment>
    <comment ref="E443" authorId="1" shapeId="0" xr:uid="{C60ACDEC-A124-422A-822E-77A76ED0C429}">
      <text>
        <r>
          <rPr>
            <b/>
            <sz val="9"/>
            <color indexed="81"/>
            <rFont val="Tahoma"/>
            <family val="2"/>
          </rPr>
          <t>&lt;[[TCDeals] - [TC Property Current Stage (Seq: 1)] - [9% Construction Costs (Seq: 1)] Market Study - Send]&gt;</t>
        </r>
      </text>
    </comment>
    <comment ref="F443" authorId="1" shapeId="0" xr:uid="{C95F652F-F84B-4D71-A963-66FF0E5CCFF5}">
      <text>
        <r>
          <rPr>
            <b/>
            <sz val="9"/>
            <color indexed="81"/>
            <rFont val="Tahoma"/>
            <family val="2"/>
          </rPr>
          <t>&lt;[[TCDeals] - [TC Property Current Stage (Seq: 1)] - [State LIHTC Property Costs (Seq: 1)] Market Study - Send]&gt;</t>
        </r>
      </text>
    </comment>
    <comment ref="C444" authorId="1" shapeId="0" xr:uid="{884C5AAD-9DB5-42CF-B0B8-C82C64DB065D}">
      <text>
        <r>
          <rPr>
            <b/>
            <sz val="9"/>
            <color indexed="81"/>
            <rFont val="Tahoma"/>
            <family val="2"/>
          </rPr>
          <t>&lt;[[TCDeals] - [TC Property Current Stage (Seq: 1)] - [Actual Costs (Seq: 1)] Actual Addl Cost 13 - Send]&gt;</t>
        </r>
      </text>
    </comment>
    <comment ref="D444" authorId="1" shapeId="0" xr:uid="{017333D6-C997-4491-BD6A-004A47C7914A}">
      <text>
        <r>
          <rPr>
            <b/>
            <sz val="9"/>
            <color indexed="81"/>
            <rFont val="Tahoma"/>
            <family val="2"/>
          </rPr>
          <t>&lt;[[TCDeals] - [TC Property Current Stage (Seq: 1)] - [4% Construction Costs (Seq: 1)] Rehab Addl Cost 13 - Send]&gt;</t>
        </r>
      </text>
    </comment>
    <comment ref="E444" authorId="1" shapeId="0" xr:uid="{F642A434-7E5C-4CEF-970E-3C9767B1EE4F}">
      <text>
        <r>
          <rPr>
            <b/>
            <sz val="9"/>
            <color indexed="81"/>
            <rFont val="Tahoma"/>
            <family val="2"/>
          </rPr>
          <t>&lt;[[TCDeals] - [TC Property Current Stage (Seq: 1)] - [9% Construction Costs (Seq: 1)] PVC Addl Cost 13 - Send]&gt;</t>
        </r>
      </text>
    </comment>
    <comment ref="F444" authorId="1" shapeId="0" xr:uid="{32D363FD-BC6F-4D04-B3D4-DB8E02FF3001}">
      <text>
        <r>
          <rPr>
            <b/>
            <sz val="9"/>
            <color indexed="81"/>
            <rFont val="Tahoma"/>
            <family val="2"/>
          </rPr>
          <t>&lt;[[TCDeals] - [TC Property Current Stage (Seq: 1)] - [State LIHTC Property Costs (Seq: 1)] Additional Costs13 - Send]&gt;</t>
        </r>
      </text>
    </comment>
    <comment ref="C445" authorId="1" shapeId="0" xr:uid="{AA28FB96-015E-40B1-9B30-DC4EC049FD0E}">
      <text>
        <r>
          <rPr>
            <b/>
            <sz val="9"/>
            <color indexed="81"/>
            <rFont val="Tahoma"/>
            <family val="2"/>
          </rPr>
          <t>&lt;[[TCDeals] - [TC Property Current Stage (Seq: 1)] - [Actual Costs (Seq: 1)] Enviro Study - Send]&gt;</t>
        </r>
      </text>
    </comment>
    <comment ref="D445" authorId="1" shapeId="0" xr:uid="{1A842ABA-9C5D-4DF8-84B5-36D9E722211B}">
      <text>
        <r>
          <rPr>
            <b/>
            <sz val="9"/>
            <color indexed="81"/>
            <rFont val="Tahoma"/>
            <family val="2"/>
          </rPr>
          <t>&lt;[[TCDeals] - [TC Property Current Stage (Seq: 1)] - [4% Construction Costs (Seq: 1)] Enviro Study - Send]&gt;</t>
        </r>
      </text>
    </comment>
    <comment ref="E445" authorId="1" shapeId="0" xr:uid="{FDE5322A-21B2-46AE-8CE2-DBEE1FA04DA1}">
      <text>
        <r>
          <rPr>
            <b/>
            <sz val="9"/>
            <color indexed="81"/>
            <rFont val="Tahoma"/>
            <family val="2"/>
          </rPr>
          <t>&lt;[[TCDeals] - [TC Property Current Stage (Seq: 1)] - [9% Construction Costs (Seq: 1)] Enviro Study - Send]&gt;</t>
        </r>
      </text>
    </comment>
    <comment ref="F445" authorId="1" shapeId="0" xr:uid="{B08BBBF8-69FE-41AB-9C0D-ABF1F3093E94}">
      <text>
        <r>
          <rPr>
            <b/>
            <sz val="9"/>
            <color indexed="81"/>
            <rFont val="Tahoma"/>
            <family val="2"/>
          </rPr>
          <t>&lt;[[TCDeals] - [TC Property Current Stage (Seq: 1)] - [State LIHTC Property Costs (Seq: 1)] Enviro Study - Send]&gt;</t>
        </r>
      </text>
    </comment>
    <comment ref="C458" authorId="1" shapeId="0" xr:uid="{99B06B50-3887-4D2A-BAD2-AE189DECF8AC}">
      <text>
        <r>
          <rPr>
            <b/>
            <sz val="9"/>
            <color indexed="81"/>
            <rFont val="Tahoma"/>
            <family val="2"/>
          </rPr>
          <t>&lt;[[TCDeals] - [TC Property Current Stage (Seq: 1)] - [Actual Costs (Seq: 1)] Tax Credit Fee - Send]&gt;</t>
        </r>
      </text>
    </comment>
    <comment ref="D458" authorId="1" shapeId="0" xr:uid="{EC312D20-58EE-4405-AE8E-72C435C6DE21}">
      <text>
        <r>
          <rPr>
            <b/>
            <sz val="9"/>
            <color indexed="81"/>
            <rFont val="Tahoma"/>
            <family val="2"/>
          </rPr>
          <t>&lt;[[TCDeals] - [TC Property Current Stage (Seq: 1)] - [4% Construction Costs (Seq: 1)] Tax Credit Fee - Send]&gt;</t>
        </r>
      </text>
    </comment>
    <comment ref="E458" authorId="1" shapeId="0" xr:uid="{7EB36E4A-629A-4C09-8F31-135910EDDD2E}">
      <text>
        <r>
          <rPr>
            <b/>
            <sz val="9"/>
            <color indexed="81"/>
            <rFont val="Tahoma"/>
            <family val="2"/>
          </rPr>
          <t>&lt;[[TCDeals] - [TC Property Current Stage (Seq: 1)] - [9% Construction Costs (Seq: 1)] Tax Credit Fee - Send]&gt;</t>
        </r>
      </text>
    </comment>
    <comment ref="F458" authorId="1" shapeId="0" xr:uid="{6D14B06C-CB7E-4F7D-B312-3E3C33F9073C}">
      <text>
        <r>
          <rPr>
            <b/>
            <sz val="9"/>
            <color indexed="81"/>
            <rFont val="Tahoma"/>
            <family val="2"/>
          </rPr>
          <t>&lt;[[TCDeals] - [TC Property Current Stage (Seq: 1)] - [State LIHTC Property Costs (Seq: 1)] Tax Credit Fee - Send]&gt;</t>
        </r>
      </text>
    </comment>
    <comment ref="C462" authorId="2" shapeId="0" xr:uid="{AEB11A73-1CC2-4AFD-9133-E81A07B8B127}">
      <text>
        <r>
          <rPr>
            <b/>
            <sz val="9"/>
            <color indexed="81"/>
            <rFont val="Tahoma"/>
            <family val="2"/>
          </rPr>
          <t>&lt;[[TCDeals] - [TC Property Current Stage (Seq: 1)] - [Actual Costs (Seq: 1)] Tap Fees - Send]&gt;</t>
        </r>
      </text>
    </comment>
    <comment ref="D462" authorId="2" shapeId="0" xr:uid="{E4108EE1-3C2A-4CE2-A634-4B2D858EEF61}">
      <text>
        <r>
          <rPr>
            <b/>
            <sz val="9"/>
            <color indexed="81"/>
            <rFont val="Tahoma"/>
            <family val="2"/>
          </rPr>
          <t>&lt;[[TCDeals] - [TC Property Current Stage (Seq: 1)] - [4% Construction Costs (Seq: 1)] Tap Fees - Send]&gt;</t>
        </r>
      </text>
    </comment>
    <comment ref="E462" authorId="2" shapeId="0" xr:uid="{9E8FF566-82F1-49F9-831F-43783E59C5BE}">
      <text>
        <r>
          <rPr>
            <b/>
            <sz val="9"/>
            <color indexed="81"/>
            <rFont val="Tahoma"/>
            <family val="2"/>
          </rPr>
          <t>&lt;[[TCDeals] - [TC Property Current Stage (Seq: 1)] - [9% Construction Costs (Seq: 1)] Tap Fees - Send]&gt;</t>
        </r>
      </text>
    </comment>
    <comment ref="F462" authorId="2" shapeId="0" xr:uid="{0422F7BE-4C81-4392-917D-F72F215355C1}">
      <text>
        <r>
          <rPr>
            <b/>
            <sz val="9"/>
            <color indexed="81"/>
            <rFont val="Tahoma"/>
            <family val="2"/>
          </rPr>
          <t>&lt;[[TCDeals] - [TC Property Current Stage (Seq: 1)] - [State LIHTC Property Costs (Seq: 1)] Tap Fees - Send]&gt;</t>
        </r>
      </text>
    </comment>
    <comment ref="C465" authorId="1" shapeId="0" xr:uid="{CDD0BB1B-1D24-4594-8A41-EA900D837466}">
      <text>
        <r>
          <rPr>
            <b/>
            <sz val="9"/>
            <color indexed="81"/>
            <rFont val="Tahoma"/>
            <family val="2"/>
          </rPr>
          <t>&lt;[[TCDeals] - [TC Property Current Stage (Seq: 1)] - [Actual Costs (Seq: 1)] Cost Cert Fee - Send]&gt;</t>
        </r>
      </text>
    </comment>
    <comment ref="D465" authorId="1" shapeId="0" xr:uid="{291B3363-F9EB-4C44-8666-51BE42522294}">
      <text>
        <r>
          <rPr>
            <b/>
            <sz val="9"/>
            <color indexed="81"/>
            <rFont val="Tahoma"/>
            <family val="2"/>
          </rPr>
          <t>&lt;[[TCDeals] - [TC Property Current Stage (Seq: 1)] - [4% Construction Costs (Seq: 1)] Cost Cert Fee - Send]&gt;</t>
        </r>
      </text>
    </comment>
    <comment ref="E465" authorId="1" shapeId="0" xr:uid="{C5F445E4-5A05-4217-961E-19D72D892C1F}">
      <text>
        <r>
          <rPr>
            <b/>
            <sz val="9"/>
            <color indexed="81"/>
            <rFont val="Tahoma"/>
            <family val="2"/>
          </rPr>
          <t>&lt;[[TCDeals] - [TC Property Current Stage (Seq: 1)] - [9% Construction Costs (Seq: 1)] Cost Cert Fee - Send]&gt;</t>
        </r>
      </text>
    </comment>
    <comment ref="F465" authorId="1" shapeId="0" xr:uid="{40B8DED9-63F2-48D4-B81E-ECB00AD8D390}">
      <text>
        <r>
          <rPr>
            <b/>
            <sz val="9"/>
            <color indexed="81"/>
            <rFont val="Tahoma"/>
            <family val="2"/>
          </rPr>
          <t>&lt;[[TCDeals] - [TC Property Current Stage (Seq: 1)] - [State LIHTC Property Costs (Seq: 1)] Cost Cert Fee - Send]&gt;</t>
        </r>
      </text>
    </comment>
    <comment ref="C466" authorId="1" shapeId="0" xr:uid="{EFF49468-693C-429D-B23A-A65CBD5BFEE8}">
      <text>
        <r>
          <rPr>
            <b/>
            <sz val="9"/>
            <color indexed="81"/>
            <rFont val="Tahoma"/>
            <family val="2"/>
          </rPr>
          <t>&lt;[[TCDeals] - [TC Property Current Stage (Seq: 1)] - [Actual Costs (Seq: 1)] Actual Addl Cost 10 - Send]&gt;</t>
        </r>
      </text>
    </comment>
    <comment ref="D466" authorId="1" shapeId="0" xr:uid="{6356E461-F6AB-43FB-A4E4-0E34B9926717}">
      <text>
        <r>
          <rPr>
            <b/>
            <sz val="9"/>
            <color indexed="81"/>
            <rFont val="Tahoma"/>
            <family val="2"/>
          </rPr>
          <t>&lt;[[TCDeals] - [TC Property Current Stage (Seq: 1)] - [4% Construction Costs (Seq: 1)] Rehab Addl Cost 10 - Send]&gt;</t>
        </r>
      </text>
    </comment>
    <comment ref="E466" authorId="1" shapeId="0" xr:uid="{9B8188AB-84B4-4EB6-A1A4-D23FBE498772}">
      <text>
        <r>
          <rPr>
            <b/>
            <sz val="9"/>
            <color indexed="81"/>
            <rFont val="Tahoma"/>
            <family val="2"/>
          </rPr>
          <t>&lt;[[TCDeals] - [TC Property Current Stage (Seq: 1)] - [9% Construction Costs (Seq: 1)] PVC Addl Cost 10 - Send]&gt;</t>
        </r>
      </text>
    </comment>
    <comment ref="F466" authorId="1" shapeId="0" xr:uid="{125DEB3B-5A33-47A1-B48F-317F61CD7639}">
      <text>
        <r>
          <rPr>
            <b/>
            <sz val="9"/>
            <color indexed="81"/>
            <rFont val="Tahoma"/>
            <family val="2"/>
          </rPr>
          <t>&lt;[[TCDeals] - [TC Property Current Stage (Seq: 1)] - [State LIHTC Property Costs (Seq: 1)] Additional Costs10 - Send]&gt;</t>
        </r>
      </text>
    </comment>
    <comment ref="C469" authorId="1" shapeId="0" xr:uid="{72B6B6C7-CDAC-401D-8C35-72EC2DF1E9C9}">
      <text>
        <r>
          <rPr>
            <b/>
            <sz val="9"/>
            <color indexed="81"/>
            <rFont val="Tahoma"/>
            <family val="2"/>
          </rPr>
          <t>&lt;[[TCDeals] - [TC Property Current Stage (Seq: 1)] - [Actual Costs (Seq: 1)] Actual Addl Cost 15 - Send]&gt;</t>
        </r>
      </text>
    </comment>
    <comment ref="D469" authorId="1" shapeId="0" xr:uid="{2D400247-FC0E-4134-8380-A0911850E7C7}">
      <text>
        <r>
          <rPr>
            <b/>
            <sz val="9"/>
            <color indexed="81"/>
            <rFont val="Tahoma"/>
            <family val="2"/>
          </rPr>
          <t>&lt;[[TCDeals] - [TC Property Current Stage (Seq: 1)] - [4% Construction Costs (Seq: 1)] Rehab Addl Cost 15 - Send]&gt;</t>
        </r>
      </text>
    </comment>
    <comment ref="E469" authorId="1" shapeId="0" xr:uid="{26F6B1FE-4D7F-47E6-B3B1-1FA1B4A649E1}">
      <text>
        <r>
          <rPr>
            <b/>
            <sz val="9"/>
            <color indexed="81"/>
            <rFont val="Tahoma"/>
            <family val="2"/>
          </rPr>
          <t>&lt;[[TCDeals] - [TC Property Current Stage (Seq: 1)] - [9% Construction Costs (Seq: 1)] PVC Addl Cost 15 - Send]&gt;</t>
        </r>
      </text>
    </comment>
    <comment ref="F469" authorId="1" shapeId="0" xr:uid="{5614A89F-0DE2-4BA8-B82E-95FF42310E0B}">
      <text>
        <r>
          <rPr>
            <b/>
            <sz val="9"/>
            <color indexed="81"/>
            <rFont val="Tahoma"/>
            <family val="2"/>
          </rPr>
          <t>&lt;[[TCDeals] - [TC Property Current Stage (Seq: 1)] - [State LIHTC Property Costs (Seq: 1)] Additional Costs15 - Send]&gt;</t>
        </r>
      </text>
    </comment>
    <comment ref="C473" authorId="1" shapeId="0" xr:uid="{C5514097-A9F4-440B-9CF5-A3C4F03197F7}">
      <text>
        <r>
          <rPr>
            <b/>
            <sz val="9"/>
            <color indexed="81"/>
            <rFont val="Tahoma"/>
            <family val="2"/>
          </rPr>
          <t>&lt;[[TCDeals] - [TC Property Current Stage (Seq: 1)] - [Actual Costs (Seq: 1)] Developer Fees - Send]&gt;</t>
        </r>
      </text>
    </comment>
    <comment ref="D473" authorId="1" shapeId="0" xr:uid="{D1845AD9-C3BC-4B4E-890E-34345FA952E0}">
      <text>
        <r>
          <rPr>
            <b/>
            <sz val="9"/>
            <color indexed="81"/>
            <rFont val="Tahoma"/>
            <family val="2"/>
          </rPr>
          <t>&lt;[[TCDeals] - [TC Property Current Stage (Seq: 1)] - [4% Construction Costs (Seq: 1)] Developer Fees - Send]&gt;</t>
        </r>
      </text>
    </comment>
    <comment ref="E473" authorId="1" shapeId="0" xr:uid="{C1016154-39BD-472E-A6AD-4B6A95EF0544}">
      <text>
        <r>
          <rPr>
            <b/>
            <sz val="9"/>
            <color indexed="81"/>
            <rFont val="Tahoma"/>
            <family val="2"/>
          </rPr>
          <t>&lt;[[TCDeals] - [TC Property Current Stage (Seq: 1)] - [9% Construction Costs (Seq: 1)] Developer Fees - Send]&gt;</t>
        </r>
      </text>
    </comment>
    <comment ref="F473" authorId="1" shapeId="0" xr:uid="{99ED43E8-3CA9-4D0A-B39A-23183E37B774}">
      <text>
        <r>
          <rPr>
            <b/>
            <sz val="9"/>
            <color indexed="81"/>
            <rFont val="Tahoma"/>
            <family val="2"/>
          </rPr>
          <t>&lt;[[TCDeals] - [TC Property Current Stage (Seq: 1)] - [State LIHTC Property Costs (Seq: 1)] Developer Fees - Send]&gt;</t>
        </r>
      </text>
    </comment>
    <comment ref="C474" authorId="1" shapeId="0" xr:uid="{E38D9FA0-E3EB-482C-BEEB-F7A33F3D1EBE}">
      <text>
        <r>
          <rPr>
            <b/>
            <sz val="9"/>
            <color indexed="81"/>
            <rFont val="Tahoma"/>
            <family val="2"/>
          </rPr>
          <t>&lt;[[TCDeals] - [TC Property Current Stage (Seq: 1)] - [Actual Costs (Seq: 1)] Actual Addl Cost 17 - Send]&gt;</t>
        </r>
      </text>
    </comment>
    <comment ref="D474" authorId="1" shapeId="0" xr:uid="{C7DEF7FA-5FC4-4CF8-B538-04CF1D18A850}">
      <text>
        <r>
          <rPr>
            <b/>
            <sz val="9"/>
            <color indexed="81"/>
            <rFont val="Tahoma"/>
            <family val="2"/>
          </rPr>
          <t>&lt;[[TCDeals] - [TC Property Current Stage (Seq: 1)] - [4% Construction Costs (Seq: 1)] Rehab Addl Cost 17 - Send]&gt;</t>
        </r>
      </text>
    </comment>
    <comment ref="E474" authorId="1" shapeId="0" xr:uid="{C129812D-0E64-4A64-82FD-7ABCB5E1DCBE}">
      <text>
        <r>
          <rPr>
            <b/>
            <sz val="9"/>
            <color indexed="81"/>
            <rFont val="Tahoma"/>
            <family val="2"/>
          </rPr>
          <t>&lt;[[TCDeals] - [TC Property Current Stage (Seq: 1)] - [9% Construction Costs (Seq: 1)] PVC Addl Cost 17 - Send]&gt;</t>
        </r>
      </text>
    </comment>
    <comment ref="F474" authorId="1" shapeId="0" xr:uid="{FA3CDCA2-8C4D-48E6-B826-8B62A54AF5A9}">
      <text>
        <r>
          <rPr>
            <b/>
            <sz val="9"/>
            <color indexed="81"/>
            <rFont val="Tahoma"/>
            <family val="2"/>
          </rPr>
          <t>&lt;[[TCDeals] - [TC Property Current Stage (Seq: 1)] - [State LIHTC Property Costs (Seq: 1)] Additional Costs17 - Send]&gt;</t>
        </r>
      </text>
    </comment>
    <comment ref="C476" authorId="1" shapeId="0" xr:uid="{FB3030C9-2642-4D30-80D3-2D6A11B1DD1C}">
      <text>
        <r>
          <rPr>
            <b/>
            <sz val="9"/>
            <color indexed="81"/>
            <rFont val="Tahoma"/>
            <family val="2"/>
          </rPr>
          <t>&lt;[[TCDeals] - [TC Property Current Stage (Seq: 1)] - [Actual Costs (Seq: 1)] Actual Addl Cost 18 - Send]&gt;</t>
        </r>
      </text>
    </comment>
    <comment ref="D476" authorId="1" shapeId="0" xr:uid="{1F781ED5-98E2-4634-BF3E-EE495F99ABE4}">
      <text>
        <r>
          <rPr>
            <b/>
            <sz val="9"/>
            <color indexed="81"/>
            <rFont val="Tahoma"/>
            <family val="2"/>
          </rPr>
          <t>&lt;[[TCDeals] - [TC Property Current Stage (Seq: 1)] - [4% Construction Costs (Seq: 1)] Rehab Addl Cost 18 - Send]&gt;</t>
        </r>
      </text>
    </comment>
    <comment ref="E476" authorId="1" shapeId="0" xr:uid="{863FEBDF-E475-487E-9AC8-DA16F790B781}">
      <text>
        <r>
          <rPr>
            <b/>
            <sz val="9"/>
            <color indexed="81"/>
            <rFont val="Tahoma"/>
            <family val="2"/>
          </rPr>
          <t>&lt;[[TCDeals] - [TC Property Current Stage (Seq: 1)] - [9% Construction Costs (Seq: 1)] PVC Addl Cost 18 - Send]&gt;</t>
        </r>
      </text>
    </comment>
    <comment ref="F476" authorId="1" shapeId="0" xr:uid="{C1350E45-87DA-4E5E-8E27-C0E95AE2DB82}">
      <text>
        <r>
          <rPr>
            <b/>
            <sz val="9"/>
            <color indexed="81"/>
            <rFont val="Tahoma"/>
            <family val="2"/>
          </rPr>
          <t>&lt;[[TCDeals] - [TC Property Current Stage (Seq: 1)] - [State LIHTC Property Costs (Seq: 1)] Additional Costs18 - Send]&gt;</t>
        </r>
      </text>
    </comment>
    <comment ref="C494" authorId="1" shapeId="0" xr:uid="{858BE58C-9777-486A-A8D3-10F179AC64DB}">
      <text>
        <r>
          <rPr>
            <b/>
            <sz val="9"/>
            <color indexed="81"/>
            <rFont val="Tahoma"/>
            <family val="2"/>
          </rPr>
          <t>&lt;[[TCDeals] - [TC Property Current Stage (Seq: 1)] - [Actual Costs (Seq: 1)] Applicable Fraction - Send]&gt;</t>
        </r>
      </text>
    </comment>
    <comment ref="D494" authorId="1" shapeId="0" xr:uid="{802BED95-E8BC-4F63-A84B-ADEA9E7B6F1B}">
      <text>
        <r>
          <rPr>
            <b/>
            <sz val="9"/>
            <color indexed="81"/>
            <rFont val="Tahoma"/>
            <family val="2"/>
          </rPr>
          <t>&lt;[[TCDeals] - [TC Property Current Stage (Seq: 1)] - [4% Construction Costs (Seq: 1)] Applicable Fraction - Send]&gt;</t>
        </r>
      </text>
    </comment>
    <comment ref="E494" authorId="1" shapeId="0" xr:uid="{6946AAB0-64A0-48B5-A6B2-4A11884ADAF7}">
      <text>
        <r>
          <rPr>
            <b/>
            <sz val="9"/>
            <color indexed="81"/>
            <rFont val="Tahoma"/>
            <family val="2"/>
          </rPr>
          <t>&lt;[[TCDeals] - [TC Property Current Stage (Seq: 1)] - [9% Construction Costs (Seq: 1)] Applicable Fraction - Send]&gt;</t>
        </r>
      </text>
    </comment>
    <comment ref="F494" authorId="1" shapeId="0" xr:uid="{6BEFC495-29E2-4FBF-93FE-96341B1360D5}">
      <text>
        <r>
          <rPr>
            <b/>
            <sz val="9"/>
            <color indexed="81"/>
            <rFont val="Tahoma"/>
            <family val="2"/>
          </rPr>
          <t>&lt;[[TCDeals] - [TC Property Current Stage (Seq: 1)] - [State LIHTC Property Costs (Seq: 1)] Applicable Fraction - Send]&gt;</t>
        </r>
      </text>
    </comment>
    <comment ref="C496" authorId="1" shapeId="0" xr:uid="{E80C6B64-C32C-4287-ACD6-3F395B98ED16}">
      <text>
        <r>
          <rPr>
            <b/>
            <sz val="9"/>
            <color indexed="81"/>
            <rFont val="Tahoma"/>
            <family val="2"/>
          </rPr>
          <t>&lt;[[TCDeals] - [TC Property Current Stage (Seq: 1)] - [Actual Costs (Seq: 1)] Applicabale Percentage - Send]&gt;</t>
        </r>
      </text>
    </comment>
    <comment ref="D496" authorId="1" shapeId="0" xr:uid="{A124DC5C-0D96-4A2A-9A98-49165D182AFC}">
      <text>
        <r>
          <rPr>
            <b/>
            <sz val="9"/>
            <color indexed="81"/>
            <rFont val="Tahoma"/>
            <family val="2"/>
          </rPr>
          <t>&lt;[[TCDeals] - [TC Property Current Stage (Seq: 1)] - [4% Construction Costs (Seq: 1)] Applicabale Percentage - Send]&gt;</t>
        </r>
      </text>
    </comment>
    <comment ref="E496" authorId="1" shapeId="0" xr:uid="{C88ED7E7-1DDB-49A6-B85E-6F64C6F5A59F}">
      <text>
        <r>
          <rPr>
            <b/>
            <sz val="9"/>
            <color indexed="81"/>
            <rFont val="Tahoma"/>
            <family val="2"/>
          </rPr>
          <t>&lt;[[TCDeals] - [TC Property Current Stage (Seq: 1)] - [9% Construction Costs (Seq: 1)] Applicabale Percentage - Send]&gt;</t>
        </r>
      </text>
    </comment>
    <comment ref="F496" authorId="1" shapeId="0" xr:uid="{52CE6182-4533-453A-B8A0-F1F0DA07FDA3}">
      <text>
        <r>
          <rPr>
            <b/>
            <sz val="9"/>
            <color indexed="81"/>
            <rFont val="Tahoma"/>
            <family val="2"/>
          </rPr>
          <t>&lt;[[TCDeals] - [TC Property Current Stage (Seq: 1)] - [State LIHTC Property Costs (Seq: 1)] Applicabale Percentage - Send]&gt;</t>
        </r>
      </text>
    </comment>
    <comment ref="C504" authorId="1" shapeId="0" xr:uid="{9B9FA6F5-2B61-43D8-8FEF-604B364CDFD3}">
      <text>
        <r>
          <rPr>
            <b/>
            <sz val="9"/>
            <color indexed="81"/>
            <rFont val="Tahoma"/>
            <family val="2"/>
          </rPr>
          <t>&lt;[[TCDeals] - [TC Property Current Stage (Seq: 1)] - [Actual Costs (Seq: 1)] Non Qual Financing - Send]&gt;</t>
        </r>
      </text>
    </comment>
    <comment ref="D504" authorId="1" shapeId="0" xr:uid="{772E47A7-C2E6-4FFA-AB15-157EF7E7A8C4}">
      <text>
        <r>
          <rPr>
            <b/>
            <sz val="9"/>
            <color indexed="81"/>
            <rFont val="Tahoma"/>
            <family val="2"/>
          </rPr>
          <t>&lt;[[TCDeals] - [TC Property Current Stage (Seq: 1)] - [4% Construction Costs (Seq: 1)] Non Qual Financing - Send]&gt;</t>
        </r>
      </text>
    </comment>
    <comment ref="E504" authorId="1" shapeId="0" xr:uid="{8ECB55CA-98A7-40B5-A6D9-E3C6AFB836A1}">
      <text>
        <r>
          <rPr>
            <b/>
            <sz val="9"/>
            <color indexed="81"/>
            <rFont val="Tahoma"/>
            <family val="2"/>
          </rPr>
          <t>&lt;[[TCDeals] - [TC Property Current Stage (Seq: 1)] - [9% Construction Costs (Seq: 1)] Non Qual Financing - Send]&gt;</t>
        </r>
      </text>
    </comment>
    <comment ref="F504" authorId="1" shapeId="0" xr:uid="{5BE82A0C-6F53-4720-86D5-FE916B2BE484}">
      <text>
        <r>
          <rPr>
            <b/>
            <sz val="9"/>
            <color indexed="81"/>
            <rFont val="Tahoma"/>
            <family val="2"/>
          </rPr>
          <t>&lt;[[TCDeals] - [TC Property Current Stage (Seq: 1)] - [State LIHTC Property Costs (Seq: 1)] Non Qual Financing - Send]&gt;</t>
        </r>
      </text>
    </comment>
    <comment ref="C505" authorId="1" shapeId="0" xr:uid="{0ECD302C-C98C-4FEE-B133-7D8C4773CFE9}">
      <text>
        <r>
          <rPr>
            <b/>
            <sz val="9"/>
            <color indexed="81"/>
            <rFont val="Tahoma"/>
            <family val="2"/>
          </rPr>
          <t>&lt;[[TCDeals] - [TC Property Current Stage (Seq: 1)] - [Actual Costs (Seq: 1)] Fed Grant Financing - Send]&gt;</t>
        </r>
      </text>
    </comment>
    <comment ref="D505" authorId="1" shapeId="0" xr:uid="{47BE2DC3-C982-40BA-A2BF-94941AE5FEB5}">
      <text>
        <r>
          <rPr>
            <b/>
            <sz val="9"/>
            <color indexed="81"/>
            <rFont val="Tahoma"/>
            <family val="2"/>
          </rPr>
          <t>&lt;[[TCDeals] - [TC Property Current Stage (Seq: 1)] - [4% Construction Costs (Seq: 1)] Fed Grant Financing - Send]&gt;</t>
        </r>
      </text>
    </comment>
    <comment ref="E505" authorId="1" shapeId="0" xr:uid="{485F8435-B7E5-49B8-A13B-0F94DC8A8428}">
      <text>
        <r>
          <rPr>
            <b/>
            <sz val="9"/>
            <color indexed="81"/>
            <rFont val="Tahoma"/>
            <family val="2"/>
          </rPr>
          <t>&lt;[[TCDeals] - [TC Property Current Stage (Seq: 1)] - [9% Construction Costs (Seq: 1)] Fed Grant Financing - Send]&gt;</t>
        </r>
      </text>
    </comment>
    <comment ref="F505" authorId="1" shapeId="0" xr:uid="{CEC88D26-F103-4E44-9F9C-15F5CD1F76D2}">
      <text>
        <r>
          <rPr>
            <b/>
            <sz val="9"/>
            <color indexed="81"/>
            <rFont val="Tahoma"/>
            <family val="2"/>
          </rPr>
          <t>&lt;[[TCDeals] - [TC Property Current Stage (Seq: 1)] - [State LIHTC Property Costs (Seq: 1)] Fed Grant Financing - Send]&gt;</t>
        </r>
      </text>
    </comment>
    <comment ref="C506" authorId="1" shapeId="0" xr:uid="{981ED138-5B4F-446A-AAE1-F7380D847C00}">
      <text>
        <r>
          <rPr>
            <b/>
            <sz val="9"/>
            <color indexed="81"/>
            <rFont val="Tahoma"/>
            <family val="2"/>
          </rPr>
          <t>&lt;[[TCDeals] - [TC Property Current Stage (Seq: 1)] - [Actual Costs (Seq: 1)] Historic TC Residential - Send]&gt;</t>
        </r>
      </text>
    </comment>
    <comment ref="D506" authorId="1" shapeId="0" xr:uid="{B517E03C-C31E-4AC7-A6EB-32ADE308F81B}">
      <text>
        <r>
          <rPr>
            <b/>
            <sz val="9"/>
            <color indexed="81"/>
            <rFont val="Tahoma"/>
            <family val="2"/>
          </rPr>
          <t>&lt;[[TCDeals] - [TC Property Current Stage (Seq: 1)] - [4% Construction Costs (Seq: 1)] Historic TC Residential - Send]&gt;</t>
        </r>
      </text>
    </comment>
    <comment ref="E506" authorId="1" shapeId="0" xr:uid="{42F22BA3-3696-429E-920A-093903041FB9}">
      <text>
        <r>
          <rPr>
            <b/>
            <sz val="9"/>
            <color indexed="81"/>
            <rFont val="Tahoma"/>
            <family val="2"/>
          </rPr>
          <t>&lt;[[TCDeals] - [TC Property Current Stage (Seq: 1)] - [9% Construction Costs (Seq: 1)] Historic TC Residential - Send]&gt;</t>
        </r>
      </text>
    </comment>
    <comment ref="F506" authorId="1" shapeId="0" xr:uid="{3163E765-76B9-40E5-8D1D-314085BDDCBC}">
      <text>
        <r>
          <rPr>
            <b/>
            <sz val="9"/>
            <color indexed="81"/>
            <rFont val="Tahoma"/>
            <family val="2"/>
          </rPr>
          <t>&lt;[[TCDeals] - [TC Property Current Stage (Seq: 1)] - [State LIHTC Property Costs (Seq: 1)] Historic TC Residential - Send]&gt;</t>
        </r>
      </text>
    </comment>
    <comment ref="C507" authorId="1" shapeId="0" xr:uid="{3B6B58AC-1D5D-4823-9EB5-BA2FF34D898F}">
      <text>
        <r>
          <rPr>
            <b/>
            <sz val="9"/>
            <color indexed="81"/>
            <rFont val="Tahoma"/>
            <family val="2"/>
          </rPr>
          <t>&lt;[[TCDeals] - [TC Property Current Stage (Seq: 1)] - [Actual Costs (Seq: 1)] Costs of Non Qual Units - Send]&gt;</t>
        </r>
      </text>
    </comment>
    <comment ref="D507" authorId="1" shapeId="0" xr:uid="{D17D7471-F4AA-49F8-AF4C-BBF1E7139112}">
      <text>
        <r>
          <rPr>
            <b/>
            <sz val="9"/>
            <color indexed="81"/>
            <rFont val="Tahoma"/>
            <family val="2"/>
          </rPr>
          <t>&lt;[[TCDeals] - [TC Property Current Stage (Seq: 1)] - [4% Construction Costs (Seq: 1)] Costs of Non Qual Units - Send]&gt;</t>
        </r>
      </text>
    </comment>
    <comment ref="E507" authorId="1" shapeId="0" xr:uid="{9A817A9F-E029-4D5D-BC42-B2D46B39BB95}">
      <text>
        <r>
          <rPr>
            <b/>
            <sz val="9"/>
            <color indexed="81"/>
            <rFont val="Tahoma"/>
            <family val="2"/>
          </rPr>
          <t>&lt;[[TCDeals] - [TC Property Current Stage (Seq: 1)] - [9% Construction Costs (Seq: 1)] Costs of Non Qual Units - Send]&gt;</t>
        </r>
      </text>
    </comment>
    <comment ref="F507" authorId="1" shapeId="0" xr:uid="{3CF4B93C-7FC1-423B-840D-174E161A8B58}">
      <text>
        <r>
          <rPr>
            <b/>
            <sz val="9"/>
            <color indexed="81"/>
            <rFont val="Tahoma"/>
            <family val="2"/>
          </rPr>
          <t>&lt;[[TCDeals] - [TC Property Current Stage (Seq: 1)] - [State LIHTC Property Costs (Seq: 1)] Costsof Non Qual Units - Send]&gt;</t>
        </r>
      </text>
    </comment>
    <comment ref="B509" authorId="1" shapeId="0" xr:uid="{02C4B7CF-F750-4F53-99BE-827EED05EC7A}">
      <text>
        <r>
          <rPr>
            <b/>
            <sz val="9"/>
            <color indexed="81"/>
            <rFont val="Tahoma"/>
            <family val="2"/>
          </rPr>
          <t>&lt;[[TCDeals] - [TC Property Current Stage (Seq: 1)] Equity Gap - Send]&gt;</t>
        </r>
      </text>
    </comment>
    <comment ref="C516" authorId="1" shapeId="0" xr:uid="{49E40E48-B814-4837-84D7-84594D9E76BD}">
      <text>
        <r>
          <rPr>
            <b/>
            <sz val="9"/>
            <color indexed="81"/>
            <rFont val="Tahoma"/>
            <family val="2"/>
          </rPr>
          <t>&lt;[[TCDeals] - [TC Property Current Stage (Seq: 1)] Total Annual Credit Amount Request - Send]&gt;</t>
        </r>
      </text>
    </comment>
    <comment ref="G524" authorId="0" shapeId="0" xr:uid="{30C94809-F5C4-4D6B-82F8-0656A7533172}">
      <text>
        <r>
          <rPr>
            <b/>
            <sz val="9"/>
            <color indexed="81"/>
            <rFont val="Tahoma"/>
            <family val="2"/>
          </rPr>
          <t>&lt;[[TCDeals] - [TC Property Current Stage (Seq: 1)] - [Property Points (Seq: 1)] Multi Family Application - Subtotal: Rent Expenses - Send]&gt;</t>
        </r>
      </text>
    </comment>
    <comment ref="G525" authorId="0" shapeId="0" xr:uid="{63561E97-D4EA-4864-89D4-2EBE0FF61A4E}">
      <text>
        <r>
          <rPr>
            <b/>
            <sz val="9"/>
            <color indexed="81"/>
            <rFont val="Tahoma"/>
            <family val="2"/>
          </rPr>
          <t>&lt;[[TCDeals] - [TC Property Current Stage (Seq: 1)] - [Property Points (Seq: 1)] Multi Family Application - Subtotal: Administrative Expenses - Send]&gt;</t>
        </r>
      </text>
    </comment>
    <comment ref="D526" authorId="0" shapeId="0" xr:uid="{5B5C13BA-B71A-4FAC-A971-409074DFFF78}">
      <text>
        <r>
          <rPr>
            <b/>
            <sz val="9"/>
            <color indexed="81"/>
            <rFont val="Tahoma"/>
            <family val="2"/>
          </rPr>
          <t>&lt;[[TCDeals] - [TC Property Current Stage (Seq: 1)] Admin Adv Mrktg - Send]&gt;</t>
        </r>
      </text>
    </comment>
    <comment ref="G526" authorId="0" shapeId="0" xr:uid="{41F93FFE-B333-4D9D-B27A-EA1EC65EDD1F}">
      <text>
        <r>
          <rPr>
            <b/>
            <sz val="9"/>
            <color indexed="81"/>
            <rFont val="Tahoma"/>
            <family val="2"/>
          </rPr>
          <t>&lt;[[TCDeals] - [TC Property Current Stage (Seq: 1)] - [Property Points (Seq: 1)] Multi Family Application - Subtotal: Utilities Expenses - Send]&gt;</t>
        </r>
      </text>
    </comment>
    <comment ref="C527" authorId="0" shapeId="0" xr:uid="{9A1E62ED-4870-4E14-A8C2-C54E8445FDFE}">
      <text>
        <r>
          <rPr>
            <b/>
            <sz val="9"/>
            <color indexed="81"/>
            <rFont val="Tahoma"/>
            <family val="2"/>
          </rPr>
          <t>&lt;[[TCDeals] - [TC Property Current Stage (Seq: 1)] Admin Telephone Answering Svc - Send]&gt;</t>
        </r>
      </text>
    </comment>
    <comment ref="G527" authorId="0" shapeId="0" xr:uid="{986CCC0A-CCC1-49FF-BB74-2E249374C844}">
      <text>
        <r>
          <rPr>
            <b/>
            <sz val="9"/>
            <color indexed="81"/>
            <rFont val="Tahoma"/>
            <family val="2"/>
          </rPr>
          <t>&lt;[[TCDeals] - [TC Property Current Stage (Seq: 1)] - [Property Points (Seq: 1)] Multi Family Application - Subtotal: Operating &amp; Maintenance Expenses - Send]&gt;</t>
        </r>
      </text>
    </comment>
    <comment ref="G528" authorId="0" shapeId="0" xr:uid="{6E121381-A91B-4B61-B0C6-443DDCE5FCB4}">
      <text>
        <r>
          <rPr>
            <b/>
            <sz val="9"/>
            <color indexed="81"/>
            <rFont val="Tahoma"/>
            <family val="2"/>
          </rPr>
          <t>&lt;[[TCDeals] - [TC Property Current Stage (Seq: 1)] - [Property Points (Seq: 1)] Multi Family Application - Subtotal: Tax &amp; Insurance Expenses - Send]&gt;</t>
        </r>
      </text>
    </comment>
    <comment ref="G529" authorId="0" shapeId="0" xr:uid="{14C5FA06-3921-4746-AD2C-BE11CF09DA41}">
      <text>
        <r>
          <rPr>
            <b/>
            <sz val="9"/>
            <color indexed="81"/>
            <rFont val="Tahoma"/>
            <family val="2"/>
          </rPr>
          <t>&lt;[[TCDeals] - [TC Property Current Stage (Seq: 1)] - [Property Points (Seq: 1)] Multi Family Application - Subtotal: Service Expense - Send]&gt;</t>
        </r>
      </text>
    </comment>
    <comment ref="C530" authorId="0" shapeId="0" xr:uid="{21D2DBE6-2E59-40A4-8D8B-AC7C7437538B}">
      <text>
        <r>
          <rPr>
            <b/>
            <sz val="9"/>
            <color indexed="81"/>
            <rFont val="Tahoma"/>
            <family val="2"/>
          </rPr>
          <t>&lt;[[TCDeals] - [TC Property Current Stage (Seq: 1)] Admin Office Salaries - Send]&gt;</t>
        </r>
      </text>
    </comment>
    <comment ref="G530" authorId="0" shapeId="0" xr:uid="{9A76618C-6640-4625-B6C6-ECCFE811B95C}">
      <text>
        <r>
          <rPr>
            <b/>
            <sz val="9"/>
            <color indexed="81"/>
            <rFont val="Tahoma"/>
            <family val="2"/>
          </rPr>
          <t>&lt;[[TCDeals] - [TC Property Current Stage (Seq: 1)] - [Property Points (Seq: 1)] Multi Family Application - Total Operating Expenses - Send]&gt;</t>
        </r>
      </text>
    </comment>
    <comment ref="C531" authorId="0" shapeId="0" xr:uid="{1F4401C5-EC50-48F4-89D9-B81D0AE6B79D}">
      <text>
        <r>
          <rPr>
            <b/>
            <sz val="9"/>
            <color indexed="81"/>
            <rFont val="Tahoma"/>
            <family val="2"/>
          </rPr>
          <t>&lt;[[TCDeals] - [TC Property Current Stage (Seq: 1)] Admin Office Supplies - Send]&gt;</t>
        </r>
      </text>
    </comment>
    <comment ref="G531" authorId="0" shapeId="0" xr:uid="{8EDAFA05-8226-405B-B5F9-765237D0C863}">
      <text>
        <r>
          <rPr>
            <b/>
            <sz val="9"/>
            <color indexed="81"/>
            <rFont val="Tahoma"/>
            <family val="2"/>
          </rPr>
          <t>&lt;[[TCDeals] - [TC Property Current Stage (Seq: 1)] - [Property Points (Seq: 1)] Multi Family Application - Per Unit Per Month Expenses - Send]&gt;</t>
        </r>
      </text>
    </comment>
    <comment ref="C532" authorId="0" shapeId="0" xr:uid="{20A25BC7-9088-48A2-8774-8AA31D018BD0}">
      <text>
        <r>
          <rPr>
            <b/>
            <sz val="9"/>
            <color indexed="81"/>
            <rFont val="Tahoma"/>
            <family val="2"/>
          </rPr>
          <t>&lt;[[TCDeals] - [TC Property Current Stage (Seq: 1)] Admin Office Model Apt - Send]&gt;</t>
        </r>
      </text>
    </comment>
    <comment ref="D535" authorId="0" shapeId="0" xr:uid="{652EC5CF-F8C4-44C0-BA7B-EF0AFF328B60}">
      <text>
        <r>
          <rPr>
            <b/>
            <sz val="9"/>
            <color indexed="81"/>
            <rFont val="Tahoma"/>
            <family val="2"/>
          </rPr>
          <t>&lt;[[TCDeals] - [TC Property Current Stage (Seq: 1)] Admin Mgt Fee - Send]&gt;</t>
        </r>
      </text>
    </comment>
    <comment ref="C536" authorId="0" shapeId="0" xr:uid="{951415DF-7BF6-44FD-92B5-97110B6F229A}">
      <text>
        <r>
          <rPr>
            <b/>
            <sz val="9"/>
            <color indexed="81"/>
            <rFont val="Tahoma"/>
            <family val="2"/>
          </rPr>
          <t>&lt;[[TCDeals] - [TC Property Current Stage (Seq: 1)] Admin Mgt Salaries - Send]&gt;</t>
        </r>
      </text>
    </comment>
    <comment ref="C537" authorId="0" shapeId="0" xr:uid="{18EF077D-2816-4E19-845A-A16327FF02B2}">
      <text>
        <r>
          <rPr>
            <b/>
            <sz val="9"/>
            <color indexed="81"/>
            <rFont val="Tahoma"/>
            <family val="2"/>
          </rPr>
          <t>&lt;[[TCDeals] - [TC Property Current Stage (Seq: 1)] Admin Staff Unit - Send]&gt;</t>
        </r>
      </text>
    </comment>
    <comment ref="C538" authorId="0" shapeId="0" xr:uid="{7B15B730-A083-49CB-9067-408B57811745}">
      <text>
        <r>
          <rPr>
            <b/>
            <sz val="9"/>
            <color indexed="81"/>
            <rFont val="Tahoma"/>
            <family val="2"/>
          </rPr>
          <t>&lt;[[TCDeals] - [TC Property Current Stage (Seq: 1)] Admin Legal - Send]&gt;</t>
        </r>
      </text>
    </comment>
    <comment ref="C539" authorId="0" shapeId="0" xr:uid="{2B72FD97-4AA9-4CD3-B902-5062A0BB384B}">
      <text>
        <r>
          <rPr>
            <b/>
            <sz val="9"/>
            <color indexed="81"/>
            <rFont val="Tahoma"/>
            <family val="2"/>
          </rPr>
          <t>&lt;[[TCDeals] - [TC Property Current Stage (Seq: 1)] Admin Auditing - Send]&gt;</t>
        </r>
      </text>
    </comment>
    <comment ref="C540" authorId="0" shapeId="0" xr:uid="{B12CAB76-F4EB-4132-A06F-E65AAACF24F2}">
      <text>
        <r>
          <rPr>
            <b/>
            <sz val="9"/>
            <color indexed="81"/>
            <rFont val="Tahoma"/>
            <family val="2"/>
          </rPr>
          <t>&lt;[[TCDeals] - [TC Property Current Stage (Seq: 1)] Admin Bookkeeping Fees - Send]&gt;</t>
        </r>
      </text>
    </comment>
    <comment ref="C541" authorId="0" shapeId="0" xr:uid="{D75685E7-3932-4D86-847E-1E1DEF045576}">
      <text>
        <r>
          <rPr>
            <b/>
            <sz val="9"/>
            <color indexed="81"/>
            <rFont val="Tahoma"/>
            <family val="2"/>
          </rPr>
          <t>&lt;[[TCDeals] - [TC Property Current Stage (Seq: 1)] Admin Tax Credit Monitoring Fee - Send]&gt;</t>
        </r>
      </text>
    </comment>
    <comment ref="D543" authorId="0" shapeId="0" xr:uid="{6E87968F-F7F9-4162-8DD1-86E290602050}">
      <text>
        <r>
          <rPr>
            <b/>
            <sz val="9"/>
            <color indexed="81"/>
            <rFont val="Tahoma"/>
            <family val="2"/>
          </rPr>
          <t>&lt;[[TCDeals] - [TC Property Current Stage (Seq: 1)] Admin Misc - Send]&gt;</t>
        </r>
      </text>
    </comment>
    <comment ref="C546" authorId="0" shapeId="0" xr:uid="{68B4CB3B-6BAE-41BE-9DA9-862814A5A14F}">
      <text>
        <r>
          <rPr>
            <b/>
            <sz val="9"/>
            <color indexed="81"/>
            <rFont val="Tahoma"/>
            <family val="2"/>
          </rPr>
          <t>&lt;[[TCDeals] - [TC Property Current Stage (Seq: 1)] Utilities Fuel Oil - Send]&gt;</t>
        </r>
      </text>
    </comment>
    <comment ref="C547" authorId="0" shapeId="0" xr:uid="{6A49142E-10C8-44A9-B874-2877F9E5B05F}">
      <text>
        <r>
          <rPr>
            <b/>
            <sz val="9"/>
            <color indexed="81"/>
            <rFont val="Tahoma"/>
            <family val="2"/>
          </rPr>
          <t>&lt;[[TCDeals] - [TC Property Current Stage (Seq: 1)] Utilities Electricity - Send]&gt;</t>
        </r>
      </text>
    </comment>
    <comment ref="C548" authorId="0" shapeId="0" xr:uid="{EDF06A68-CFF7-4A06-A46C-E2BEA6E3B7B8}">
      <text>
        <r>
          <rPr>
            <b/>
            <sz val="9"/>
            <color indexed="81"/>
            <rFont val="Tahoma"/>
            <family val="2"/>
          </rPr>
          <t>&lt;[[TCDeals] - [TC Property Current Stage (Seq: 1)] Utilities Water - Send]&gt;</t>
        </r>
      </text>
    </comment>
    <comment ref="C549" authorId="0" shapeId="0" xr:uid="{A43999B0-D446-4203-80D9-354143336908}">
      <text>
        <r>
          <rPr>
            <b/>
            <sz val="9"/>
            <color indexed="81"/>
            <rFont val="Tahoma"/>
            <family val="2"/>
          </rPr>
          <t>&lt;[[TCDeals] - [TC Property Current Stage (Seq: 1)] Utilities Gas - Send]&gt;</t>
        </r>
      </text>
    </comment>
    <comment ref="C550" authorId="0" shapeId="0" xr:uid="{09AF4EB6-1DB2-400B-9A23-B3A4AE9D88C0}">
      <text>
        <r>
          <rPr>
            <b/>
            <sz val="9"/>
            <color indexed="81"/>
            <rFont val="Tahoma"/>
            <family val="2"/>
          </rPr>
          <t>&lt;[[TCDeals] - [TC Property Current Stage (Seq: 1)] Utilities Sewer - Send]&gt;</t>
        </r>
      </text>
    </comment>
    <comment ref="C554" authorId="0" shapeId="0" xr:uid="{85811879-C812-4106-88B9-4999C5D437DE}">
      <text>
        <r>
          <rPr>
            <b/>
            <sz val="9"/>
            <color indexed="81"/>
            <rFont val="Tahoma"/>
            <family val="2"/>
          </rPr>
          <t>&lt;[[TCDeals] - [TC Property Current Stage (Seq: 1)] Oper Maint Repair Payroll - Send]&gt;</t>
        </r>
      </text>
    </comment>
    <comment ref="C555" authorId="0" shapeId="0" xr:uid="{F03FB8E1-00D9-4A20-A87C-6293FCF778B4}">
      <text>
        <r>
          <rPr>
            <b/>
            <sz val="9"/>
            <color indexed="81"/>
            <rFont val="Tahoma"/>
            <family val="2"/>
          </rPr>
          <t>&lt;[[TCDeals] - [TC Property Current Stage (Seq: 1)] Oper Grounds Supplies - Send]&gt;</t>
        </r>
      </text>
    </comment>
    <comment ref="C556" authorId="0" shapeId="0" xr:uid="{8071C139-C482-40F1-A225-13A840851C48}">
      <text>
        <r>
          <rPr>
            <b/>
            <sz val="9"/>
            <color indexed="81"/>
            <rFont val="Tahoma"/>
            <family val="2"/>
          </rPr>
          <t>&lt;[[TCDeals] - [TC Property Current Stage (Seq: 1)] Oper Grounds Contract - Send]&gt;</t>
        </r>
      </text>
    </comment>
    <comment ref="C558" authorId="0" shapeId="0" xr:uid="{AD3694ED-E76D-4D0B-8C28-3E92361D9E78}">
      <text>
        <r>
          <rPr>
            <b/>
            <sz val="9"/>
            <color indexed="81"/>
            <rFont val="Tahoma"/>
            <family val="2"/>
          </rPr>
          <t>&lt;[[TCDeals] - [TC Property Current Stage (Seq: 1)] Oper Trash Removal - Send]&gt;</t>
        </r>
      </text>
    </comment>
    <comment ref="C559" authorId="0" shapeId="0" xr:uid="{933C2762-7791-4364-9831-540425C7D3BA}">
      <text>
        <r>
          <rPr>
            <b/>
            <sz val="9"/>
            <color indexed="81"/>
            <rFont val="Tahoma"/>
            <family val="2"/>
          </rPr>
          <t>&lt;[[TCDeals] - [TC Property Current Stage (Seq: 1)] Oper Security Payroll - Send]&gt;</t>
        </r>
      </text>
    </comment>
    <comment ref="C561" authorId="0" shapeId="0" xr:uid="{B7E44D58-6641-4CB2-A848-96FA96106699}">
      <text>
        <r>
          <rPr>
            <b/>
            <sz val="9"/>
            <color indexed="81"/>
            <rFont val="Tahoma"/>
            <family val="2"/>
          </rPr>
          <t>&lt;[[TCDeals] - [TC Property Current Stage (Seq: 1)] Oper Heat Cool Maint Repair - Send]&gt;</t>
        </r>
      </text>
    </comment>
    <comment ref="C562" authorId="0" shapeId="0" xr:uid="{5AEED118-2AAE-4303-A0D2-F6251453FE2D}">
      <text>
        <r>
          <rPr>
            <b/>
            <sz val="9"/>
            <color indexed="81"/>
            <rFont val="Tahoma"/>
            <family val="2"/>
          </rPr>
          <t>&lt;[[TCDeals] - [TC Property Current Stage (Seq: 1)] Oper Snow Removal - Send]&gt;</t>
        </r>
      </text>
    </comment>
    <comment ref="C567" authorId="0" shapeId="0" xr:uid="{5249797D-9716-4631-A70D-F45102DCCA10}">
      <text>
        <r>
          <rPr>
            <b/>
            <sz val="9"/>
            <color indexed="81"/>
            <rFont val="Tahoma"/>
            <family val="2"/>
          </rPr>
          <t>&lt;[[TCDeals] - [TC Property Current Stage (Seq: 1)] TI Real Estate Taxes - Send]&gt;</t>
        </r>
      </text>
    </comment>
    <comment ref="C568" authorId="0" shapeId="0" xr:uid="{C43FF5CA-4D11-4B08-8FE1-ADF9E86D0AF2}">
      <text>
        <r>
          <rPr>
            <b/>
            <sz val="9"/>
            <color indexed="81"/>
            <rFont val="Tahoma"/>
            <family val="2"/>
          </rPr>
          <t>&lt;[[TCDeals] - [TC Property Current Stage (Seq: 1)] TI Prop Liability Insurance - Send]&gt;</t>
        </r>
      </text>
    </comment>
    <comment ref="C569" authorId="0" shapeId="0" xr:uid="{BEE704F2-B039-4FE5-A0FE-242C6A9C7891}">
      <text>
        <r>
          <rPr>
            <b/>
            <sz val="9"/>
            <color indexed="81"/>
            <rFont val="Tahoma"/>
            <family val="2"/>
          </rPr>
          <t>&lt;[[TCDeals] - [TC Property Current Stage (Seq: 1)] TI Misc - Send]&gt;</t>
        </r>
      </text>
    </comment>
    <comment ref="C570" authorId="0" shapeId="0" xr:uid="{325067EA-1C17-4233-A08C-84B10B787F4E}">
      <text>
        <r>
          <rPr>
            <b/>
            <sz val="9"/>
            <color indexed="81"/>
            <rFont val="Tahoma"/>
            <family val="2"/>
          </rPr>
          <t>&lt;[[TCDeals] - [TC Property Current Stage (Seq: 1)] TI Payroll Taxes - Send]&gt;</t>
        </r>
      </text>
    </comment>
    <comment ref="C571" authorId="0" shapeId="0" xr:uid="{7C1F9885-709A-410C-B5CB-95FB645D9E2C}">
      <text>
        <r>
          <rPr>
            <b/>
            <sz val="9"/>
            <color indexed="81"/>
            <rFont val="Tahoma"/>
            <family val="2"/>
          </rPr>
          <t>&lt;[[TCDeals] - [TC Property Current Stage (Seq: 1)] TI Fidelity Bond - Send]&gt;</t>
        </r>
      </text>
    </comment>
    <comment ref="C572" authorId="0" shapeId="0" xr:uid="{28843DAE-9514-4590-96E7-B75DE60B3159}">
      <text>
        <r>
          <rPr>
            <b/>
            <sz val="9"/>
            <color indexed="81"/>
            <rFont val="Tahoma"/>
            <family val="2"/>
          </rPr>
          <t>&lt;[[TCDeals] - [TC Property Current Stage (Seq: 1)] TI Workmans Comp - Send]&gt;</t>
        </r>
      </text>
    </comment>
    <comment ref="C573" authorId="0" shapeId="0" xr:uid="{E78B5C41-006D-4F7F-80F2-BF5ADA9219EF}">
      <text>
        <r>
          <rPr>
            <b/>
            <sz val="9"/>
            <color indexed="81"/>
            <rFont val="Tahoma"/>
            <family val="2"/>
          </rPr>
          <t>&lt;[[TCDeals] - [TC Property Current Stage (Seq: 1)] TI Health Ins - Send]&gt;</t>
        </r>
      </text>
    </comment>
    <comment ref="C574" authorId="0" shapeId="0" xr:uid="{354DFC3E-5FC6-4052-B416-F98CD0F20801}">
      <text>
        <r>
          <rPr>
            <b/>
            <sz val="9"/>
            <color indexed="81"/>
            <rFont val="Tahoma"/>
            <family val="2"/>
          </rPr>
          <t>&lt;[[TCDeals] - [TC Property Current Stage (Seq: 1)] TI Other Insurance - Send]&gt;</t>
        </r>
      </text>
    </comment>
    <comment ref="D602" authorId="0" shapeId="0" xr:uid="{BA6C931D-E8BB-4EAB-A6C9-CCF692A03461}">
      <text>
        <r>
          <rPr>
            <b/>
            <sz val="9"/>
            <color indexed="81"/>
            <rFont val="Tahoma"/>
            <family val="2"/>
          </rPr>
          <t>&lt;[[TCDeals] - [TC Property Current Stage (Seq: 1)] Oper Misc - Send]&gt;</t>
        </r>
      </text>
    </comment>
    <comment ref="C605" authorId="0" shapeId="0" xr:uid="{CE9C0F79-C04A-4328-9324-F48A1526D24C}">
      <text>
        <r>
          <rPr>
            <b/>
            <sz val="9"/>
            <color indexed="81"/>
            <rFont val="Tahoma"/>
            <family val="2"/>
          </rPr>
          <t>&lt;[[TCDeals] - [TC Property Current Stage (Seq: 1)] - [Property Score (Seq: 1)] Housing Needs A - Send]&gt;</t>
        </r>
      </text>
    </comment>
    <comment ref="C606" authorId="0" shapeId="0" xr:uid="{64F93299-D4F6-4075-BA3F-D70722AD1A6C}">
      <text>
        <r>
          <rPr>
            <b/>
            <sz val="9"/>
            <color indexed="81"/>
            <rFont val="Tahoma"/>
            <family val="2"/>
          </rPr>
          <t>&lt;[[TCDeals] - [TC Property Current Stage (Seq: 1)] - [Property Score (Seq: 1)] Dev Char A - Send]&gt;</t>
        </r>
      </text>
    </comment>
    <comment ref="C607" authorId="0" shapeId="0" xr:uid="{000AADDD-6245-4473-9172-A2D0232623D9}">
      <text>
        <r>
          <rPr>
            <b/>
            <sz val="9"/>
            <color indexed="81"/>
            <rFont val="Tahoma"/>
            <family val="2"/>
          </rPr>
          <t>&lt;[[TCDeals] - [TC Property Current Stage (Seq: 1)] - [Property Score (Seq: 1)] Tenant Char A - Send]&gt;</t>
        </r>
      </text>
    </comment>
    <comment ref="C608" authorId="0" shapeId="0" xr:uid="{71D7D050-D31E-4523-ABD5-4362A0F143BF}">
      <text>
        <r>
          <rPr>
            <b/>
            <sz val="9"/>
            <color indexed="81"/>
            <rFont val="Tahoma"/>
            <family val="2"/>
          </rPr>
          <t>&lt;[[TCDeals] - [TC Property Current Stage (Seq: 1)] - [Property Score (Seq: 1)] Tenant Char B - Send]&gt;</t>
        </r>
      </text>
    </comment>
    <comment ref="C609" authorId="0" shapeId="0" xr:uid="{B447F051-8AC5-4C84-BCA3-87E849077A57}">
      <text>
        <r>
          <rPr>
            <b/>
            <sz val="9"/>
            <color indexed="81"/>
            <rFont val="Tahoma"/>
            <family val="2"/>
          </rPr>
          <t>&lt;[[TCDeals] - [TC Property Current Stage (Seq: 1)] - [Property Score (Seq: 1)] Housing Needs B - Send]&gt;</t>
        </r>
      </text>
    </comment>
    <comment ref="C610" authorId="0" shapeId="0" xr:uid="{723F4AB2-FB4F-4958-91FA-4B60DA38A588}">
      <text>
        <r>
          <rPr>
            <b/>
            <sz val="9"/>
            <color indexed="81"/>
            <rFont val="Tahoma"/>
            <family val="2"/>
          </rPr>
          <t>&lt;[[TCDeals] - [TC Property Current Stage (Seq: 1)] - [Property Score (Seq: 1)] Housing Needs C - Send]&gt;</t>
        </r>
      </text>
    </comment>
    <comment ref="C611" authorId="0" shapeId="0" xr:uid="{69220010-2E35-4796-A055-865A641C3046}">
      <text>
        <r>
          <rPr>
            <b/>
            <sz val="9"/>
            <color indexed="81"/>
            <rFont val="Tahoma"/>
            <family val="2"/>
          </rPr>
          <t>&lt;[[TCDeals] - [TC Property Current Stage (Seq: 1)] - [Property Score (Seq: 1)] Dev Char B - Send]&gt;</t>
        </r>
      </text>
    </comment>
    <comment ref="C612" authorId="0" shapeId="0" xr:uid="{0A8FDEB3-01EA-4A94-A052-F8122B8E8387}">
      <text>
        <r>
          <rPr>
            <b/>
            <sz val="9"/>
            <color indexed="81"/>
            <rFont val="Tahoma"/>
            <family val="2"/>
          </rPr>
          <t>&lt;[[TCDeals] - [TC Property Current Stage (Seq: 1)] - [Property Score (Seq: 1)] Dev Char C - Send]&gt;</t>
        </r>
      </text>
    </comment>
    <comment ref="C613" authorId="0" shapeId="0" xr:uid="{4D46DB5E-2EAC-4BAC-B0EA-E637C694EB8F}">
      <text>
        <r>
          <rPr>
            <b/>
            <sz val="9"/>
            <color indexed="81"/>
            <rFont val="Tahoma"/>
            <family val="2"/>
          </rPr>
          <t>&lt;[[TCDeals] - [TC Property Current Stage (Seq: 1)] - [Property Score (Seq: 1)] Efficient Use A - Send]&gt;</t>
        </r>
      </text>
    </comment>
    <comment ref="C614" authorId="0" shapeId="0" xr:uid="{C78821BD-AB8E-43C0-8763-D23AE4285584}">
      <text>
        <r>
          <rPr>
            <b/>
            <sz val="9"/>
            <color indexed="81"/>
            <rFont val="Tahoma"/>
            <family val="2"/>
          </rPr>
          <t>&lt;[[TCDeals] - [TC Property Current Stage (Seq: 1)] - [Property Score (Seq: 1)] Tenant Char C - Send]&gt;</t>
        </r>
      </text>
    </comment>
    <comment ref="C615" authorId="0" shapeId="0" xr:uid="{655BB7C5-1975-49C1-8C31-0D05DF56998E}">
      <text>
        <r>
          <rPr>
            <b/>
            <sz val="9"/>
            <color indexed="81"/>
            <rFont val="Tahoma"/>
            <family val="2"/>
          </rPr>
          <t>&lt;[[TCDeals] - [TC Property Current Stage (Seq: 1)] - [Property Score (Seq: 1)] Dev Char D - Send]&gt;</t>
        </r>
      </text>
    </comment>
    <comment ref="C616" authorId="0" shapeId="0" xr:uid="{3E3A8BEB-72D1-47C5-9D3E-F2A00F507A3F}">
      <text>
        <r>
          <rPr>
            <b/>
            <sz val="9"/>
            <color indexed="81"/>
            <rFont val="Tahoma"/>
            <family val="2"/>
          </rPr>
          <t>&lt;[[TCDeals] - [TC Property Current Stage (Seq: 1)] - [Property Score (Seq: 1)] Readiness A - Send]&gt;</t>
        </r>
      </text>
    </comment>
    <comment ref="C617" authorId="0" shapeId="0" xr:uid="{A1B71F54-BEBE-477E-9090-C309F3FD5855}">
      <text>
        <r>
          <rPr>
            <b/>
            <sz val="9"/>
            <color indexed="81"/>
            <rFont val="Tahoma"/>
            <family val="2"/>
          </rPr>
          <t>&lt;[[TCDeals] - [TC Property Current Stage (Seq: 1)] - [Property Score (Seq: 1)] Housing Needs D - Send]&gt;</t>
        </r>
      </text>
    </comment>
    <comment ref="C618" authorId="0" shapeId="0" xr:uid="{66552511-D3F2-41D1-8D51-CB57817082CC}">
      <text>
        <r>
          <rPr>
            <b/>
            <sz val="9"/>
            <color indexed="81"/>
            <rFont val="Tahoma"/>
            <family val="2"/>
          </rPr>
          <t>&lt;[[TCDeals] - [TC Property Current Stage (Seq: 1)] - [Property Score (Seq: 1)] Housing Needs E - Send]&gt;</t>
        </r>
      </text>
    </comment>
    <comment ref="C619" authorId="0" shapeId="0" xr:uid="{6924C73A-913A-4E02-8AB1-0702BFD3D01C}">
      <text>
        <r>
          <rPr>
            <b/>
            <sz val="9"/>
            <color indexed="81"/>
            <rFont val="Tahoma"/>
            <family val="2"/>
          </rPr>
          <t>&lt;[[TCDeals] - [TC Property Current Stage (Seq: 1)] - [Property Score (Seq: 1)] Housing Needs F - Send]&gt;</t>
        </r>
      </text>
    </comment>
    <comment ref="C620" authorId="0" shapeId="0" xr:uid="{CE22B55F-1785-47FF-8CE9-2DA54400F874}">
      <text>
        <r>
          <rPr>
            <b/>
            <sz val="9"/>
            <color indexed="81"/>
            <rFont val="Tahoma"/>
            <family val="2"/>
          </rPr>
          <t>&lt;[[TCDeals] - [TC Property Current Stage (Seq: 1)] - [Property Score (Seq: 1)] Dev Char E - Send]&gt;</t>
        </r>
      </text>
    </comment>
    <comment ref="C621" authorId="0" shapeId="0" xr:uid="{8552547D-3A81-4877-B255-29C544722F92}">
      <text>
        <r>
          <rPr>
            <b/>
            <sz val="9"/>
            <color indexed="81"/>
            <rFont val="Tahoma"/>
            <family val="2"/>
          </rPr>
          <t>&lt;[[TCDeals] - [TC Property Current Stage (Seq: 1)] Total Score - Send]&gt;</t>
        </r>
      </text>
    </comment>
    <comment ref="C642" authorId="3" shapeId="0" xr:uid="{5450978F-3305-4706-8788-F32892CF3240}">
      <text>
        <r>
          <rPr>
            <b/>
            <sz val="9"/>
            <color indexed="81"/>
            <rFont val="Tahoma"/>
            <family val="2"/>
          </rPr>
          <t>&lt;[[TCDeals] - [TC Property Current Stage (Seq: 1)] Extended Use Agreement - Send]&gt;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 Beres</author>
  </authors>
  <commentList>
    <comment ref="D15" authorId="0" shapeId="0" xr:uid="{9EB24115-8E9A-4B2F-B1C5-9784EE3498B4}">
      <text>
        <r>
          <rPr>
            <b/>
            <sz val="9"/>
            <color indexed="81"/>
            <rFont val="Tahoma"/>
            <family val="2"/>
          </rPr>
          <t>Dan Beres:</t>
        </r>
        <r>
          <rPr>
            <sz val="9"/>
            <color indexed="81"/>
            <rFont val="Tahoma"/>
            <family val="2"/>
          </rPr>
          <t xml:space="preserve">
Must be written exactly as written in Appx. 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J3" authorId="0" shapeId="0" xr:uid="{E06907A8-9D48-4879-B533-54CC984B31D7}">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 ref="K3" authorId="0" shapeId="0" xr:uid="{A9BF2301-E1C8-4D6A-9CDC-4A95564F602E}">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Sawyer</author>
  </authors>
  <commentList>
    <comment ref="G43" authorId="0" shapeId="0" xr:uid="{95883797-7F8B-46EE-94BC-36EDAE45C80B}">
      <text>
        <r>
          <rPr>
            <b/>
            <sz val="9"/>
            <color indexed="81"/>
            <rFont val="Tahoma"/>
            <family val="2"/>
          </rPr>
          <t>Michael Sawyer:</t>
        </r>
        <r>
          <rPr>
            <sz val="9"/>
            <color indexed="81"/>
            <rFont val="Tahoma"/>
            <family val="2"/>
          </rPr>
          <t xml:space="preserve">
Red &amp; Bold indicates that the annual State TC Award exceeds the allowed limit of $1.4 million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mpope</author>
    <author>David Ginger</author>
  </authors>
  <commentList>
    <comment ref="D85" authorId="0" shapeId="0" xr:uid="{E315FB29-1704-4CEE-AA9C-A119F8FF2FF4}">
      <text>
        <r>
          <rPr>
            <sz val="8"/>
            <color indexed="81"/>
            <rFont val="Tahoma"/>
            <family val="2"/>
          </rPr>
          <t>Specify</t>
        </r>
      </text>
    </comment>
    <comment ref="L95" authorId="1" shapeId="0" xr:uid="{72C663A4-A4FE-4A3E-895C-7E664CA67C87}">
      <text>
        <r>
          <rPr>
            <b/>
            <sz val="9"/>
            <color indexed="81"/>
            <rFont val="Tahoma"/>
            <family val="2"/>
          </rPr>
          <t>WHEDA:</t>
        </r>
        <r>
          <rPr>
            <sz val="9"/>
            <color indexed="81"/>
            <rFont val="Tahoma"/>
            <family val="2"/>
          </rPr>
          <t xml:space="preserve">
For 30%, 40%, 50% and 60% CMI units, please use the rent limits found on https://www.wheda.com/LIHTC/Monitoring/.  
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t>
        </r>
      </text>
    </comment>
    <comment ref="I103" authorId="1" shapeId="0" xr:uid="{5030A846-57CC-47D8-81B2-CD2BB801018E}">
      <text>
        <r>
          <rPr>
            <b/>
            <sz val="9"/>
            <color indexed="81"/>
            <rFont val="Tahoma"/>
            <family val="2"/>
          </rPr>
          <t xml:space="preserve">WHEDA:
</t>
        </r>
        <r>
          <rPr>
            <sz val="9"/>
            <color indexed="81"/>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2" authorId="0" shapeId="0" xr:uid="{F3D0E8DF-2E48-4B6D-93A7-728BF0A3D7A2}">
      <text>
        <r>
          <rPr>
            <sz val="9"/>
            <color rgb="FF000000"/>
            <rFont val="Tahoma"/>
            <family val="2"/>
          </rPr>
          <t xml:space="preserve">Lesser of Land Cost or Value;  inclusive of title work, recording fees and legal fees. </t>
        </r>
      </text>
    </comment>
    <comment ref="C14" authorId="0" shapeId="0" xr:uid="{590B883F-B555-4D26-8832-82215BAA834B}">
      <text>
        <r>
          <rPr>
            <sz val="9"/>
            <color indexed="81"/>
            <rFont val="Tahoma"/>
            <family val="2"/>
          </rPr>
          <t>Includes any Transfer Taxes</t>
        </r>
      </text>
    </comment>
    <comment ref="C118" authorId="0" shapeId="0" xr:uid="{C44259CC-EF79-46E1-95C4-EF590AF5ACBF}">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32" authorId="0" shapeId="0" xr:uid="{3E75C050-068D-4E4F-BBBE-AA0D1B17E1C7}">
      <text>
        <r>
          <rPr>
            <sz val="9"/>
            <color indexed="81"/>
            <rFont val="Tahoma"/>
            <family val="2"/>
          </rPr>
          <t xml:space="preserve">i.e.., Net Worth Reserve Account; Turn-Over Reserve; etc. </t>
        </r>
      </text>
    </comment>
    <comment ref="D156" authorId="0" shapeId="0" xr:uid="{503C975E-7C02-4298-9D6E-998D77C4E428}">
      <text>
        <r>
          <rPr>
            <sz val="9"/>
            <color indexed="81"/>
            <rFont val="Tahoma"/>
            <family val="2"/>
          </rPr>
          <t>FIF = Facility Investment Fees that include potable water and wastewater</t>
        </r>
      </text>
    </comment>
    <comment ref="C157" authorId="0" shapeId="0" xr:uid="{1949F761-BD0F-4826-AFF9-C4397B0920ED}">
      <text>
        <r>
          <rPr>
            <sz val="9"/>
            <color indexed="81"/>
            <rFont val="Tahoma"/>
            <family val="2"/>
          </rPr>
          <t>Impact Fees include3 libraries, Public Safety, Law Enforcement, Parks and Natural Resources, Schools, Multi-modal Transportation and the administration ser charge</t>
        </r>
      </text>
    </comment>
    <comment ref="D167" authorId="0" shapeId="0" xr:uid="{21125B6C-32A0-45A6-87F2-13D39605CB7F}">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 ref="F172" authorId="0" shapeId="0" xr:uid="{46F1CE60-B978-4585-97D5-261CD98AC20A}">
      <text>
        <r>
          <rPr>
            <sz val="8"/>
            <color indexed="8"/>
            <rFont val="Tahoma"/>
            <family val="2"/>
          </rPr>
          <t>This is the amount limited by state program limits on developer fee.</t>
        </r>
      </text>
    </comment>
    <comment ref="J172" authorId="0" shapeId="0" xr:uid="{D0FBD435-36D6-46C6-BDDB-9A546EDB8881}">
      <text>
        <r>
          <rPr>
            <sz val="8"/>
            <color indexed="8"/>
            <rFont val="Tahoma"/>
            <family val="2"/>
          </rPr>
          <t>This is the amount limited by state program limits on developer fee.</t>
        </r>
      </text>
    </comment>
    <comment ref="K172" authorId="0" shapeId="0" xr:uid="{C24EB769-96B0-4687-A9F4-9DEF13CBC01A}">
      <text>
        <r>
          <rPr>
            <sz val="8"/>
            <color indexed="8"/>
            <rFont val="Tahoma"/>
            <family val="2"/>
          </rPr>
          <t>This is the amount limited by state program limits on developer fee.</t>
        </r>
      </text>
    </comment>
    <comment ref="L172" authorId="0" shapeId="0" xr:uid="{DE7DEB16-8E4B-4253-82B3-84FE6521DDBD}">
      <text>
        <r>
          <rPr>
            <sz val="8"/>
            <color indexed="8"/>
            <rFont val="Tahoma"/>
            <family val="2"/>
          </rPr>
          <t>This is the amount limited by state program limits on developer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5" authorId="0" shapeId="0" xr:uid="{ED37084E-7B18-4BCD-A99C-4EDD4FF29FEE}">
      <text>
        <r>
          <rPr>
            <sz val="9"/>
            <color indexed="81"/>
            <rFont val="Tahoma"/>
            <family val="2"/>
          </rPr>
          <t xml:space="preserve">Lesser of Land Cost or Value;  inclusive of title work, recording fees and legal fees. </t>
        </r>
      </text>
    </comment>
    <comment ref="C115" authorId="0" shapeId="0" xr:uid="{6CA4A550-3FEF-4537-8547-BEC795D2EF47}">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64" authorId="0" shapeId="0" xr:uid="{3A699038-EAFB-4495-9320-24036A6EECD2}">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Zachary Benson</author>
  </authors>
  <commentList>
    <comment ref="A2" authorId="0" shapeId="0" xr:uid="{7E014BC9-438E-46C1-B6DB-346E24A96D24}">
      <text>
        <r>
          <rPr>
            <b/>
            <sz val="9"/>
            <color indexed="81"/>
            <rFont val="Tahoma"/>
            <family val="2"/>
          </rPr>
          <t>Zachary Benson:</t>
        </r>
        <r>
          <rPr>
            <sz val="9"/>
            <color indexed="81"/>
            <rFont val="Tahoma"/>
            <family val="2"/>
          </rPr>
          <t xml:space="preserve">
Change this to "Year xxxx" based on what year the current rent limits are from.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<sst xmlns="http://schemas.openxmlformats.org/spreadsheetml/2006/main" count="13434" uniqueCount="7194">
  <si>
    <t>QAP Year</t>
  </si>
  <si>
    <t>Version</t>
  </si>
  <si>
    <t>Previous Version</t>
  </si>
  <si>
    <t>Major Revision?</t>
  </si>
  <si>
    <t>Date</t>
  </si>
  <si>
    <t>ID#</t>
  </si>
  <si>
    <t>Tab</t>
  </si>
  <si>
    <t>Change(s) Made</t>
  </si>
  <si>
    <t>Requested By:</t>
  </si>
  <si>
    <t>Approved By:</t>
  </si>
  <si>
    <t>Made By:</t>
  </si>
  <si>
    <t>QC'd By:</t>
  </si>
  <si>
    <t>2020.1.1</t>
  </si>
  <si>
    <t>No</t>
  </si>
  <si>
    <t>Created the Change Log, adopted a new version number schema: YYYY-XX-XX (Year-Major Version-Minor Version)</t>
  </si>
  <si>
    <t>Mike Sawyer</t>
  </si>
  <si>
    <t>Jamie Chavez</t>
  </si>
  <si>
    <t>N/A</t>
  </si>
  <si>
    <t>2020.2.1</t>
  </si>
  <si>
    <t>Yes</t>
  </si>
  <si>
    <t>Changed Tab 14, cell F90 to "=IF(F89=0,0, ROUNDDOWN(F88/F89/12,0))" Previously used ROUND() instead of ROUNDDOWN)</t>
  </si>
  <si>
    <t>Rebecca Giroux</t>
  </si>
  <si>
    <t>NA</t>
  </si>
  <si>
    <t>2020.2.2</t>
  </si>
  <si>
    <t>13. Project Costs and Credit Calc</t>
  </si>
  <si>
    <t>Changed Tab 13, Row 186 "Tax Credit Percentage Rate" to Ownership % from Tab 12
This will auto calculate this field based on the owner percent entered on Tab 8</t>
  </si>
  <si>
    <t>Sam Haile</t>
  </si>
  <si>
    <t>2020.2.3</t>
  </si>
  <si>
    <t>11. Unit Mix</t>
  </si>
  <si>
    <t>Change Z8 in Tab 11 to report exact matches only for County lookup. This is a bug fix discovered by testing the Scattered Sites Addendum</t>
  </si>
  <si>
    <t>Chandler O'Connor</t>
  </si>
  <si>
    <t>2020.3.1</t>
  </si>
  <si>
    <t>Fixed the income limits for 80% CMI values (changed multiplier from 1.4 to 1.6)</t>
  </si>
  <si>
    <t>2020.4.1</t>
  </si>
  <si>
    <t>Fixed income limits for 50% National Non-Metropolitan</t>
  </si>
  <si>
    <t>2020.5.1</t>
  </si>
  <si>
    <t>Fixed the tax credit percentage field back to user enterable, changed ROUNDDOWN to ROUND on the eligible basic credit calculation</t>
  </si>
  <si>
    <t>2020.6.1</t>
  </si>
  <si>
    <t>Fixed the eligible basis calculation for 9% Acquisition/Rehab projects. Cells changed in in Tab 13:
E193:E206
D208
E208:E210</t>
  </si>
  <si>
    <t>Fausto Rivera</t>
  </si>
  <si>
    <t>2020.7.1</t>
  </si>
  <si>
    <t>Changed Rural Scoring Category from 5 points to 8.</t>
  </si>
  <si>
    <t>Matt Childress</t>
  </si>
  <si>
    <t>2020.8.1</t>
  </si>
  <si>
    <t>Added the following smartdox fields:
Actual Addl Cost 12-20, Applicable Fraction, Adj to Elig Basis, Other Site Work, Accessory Buildings, Demolition, Lawns, Credit Enhancement, Oper Reserve, Tax Credit Fee, Cost Cert Fee, Developer Fees, Non Qual Financing, Fed Grant Financing, Historic TC Residential, Costs of Non Qual Units, Land Acq Cost, Unit Structures New, Unit Structures Rehab, Title And Recording, Other Perm Loan Fees, Existing Improvements Cost</t>
  </si>
  <si>
    <t>Stephanie Cartier</t>
  </si>
  <si>
    <t>2020.9.1</t>
  </si>
  <si>
    <t>Made changes to the TC Property Costs (used in ProlinkHFA to track eligible basis) and corrected the links in Dev Deal Budget Mapping</t>
  </si>
  <si>
    <t>2020.9.2</t>
  </si>
  <si>
    <t>Made vacancy allowance assumptions user edittable</t>
  </si>
  <si>
    <t>Shreedhar Ranabhat</t>
  </si>
  <si>
    <t>2020.10.1</t>
  </si>
  <si>
    <t>Made a helper function to allow a dynamic mix of LI units and market rate units in Unit Mix</t>
  </si>
  <si>
    <t>2020.10.2</t>
  </si>
  <si>
    <t>Changed "Nonprofit Set-Aside" to "Non-Profit Set-Aside"</t>
  </si>
  <si>
    <t>Emily Francis</t>
  </si>
  <si>
    <t>2020.11.1</t>
  </si>
  <si>
    <t>Tab 5: Conditional format E28&amp;E29 only green if E19 is "Yes"
Tab 11: Hide row 141
Tab 12: Hide rows: 59-61
Tab 13:
Formula for D10: =IF(SUM('11. Unit Mix'!G142:G143)=0, 0,'11. Unit Mix'!G142/SUM('11. Unit Mix'!G142:G143))
Formula for D11: =IF(SUM('11. Unit Mix'!G142:G143)=0, 0,'11. Unit Mix'!G143/SUM('11. Unit Mix'!G142:G143))
Delete contents of E10
Tab 15:
D63: "Management Fees"
D64: "Other Adminstrative Exp (Less Mgmt Fee)
F63: =SUM('14. Projected Operating Costs'!D18:D20)
F64: =Subtotal__Administrative_Expenses-F63
Tab 18:  Row 232: use this formula: =SUM($G227:G227)*$E232/12
Tab 29:
G18: "State 4% Rural Setaside projects 0.210, for State 4% Small Urban SetAside projects 0.180, all remaining projects use 0.115"
F18: unlock, change to white, set data validation to "0.210,0.180,0.115"
Tab 33: There should be 8 points available on tab 33. Rural Areas w_o TC
Threshold Checklist: 
C30: add: "• Historic tax credit equity - letter of intent from the syndicator/investor, written evidence that historic designation (Part I) has been applied for, or that the building is already deemed historic, and detailed calculation of the credit and equity amounts."</t>
  </si>
  <si>
    <t>External Partners</t>
  </si>
  <si>
    <t>2020.11.2</t>
  </si>
  <si>
    <t>Updated Mixed income tab to indicate that Scattered Sites are not elible for points</t>
  </si>
  <si>
    <t>2020.12.1</t>
  </si>
  <si>
    <t>Bug fixes to logic in Tab 13 and 15.</t>
  </si>
  <si>
    <t>2020.12.2</t>
  </si>
  <si>
    <t>Replaced Switch() to nested If() for backward compatibility</t>
  </si>
  <si>
    <t>2020.13.1</t>
  </si>
  <si>
    <t>Mapped the Equity Gap to ProlinkHFA</t>
  </si>
  <si>
    <t>2020.14.1</t>
  </si>
  <si>
    <t>1.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2.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3.	Tab 25. Supportive Housing there was supposed to be a note on the top of the category that reads: "WHEDA will require that an affidavit be executed and filed by the property manager in the property files attesting that the supportive housing unit was marketed in accordance with the 30 day marketing period requirement."
4.	I’ve had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t>
  </si>
  <si>
    <t>2020.15.1</t>
  </si>
  <si>
    <t>See MFA Change Request date 11/4/2020. Summary:
"Sec C Language cleanup - omit word 'recent'.
Development Team Members (Max of 2 points) - modify language as: 
'Two points will be awarded for applications that include an organization, acting as lead Developer and an Owner, that has participated in fewer than 4 HTC properties as a lead developer 
or and owner. The points will only be applied to the organization, acting lead Developer and Owner, that has participated in fewer than 4 HTC properties as lead developer and owner"
Change text were it states 20 points for this section.   It should be 15.  
Change text were it stated score of 150 or more to read score of 200.
Picklist includes High Impact Project Reserve (HIPR) included in the picklist.  This should not be an option.  Please fix
There should be a note on the top of the category that reads:                                                                                                                                                                                                                                                                                                                                                                                                                             WHEDA will require that an affidavit be executed and filed by the property manager in the property files attesting that the supportive housing unit was marketed in accordance with the 30 day marketing period requirement.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
Change equity gap model for app #2 and app #3.  Matt C. created a template to follow.  a logic statement will need to be created whereare as if the project is app #1, then use the existing equity gap calculation, all other apps use the updated model created by Matt C.
On her  Garden Homes Neighborhood Initiative MF App SmartDoct, the Gross Rental Income is not pulling from Tab 11. Unit Mix cell G128
The MF App SmartDoc on her Garden Homes Neighborhood Initiative project needs to be converted to be compatible with the 2016 version of excel. 
On her Garden Homes Neighborhood Initiative MF App SmartDoc, the total permanent LIHTC equity amount is not properly showing.
Rename Proforma and Completion as year 1 and year 2 and changing all the other years accordingly.  End the Cash Flow at Year 15 and remove years in line 49.
"1. Construciton finaning source reflected twice (const. and perm).
2. Construction interest is currently being calculated from Draw 1 – Draw 30. This does not take into account the construction loan being paid for less than 30 month const. period. "
Other1-10 – In Comments list out exactly what items are baked into specific line item – for instance Other comment reads Total Developer Costs, but what are those? List out each individually, will be a tremendous help to keep in order and certainly when we have never people join the team.”
on his Bergamot MF App SmartDoc, the Gross Rental Income is not pulling from Tab 11. Unit Mix cell G128.
Change min DCR for 9% TC to 1.175.</t>
  </si>
  <si>
    <t>2020.16.1</t>
  </si>
  <si>
    <t>Tab 18. Construction Draw</t>
  </si>
  <si>
    <t>Set Tab 18 to show a zero balance for paid off constructions loans (helper functions added to check for draws, payoffs, and non-positive balance)</t>
  </si>
  <si>
    <t>2020.17.1</t>
  </si>
  <si>
    <t>Re-mapped the Dev Budget Line Items</t>
  </si>
  <si>
    <t>Mike Sawyer/Fenando</t>
  </si>
  <si>
    <t>2020.18.1</t>
  </si>
  <si>
    <t>Multiple</t>
  </si>
  <si>
    <t>Minor changes to formulas and formatting on Tab 18, Updated scoring category 21, removed old DCR requirements from Tab15, Updated Tab 12 to dynamically resize Fed 4% TC on App2/3 given a State TC Award inputted on Tab3.</t>
  </si>
  <si>
    <t>2020.19.0</t>
  </si>
  <si>
    <t>New Set-Aside Innovative Housing Set-Aside.
- Added new tabs: 36. Serves Special Needs Population, 37. Catalyst for Revitalization, 38. Health and the Built Environment, 39. Innovative Housing Narrative, 40. Nonprofit/Community Ownership.
- Updated Navigation Links.</t>
  </si>
  <si>
    <t>Matt Case</t>
  </si>
  <si>
    <t>2021.1.2</t>
  </si>
  <si>
    <t>2021.1.1</t>
  </si>
  <si>
    <t>Income Limits</t>
  </si>
  <si>
    <t>Added 2021 Income Limits, available on https://www.wheda.com/developers-and-property-managers/tax-credits/htc/monitoring/</t>
  </si>
  <si>
    <t>Commercial Lending</t>
  </si>
  <si>
    <t>15. Cash Flow</t>
  </si>
  <si>
    <t>"Other Income Source (e.g, TIF Rebate) doesn’t flow into line 59 which it should". 
Previous Formula: =F50(Effective Gross Income) - F57 (Total Vacancy)
New Formula: =F50(Effective Gross Income) - F57 (Total Vacancy) +F58 (Other Income Source (e.g. TIF Rebate)</t>
  </si>
  <si>
    <t>Tab 2. Project Name &amp; Location</t>
  </si>
  <si>
    <t>Allow .us email addresses.</t>
  </si>
  <si>
    <t>Tab 6. Site Control</t>
  </si>
  <si>
    <t>Removed Employee Units from the Applicable Fraction calculation cell H184 (The applicable Fraction calculation.</t>
  </si>
  <si>
    <t>Matt and Trish</t>
  </si>
  <si>
    <t>26. Veterans Housing</t>
  </si>
  <si>
    <t xml:space="preserve"> - Cell F25, changed label text from "Total Units" to "Low Income Units"
 - Cell G25, changed formula ref from Tab11UnitMix_F128_TotalUnits to F124_LowIncomeUnits.</t>
  </si>
  <si>
    <t>12. Funding Sources.</t>
  </si>
  <si>
    <t>Remove rates (0.95 and $0.65) and ownership percentages</t>
  </si>
  <si>
    <t>Lock the Deferred Dev Fee and pull from Tab 13. E165</t>
  </si>
  <si>
    <t>11 . Unit Mix
27.Rehab Neighborhood Stabil</t>
  </si>
  <si>
    <t>11. Unit Mix, column BC: Changed the Unit Mix Helper function from "sgl" to "Single Family" 
27.Rehab Neighborhood Stabil, Line 22: Changed the cell to point to UnitMix Total Units (F128)</t>
  </si>
  <si>
    <t>18. Construction Draw</t>
  </si>
  <si>
    <t>Changed line E120 from "Other Syndication Costs" to "Tax Opinion". "Other Syndication Costs" had been listed twice.</t>
  </si>
  <si>
    <t>23. Serves Large Families</t>
  </si>
  <si>
    <t>Cell J24 Three bedroom or lorger Low Income Units.
Changed rule to include either of the following:
- 3 or more bedrooms, and Low Income, and 20%, 30%, 40%, or 50% CMI
- 3 or more bedrooms, and Voucher, and 60% CMI</t>
  </si>
  <si>
    <t>2. Project Name and Location
33. Rural Areas</t>
  </si>
  <si>
    <t>Tab 2. Changed county picklist value from "Saint Croix" to "St. Croix" to match ProLink and HTC Income and Rent Limits. This value is also used in tab 11. Unit Mix though no changes were made to that tab.
Tab 33. Changed county name from "Saint Croix" to "St. Croix"  to match this impacts the scoring result.</t>
  </si>
  <si>
    <t>64
69</t>
  </si>
  <si>
    <t>29. Financial Leverage</t>
  </si>
  <si>
    <t>- Changed F14 (Annual Housing Tax Credits Requested Subtotal) to use the the sum of all Credit Amount values (Line 212 on tab 13. Project Costs and credit Calc), regardless of the credit requested.
- Changed the rounddown function on the PCT calculation to 1 decimal instead of 3 decimals (to match the table)
- The Rural table scoring formulas were referencing a blank cell; changed to reference the PCT calculation
- Changed the formulas to determine table scores to be consistent with each other
- Added labels to formulas, cleaned up the formulas used to reach the final scoring</t>
  </si>
  <si>
    <t>Change Log, Dropdown Lists, ProLink Mapping</t>
  </si>
  <si>
    <t>Renamed FOR WHEDA USE ONLY tab to "Dropdown Lists"
Moved Change Log, Dropdown Lists, and ProLink Mapping tabs to the far left.</t>
  </si>
  <si>
    <t>Walked through the Baker Tilly Glen Grove apps. Many of the rounding issues had been previously fixed.
 - Removed rounding from Annual Credit Award E206 (Federal 9%)
 - Left rounding on Credit Amount cells E12 (Federal 9%), F212 (Federal 4%), and G212 (State)</t>
  </si>
  <si>
    <t>15. Project Cash Flow</t>
  </si>
  <si>
    <t>Proposed Annual Debt Service-3rd Mortgage, Year 1
Changed the formula to to point to the 3rd Mortgage =IF(B86,'12. Funding Sources'!M18, 0). It was using M20.</t>
  </si>
  <si>
    <t>Changed '% Max Market Rent' (column Q) to not include the Utility Allowance.
 - Old Formula: (Monthly_Net_Rent + Utility_Allowance) / Estimated_Market_Rent
 - New Formula: Monthly_Net_Rent / Estimated_Market_Rent</t>
  </si>
  <si>
    <t>15. Projected Cash Flow</t>
  </si>
  <si>
    <t>Updated the Debt Service formulas for the mortgages to calculate only to the mortgage term.</t>
  </si>
  <si>
    <t>2022.2.1</t>
  </si>
  <si>
    <t>All tabs with Applicant Notes</t>
  </si>
  <si>
    <t>Increased the Applicant Notes text box height from 4 lines to 8 lines.</t>
  </si>
  <si>
    <t>33. Rural Areas wo Recent</t>
  </si>
  <si>
    <r>
      <t xml:space="preserve">QAP: Changed language to include "Tribal Nations". </t>
    </r>
    <r>
      <rPr>
        <sz val="11"/>
        <color rgb="FFFF0000"/>
        <rFont val="Calibri"/>
        <family val="2"/>
        <scheme val="minor"/>
      </rPr>
      <t>Check with Emily.</t>
    </r>
  </si>
  <si>
    <t>19. Instructions Scoring Summ</t>
  </si>
  <si>
    <t>Changed text to "Reminder: In the General, Preservation and Supportive Housing set-asides, the credit limit will be $1,200,000 per application." Was previously "...$1,400,000 per application." Updated amount on related formula.</t>
  </si>
  <si>
    <t>ProLink Mapping</t>
  </si>
  <si>
    <r>
      <t>Changed to formula in E144 to =IF(C144="","","</t>
    </r>
    <r>
      <rPr>
        <b/>
        <sz val="11"/>
        <color theme="1"/>
        <rFont val="Calibri"/>
        <family val="2"/>
        <scheme val="minor"/>
      </rPr>
      <t>Attorney</t>
    </r>
    <r>
      <rPr>
        <sz val="11"/>
        <color theme="1"/>
        <rFont val="Calibri"/>
        <family val="2"/>
        <scheme val="minor"/>
      </rPr>
      <t>") instead of "Law Firm". Attorney matches other references within the MFA (ProLink Mapping columns B and AC) and the PL_DealEntityRoles picklist in ProLink.</t>
    </r>
  </si>
  <si>
    <t>State HTC Gap</t>
  </si>
  <si>
    <r>
      <t xml:space="preserve">Incorporate Addendum. Added the State HTC Gap Addendum as it's own tab. This tab is will be hidden / read-only.
</t>
    </r>
    <r>
      <rPr>
        <sz val="11"/>
        <color rgb="FFFF0000"/>
        <rFont val="Calibri"/>
        <family val="2"/>
        <scheme val="minor"/>
      </rPr>
      <t>The State Weight Multiplier is based on the Set-Aside chosen on Tab 3. Project Description. We need to plug in corresponding Multiplier values.</t>
    </r>
    <r>
      <rPr>
        <sz val="11"/>
        <color theme="1"/>
        <rFont val="Calibri"/>
        <family val="2"/>
        <scheme val="minor"/>
      </rPr>
      <t xml:space="preserve"> Check with Emily. Also the Mulitplier on 29. Financial Leverage.</t>
    </r>
  </si>
  <si>
    <t>27 . Rehab Neighborhood</t>
  </si>
  <si>
    <t>Incorporated Addendum and corrected formula fields.</t>
  </si>
  <si>
    <t>Incorporated Addendum. This was completed as part of item 52.</t>
  </si>
  <si>
    <t>All Application Tabs</t>
  </si>
  <si>
    <t>Updated Navigation Hyperlinks. Removed "2021" from "Application Submission Checklist - Submit with Initial Application Only" and from "Self-Scoring Checklist - Submit with Initial Application Only" in order to make it easier to maintain.</t>
  </si>
  <si>
    <t>Construction Draw Schedule</t>
  </si>
  <si>
    <t>Incremented Draw Schedule dates by one year (e.g. Jan-2021 became Jan-2022).</t>
  </si>
  <si>
    <t>2022.2.2</t>
  </si>
  <si>
    <t>13. Project Costs &amp; Credit</t>
  </si>
  <si>
    <t>Paragraphs are misalligned when zoomed and less then 100% (e.g., 85% zoom)</t>
  </si>
  <si>
    <t>Kari Maguire</t>
  </si>
  <si>
    <t>2022.2.3</t>
  </si>
  <si>
    <t>Rounding issue on Tax Credits Percentage of Adjsted Development Costs. Field was rounding down to the nearest 10%. So 69.1% would become 60%. Updated formula to round to the nearest 0.1 %.</t>
  </si>
  <si>
    <t>Formula typo for Total Points caluclation. Would give you a #NAME# error ofr Non-Rural Set-Aside Projects. It was using MAC() instead of MAX().</t>
  </si>
  <si>
    <t>Lock cell E43</t>
  </si>
  <si>
    <t>2022.3.1</t>
  </si>
  <si>
    <t>Incorporated State Housing Equity Gap calculation
 - State HTC Line 43 Federal and State feeds into Tab 13. Annual Credit Award (line 206)
 - Added State HTC Multiplier to Project Description tab (Line 56).</t>
  </si>
  <si>
    <t>Updated Developer Fee Limit to from 1,400,000 to 1,200,000 on the State HTC tab.</t>
  </si>
  <si>
    <t>Reverted change on tab 29. Changed call contents to include old percentages and language.</t>
  </si>
  <si>
    <t>N146 ProLink Mapping</t>
  </si>
  <si>
    <t>AC145 ProLink Mapping</t>
  </si>
  <si>
    <t>2022.3.2</t>
  </si>
  <si>
    <t>Veteran's Housing</t>
  </si>
  <si>
    <t>Changed to Pull Total Units, instead of Low Income Units
Changed Label to Total units
- Changed cell to pull from Total Units on Unit Mix tab.</t>
  </si>
  <si>
    <t>2022.3.3</t>
  </si>
  <si>
    <t>State HTC Credit Calc</t>
  </si>
  <si>
    <t>Added logic for State HTC to work correctly. T Tab 13 should use normal calculations unless Set Aside type is Rural and Application type is State 4 plus Federal.</t>
  </si>
  <si>
    <t>2022.3.4</t>
  </si>
  <si>
    <t>Replaced "Other" Deal Entity Roles with valid roles, or changed them to map nothing since the field is not required.</t>
  </si>
  <si>
    <t>Rural Areas</t>
  </si>
  <si>
    <t>Language changes to include Tribal Housing and eligible / ineligible areas.</t>
  </si>
  <si>
    <t>2022.4.0</t>
  </si>
  <si>
    <t>All</t>
  </si>
  <si>
    <t>Hide Innovative Housing Set-Aside (IHSA) tabs. Format IHSA navigation links to be invisible. Confirm that formulas are hidden, fillable fields are blank or reset, each page is top left justified.</t>
  </si>
  <si>
    <t>Removed Employee Units from the Applicable Fraction calculation cell H185 (The applicable Fraction calculation). This was overlooked from change ID 46. Help Desk Ticket #41667.</t>
  </si>
  <si>
    <t>2023.0.02</t>
  </si>
  <si>
    <t>Ticket 44384</t>
  </si>
  <si>
    <t>Issue: The Credit Calc was not showing for Oakwood application. Cause: The Fed Credit Calc was using the State Investor ownership %, and not the Federal Ownershi[p %) Fix: Updated the formula on cell X201 from "='12. Funding Sources'!H41 to "='12. Funding Sources'!H39".</t>
  </si>
  <si>
    <t>Jin Park-Higbee</t>
  </si>
  <si>
    <t>2023.0.03</t>
  </si>
  <si>
    <t>Dan Beres</t>
  </si>
  <si>
    <t>2023.09.16</t>
  </si>
  <si>
    <t>See S:\projects\MFA Annual QAP Process\2024\</t>
  </si>
  <si>
    <t>n/a</t>
  </si>
  <si>
    <t>Project Team</t>
  </si>
  <si>
    <t>2023.09.27</t>
  </si>
  <si>
    <t>2023.09.28</t>
  </si>
  <si>
    <t>2024.1.0</t>
  </si>
  <si>
    <t>2024.1.1</t>
  </si>
  <si>
    <t>Dev Score, Expected project cost numbers.</t>
  </si>
  <si>
    <t>2024.1.5</t>
  </si>
  <si>
    <t>ProLink</t>
  </si>
  <si>
    <t>Fixed Mapping for Mixed Income Incentive WHEDA and Federal Pricing Per Credit.</t>
  </si>
  <si>
    <t>25.0.1</t>
  </si>
  <si>
    <t>Unit Mix</t>
  </si>
  <si>
    <t>1.	Added to Unit Mix tab Cell V17 "Multiple Story Unit" (empty space, did not want to right click-insert in case it messed up downstream impacts).
2.	Formatted cells V18-V67 as white background with outline. Added data validation: List "Yes, No"</t>
  </si>
  <si>
    <t>Chris Sterr</t>
  </si>
  <si>
    <t>TBD</t>
  </si>
  <si>
    <t>Areas of Economic Opp</t>
  </si>
  <si>
    <t>1. On the Areas of Economic Opp tab, Named cell G8 "isClaimingPtsAreaofEconomicOpp" to clarify what the field was for the formula's readibility. Same with "isQualifiedSenior" for cell E62.
2. On the Areas of Economic Opp tab, Updated E67-E73's formula to include a check for a non-blank tribal name, and that the criteria is 4 miles. Before and after formulas is in the HTC Tech Update project as "M056 Before and after formulas.xksx"
3. Formatted the cells to follow yellow with  black outline.</t>
  </si>
  <si>
    <t>Tom Derr</t>
  </si>
  <si>
    <t>Projected Cash Flow</t>
  </si>
  <si>
    <t>On the Projected Cash Flow tab, unhid row 10 in the "Year One" table under "Inflation Rate".: "Commercial Income"</t>
  </si>
  <si>
    <t>Erin Libecki</t>
  </si>
  <si>
    <t>Project Costs</t>
  </si>
  <si>
    <t>On the Project Costs tab, unhid row 49 in the Site Work Costs section.</t>
  </si>
  <si>
    <t>Backlog changes</t>
  </si>
  <si>
    <t>HTC Tech Update Requirements List.xlsx (Sharepoint). Copy to be saved to 2025 Project folder.</t>
  </si>
  <si>
    <t>Emily Francis, Jonathan Shadeberg</t>
  </si>
  <si>
    <t>Annual QAP Changes</t>
  </si>
  <si>
    <t>Constant Name</t>
  </si>
  <si>
    <t>Value</t>
  </si>
  <si>
    <t>Data Type</t>
  </si>
  <si>
    <t>Tax Credit Year</t>
  </si>
  <si>
    <t>Numeric</t>
  </si>
  <si>
    <t>Yes/No</t>
  </si>
  <si>
    <t>0/1/2</t>
  </si>
  <si>
    <t>Counties</t>
  </si>
  <si>
    <t>Project Type</t>
  </si>
  <si>
    <t>Minimum Set-Aside
Requirements</t>
  </si>
  <si>
    <t>Set-Asides</t>
  </si>
  <si>
    <t>Credit Percentage</t>
  </si>
  <si>
    <t xml:space="preserve">Type
(Unit Mix) </t>
  </si>
  <si>
    <t>CMI% (Unit Mix)</t>
  </si>
  <si>
    <t>Voucher CMI%</t>
  </si>
  <si>
    <t>Subsidy Source 
(Project Desc)</t>
  </si>
  <si>
    <t>Federal Financing Type (Project Description)</t>
  </si>
  <si>
    <t>Type of Control
(site control/Buildings)</t>
  </si>
  <si>
    <t>Entity Type
(ownership entity)</t>
  </si>
  <si>
    <t>Entity Status (ownership entity)</t>
  </si>
  <si>
    <t xml:space="preserve">Entity/Principal Function (ownership entity) </t>
  </si>
  <si>
    <t>Utility</t>
  </si>
  <si>
    <t>Utility Appliance</t>
  </si>
  <si>
    <t xml:space="preserve">Bedrooms </t>
  </si>
  <si>
    <t>Bathrooms</t>
  </si>
  <si>
    <t>State</t>
  </si>
  <si>
    <t xml:space="preserve">Source of Utility Allowance Assumptions </t>
  </si>
  <si>
    <t>Unit Types</t>
  </si>
  <si>
    <t>Non-Voucher Unit Types</t>
  </si>
  <si>
    <t>Encluded or N/A</t>
  </si>
  <si>
    <t>Financing Type</t>
  </si>
  <si>
    <t>Tenancy Type</t>
  </si>
  <si>
    <t>Metro Counties</t>
  </si>
  <si>
    <t>Tribal Nations</t>
  </si>
  <si>
    <t>Wisconsin
Assembly
Districts</t>
  </si>
  <si>
    <t>Wisconsin
Senate
District</t>
  </si>
  <si>
    <t>US Congress District</t>
  </si>
  <si>
    <t>Utility Payment</t>
  </si>
  <si>
    <t>Lender Name Bond Issuer</t>
  </si>
  <si>
    <t>Building Type</t>
  </si>
  <si>
    <t>Cooling</t>
  </si>
  <si>
    <t>Cooking</t>
  </si>
  <si>
    <t>Hot Water</t>
  </si>
  <si>
    <t>Adams</t>
  </si>
  <si>
    <t>New Construction</t>
  </si>
  <si>
    <t>20%/50%</t>
  </si>
  <si>
    <t>General Set-Aside</t>
  </si>
  <si>
    <t>9%</t>
  </si>
  <si>
    <t>Apartment</t>
  </si>
  <si>
    <t>HUD</t>
  </si>
  <si>
    <t>CHDO</t>
  </si>
  <si>
    <t>Ownership</t>
  </si>
  <si>
    <t>Limited Liability Company</t>
  </si>
  <si>
    <t>To Be Formed</t>
  </si>
  <si>
    <t>Principal</t>
  </si>
  <si>
    <t>Gas</t>
  </si>
  <si>
    <t>Electric Baseboard</t>
  </si>
  <si>
    <t>Local PHA</t>
  </si>
  <si>
    <t>Low Income</t>
  </si>
  <si>
    <t>Enc</t>
  </si>
  <si>
    <t>Tax-Exempt Bond Financing – Construction</t>
  </si>
  <si>
    <t>Family</t>
  </si>
  <si>
    <t>Brown</t>
  </si>
  <si>
    <t>Bad River Band of Lake Superior Chippewa</t>
  </si>
  <si>
    <t>Owner</t>
  </si>
  <si>
    <t>WHEDA</t>
  </si>
  <si>
    <t>New Constr - Fed Sub</t>
  </si>
  <si>
    <t>Central Air</t>
  </si>
  <si>
    <t>Electric</t>
  </si>
  <si>
    <t>Ashland</t>
  </si>
  <si>
    <t>Acquisition/Rehab</t>
  </si>
  <si>
    <t>40%/60%</t>
  </si>
  <si>
    <t>Non-Profit Set-Aside</t>
  </si>
  <si>
    <t>4%</t>
  </si>
  <si>
    <t>Duplex</t>
  </si>
  <si>
    <t>RD</t>
  </si>
  <si>
    <t>Federal HOME</t>
  </si>
  <si>
    <t>Purchase Contract</t>
  </si>
  <si>
    <t>Limited Liability Partnership</t>
  </si>
  <si>
    <t>Already Formed</t>
  </si>
  <si>
    <t>Managing Member</t>
  </si>
  <si>
    <t>Electric Forced Air</t>
  </si>
  <si>
    <t>AK</t>
  </si>
  <si>
    <t>LIHTC Permit Calcs</t>
  </si>
  <si>
    <t>Voucher</t>
  </si>
  <si>
    <t>Home</t>
  </si>
  <si>
    <t>Tax Exempt Bond Financing - Permanent</t>
  </si>
  <si>
    <t>Age Restricted</t>
  </si>
  <si>
    <t>Calumet</t>
  </si>
  <si>
    <t>Forest County Potawatomi</t>
  </si>
  <si>
    <t>Tenant</t>
  </si>
  <si>
    <t>Conduit</t>
  </si>
  <si>
    <t>New Constr - Not Fed Sub</t>
  </si>
  <si>
    <t>Central Chiller</t>
  </si>
  <si>
    <t>Barron</t>
  </si>
  <si>
    <t>Adaptive Reuse</t>
  </si>
  <si>
    <t>Income Averaging</t>
  </si>
  <si>
    <t>Rural Set-Aside</t>
  </si>
  <si>
    <t>State + Fed 4%</t>
  </si>
  <si>
    <t>Single Family</t>
  </si>
  <si>
    <t>HUD Sect 202</t>
  </si>
  <si>
    <t>Option</t>
  </si>
  <si>
    <t>C Corporation</t>
  </si>
  <si>
    <t>Managing General Partner</t>
  </si>
  <si>
    <t>Propane</t>
  </si>
  <si>
    <t>Solar</t>
  </si>
  <si>
    <t>AL</t>
  </si>
  <si>
    <t>HOME</t>
  </si>
  <si>
    <t>Employee</t>
  </si>
  <si>
    <t>Stand-Alone Bond Financing</t>
  </si>
  <si>
    <t>Chippewa</t>
  </si>
  <si>
    <t>Ho-Chunk Nation</t>
  </si>
  <si>
    <t xml:space="preserve">Local Issuance </t>
  </si>
  <si>
    <t>Existing Building</t>
  </si>
  <si>
    <t>Through Wall</t>
  </si>
  <si>
    <t>Combo</t>
  </si>
  <si>
    <t>Oil Fired</t>
  </si>
  <si>
    <t>Bayfield</t>
  </si>
  <si>
    <t>Adaptive Reuse/New Construction</t>
  </si>
  <si>
    <t>Small Urban Set-Aside</t>
  </si>
  <si>
    <t>Townhouses</t>
  </si>
  <si>
    <t>HUD Sect 236</t>
  </si>
  <si>
    <t>S Corporation</t>
  </si>
  <si>
    <t>Other - please note in comment box</t>
  </si>
  <si>
    <t>Gas Radiant</t>
  </si>
  <si>
    <t>AR</t>
  </si>
  <si>
    <t>USDA</t>
  </si>
  <si>
    <t>Preservation Plus Financing</t>
  </si>
  <si>
    <t>Columbia</t>
  </si>
  <si>
    <t>Lac Courte Oreille Band of Lake Superior Chippewa</t>
  </si>
  <si>
    <t>Single Placement</t>
  </si>
  <si>
    <t>Rehab Expend - Fed Sub</t>
  </si>
  <si>
    <t>Window Unit</t>
  </si>
  <si>
    <t>Equity Take out</t>
  </si>
  <si>
    <t>RD 515</t>
  </si>
  <si>
    <t>Limited Partnership</t>
  </si>
  <si>
    <t>Gas Forced Air</t>
  </si>
  <si>
    <t>AZ</t>
  </si>
  <si>
    <t>Utiity Company</t>
  </si>
  <si>
    <t>Preservation Revolving Loan Fund</t>
  </si>
  <si>
    <t>Dane</t>
  </si>
  <si>
    <t>Lac du Flambeau Band of Lake Superior Chippewa</t>
  </si>
  <si>
    <t>Pooled Bonds</t>
  </si>
  <si>
    <t>Rehab Expend - Not Fed Sub</t>
  </si>
  <si>
    <t>Buffalo</t>
  </si>
  <si>
    <t xml:space="preserve">Refinance </t>
  </si>
  <si>
    <t>Tax-Exempt Bond</t>
  </si>
  <si>
    <t>Other</t>
  </si>
  <si>
    <t>Heat Pump</t>
  </si>
  <si>
    <t>CA</t>
  </si>
  <si>
    <t>Tax Credit Development Financing</t>
  </si>
  <si>
    <t>Douglas</t>
  </si>
  <si>
    <t>Menominee Indian Tribe of Wisconsin</t>
  </si>
  <si>
    <t>Burnett</t>
  </si>
  <si>
    <t>Acquisition/New Construction</t>
  </si>
  <si>
    <t>Oil Forced Air</t>
  </si>
  <si>
    <t>CO</t>
  </si>
  <si>
    <t>Construction Plus Loan</t>
  </si>
  <si>
    <t>Eau Claire</t>
  </si>
  <si>
    <t>Mole Lake (Sokaogon Chippewa Community) Band of Lake Superior Chippewa</t>
  </si>
  <si>
    <t>Oil Radiant</t>
  </si>
  <si>
    <t>CT</t>
  </si>
  <si>
    <t>Rental Housing Accessibility Loan</t>
  </si>
  <si>
    <t>Fond du Lac</t>
  </si>
  <si>
    <t>Oneida Nation</t>
  </si>
  <si>
    <t>DC</t>
  </si>
  <si>
    <t>7/10 Flex Financing</t>
  </si>
  <si>
    <t>Green</t>
  </si>
  <si>
    <t>Red Cliff Band of Lake Superior Chippewa</t>
  </si>
  <si>
    <t>Clark</t>
  </si>
  <si>
    <t>DE</t>
  </si>
  <si>
    <t>Tax Incremental Financing (TIF)</t>
  </si>
  <si>
    <t>Iowa</t>
  </si>
  <si>
    <t>Saint Croix Chippewa Indians of Wisconsin</t>
  </si>
  <si>
    <t>FL</t>
  </si>
  <si>
    <t>Subordinate Debt Financing</t>
  </si>
  <si>
    <t>Kenosha</t>
  </si>
  <si>
    <t>Stockbridge-Munsee Community Band of Mohican Indians</t>
  </si>
  <si>
    <t>Crawford</t>
  </si>
  <si>
    <t>GA</t>
  </si>
  <si>
    <t>La Crosse</t>
  </si>
  <si>
    <t>HI</t>
  </si>
  <si>
    <t>Marathon</t>
  </si>
  <si>
    <t>Dodge</t>
  </si>
  <si>
    <t>IA</t>
  </si>
  <si>
    <t>Milwaukee</t>
  </si>
  <si>
    <t>Door</t>
  </si>
  <si>
    <t>ID</t>
  </si>
  <si>
    <t>Oconto</t>
  </si>
  <si>
    <t>IL</t>
  </si>
  <si>
    <t>Outagamie</t>
  </si>
  <si>
    <t>Dunn</t>
  </si>
  <si>
    <t>IN</t>
  </si>
  <si>
    <t>Ozaukee</t>
  </si>
  <si>
    <t>KS</t>
  </si>
  <si>
    <t>Pierce</t>
  </si>
  <si>
    <t>Florence</t>
  </si>
  <si>
    <t>KY</t>
  </si>
  <si>
    <t>Racine</t>
  </si>
  <si>
    <t>LA</t>
  </si>
  <si>
    <t>Rock</t>
  </si>
  <si>
    <t>Forest</t>
  </si>
  <si>
    <t>MA</t>
  </si>
  <si>
    <t>Sheboygan</t>
  </si>
  <si>
    <t>Grant</t>
  </si>
  <si>
    <t>MD</t>
  </si>
  <si>
    <t>St. Croix</t>
  </si>
  <si>
    <t>ME</t>
  </si>
  <si>
    <t>Washington</t>
  </si>
  <si>
    <t>Green Lake</t>
  </si>
  <si>
    <t>MI</t>
  </si>
  <si>
    <t>Waukesha</t>
  </si>
  <si>
    <t>MN</t>
  </si>
  <si>
    <t>Winnebago</t>
  </si>
  <si>
    <t>Iron</t>
  </si>
  <si>
    <t>MO</t>
  </si>
  <si>
    <t>Jackson</t>
  </si>
  <si>
    <t>MS</t>
  </si>
  <si>
    <t>Jefferson</t>
  </si>
  <si>
    <t>MT</t>
  </si>
  <si>
    <t>Juneau</t>
  </si>
  <si>
    <t>NC</t>
  </si>
  <si>
    <t>ND</t>
  </si>
  <si>
    <t>Kewaunee</t>
  </si>
  <si>
    <t>NE</t>
  </si>
  <si>
    <t>NH</t>
  </si>
  <si>
    <t>Lafayette</t>
  </si>
  <si>
    <t>NJ</t>
  </si>
  <si>
    <t>Langlade</t>
  </si>
  <si>
    <t>NM</t>
  </si>
  <si>
    <t>Lincoln</t>
  </si>
  <si>
    <t>NV</t>
  </si>
  <si>
    <t>Manitowoc</t>
  </si>
  <si>
    <t>NY</t>
  </si>
  <si>
    <t>OH</t>
  </si>
  <si>
    <t>Marinette</t>
  </si>
  <si>
    <t>OK</t>
  </si>
  <si>
    <t>Marquette</t>
  </si>
  <si>
    <t>OR</t>
  </si>
  <si>
    <t>Menominee</t>
  </si>
  <si>
    <t>PA</t>
  </si>
  <si>
    <t>RI</t>
  </si>
  <si>
    <t>Monroe</t>
  </si>
  <si>
    <t>SC</t>
  </si>
  <si>
    <t>SD</t>
  </si>
  <si>
    <t>Oneida</t>
  </si>
  <si>
    <t>TN</t>
  </si>
  <si>
    <t>TX</t>
  </si>
  <si>
    <t>UT</t>
  </si>
  <si>
    <t>Pepin</t>
  </si>
  <si>
    <t>VA</t>
  </si>
  <si>
    <t>VT</t>
  </si>
  <si>
    <t>Polk</t>
  </si>
  <si>
    <t>WA</t>
  </si>
  <si>
    <t>Portage</t>
  </si>
  <si>
    <t>WI</t>
  </si>
  <si>
    <t>Price</t>
  </si>
  <si>
    <t>WV</t>
  </si>
  <si>
    <t>WY</t>
  </si>
  <si>
    <t>Richland</t>
  </si>
  <si>
    <t>Rusk</t>
  </si>
  <si>
    <t>Sauk</t>
  </si>
  <si>
    <t>Sawyer</t>
  </si>
  <si>
    <t>Shawano</t>
  </si>
  <si>
    <t>Taylor</t>
  </si>
  <si>
    <t>Trempealeau</t>
  </si>
  <si>
    <t>Vernon</t>
  </si>
  <si>
    <t>Vilas</t>
  </si>
  <si>
    <t>Walworth</t>
  </si>
  <si>
    <t>Washburn</t>
  </si>
  <si>
    <t>Waupaca</t>
  </si>
  <si>
    <t>Waushara</t>
  </si>
  <si>
    <t>Wood</t>
  </si>
  <si>
    <t>MFA Field Name</t>
  </si>
  <si>
    <t>TCA Screen</t>
  </si>
  <si>
    <t>TCA Screen Label</t>
  </si>
  <si>
    <t>Field Name</t>
  </si>
  <si>
    <t>Send/Get</t>
  </si>
  <si>
    <t>Comment</t>
  </si>
  <si>
    <t>WHEDA COMMERCIAL LOAN</t>
  </si>
  <si>
    <t>Date of Application</t>
  </si>
  <si>
    <t>Edit TCA Deal</t>
  </si>
  <si>
    <t>Reservation Application Received - Received Date</t>
  </si>
  <si>
    <t>Reservation Application Received Received Date</t>
  </si>
  <si>
    <t>Get</t>
  </si>
  <si>
    <t>Tax Credit #</t>
  </si>
  <si>
    <t>Deal Number</t>
  </si>
  <si>
    <t>Tax Credit Stage</t>
  </si>
  <si>
    <t>Current Stage</t>
  </si>
  <si>
    <t>TC Property Stage Name</t>
  </si>
  <si>
    <t>Tax Credit Status</t>
  </si>
  <si>
    <t>Status</t>
  </si>
  <si>
    <t>TC Deal Status Name</t>
  </si>
  <si>
    <t>Development Deal #</t>
  </si>
  <si>
    <t>Associated Dev Deal</t>
  </si>
  <si>
    <t>Dev Deal ID</t>
  </si>
  <si>
    <t>Development Deal Status</t>
  </si>
  <si>
    <r>
      <t xml:space="preserve">Associated Dev Deal </t>
    </r>
    <r>
      <rPr>
        <b/>
        <sz val="11"/>
        <color rgb="FFFF0000"/>
        <rFont val="Calibri"/>
        <family val="2"/>
        <scheme val="minor"/>
      </rPr>
      <t>?</t>
    </r>
  </si>
  <si>
    <t>Dev Deal Stage Status</t>
  </si>
  <si>
    <t>2. PROJECT NAME AND LOCATION</t>
  </si>
  <si>
    <t>Project Name and Location</t>
  </si>
  <si>
    <t>Project Name</t>
  </si>
  <si>
    <t>Deal Property Name</t>
  </si>
  <si>
    <t>Is Project a Scattered Site?</t>
  </si>
  <si>
    <t>Site #</t>
  </si>
  <si>
    <t>Street Address</t>
  </si>
  <si>
    <t>TCA Current Stage</t>
  </si>
  <si>
    <t>Address</t>
  </si>
  <si>
    <t>Property Address</t>
  </si>
  <si>
    <t>Send</t>
  </si>
  <si>
    <t>City</t>
  </si>
  <si>
    <t>County</t>
  </si>
  <si>
    <t>Jurisdiction</t>
  </si>
  <si>
    <t>ZIP Code</t>
  </si>
  <si>
    <t>Zip Code</t>
  </si>
  <si>
    <t>Property Zip Code</t>
  </si>
  <si>
    <t>Is project in a Qualified Census Tract?</t>
  </si>
  <si>
    <t>QCT?</t>
  </si>
  <si>
    <t>Is QCT?</t>
  </si>
  <si>
    <t>Is QCT</t>
  </si>
  <si>
    <t>TCA Current Stage / QCT?</t>
  </si>
  <si>
    <t>Census Tract</t>
  </si>
  <si>
    <t>Not sure where this is in ProLink.</t>
  </si>
  <si>
    <t>Is Project in a Difficult Development Area?</t>
  </si>
  <si>
    <t>DDA?</t>
  </si>
  <si>
    <t>Is DDA?</t>
  </si>
  <si>
    <t>Is DDA</t>
  </si>
  <si>
    <t>TCA Current Stage / DDA?</t>
  </si>
  <si>
    <t>Difficult Development Area Number</t>
  </si>
  <si>
    <t>Does a Community Revitalization Plan Exist?</t>
  </si>
  <si>
    <t>Revitalization Area?</t>
  </si>
  <si>
    <t>Is in Revitalization Area?</t>
  </si>
  <si>
    <t>Political Jurisdiction</t>
  </si>
  <si>
    <t>Edit Deal &gt; Custom Fields</t>
  </si>
  <si>
    <t>Jurisdiction CEO First Name</t>
  </si>
  <si>
    <t>Jurisdiction CEO Last Name</t>
  </si>
  <si>
    <t>Jurisdiction CEO Title</t>
  </si>
  <si>
    <t>Jurisdiction Title</t>
  </si>
  <si>
    <t>Jurisdiction Street Address</t>
  </si>
  <si>
    <t>Jurisdiction City</t>
  </si>
  <si>
    <t>Jurisdiction Zip Code</t>
  </si>
  <si>
    <t>Jurisdiction Phone</t>
  </si>
  <si>
    <t>Jurisdiction Email</t>
  </si>
  <si>
    <t>Jurisdiction Email Address</t>
  </si>
  <si>
    <t>Wisconsin Assembly District</t>
  </si>
  <si>
    <t>Deal Overview</t>
  </si>
  <si>
    <t>State House/Assembly District</t>
  </si>
  <si>
    <t>Wisconsin Senate District</t>
  </si>
  <si>
    <t>State Senate District</t>
  </si>
  <si>
    <t>US Congressional District</t>
  </si>
  <si>
    <t>Congressional District</t>
  </si>
  <si>
    <t>3. PROJECT DESCRIPTION</t>
  </si>
  <si>
    <t>Project Description</t>
  </si>
  <si>
    <t>Building Allocation Type</t>
  </si>
  <si>
    <t>Bldg Alloc Type</t>
  </si>
  <si>
    <t>Allocation Is? (used for IRS Tax Form 8609, Schedule A)</t>
  </si>
  <si>
    <t>Multi Year Tracking Carryover &gt; Allocation Tracking</t>
  </si>
  <si>
    <t>Project Based</t>
  </si>
  <si>
    <t>Always Project Based</t>
  </si>
  <si>
    <t>New Construction Units</t>
  </si>
  <si>
    <t># of New Units</t>
  </si>
  <si>
    <t>Total New Units</t>
  </si>
  <si>
    <t>Acquisition Rehab Units</t>
  </si>
  <si>
    <t># of Rehab  Units</t>
  </si>
  <si>
    <t>Total Rehab Units</t>
  </si>
  <si>
    <t>Adaptive Reuse Units</t>
  </si>
  <si>
    <t># of Adaptive Reuse Units</t>
  </si>
  <si>
    <t>Total Reuse Units</t>
  </si>
  <si>
    <t>Equity Takeout/Refinance Units</t>
  </si>
  <si>
    <t>Not currently mapped.</t>
  </si>
  <si>
    <t>Will this project be utilizing federal assistance?</t>
  </si>
  <si>
    <t>Will this project be receiving project based federal rental assistance?</t>
  </si>
  <si>
    <t>Has Rental Assistance</t>
  </si>
  <si>
    <t>If yes, provide the subsidy source</t>
  </si>
  <si>
    <t>TCA Current Stage &gt; Custom Fields</t>
  </si>
  <si>
    <t>Name of Subsidy Source if receiving project based federal assistance</t>
  </si>
  <si>
    <t>And Number of Units</t>
  </si>
  <si>
    <t># of Units with Assistance</t>
  </si>
  <si>
    <t>Num of Units with Assistance</t>
  </si>
  <si>
    <t>HUD RAD</t>
  </si>
  <si>
    <t xml:space="preserve">HUD RAD       </t>
  </si>
  <si>
    <t>Number of Units (HUD RAD)</t>
  </si>
  <si>
    <t>HUD RAD - Number of Units</t>
  </si>
  <si>
    <t>RD/Rental Assistance</t>
  </si>
  <si>
    <t>RD515</t>
  </si>
  <si>
    <t>Has RD 515 Assistance</t>
  </si>
  <si>
    <t>Number of Units (RD)</t>
  </si>
  <si>
    <t>RD/Rental Assistance - Number of Units</t>
  </si>
  <si>
    <t>Section 221(d)(3) BMIR</t>
  </si>
  <si>
    <t>Is Mkt Section 221d3</t>
  </si>
  <si>
    <t>Number of Units (Section 221(d)(3) BMIR)</t>
  </si>
  <si>
    <t>Section 221(d)(3) BMR - Number of Units</t>
  </si>
  <si>
    <t>Section 236</t>
  </si>
  <si>
    <t>Is Mkt Section 236</t>
  </si>
  <si>
    <t>Number of Units (Section 236)</t>
  </si>
  <si>
    <t>Section 236 - Number of Units</t>
  </si>
  <si>
    <t>Section 8 Rent Supplemental or Rental Assistance Payment</t>
  </si>
  <si>
    <t>Total Rent Supplemental or Rental Assistance Payment</t>
  </si>
  <si>
    <t>Number of Units (Section 8 Rent)</t>
  </si>
  <si>
    <t>Section 8 or Rental Assistance Number of Units</t>
  </si>
  <si>
    <t>Total of Units Section Rent</t>
  </si>
  <si>
    <t>Section 8 Housing Assistance Payment Contract</t>
  </si>
  <si>
    <t xml:space="preserve">Section 8 Contract      </t>
  </si>
  <si>
    <t>Total Housing Assistance Payment Contract</t>
  </si>
  <si>
    <t>Uses Yes/No vs. True/False</t>
  </si>
  <si>
    <t>Number of Units (Section 8 HAP)</t>
  </si>
  <si>
    <t>Section 8 Contract - Number of Units</t>
  </si>
  <si>
    <t>Total of Units Section HAP</t>
  </si>
  <si>
    <t>Other:</t>
  </si>
  <si>
    <t>Number of Units (Other)</t>
  </si>
  <si>
    <t>Other - Number of Units</t>
  </si>
  <si>
    <t>Total of Units Other</t>
  </si>
  <si>
    <t>Is HUD approval for transfer of physical asset required?</t>
  </si>
  <si>
    <t>Is HUD Approval Required</t>
  </si>
  <si>
    <t>Cannot locate on screen</t>
  </si>
  <si>
    <t>Is RD approval for transfer of physical asset required?</t>
  </si>
  <si>
    <t>Is RD Approval required</t>
  </si>
  <si>
    <t>Total RD approval for transfer of physical asset required</t>
  </si>
  <si>
    <t xml:space="preserve"> Is WHEDA approval for transfer of physical asset required?</t>
  </si>
  <si>
    <t>Is WHEDA Approval Required</t>
  </si>
  <si>
    <t>Total WHEDA approval for transfer of physical asset required</t>
  </si>
  <si>
    <t>Any existing LURA?</t>
  </si>
  <si>
    <t>Are existing LURA</t>
  </si>
  <si>
    <t>Total existing LURA</t>
  </si>
  <si>
    <t>If yes please provide project number:</t>
  </si>
  <si>
    <t>Existing LURA - Project Number</t>
  </si>
  <si>
    <t>Total yes please provide project number</t>
  </si>
  <si>
    <t>Targeting of Units</t>
  </si>
  <si>
    <t>Family - Number of Units</t>
  </si>
  <si>
    <t>Multi Family Application - Family - Number of Units</t>
  </si>
  <si>
    <t>Elderly</t>
  </si>
  <si>
    <t>Elderly - Number of Units</t>
  </si>
  <si>
    <t>Multi Family Application - Elderly - Number of Units</t>
  </si>
  <si>
    <t>Homeless</t>
  </si>
  <si>
    <t>Homeless - Number of Units</t>
  </si>
  <si>
    <t>Multi Family Application - Homeless - Number of Units</t>
  </si>
  <si>
    <t>Supportive Housing</t>
  </si>
  <si>
    <t>Supportive Housing  - Number of Units</t>
  </si>
  <si>
    <t>Supportive Housing - Number of Units</t>
  </si>
  <si>
    <t>Multi Family Application - Supportive Housing - Number of Units</t>
  </si>
  <si>
    <t>Single Room Occupancy</t>
  </si>
  <si>
    <t>Single Room Occupancy - Number of Units</t>
  </si>
  <si>
    <t>CBRF</t>
  </si>
  <si>
    <t>CBRF - Number of Units</t>
  </si>
  <si>
    <t>RCAC</t>
  </si>
  <si>
    <t>RCAC - Number of Units</t>
  </si>
  <si>
    <t>Tageting of Units (not on MFA)</t>
  </si>
  <si>
    <t>Target Type</t>
  </si>
  <si>
    <t>Only sends one type (e.g. if Family and Elderly are targeted, sends Famly only).</t>
  </si>
  <si>
    <t>Credit Request</t>
  </si>
  <si>
    <t>Is this an application for additional credit?</t>
  </si>
  <si>
    <t>Credit Request - Application for additional credit?</t>
  </si>
  <si>
    <t>Application for additional credit?</t>
  </si>
  <si>
    <t>Name of project and WHEDA application number</t>
  </si>
  <si>
    <t>Credit Request - Additional Credit - If yes, Project Name and Application Number</t>
  </si>
  <si>
    <t>If Yes, Project Name and Application Number</t>
  </si>
  <si>
    <t>Is this a credit application for a property that has completed its HTC compliance period</t>
  </si>
  <si>
    <t>Credit Request - Is this a credit application for a property that has completed its HTC compliance period?</t>
  </si>
  <si>
    <t>Is this a credit application for a property that has completed its HTC compliance period?</t>
  </si>
  <si>
    <t>Credit Request - HTC Compliance - If yes, Project Name and Application Number</t>
  </si>
  <si>
    <t>HTC Compliance - If yes, Project Name and Application Number</t>
  </si>
  <si>
    <t>Annual State TC award amount</t>
  </si>
  <si>
    <t>Set-Aside</t>
  </si>
  <si>
    <t>Credit Request - Set-Aside</t>
  </si>
  <si>
    <t>Credit percentage applied for</t>
  </si>
  <si>
    <t>Credit Request - Credit Percentage Applied For</t>
  </si>
  <si>
    <t>Credit Percentage Applied For</t>
  </si>
  <si>
    <t>Federal Financing</t>
  </si>
  <si>
    <t>Type of Federal Financing</t>
  </si>
  <si>
    <t>Minimum Set-Aside Requirements</t>
  </si>
  <si>
    <t>Credit Request - Minimum Set-Aside Requirement</t>
  </si>
  <si>
    <t>Minimum Set-Aside Requirement</t>
  </si>
  <si>
    <t>Apartment Type</t>
  </si>
  <si>
    <t>Elevator Building</t>
  </si>
  <si>
    <t>Custom Amenities</t>
  </si>
  <si>
    <t>Elevator</t>
  </si>
  <si>
    <t>Elevator Building - Number of Stories</t>
  </si>
  <si>
    <t>TCA Current Stage - Structures/Utilities/Amenities</t>
  </si>
  <si>
    <t>Number of Stories</t>
  </si>
  <si>
    <t>Num Stories</t>
  </si>
  <si>
    <t>Non Elevator Building</t>
  </si>
  <si>
    <t>Non Elevator Building - Number of Stories</t>
  </si>
  <si>
    <t>Row House/Town House</t>
  </si>
  <si>
    <t>Detached Single-Family</t>
  </si>
  <si>
    <t>Detached Two-Family (Duplex)</t>
  </si>
  <si>
    <t>Other (Please describe)</t>
  </si>
  <si>
    <t>Descriptive Building Type</t>
  </si>
  <si>
    <t>Still points to mapping tab.</t>
  </si>
  <si>
    <t>Construction Type</t>
  </si>
  <si>
    <t>Slab on grade</t>
  </si>
  <si>
    <t>Crawl Space</t>
  </si>
  <si>
    <t>Partial Basement</t>
  </si>
  <si>
    <t>Full Basement</t>
  </si>
  <si>
    <t>Ownership Type</t>
  </si>
  <si>
    <t>Rental</t>
  </si>
  <si>
    <t>TCA Current Stage - Ownership Type</t>
  </si>
  <si>
    <t>Rental Targeted For Eventual Resident Ownership</t>
  </si>
  <si>
    <t>Devlopment Timeline</t>
  </si>
  <si>
    <t>Construction Loan Closing</t>
  </si>
  <si>
    <t>Construction Start Date</t>
  </si>
  <si>
    <t>Construction Control</t>
  </si>
  <si>
    <t>Construction Begin Date</t>
  </si>
  <si>
    <t>Construction Complete</t>
  </si>
  <si>
    <t>Anticipated Completion Date</t>
  </si>
  <si>
    <t>Date first building to be placed in service</t>
  </si>
  <si>
    <t>Date last building to be placed in service</t>
  </si>
  <si>
    <t>Lease Up Period From</t>
  </si>
  <si>
    <t>Lease Up Period To</t>
  </si>
  <si>
    <t>50% Occupancy Projection</t>
  </si>
  <si>
    <t>Stabilized Occupancy Projection</t>
  </si>
  <si>
    <t>Conversion-Permanent Closing</t>
  </si>
  <si>
    <t>4. Applicant Information</t>
  </si>
  <si>
    <t>Primary Applicant Developer</t>
  </si>
  <si>
    <t>Developer Name</t>
  </si>
  <si>
    <t>Developer</t>
  </si>
  <si>
    <t>Developer First Name and Last Name</t>
  </si>
  <si>
    <t>Developer Primary Contact</t>
  </si>
  <si>
    <t>Telephone Number</t>
  </si>
  <si>
    <t>Developer Phone</t>
  </si>
  <si>
    <t xml:space="preserve">Do any unsatisfied judgements exist against the applicant(s)/ developer(s), its principals, or any related party? </t>
  </si>
  <si>
    <t>Edit Deal - Custom Fields</t>
  </si>
  <si>
    <t>Unsatisfied judgements against applicant?</t>
  </si>
  <si>
    <t xml:space="preserve">Has any party related to this application been party to any litigation, including real estate foreclosure or bankruptcy within the past 7 years? </t>
  </si>
  <si>
    <t>Has any party related to this application been party to any litigation,</t>
  </si>
  <si>
    <t xml:space="preserve">Do any environmental issues or administrative proceedings exist that would adversely affect the ability to timely proceed? </t>
  </si>
  <si>
    <t>Environmental Issues or administrative proceedings?</t>
  </si>
  <si>
    <t>Explanation (if the answer to any of the three previous questions was yes). If necessary, attach additional documentation.</t>
  </si>
  <si>
    <t>Explanations</t>
  </si>
  <si>
    <t>Additional fields are unmapped.</t>
  </si>
  <si>
    <t>5. Site Description</t>
  </si>
  <si>
    <t>Site Description</t>
  </si>
  <si>
    <t>Total Site Acreage</t>
  </si>
  <si>
    <t>Total Buildable Acreage</t>
  </si>
  <si>
    <t>TCA Current Stage - Custom Fields</t>
  </si>
  <si>
    <t xml:space="preserve">Send   </t>
  </si>
  <si>
    <t xml:space="preserve">Is the demolition of any buildings required or planned </t>
  </si>
  <si>
    <t>Demolition required</t>
  </si>
  <si>
    <t>Demolition Required?</t>
  </si>
  <si>
    <t>Are existing buildings on the site currently occupied</t>
  </si>
  <si>
    <t>Existing buildings currently occupied</t>
  </si>
  <si>
    <t>Existing Buildings Occupied</t>
  </si>
  <si>
    <t>Will tenant displacement be temporary</t>
  </si>
  <si>
    <t>Will tenant be temporarily displaced</t>
  </si>
  <si>
    <t>Temporary displacement</t>
  </si>
  <si>
    <t xml:space="preserve">Send </t>
  </si>
  <si>
    <t>Will tenant displacement be permanent</t>
  </si>
  <si>
    <t>Will tenant be permanently displaced</t>
  </si>
  <si>
    <t>Permanent displacement</t>
  </si>
  <si>
    <t>Is any part of the site, regardless of where actual building is, will be in a flood zone</t>
  </si>
  <si>
    <t>Any part of site located in flood zone</t>
  </si>
  <si>
    <t>Flood zone</t>
  </si>
  <si>
    <t>Nearest Linkages and Services</t>
  </si>
  <si>
    <t>To be documented later.</t>
  </si>
  <si>
    <t>6. Site Control</t>
  </si>
  <si>
    <t>Site Control</t>
  </si>
  <si>
    <t>7. Zoning</t>
  </si>
  <si>
    <t>Zoning</t>
  </si>
  <si>
    <t>8. Ownership Entity</t>
  </si>
  <si>
    <t>Ownership Entity</t>
  </si>
  <si>
    <t>Owner Name</t>
  </si>
  <si>
    <t xml:space="preserve">TCA Deal Overview </t>
  </si>
  <si>
    <t>Contact Name</t>
  </si>
  <si>
    <t>Contact First Name</t>
  </si>
  <si>
    <t>Contact Last Name</t>
  </si>
  <si>
    <t>TCA Deal Overview</t>
  </si>
  <si>
    <t>Owner City</t>
  </si>
  <si>
    <t xml:space="preserve">State, Zip </t>
  </si>
  <si>
    <t>Owner State</t>
  </si>
  <si>
    <t xml:space="preserve">Zip </t>
  </si>
  <si>
    <t>State, Zip</t>
  </si>
  <si>
    <t xml:space="preserve">Owner Zip </t>
  </si>
  <si>
    <t xml:space="preserve">Send  </t>
  </si>
  <si>
    <t>9. Project Team</t>
  </si>
  <si>
    <t>10. Project &amp; Unit Amenities</t>
  </si>
  <si>
    <t>Community Service Facility</t>
  </si>
  <si>
    <t>Laundry Cost</t>
  </si>
  <si>
    <t>Laundry Cost Per Unit</t>
  </si>
  <si>
    <t>14. Funding Sources</t>
  </si>
  <si>
    <t>Federal Housing Tax Credit Equity / Price Per Credit</t>
  </si>
  <si>
    <t>Multi Family Application / Funding Sources</t>
  </si>
  <si>
    <t>Federal Price per Credit</t>
  </si>
  <si>
    <t>&lt;[[TCDeals] - [TCDeals - User Defined Field Values (Seq: 1)] Multi Family Application - Federal Price Per Credit</t>
  </si>
  <si>
    <t>State  Housing Tax Credit Equity / Price Per Credit</t>
  </si>
  <si>
    <t>State Price per Credit</t>
  </si>
  <si>
    <t>&lt;[[TCDeals] - [TCDeals - User Defined Field Values (Seq: 1)] Multi Family Application - State Price Per Credit</t>
  </si>
  <si>
    <t>16. Project Costs</t>
  </si>
  <si>
    <t>Cost Certification/Accounting Fees Commercial Building Costs</t>
  </si>
  <si>
    <t xml:space="preserve">Edit Deal - Custom Fields </t>
  </si>
  <si>
    <t>Commercial Building Costs Accounting Fees</t>
  </si>
  <si>
    <t>Cost Certification/Accounting Fees Cost/Sqft</t>
  </si>
  <si>
    <t>Cost/Sqft Accounting Fees</t>
  </si>
  <si>
    <t>Cost Certification/Accounting Fees Cost/Unit</t>
  </si>
  <si>
    <t>Cost/Unit Accounting Fees</t>
  </si>
  <si>
    <t>Cost Certification/Accounting Fees Eligible Basis Costs</t>
  </si>
  <si>
    <t>Eligible Basis Costs Accounting Fees</t>
  </si>
  <si>
    <t>Cost Certification/Accounting Fees New Construction &amp; Adaptive Reuse</t>
  </si>
  <si>
    <t>New Construction &amp; Adaptive Reuse Accounting Fees</t>
  </si>
  <si>
    <t>New Construction &amp; Adaptive Reuse</t>
  </si>
  <si>
    <t>Cost Certification/Accounting Fees Total Costs</t>
  </si>
  <si>
    <t>Total Costs Accounting Fees</t>
  </si>
  <si>
    <t>17. Credit Calc</t>
  </si>
  <si>
    <t>Acquisition</t>
  </si>
  <si>
    <t>Acquisition Price - Federal</t>
  </si>
  <si>
    <t>Edit Deal - Custom Fields - Credit</t>
  </si>
  <si>
    <t>Acquisition Price - State</t>
  </si>
  <si>
    <t>Applicable Fraction - Federal</t>
  </si>
  <si>
    <t>Applicable Fraction - State</t>
  </si>
  <si>
    <t>Qualified Basis - Federal</t>
  </si>
  <si>
    <t>Qualified Basis - State</t>
  </si>
  <si>
    <t>Potential Acquisition Credit - Federal</t>
  </si>
  <si>
    <t>Potential Acquisition Credit - State</t>
  </si>
  <si>
    <t>Eligible Basis</t>
  </si>
  <si>
    <t>Initial Eligible Basis - Federal</t>
  </si>
  <si>
    <t>Initial Eligible Basis - State</t>
  </si>
  <si>
    <t>Less Building Acquisition - Federal</t>
  </si>
  <si>
    <t>Less Building Acquisition - State</t>
  </si>
  <si>
    <t>Less Other Credits - Federal</t>
  </si>
  <si>
    <t>Less Other Credits - State</t>
  </si>
  <si>
    <t>Less Historic Tax Basis - Federal</t>
  </si>
  <si>
    <t>Less Historic Tax Basis - State</t>
  </si>
  <si>
    <t>Less Grants - Federal</t>
  </si>
  <si>
    <t>Less Grants - State</t>
  </si>
  <si>
    <t>Adjusted Eligible Building Basis - Federal</t>
  </si>
  <si>
    <t>Adjusted Eligible Building Basis - State</t>
  </si>
  <si>
    <t>QCT/DDA Boost - Federal</t>
  </si>
  <si>
    <t>QCT/DDA Boost - State</t>
  </si>
  <si>
    <t>HFA Boost - Federal</t>
  </si>
  <si>
    <t>HFA Boost - State</t>
  </si>
  <si>
    <t>Eligible Basis - Federal</t>
  </si>
  <si>
    <t>Eligible Basis - State</t>
  </si>
  <si>
    <t>Applicable Fraction - Federal Eligible Basis</t>
  </si>
  <si>
    <t>Applicable Fraction - State Eligible Basis</t>
  </si>
  <si>
    <t>Qualified Basis - Federal Eligible Basis</t>
  </si>
  <si>
    <t>Qualified Basis - State Eligible Basis</t>
  </si>
  <si>
    <t>Credit Percentage - Federal Eligible Basis</t>
  </si>
  <si>
    <t>Credit Percentage - State Eligible Basis</t>
  </si>
  <si>
    <t>Previous Year's Allocation - Federal</t>
  </si>
  <si>
    <t>Previous Year's Allocation - State</t>
  </si>
  <si>
    <t>Potential Eligible Basis Credit - Federal</t>
  </si>
  <si>
    <t>Potential Eligible Basis Credit - State</t>
  </si>
  <si>
    <t>Equity Gap</t>
  </si>
  <si>
    <t>Total Residential Project Costs - Federal</t>
  </si>
  <si>
    <t>Total Residential Project Costs - State</t>
  </si>
  <si>
    <t>Less Loans - Federal</t>
  </si>
  <si>
    <t>Less Loans - State</t>
  </si>
  <si>
    <t>Less Grants - Federal Equity Gap</t>
  </si>
  <si>
    <t>Less Grants - State Equity Gap</t>
  </si>
  <si>
    <t>Less Historic Rehab Credits Equity - Federal</t>
  </si>
  <si>
    <t>Less Historic Rehab Credits Equity - State</t>
  </si>
  <si>
    <t>Less Other - Federal</t>
  </si>
  <si>
    <t>Less Other - State</t>
  </si>
  <si>
    <t>Less Acq Credits Equity - Federal</t>
  </si>
  <si>
    <t>Less Acq Credits Equity - State</t>
  </si>
  <si>
    <t>Total Equity Gap - Federal</t>
  </si>
  <si>
    <t>Total Equity Gap - State</t>
  </si>
  <si>
    <t>Years Credits are Claimed - Federal</t>
  </si>
  <si>
    <t>Years Credits are Claimed - State</t>
  </si>
  <si>
    <t>Gap Divided by Years - Federal</t>
  </si>
  <si>
    <t>Gap Divided by Years - State</t>
  </si>
  <si>
    <t>Pricing per Credit - Federal</t>
  </si>
  <si>
    <t>Pricing per Credit - State</t>
  </si>
  <si>
    <t>Gap Divided by Equity Pricing - Federal</t>
  </si>
  <si>
    <t>Gap Divided by Equity Pricing - State</t>
  </si>
  <si>
    <t>Investor Ownership Interest - Federal</t>
  </si>
  <si>
    <t>Investor Ownership Interest - State</t>
  </si>
  <si>
    <t>Equity Gap Calculation - Federal</t>
  </si>
  <si>
    <t>Equity Gap Calculation - State</t>
  </si>
  <si>
    <t>zCredit Calculation</t>
  </si>
  <si>
    <t>Other Adjustments - Federal</t>
  </si>
  <si>
    <t>Other Adjustments - State</t>
  </si>
  <si>
    <t>Maximum Annual Credits (9% only) - Federal</t>
  </si>
  <si>
    <t>Maximum Annual Credits (9% only) - State</t>
  </si>
  <si>
    <t>Credits used for Leverage Score - Federal</t>
  </si>
  <si>
    <t>DELETE - unmapped for 2025.</t>
  </si>
  <si>
    <t>Credits used for Leverage Score - State</t>
  </si>
  <si>
    <t>Bonus Credits for Energy Efficiency - Federal</t>
  </si>
  <si>
    <t>Bonus Credits for Energy Efficiency - State</t>
  </si>
  <si>
    <t>Bonus Credits for Additional 30% Units - Federal</t>
  </si>
  <si>
    <t>Bonus Credits for Additional 30% Units - State</t>
  </si>
  <si>
    <t>Annual Credit Award - Federal</t>
  </si>
  <si>
    <t>Annual Credit Award - State</t>
  </si>
  <si>
    <t>Federal Acquisition Credit Qualified Basis</t>
  </si>
  <si>
    <t>Federal Construction/Rehab Credit Qualified Basis</t>
  </si>
  <si>
    <t>Federal Construction/Rehab Qualified Basis</t>
  </si>
  <si>
    <t>State Acquisition Credit Qualified Basis</t>
  </si>
  <si>
    <t>State Construction/Rehab Credit Qualified Basis</t>
  </si>
  <si>
    <t>Annual Credit Award Federal</t>
  </si>
  <si>
    <t>Annual Credit Award State</t>
  </si>
  <si>
    <t>18. Projected Cash Flow &amp; Reserves</t>
  </si>
  <si>
    <t>20-Year Cash Flow</t>
  </si>
  <si>
    <t>Effective Gross Income</t>
  </si>
  <si>
    <t>TCA Current Stage &gt; Feasibility</t>
  </si>
  <si>
    <t>23. Instructions Scoring Sum</t>
  </si>
  <si>
    <t>Self-Scoring Exhibit</t>
  </si>
  <si>
    <t>1.  Lower Income Areas | Applicant Score</t>
  </si>
  <si>
    <t>Edit Deal &gt; Custom Fields &gt; Scoring</t>
  </si>
  <si>
    <t>01.  Lower Income Areas - Applicant</t>
  </si>
  <si>
    <t>Scoring - 1. Lower Income Areas - Applicant</t>
  </si>
  <si>
    <t>1.  Lower Income Areas | WHEDA Score</t>
  </si>
  <si>
    <t>Lower Income Areas - WHEDA</t>
  </si>
  <si>
    <t>Scoring - Lower Income Areas - WHEDA</t>
  </si>
  <si>
    <t>2.  Energy Efficiency and Sustainabiliity | Applicant Score</t>
  </si>
  <si>
    <t>02.  Energy Efficiency and Sustainabiliity - Applicant</t>
  </si>
  <si>
    <t>Scoring - 2. Energy Efficiency and Sustainabiliity - Applicant</t>
  </si>
  <si>
    <t>2.  Energy Efficiency and Sustainabiliity | WHEDA Score</t>
  </si>
  <si>
    <t>Energy Efficiency and Sustainabiliity - WHEDA</t>
  </si>
  <si>
    <t>Scoring - Energy Efficiency and Sustainabiliity - WHEDA</t>
  </si>
  <si>
    <t>3.  Mixed-Income Incentive | Applicant Score</t>
  </si>
  <si>
    <t>03.  Mixed-Income Incentive - Applicant</t>
  </si>
  <si>
    <t>Scoring - 3. Mixed-Income Incentive - Applicant</t>
  </si>
  <si>
    <t>3.  Mixed-Income Incentive | WHEDA Score</t>
  </si>
  <si>
    <t>Mixed-Income Incentive - WHEDA</t>
  </si>
  <si>
    <t>Scoring - Mixed-Income Incentive - WHEDA</t>
  </si>
  <si>
    <t>4.  Serves Large Families | Applicant Score</t>
  </si>
  <si>
    <t>04.  Serves Large Families - Applicant</t>
  </si>
  <si>
    <t>Scoring - 4. Serves Large Families - Applicant</t>
  </si>
  <si>
    <t>4.  Serves Large Families | WHEDA Score</t>
  </si>
  <si>
    <t>Serves Large Families - WHEDA</t>
  </si>
  <si>
    <t>Scoring - Serves Large Families - WHEDA</t>
  </si>
  <si>
    <t>5.  Serves Lowest-Income Residents | Applicant Score</t>
  </si>
  <si>
    <t>05.  Serves Lowest-Income Residents - Applicant</t>
  </si>
  <si>
    <t>Scoring - 5. Serves Lowest Income Residents - Applicant</t>
  </si>
  <si>
    <t>5.  Serves Lowest-Income Residents | WHEDA Score</t>
  </si>
  <si>
    <t>Serves Lowest-Income Residents - WHEDA</t>
  </si>
  <si>
    <t>Scoring - Serves Lowest Income Residents - WHEDA</t>
  </si>
  <si>
    <t>6.  Supportive Housing | Applicant Score</t>
  </si>
  <si>
    <t>06.  Supportive Housing - Applicant</t>
  </si>
  <si>
    <t>Scoring - 6. Supportive Housing - Applicant</t>
  </si>
  <si>
    <t>6.  Supportive Housing | WHEDA Score</t>
  </si>
  <si>
    <t>Supportive Housing - WHEDA</t>
  </si>
  <si>
    <t>Scoring - Supportive Housing - WHEDA</t>
  </si>
  <si>
    <t>7.  Veterans Housing | Applicant Score</t>
  </si>
  <si>
    <t>07.  Veterans Housing - Applicant</t>
  </si>
  <si>
    <t>Scoring - 7. Veterans Housing - Applicant</t>
  </si>
  <si>
    <t>7.  Veterans Housing | WHEDA Score</t>
  </si>
  <si>
    <t>Veterans Housing - WHEDA</t>
  </si>
  <si>
    <t>Scoring - Veterans Housing - WHEDA</t>
  </si>
  <si>
    <t>8.  Rehab/Neighborhood Stabilization | Applicant Score</t>
  </si>
  <si>
    <t>08.  Rehab/Neighborhood Stabilization - Applicant</t>
  </si>
  <si>
    <t>Scoring - 8. Rehab/Neighborhood Stabilization - Applicant</t>
  </si>
  <si>
    <t>8.  Rehab/Neighborhood Stabilization | WHEDA Score</t>
  </si>
  <si>
    <t>Rehab/Neighborhood Stabilization - WHEDA</t>
  </si>
  <si>
    <t>Scoring - Rehab/Neighborhood Stabilization - WHEDA</t>
  </si>
  <si>
    <t>9.  Universal Design | Applicant Score</t>
  </si>
  <si>
    <t>09.  Universal Design - Applicant</t>
  </si>
  <si>
    <t>Scoring - 9. Universal Design - Applicant</t>
  </si>
  <si>
    <t>9.  Universal Design | WHEDA Score</t>
  </si>
  <si>
    <t>Universal Design - WHEDA</t>
  </si>
  <si>
    <t>Scoring - Universal Design - WHEDA</t>
  </si>
  <si>
    <t>10. Financial Leverage | Applicant Score</t>
  </si>
  <si>
    <t>10. Financial Leverage - Applicant</t>
  </si>
  <si>
    <t>Scoring - 10. Financial Leverage - Applicant</t>
  </si>
  <si>
    <t>10. Financial Leverage | WHEDA Score</t>
  </si>
  <si>
    <t>Financial Leverage - WHEDA</t>
  </si>
  <si>
    <t>Scoring - Financial Leverage - WHEDA</t>
  </si>
  <si>
    <t>11. Eventual Tenant Ownership | Applicant Score</t>
  </si>
  <si>
    <t>11. Eventual Tenant Ownership - Applicant</t>
  </si>
  <si>
    <t>Scoring - 11. Eventual Tenant Ownership - Applicant</t>
  </si>
  <si>
    <t>11. Eventual Tenant Ownership | WHEDA Score</t>
  </si>
  <si>
    <t>Eventual Tenant Ownership - WHEDA</t>
  </si>
  <si>
    <t>Scoring - Eventual Tenant Ownership - WHEDA</t>
  </si>
  <si>
    <t>12. Development Team | Applicant Score</t>
  </si>
  <si>
    <t>12. Development Team - Applicant</t>
  </si>
  <si>
    <t>Scoring - 12. Development Team - Applicant</t>
  </si>
  <si>
    <t>Not scored; hardcoded as zero.</t>
  </si>
  <si>
    <t>12. Development Team | WHEDA Score</t>
  </si>
  <si>
    <t>Development Team - WHEDA</t>
  </si>
  <si>
    <t>Scoring - Development Team - WHEDA</t>
  </si>
  <si>
    <t>13. Areas of Economic Opportunity | Applicant Score</t>
  </si>
  <si>
    <t>13. Areas of Economic Opportunity - Applicant</t>
  </si>
  <si>
    <t>Scoring - 13. Areas of Economic Opportunity - Applicant</t>
  </si>
  <si>
    <t>13. Areas of Economic Opportunity | WHEDA Score</t>
  </si>
  <si>
    <t>Areas of Economic Opportunity - WHEDA</t>
  </si>
  <si>
    <t>Scoring - Areas of Economic Opportunity - WHEDA</t>
  </si>
  <si>
    <t>14. Rural Areas without Recent Tax Credit Awards | Applicant Score</t>
  </si>
  <si>
    <t>14. Rural Areas without Recent Tax Credit Awards - Applicant</t>
  </si>
  <si>
    <t>Scoring - 14. Rural Areas - Applicant</t>
  </si>
  <si>
    <t>14. Rural Areas without Recent Tax Credit Awards | WHEDA Score</t>
  </si>
  <si>
    <t>Rural Areas without Recent Tax Credit Awards - WHEDA</t>
  </si>
  <si>
    <t>Scoring - Rural Areas - WHEDA</t>
  </si>
  <si>
    <t>15. Workforce Housing Communities | Applicant Score</t>
  </si>
  <si>
    <t>15. Workforce Housing Communities - Applicant</t>
  </si>
  <si>
    <t>Scoring - 15. Workforce Housing Communities - Applicant</t>
  </si>
  <si>
    <t>15. Workforce Housing Communities | WHEDA Score</t>
  </si>
  <si>
    <t>Workforce Housing Communities - WHEDA</t>
  </si>
  <si>
    <t>Scoring - Workforce Housing Communities - WHEDA</t>
  </si>
  <si>
    <t>16. Community Service Facilities | Applicant Score</t>
  </si>
  <si>
    <t>16. Community Service Facilities - Applicant</t>
  </si>
  <si>
    <t>Scoring - 16. Community Service Facilities - Applicant</t>
  </si>
  <si>
    <t>16. Community Service Facilities | WHEDA Score</t>
  </si>
  <si>
    <t>Community Service Facilities - WHEDA</t>
  </si>
  <si>
    <t>Scoring - Community Service Facilities - WHEDA</t>
  </si>
  <si>
    <t>Scoring Total - Applicant</t>
  </si>
  <si>
    <t>Scoring Total - WHEDA</t>
  </si>
  <si>
    <t>25. Lower-Income Areas</t>
  </si>
  <si>
    <t>1. Lower Income Areas</t>
  </si>
  <si>
    <t>Claim Points Y/N</t>
  </si>
  <si>
    <t>01 Lower Income Areas</t>
  </si>
  <si>
    <t>Scoring - Is Claim Points Y/N - Lower Income Areas</t>
  </si>
  <si>
    <t>Hardcoded FALSE for 2025</t>
  </si>
  <si>
    <t>Total Applicant Score</t>
  </si>
  <si>
    <t>Scoring - Total Applicant Score - Lower Income Areas (Max 5)</t>
  </si>
  <si>
    <t>Yes/No | QCT with CCRP on Tribal</t>
  </si>
  <si>
    <t>Scoring - Is QCT with CCRP on Tribal Land - Y/N</t>
  </si>
  <si>
    <t>Points  | QCT with CCRP on Tribal</t>
  </si>
  <si>
    <t>Scoring - QCT with CCRP on Tribal Land - Points</t>
  </si>
  <si>
    <t>Yes/No | QCT with CCRP only</t>
  </si>
  <si>
    <t>Scoring - Is QCT with CCRP - Y/N</t>
  </si>
  <si>
    <t>Points  | QCT with CCRP only</t>
  </si>
  <si>
    <t>Scoring - QCT with CCRP - Points</t>
  </si>
  <si>
    <t>WHEDA Score</t>
  </si>
  <si>
    <t>Scoring - WHEDA Score - Lower Income Areas</t>
  </si>
  <si>
    <t>WHEDA Comments</t>
  </si>
  <si>
    <t>Scoring - Underwriter Notes - Lower Incomer Areas</t>
  </si>
  <si>
    <t>25. Energy Eff and Sustainablilty</t>
  </si>
  <si>
    <t>2. Energy Efficiency and Sustainablilty</t>
  </si>
  <si>
    <t>02 Energy Efficiency and Sustainablilty</t>
  </si>
  <si>
    <t>Scoring - Is Claim Points Y/N - Energy Efficiency</t>
  </si>
  <si>
    <t>Scoring - Total Applicant Score - Energy Efficiency (Max 20)</t>
  </si>
  <si>
    <t>Yes/No | Sustainable Design</t>
  </si>
  <si>
    <t>Scoring - Is Sustainable Design - Y/N</t>
  </si>
  <si>
    <t>DELETE row - unmapped.</t>
  </si>
  <si>
    <t>Points | Sustainable Design</t>
  </si>
  <si>
    <t>Scoring - Sustainable Design - Points</t>
  </si>
  <si>
    <t>Update category for 2025</t>
  </si>
  <si>
    <t>Yes/No | Public Transportation</t>
  </si>
  <si>
    <t>Scoring - Is Public Transportation - Y/N</t>
  </si>
  <si>
    <t>Points | Public Transportation</t>
  </si>
  <si>
    <t>Scoring - Public Transportation - Points</t>
  </si>
  <si>
    <t>Yes/No | Green or LEED Certification</t>
  </si>
  <si>
    <t>Points | Green or LEED Certification</t>
  </si>
  <si>
    <t>Scoring - WHEDA Score - Energy Efficiency</t>
  </si>
  <si>
    <t>Scoring - Underwriter Notes - Energy Efficiency</t>
  </si>
  <si>
    <t/>
  </si>
  <si>
    <t>26. Mixed Income Incentive</t>
  </si>
  <si>
    <t>3. Mixed Income Incentive</t>
  </si>
  <si>
    <t>03 Mixed Income Incentive</t>
  </si>
  <si>
    <t>Scoring - Is Claim Points Y/N - Mixed Income Incentive</t>
  </si>
  <si>
    <t>Scoring - Total Applicant Score - Mixed Income Incentive (Max 12)</t>
  </si>
  <si>
    <t>Category removed for 2025</t>
  </si>
  <si>
    <t>Scoring - WHEDA Score - Mixed Income Incentive</t>
  </si>
  <si>
    <t>Scoring - Underwriter Notes - Mixed Income Incentive</t>
  </si>
  <si>
    <t>27. Serves Large Families</t>
  </si>
  <si>
    <t>4. Serves Large Families</t>
  </si>
  <si>
    <t>04 Serves Large Families</t>
  </si>
  <si>
    <t>Scoring - Is Claim Points Y/N - Serves Large Families</t>
  </si>
  <si>
    <t>Scoring - Total Applicant Score - Serves Large Families (Max 5)</t>
  </si>
  <si>
    <t>Scoring - WHEDA Score - Serves Large Families</t>
  </si>
  <si>
    <t>Scoring - Underwriter Notes - Serves Large Families</t>
  </si>
  <si>
    <t>28. Serves Lowest Income Residents</t>
  </si>
  <si>
    <t>5. Serves Lowest Income Residents</t>
  </si>
  <si>
    <t>05 Serves Lowest Income</t>
  </si>
  <si>
    <t>Scoring - Is Claim Points Y/N - Serves Lowest Income</t>
  </si>
  <si>
    <t>Scoring - Total Applicant Score - Serves Lowest Income (Max 63)</t>
  </si>
  <si>
    <t>Scoring - WHEDA Score - Serves Lowest Income</t>
  </si>
  <si>
    <t>Scoring - Underwriter Notes - Serves Lowest Income</t>
  </si>
  <si>
    <t>29. Supportive Housing</t>
  </si>
  <si>
    <t>6. Supportive Housing</t>
  </si>
  <si>
    <t>Supportive Housing Set Aside Units</t>
  </si>
  <si>
    <t>06 Supportive Housing</t>
  </si>
  <si>
    <t>Scoring - Is Claim Points Y/N - Supportive Housing</t>
  </si>
  <si>
    <t>Scoring - Total Applicant Score - Supportive Housing (Max 15)</t>
  </si>
  <si>
    <t>Scoring - WHEDA Score - Supportive Housing</t>
  </si>
  <si>
    <t>Scoring - Underwriter Notes - Supportive Housing</t>
  </si>
  <si>
    <t>30. Veterans Housing</t>
  </si>
  <si>
    <t>7. Veterans Housing</t>
  </si>
  <si>
    <t>Veterans Set Aside Units</t>
  </si>
  <si>
    <t>07 Veterans Housing</t>
  </si>
  <si>
    <t>Scoring - Is Claim Points Y/N - Veterans Housing</t>
  </si>
  <si>
    <t>Scoring - Total Applicant Score - Veterans Housing (Max 5)</t>
  </si>
  <si>
    <t>Scoring - WHEDA Score - Veterans Housing</t>
  </si>
  <si>
    <t>Scoring - Underwriter Notes - Veterans Housing</t>
  </si>
  <si>
    <t>31. Rehab Neighborhood Stabilization</t>
  </si>
  <si>
    <t>8. Rehab and Neigborhood Stabilization</t>
  </si>
  <si>
    <t>08 Rehab Neighborhood Stabilization</t>
  </si>
  <si>
    <t>Scoring - Is Claim Points Y/N - Rehab Neighborhood Stabilization</t>
  </si>
  <si>
    <t>Scoring - Total Applicant Score - Rehab Neighborhood Stabilization (Max 25)</t>
  </si>
  <si>
    <t>Scoring - WHEDA Score - Rehab Neighborhood Stabilization</t>
  </si>
  <si>
    <t>Scoring - Underwriter Notes - Rehab Neighborhood Stabilization</t>
  </si>
  <si>
    <t>32. Universal Design</t>
  </si>
  <si>
    <t>9. Universal Design</t>
  </si>
  <si>
    <t>Claim Points Y/N - Universal Design</t>
  </si>
  <si>
    <t>09 Universal Design</t>
  </si>
  <si>
    <t>Scoring - Is Claim Points Y/N - Universal Design</t>
  </si>
  <si>
    <t>Sum of Items Checked - Universal Design</t>
  </si>
  <si>
    <t>Scoring - Sum of Items Checked - Universal Design</t>
  </si>
  <si>
    <t>Total Applicant Score - Universal Design (Max 18)</t>
  </si>
  <si>
    <t>Scoring - Total Applicant Score - Universal Design (Max 18)</t>
  </si>
  <si>
    <t>WHEDA Score - Universal Design</t>
  </si>
  <si>
    <t>Scoring - WHEDA Score - Universal Design</t>
  </si>
  <si>
    <t>Underwriter Notes - Universal Design</t>
  </si>
  <si>
    <t>Scoring - Underwriter Notes - Universal Design</t>
  </si>
  <si>
    <t>Handrails on Hallway Sides (Elderly only, Sections 505.4 through 505.9) - Y/N</t>
  </si>
  <si>
    <t>09a Universal Design Common Area</t>
  </si>
  <si>
    <t>Scoring - Is Handrails in Hallways (Sections 505.4 through 505.9) - Y/N</t>
  </si>
  <si>
    <t>Handrails - Points</t>
  </si>
  <si>
    <t>Scoring - Handrails - Points</t>
  </si>
  <si>
    <t>Automatic Door Openers at Main Entrances (Section 404.3) - Y/N</t>
  </si>
  <si>
    <t>Scoring - Is Automatic Door Openers at Main Entrances (Section 404.3) - Y/N</t>
  </si>
  <si>
    <t>Automatic Door Openers - Points</t>
  </si>
  <si>
    <t>Scoring - Automatic Door Openers - Points</t>
  </si>
  <si>
    <t>Accessible Signage at 60" (Section 703.2 and 703.4) - Y/N</t>
  </si>
  <si>
    <t>Scoring - Is Accessible Signage - Y/N</t>
  </si>
  <si>
    <t>Accessible Signage - Points</t>
  </si>
  <si>
    <t>Scoring - Accessible Signage - Points</t>
  </si>
  <si>
    <t>Accessible Public Bathroom Adjacent (Section 603) - Y/N</t>
  </si>
  <si>
    <t>Scoring - Is Accessible Public Bathroom Adjacent (Section 603) - Y/N</t>
  </si>
  <si>
    <t>Accessible Public Bathroom - Points</t>
  </si>
  <si>
    <t>Scoring - Accessible Public Bathroom - Points</t>
  </si>
  <si>
    <t>Accessible Kitchen and Bathroom (Sections 304, 603.2.3, 1103.12.4) - Y/N</t>
  </si>
  <si>
    <t>09b Universal Design 20 Pct of Units</t>
  </si>
  <si>
    <t>Scoring - Is Accessible Kitchen and Bathroom (Sections 304, 603.2.3, 1103.12.4) - Y/N</t>
  </si>
  <si>
    <t>Accessible Kitchen and Bathroom - Points</t>
  </si>
  <si>
    <t>Scoring - Accessible Kitchen and Bathroom - Points</t>
  </si>
  <si>
    <t>Roll-In Shower 2" Max Curb Height (Section 608.2.2, Min 5% of Units) - Y/N</t>
  </si>
  <si>
    <t>Scoring - Is Roll-In Shower (Section 608.2.2) - Y/N</t>
  </si>
  <si>
    <t>Roll-In Shower - Points</t>
  </si>
  <si>
    <t>Scoring - Roll-In Shower - Points</t>
  </si>
  <si>
    <t>Closet Door Clearance - Y/N</t>
  </si>
  <si>
    <t>Scoring - Is Closet Door Clearance - Y/N</t>
  </si>
  <si>
    <t>Closet Door Clearance - Points</t>
  </si>
  <si>
    <t>Scoring - Closet Door Clearance - Points</t>
  </si>
  <si>
    <t>Mirror Height - Y/N</t>
  </si>
  <si>
    <t>Scoring - Is Mirror Height - Y/N</t>
  </si>
  <si>
    <t>Mirror Height - Points</t>
  </si>
  <si>
    <t>Scoring - Mirror Height - Points</t>
  </si>
  <si>
    <t>Interior Door Passage (Section 1103.5 and 404) - Y/N</t>
  </si>
  <si>
    <t>Scoring - Is Interior Door Passage (Section 1103.5 and 404) - Y/N</t>
  </si>
  <si>
    <t>Interior Door Passage - Points</t>
  </si>
  <si>
    <t>Scoring - Interior Door Passage - Points</t>
  </si>
  <si>
    <t>Kitchen Counter Electrical Appliances (Sections 308 and 309) - Y/N</t>
  </si>
  <si>
    <t>Scoring - Is Kitchen Counter Electrical Appliances (Sections 308 and 309) - Y/N</t>
  </si>
  <si>
    <t>Kitchen Counter Electrical Appliances - Points</t>
  </si>
  <si>
    <t>Scoring - Kitchen Counter Electrical Appliances - Points</t>
  </si>
  <si>
    <t>Accessible Kitchen Work Surface (Sections 308 and 309) - Y/N</t>
  </si>
  <si>
    <t>Scoring - Is Accessible Kitchen Work Surface (Sections 308 and 309) - Y/N</t>
  </si>
  <si>
    <t>Accessible Kitchen Work Surface - Points</t>
  </si>
  <si>
    <t>Scoring - Accessible Kitchen Work Surface - Points</t>
  </si>
  <si>
    <t>Entrance doors (Section 404) - Y/N</t>
  </si>
  <si>
    <t>Scoring - Is Entrance doors (Section 404) - Y/N</t>
  </si>
  <si>
    <t>Entrance doors (Section 404) - Points</t>
  </si>
  <si>
    <t>Scoring - Entrance doors - Points</t>
  </si>
  <si>
    <t>Windows (Section 309, Min 10% of Units) - Y/N</t>
  </si>
  <si>
    <t>Scoring - Is Windows (Section 309) - Y/N</t>
  </si>
  <si>
    <t>Windows (Section 309) - Points</t>
  </si>
  <si>
    <t>Scoring - Windows - Points</t>
  </si>
  <si>
    <t>Carpet Pile (Section 302.2) - Y/N</t>
  </si>
  <si>
    <t>Scoring - Is Carpeting (Section 302.2) - Y/N</t>
  </si>
  <si>
    <t>Carpet Pile (Section 302.2) - Points</t>
  </si>
  <si>
    <t>Scoring - Carpet - Points</t>
  </si>
  <si>
    <t>Rocker Light Switches - Y/N</t>
  </si>
  <si>
    <t>Scoring - Is Rocker Light Switches - Y/N</t>
  </si>
  <si>
    <t>Rocker Light Switches - Points</t>
  </si>
  <si>
    <t>Scoring - Rocker Light Switches - Points</t>
  </si>
  <si>
    <t>Bath and Shower Controls - Y/N</t>
  </si>
  <si>
    <t>09c Universal Design Acq Rehab Pres Units</t>
  </si>
  <si>
    <t>Scoring - Is Bath and Shower Controls - Y/N</t>
  </si>
  <si>
    <t>Bath and Shower Controls - Points</t>
  </si>
  <si>
    <t>Scoring - Bath and Shower Controls - Points</t>
  </si>
  <si>
    <t>Electrical Outlets 18" Min Height - Y/N</t>
  </si>
  <si>
    <t>Scoring - Is Electrical Outlets - Y/N</t>
  </si>
  <si>
    <t>Electrical Outlets 18" Min Height - Points</t>
  </si>
  <si>
    <t>Scoring - Electrical Outlets - Points</t>
  </si>
  <si>
    <t>Thermostats 48" Min Height - Y/N</t>
  </si>
  <si>
    <t>Scoring - Is Thermostats - Y/N</t>
  </si>
  <si>
    <t>Thermostats 48" Min Height - Points</t>
  </si>
  <si>
    <t>Scoring - Thermostats - Points</t>
  </si>
  <si>
    <t>Parking Accessibility (Sections 402, 404, and 1104.11) - Y/N</t>
  </si>
  <si>
    <t>Scoring - Is Parking Accessibility (Sections 402, 404, and 1104.11) - Y/N</t>
  </si>
  <si>
    <t>Parking Accessibility - Points</t>
  </si>
  <si>
    <t>Scoring - Parking Accessibility - Points</t>
  </si>
  <si>
    <t>Toilet Clearance of 56"D x 48"W (Section 1104.11.3.1.2) - Y/N</t>
  </si>
  <si>
    <t>Scoring - Is Toilet Clearance (Section 1104.11.3.1.2) - Y/N</t>
  </si>
  <si>
    <t>Toilet Clearance - Points</t>
  </si>
  <si>
    <t>Scoring - Toilet Clearance - Points</t>
  </si>
  <si>
    <t>Low-Profile Thresholds (Sections 303.2 and 303.3) - Y/N</t>
  </si>
  <si>
    <t>Scoring - Is Low-Profile Thresholds (Sections 303.2 and 303.3) - Y/N</t>
  </si>
  <si>
    <t>Low-Profile Thresholds - Points</t>
  </si>
  <si>
    <t>Scoring - Low-Profile Thresholds - Points</t>
  </si>
  <si>
    <t>Reinforcement for Grab Bars (Section 103.11.1) - Y/N</t>
  </si>
  <si>
    <t>Scoring - Is Reinforcement for Grab Bars (Section 103.11.1) - Y/N</t>
  </si>
  <si>
    <t>Reinforcement for Grab Bars - Points</t>
  </si>
  <si>
    <t>Scoring - Reinforcement for Grab Bars - Points</t>
  </si>
  <si>
    <t>Permanently Non-Skid Bathroom Shower 75% - Y/N</t>
  </si>
  <si>
    <t>Scoring - Is Permanently Non-Skid Bathroom Shower - Y/N</t>
  </si>
  <si>
    <t>Permanently Non-Skid Bathroom Shower 75% - Points</t>
  </si>
  <si>
    <t>Scoring - Permanently Non-Skid Bathroom Shower - Points</t>
  </si>
  <si>
    <t>24. Dev Process Score</t>
  </si>
  <si>
    <t>Credit Efficiency</t>
  </si>
  <si>
    <t>Claim Points Y/N - Financial Leverage</t>
  </si>
  <si>
    <t>10 Financial Leverage</t>
  </si>
  <si>
    <t>Scoring - Is Claim Points Y/N - Financial Leverage</t>
  </si>
  <si>
    <t>Total Applicant Score - Financial Leverage (Max 36)</t>
  </si>
  <si>
    <t>Scoring - Total Applicant Score - Financial Leverage (Max 36)</t>
  </si>
  <si>
    <t>WHEDA Score - Financial Leverage</t>
  </si>
  <si>
    <t>Scoring - WHEDA Score - Financial Leverage</t>
  </si>
  <si>
    <t>=INDEX(RANGE,1,1,1)</t>
  </si>
  <si>
    <t>Underwriter Notes - Financial Leverage</t>
  </si>
  <si>
    <t>Scoring - Underwriter Notes - Financial Leverage</t>
  </si>
  <si>
    <t>=IF(INDEX(RANGE,1,1,1)…)</t>
  </si>
  <si>
    <t>23. Building Design Score</t>
  </si>
  <si>
    <t>Eventual Tenant Ownership</t>
  </si>
  <si>
    <t>Claim Points Y/N - Eventual Tenant Ownership</t>
  </si>
  <si>
    <t>11 Eventual Tenant Ownership</t>
  </si>
  <si>
    <t>Scoring - Is Claim Points Y/N - Eventual Tenant Ownership</t>
  </si>
  <si>
    <t>Total Applicant Score - Eventual Tenant Ownership (Max 36)</t>
  </si>
  <si>
    <t>Scoring - Total Applicant Score - Eventual Tenant Ownership (Max 3)</t>
  </si>
  <si>
    <t>WHEDA Score - Eventual Tenant Ownership</t>
  </si>
  <si>
    <t>Scoring - WHEDA Score - Eventual Tenant Ownership</t>
  </si>
  <si>
    <t>Underwriter Notes - Eventual Tenant Ownership</t>
  </si>
  <si>
    <t>Scoring - Underwriter Notes - Eventual Tenant Ownership</t>
  </si>
  <si>
    <t>12. Development Team</t>
  </si>
  <si>
    <t>Claim Points Y/N - Development Team</t>
  </si>
  <si>
    <t>12 Development Team</t>
  </si>
  <si>
    <t>Scoring - Is Claim Points Y/N - Development Team</t>
  </si>
  <si>
    <t>Total Applicant Score - Development Team (Max 12)</t>
  </si>
  <si>
    <t>Scoring - Total Applicant Score - Development Team (Max 12)</t>
  </si>
  <si>
    <t>Primary - Emerging Developers Points</t>
  </si>
  <si>
    <t>Scoring - Primary - Emerging Developers Points</t>
  </si>
  <si>
    <t>Primary - WHEDA Capacity Points</t>
  </si>
  <si>
    <t>Scoring - Primary - WHEDA Capacity Points</t>
  </si>
  <si>
    <t>Not entered for 2025</t>
  </si>
  <si>
    <t>Primary - Nonprofit Developers Points</t>
  </si>
  <si>
    <t>Scoring - Primary - Nonprofit Developers Points</t>
  </si>
  <si>
    <t>Primary - Subtotal Points</t>
  </si>
  <si>
    <t>Scoring - Primary - Subtotal Points</t>
  </si>
  <si>
    <t>Co-Developer - Emerging Developers Points</t>
  </si>
  <si>
    <t>Scoring - Co-Developer - Emerging Developers Points</t>
  </si>
  <si>
    <t>Co-Developer - WHEDA Capacity Points</t>
  </si>
  <si>
    <t>Scoring - Co-Developer - WHEDA Capacity Points</t>
  </si>
  <si>
    <t>Co-Developer - Nonprofit Developers Points</t>
  </si>
  <si>
    <t>Scoring - Co-Developer - Nonprofit Developers Points</t>
  </si>
  <si>
    <t>Co-Developer - Subtotal Points</t>
  </si>
  <si>
    <t>Scoring - Co-Developer - Subtotal Points</t>
  </si>
  <si>
    <t>2nd Co-Developer - Emerging Developers Points</t>
  </si>
  <si>
    <t>Scoring - 2nd Co-Developer - Emerging Developers Points</t>
  </si>
  <si>
    <t>2nd Co-Developer - WHEDA Capacity Points</t>
  </si>
  <si>
    <t>Scoring - 2nd Co-Developer - WHEDA Capacity Points</t>
  </si>
  <si>
    <t>2nd Co-Developer - Nonprofit Developers Points</t>
  </si>
  <si>
    <t>Scoring - 2nd Co-Developer - Nonprofit Developers Points</t>
  </si>
  <si>
    <t>2nd Co-Developer - Subtotal Points</t>
  </si>
  <si>
    <t>Scoring - 2nd Co-Developer - Subtotal Points</t>
  </si>
  <si>
    <t>Scoring - WHEDA Score - Development Team</t>
  </si>
  <si>
    <t>Scoring - Underwriter Notes - Development Team</t>
  </si>
  <si>
    <t>21. Location Score</t>
  </si>
  <si>
    <t xml:space="preserve"> Areas of Economic Activity</t>
  </si>
  <si>
    <t>Claim Points Y/N - Areas of Economic Activity</t>
  </si>
  <si>
    <t>13 Areas of Economic Activity</t>
  </si>
  <si>
    <t>Scoring - Is Claim Points Y/N - Areas of Economic Opportunity</t>
  </si>
  <si>
    <t>Total Applicant Score - Areas of Economic Activity (Max 28)</t>
  </si>
  <si>
    <t>Scoring - Total Applicant Score - Areas of Economic Opportunity (Max 28)</t>
  </si>
  <si>
    <t>Median Income Points</t>
  </si>
  <si>
    <t>Scoring - Median Income Points</t>
  </si>
  <si>
    <t>School District Points</t>
  </si>
  <si>
    <t>Scoring - School District Points</t>
  </si>
  <si>
    <t>Rent Burden Points</t>
  </si>
  <si>
    <t>Scoring - Rent Burden Points</t>
  </si>
  <si>
    <t>Federally Designated Tribal Lands Points</t>
  </si>
  <si>
    <t>Scoring - Federally Designated Tribal Lands Points</t>
  </si>
  <si>
    <t>Full Service Grocery Points</t>
  </si>
  <si>
    <t>Scoring - Full Service Grocery Points</t>
  </si>
  <si>
    <t>Public School Points</t>
  </si>
  <si>
    <t>Scoring - Public School Points</t>
  </si>
  <si>
    <t>Senior Center Points</t>
  </si>
  <si>
    <t>Scoring - Senior Center Points</t>
  </si>
  <si>
    <t>Full Service Medical Clinic or Hospital Points</t>
  </si>
  <si>
    <t>Scoring - Full Service Medical Clinic or Hospital Points</t>
  </si>
  <si>
    <t>Library Points</t>
  </si>
  <si>
    <t>Scoring - Library Points</t>
  </si>
  <si>
    <t>Public Park Points</t>
  </si>
  <si>
    <t>Scoring - Public Park Points</t>
  </si>
  <si>
    <t>Job Training or Education Points</t>
  </si>
  <si>
    <t>Scoring - Job Training or Education Points</t>
  </si>
  <si>
    <t>In Unit Internet No Cost Points</t>
  </si>
  <si>
    <t>Scoring - In Unit Internet No Cost Points</t>
  </si>
  <si>
    <t>On Site Community Room Points</t>
  </si>
  <si>
    <t>Scoring - On Site Community Room Points</t>
  </si>
  <si>
    <t>WHEDA Score - Areas of Economic Activity</t>
  </si>
  <si>
    <t>Scoring - WHEDA Score - Areas of Economic Opportunity</t>
  </si>
  <si>
    <t>Underwriter Notes - Areas of Econ Activity</t>
  </si>
  <si>
    <t>Scoring - Underwriter Notes - Areas of Economic Opportunity</t>
  </si>
  <si>
    <t>37. Rural Areas without Recent Tax Credit Awards</t>
  </si>
  <si>
    <t>14. Rural Areas without Recent Tax Credit Awards</t>
  </si>
  <si>
    <t>Claim Points Y/N - Rural and Tribal Areas</t>
  </si>
  <si>
    <t>14 Rural Areas without Recent Tax Credit Awards</t>
  </si>
  <si>
    <t>Scoring - Is Claim Points Y/N - Rural Areas without Recent Tax Credit Awards</t>
  </si>
  <si>
    <t>Total Applicant Score - Rural and Tribal Areas (Max 8)</t>
  </si>
  <si>
    <t>Scoring - Total Applicant Score - Rural Areas without Recent Tax Credit Awards (Max 8)</t>
  </si>
  <si>
    <t>Not mapped for 2025</t>
  </si>
  <si>
    <t>WHEDA Score - Rural and Tribal Areas</t>
  </si>
  <si>
    <t>Scoring - WHEDA Score - Rural Areas without Recent Tax Credit Awards</t>
  </si>
  <si>
    <t>Underwriter Notes - Rural and Tribal Areas</t>
  </si>
  <si>
    <t>Scoring - Underwriter Notes - Rural Areas without Recent Tax Credit Awards</t>
  </si>
  <si>
    <t>37. Workforce Housing Communities</t>
  </si>
  <si>
    <t>15. Workforce Housing Communities</t>
  </si>
  <si>
    <t>Claim Points Y/N - Workforce Housing</t>
  </si>
  <si>
    <t>15 Workforce Housing Communities</t>
  </si>
  <si>
    <t>Scoring - Is Claim Points Y/N - Workforce Housing</t>
  </si>
  <si>
    <t>Total Applicant Score - Workforce Housing (Max 12)</t>
  </si>
  <si>
    <t>Scoring - Total Applicant Score - Workforce Housing (Max 12)</t>
  </si>
  <si>
    <t>Job Center Points</t>
  </si>
  <si>
    <t>Scoring - Job Center Points</t>
  </si>
  <si>
    <t>Net Job Growth Points</t>
  </si>
  <si>
    <t>Scoring - Net Job Growth Points</t>
  </si>
  <si>
    <t>Individual Employer Growth Points</t>
  </si>
  <si>
    <t>Scoring - Individual Employer Growth Points</t>
  </si>
  <si>
    <t xml:space="preserve">WHEDA Score - Workforce Housing </t>
  </si>
  <si>
    <t>Scoring - WHEDA Score - Workforce Housing</t>
  </si>
  <si>
    <t xml:space="preserve">Underwriter Notes - Workforce Housing </t>
  </si>
  <si>
    <t>Scoring - Underwriter Notes - Workforce Housing</t>
  </si>
  <si>
    <t>38. Community Service Facilities</t>
  </si>
  <si>
    <t>16. Community Service Facilities</t>
  </si>
  <si>
    <t>Claim Points Y/N - Community Service Facilities</t>
  </si>
  <si>
    <t>16 Community Service Facilities</t>
  </si>
  <si>
    <t>Scoring - Is Claim Points Y/N - Community Service Facilities</t>
  </si>
  <si>
    <t>Total Applicant Score - Community Service Facilities (Max 12)</t>
  </si>
  <si>
    <t>Scoring - Total Applicant Score - Community Service Facilities (Max 5)</t>
  </si>
  <si>
    <t>WHEDA Score - Community Service Facilities</t>
  </si>
  <si>
    <t>Scoring - WHEDA Score - Community Service Facilities</t>
  </si>
  <si>
    <t>Underwriter Notes - Community Service Facilities</t>
  </si>
  <si>
    <t>Scoring - Underwriter Notes - Community Service Facilities</t>
  </si>
  <si>
    <t xml:space="preserve">TCA Deal </t>
  </si>
  <si>
    <t>Dev Deal</t>
  </si>
  <si>
    <t>Field</t>
  </si>
  <si>
    <t>Development Name</t>
  </si>
  <si>
    <t>Project Name &amp; Location</t>
  </si>
  <si>
    <t>Mapped</t>
  </si>
  <si>
    <t>map as Get on tab</t>
  </si>
  <si>
    <t>Scattered Site</t>
  </si>
  <si>
    <t>Zip</t>
  </si>
  <si>
    <t>Additional Credits</t>
  </si>
  <si>
    <t>WHEDA App &amp; #</t>
  </si>
  <si>
    <t>HTC Compliance Period</t>
  </si>
  <si>
    <t>Set Aside</t>
  </si>
  <si>
    <t>Minimum Set Aside</t>
  </si>
  <si>
    <t>LURA</t>
  </si>
  <si>
    <t>If Yes, Project #</t>
  </si>
  <si>
    <t>Rental Targeted</t>
  </si>
  <si>
    <t>Single Room Occ</t>
  </si>
  <si>
    <t>Target Population 1 Type</t>
  </si>
  <si>
    <t>Target Population 1 Subtype</t>
  </si>
  <si>
    <t>Target Population 2 Type</t>
  </si>
  <si>
    <t>Target Population 2 SubType</t>
  </si>
  <si>
    <t>Construction Compete</t>
  </si>
  <si>
    <t>Federal Assistance</t>
  </si>
  <si>
    <t>KEEP</t>
  </si>
  <si>
    <t>Apartments</t>
  </si>
  <si>
    <t>Townhome/Row</t>
  </si>
  <si>
    <t>Single Family House</t>
  </si>
  <si>
    <t>Other-Mixed</t>
  </si>
  <si>
    <t>Applicant Information</t>
  </si>
  <si>
    <t>Developer Contact</t>
  </si>
  <si>
    <t>Judgements</t>
  </si>
  <si>
    <t>Litigations</t>
  </si>
  <si>
    <t>Environmental Issues</t>
  </si>
  <si>
    <t>Explanation</t>
  </si>
  <si>
    <t>Site Acreage</t>
  </si>
  <si>
    <t>Year Built</t>
  </si>
  <si>
    <t>Total Building Acreage</t>
  </si>
  <si>
    <t>Demolition</t>
  </si>
  <si>
    <t>Exisitng Buildings Occupied</t>
  </si>
  <si>
    <t>Flood Zone</t>
  </si>
  <si>
    <t>Building Address 1</t>
  </si>
  <si>
    <t>Building City 1</t>
  </si>
  <si>
    <t>Building State 1</t>
  </si>
  <si>
    <t>Building Zip Code 1</t>
  </si>
  <si>
    <t>Mkt Units 1</t>
  </si>
  <si>
    <t>TC  Units 1</t>
  </si>
  <si>
    <t>Building Address 2</t>
  </si>
  <si>
    <t>Building City 2</t>
  </si>
  <si>
    <t>Building State 2</t>
  </si>
  <si>
    <t>Building Zip Code 2</t>
  </si>
  <si>
    <t>Mkt Units 2</t>
  </si>
  <si>
    <t>TC  Units 2</t>
  </si>
  <si>
    <t>Building Address 3</t>
  </si>
  <si>
    <t>Building City 3</t>
  </si>
  <si>
    <t>Building State 3</t>
  </si>
  <si>
    <t>Building Zip Code 3</t>
  </si>
  <si>
    <t>Mkt Units 3</t>
  </si>
  <si>
    <t>TC  Units 3</t>
  </si>
  <si>
    <t>Building Address 4</t>
  </si>
  <si>
    <t>Building City 4</t>
  </si>
  <si>
    <t>Building State 4</t>
  </si>
  <si>
    <t>Building Zip Code 4</t>
  </si>
  <si>
    <t>Mkt Units 4</t>
  </si>
  <si>
    <t>TC  Units 4</t>
  </si>
  <si>
    <t>Building Address 5</t>
  </si>
  <si>
    <t>Building City 5</t>
  </si>
  <si>
    <t>Building State 5</t>
  </si>
  <si>
    <t>Building Zip Code 5</t>
  </si>
  <si>
    <t>Mkt Units 5</t>
  </si>
  <si>
    <t>TC  Units 5</t>
  </si>
  <si>
    <t>Building Address 6</t>
  </si>
  <si>
    <t>Building City 6</t>
  </si>
  <si>
    <t>Building State 6</t>
  </si>
  <si>
    <t>Building Zip Code 6</t>
  </si>
  <si>
    <t>Mkt Units 6</t>
  </si>
  <si>
    <t>TC  Units 6</t>
  </si>
  <si>
    <t>Building Address 7</t>
  </si>
  <si>
    <t>Building City 7</t>
  </si>
  <si>
    <t>Building State 7</t>
  </si>
  <si>
    <t>Building Zip Code 7</t>
  </si>
  <si>
    <t>Mkt Units 7</t>
  </si>
  <si>
    <t>TC  Units 7</t>
  </si>
  <si>
    <t>Building Address 8</t>
  </si>
  <si>
    <t>Building City 8</t>
  </si>
  <si>
    <t>Building State 8</t>
  </si>
  <si>
    <t>Building Zip Code 8</t>
  </si>
  <si>
    <t>Mkt Units 8</t>
  </si>
  <si>
    <t>TC  Units 8</t>
  </si>
  <si>
    <t>Building Address 9</t>
  </si>
  <si>
    <t>Building City 9</t>
  </si>
  <si>
    <t>Building State 9</t>
  </si>
  <si>
    <t>Building Zip Code 9</t>
  </si>
  <si>
    <t>Mkt Units 9</t>
  </si>
  <si>
    <t>TC  Units 9</t>
  </si>
  <si>
    <t>Building Address 10</t>
  </si>
  <si>
    <t>Building City 10</t>
  </si>
  <si>
    <t>Building State 10</t>
  </si>
  <si>
    <t>Building Zip Code 10</t>
  </si>
  <si>
    <t>Mkt Units 10</t>
  </si>
  <si>
    <t>TC  Units 10</t>
  </si>
  <si>
    <t>Building Address 11</t>
  </si>
  <si>
    <t>Building City 11</t>
  </si>
  <si>
    <t>Building State 11</t>
  </si>
  <si>
    <t>Building Zip Code 11</t>
  </si>
  <si>
    <t>Mkt Units 11</t>
  </si>
  <si>
    <t>TC  Units 11</t>
  </si>
  <si>
    <t>Building Address 12</t>
  </si>
  <si>
    <t>Building City 12</t>
  </si>
  <si>
    <t>Building State 12</t>
  </si>
  <si>
    <t>Building Zip Code 12</t>
  </si>
  <si>
    <t>Mkt Units 12</t>
  </si>
  <si>
    <t>TC  Units 12</t>
  </si>
  <si>
    <t>Building Address 13</t>
  </si>
  <si>
    <t>Building City 13</t>
  </si>
  <si>
    <t>Building State 13</t>
  </si>
  <si>
    <t>Building Zip Code 13</t>
  </si>
  <si>
    <t>Mkt Units 13</t>
  </si>
  <si>
    <t>TC  Units 13</t>
  </si>
  <si>
    <t>Building Address 14</t>
  </si>
  <si>
    <t>Building City 14</t>
  </si>
  <si>
    <t>Building State 14</t>
  </si>
  <si>
    <t>Building Zip Code 14</t>
  </si>
  <si>
    <t>Mkt Units 14</t>
  </si>
  <si>
    <t>TC  Units 14</t>
  </si>
  <si>
    <t>Building Address 15</t>
  </si>
  <si>
    <t>Building City 15</t>
  </si>
  <si>
    <t>Building State 15</t>
  </si>
  <si>
    <t>Building Zip Code 15</t>
  </si>
  <si>
    <t>Mkt Units 15</t>
  </si>
  <si>
    <t>TC  Units 15</t>
  </si>
  <si>
    <t>Building Address 16</t>
  </si>
  <si>
    <t>Building City 16</t>
  </si>
  <si>
    <t>Building State 16</t>
  </si>
  <si>
    <t>Building Zip Code 16</t>
  </si>
  <si>
    <t>Mkt Units 16</t>
  </si>
  <si>
    <t>TC  Units 16</t>
  </si>
  <si>
    <t>Building Address 17</t>
  </si>
  <si>
    <t>Building City 17</t>
  </si>
  <si>
    <t>Building State 17</t>
  </si>
  <si>
    <t>Building Zip Code 17</t>
  </si>
  <si>
    <t>Mkt Units 17</t>
  </si>
  <si>
    <t>TC  Units 17</t>
  </si>
  <si>
    <t>Building Address 18</t>
  </si>
  <si>
    <t>Building City 18</t>
  </si>
  <si>
    <t>Building State 18</t>
  </si>
  <si>
    <t>Building Zip Code 18</t>
  </si>
  <si>
    <t>Mkt Units 18</t>
  </si>
  <si>
    <t>TC  Units 18</t>
  </si>
  <si>
    <t>Building Address 19</t>
  </si>
  <si>
    <t>Building City 19</t>
  </si>
  <si>
    <t>Building State 19</t>
  </si>
  <si>
    <t>Building Zip Code 19</t>
  </si>
  <si>
    <t>Mkt Units 19</t>
  </si>
  <si>
    <t>TC  Units 19</t>
  </si>
  <si>
    <t>Building Address 20</t>
  </si>
  <si>
    <t>Building City 20</t>
  </si>
  <si>
    <t>Building State 20</t>
  </si>
  <si>
    <t>Building Zip Code 20</t>
  </si>
  <si>
    <t>Mkt Units 20</t>
  </si>
  <si>
    <t>TC  Units 20</t>
  </si>
  <si>
    <t>Building Address 21</t>
  </si>
  <si>
    <t>Building City 21</t>
  </si>
  <si>
    <t>Building State 21</t>
  </si>
  <si>
    <t>Building Zip Code 21</t>
  </si>
  <si>
    <t>Mkt Units 21</t>
  </si>
  <si>
    <t>TC  Units 21</t>
  </si>
  <si>
    <t>Building Address 22</t>
  </si>
  <si>
    <t>Building City 22</t>
  </si>
  <si>
    <t>Building State 22</t>
  </si>
  <si>
    <t>Building Zip Code 22</t>
  </si>
  <si>
    <t>Mkt Units 22</t>
  </si>
  <si>
    <t>TC  Units 22</t>
  </si>
  <si>
    <t>Building Address 23</t>
  </si>
  <si>
    <t>Building City 23</t>
  </si>
  <si>
    <t>Building State 23</t>
  </si>
  <si>
    <t>Building Zip Code 23</t>
  </si>
  <si>
    <t>Mkt Units 23</t>
  </si>
  <si>
    <t>TC  Units 23</t>
  </si>
  <si>
    <t>Building Address 24</t>
  </si>
  <si>
    <t>Building City 24</t>
  </si>
  <si>
    <t>Building State 24</t>
  </si>
  <si>
    <t>Building Zip Code 24</t>
  </si>
  <si>
    <t>Mkt Units 24</t>
  </si>
  <si>
    <t>TC  Units 24</t>
  </si>
  <si>
    <t>Building Address 25</t>
  </si>
  <si>
    <t>Building City 25</t>
  </si>
  <si>
    <t>Building State 25</t>
  </si>
  <si>
    <t>Building Zip Code 25</t>
  </si>
  <si>
    <t>Mkt Units 25</t>
  </si>
  <si>
    <t>TC  Units 25</t>
  </si>
  <si>
    <t>Building Address 26</t>
  </si>
  <si>
    <t>Building City 26</t>
  </si>
  <si>
    <t>Building State 26</t>
  </si>
  <si>
    <t>Building Zip Code 26</t>
  </si>
  <si>
    <t>Mkt Units 26</t>
  </si>
  <si>
    <t>TC  Units 26</t>
  </si>
  <si>
    <t>Building Address 27</t>
  </si>
  <si>
    <t>Building City 27</t>
  </si>
  <si>
    <t>Building State 27</t>
  </si>
  <si>
    <t>Building Zip Code 27</t>
  </si>
  <si>
    <t>Mkt Units 27</t>
  </si>
  <si>
    <t>TC  Units 27</t>
  </si>
  <si>
    <t>Building Address 28</t>
  </si>
  <si>
    <t>Building City 28</t>
  </si>
  <si>
    <t>Building State 28</t>
  </si>
  <si>
    <t>Building Zip Code 28</t>
  </si>
  <si>
    <t>Mkt Units 28</t>
  </si>
  <si>
    <t>TC  Units 28</t>
  </si>
  <si>
    <t>Building Address 29</t>
  </si>
  <si>
    <t>Building City 29</t>
  </si>
  <si>
    <t>Building State 29</t>
  </si>
  <si>
    <t>Building Zip Code 29</t>
  </si>
  <si>
    <t>Mkt Units 29</t>
  </si>
  <si>
    <t>TC  Units 29</t>
  </si>
  <si>
    <t>Building Address 30</t>
  </si>
  <si>
    <t>Building City 30</t>
  </si>
  <si>
    <t>Building State 30</t>
  </si>
  <si>
    <t>Building Zip Code 30</t>
  </si>
  <si>
    <t>Mkt Units 30</t>
  </si>
  <si>
    <t>TC  Units 30</t>
  </si>
  <si>
    <t>Building Address 31</t>
  </si>
  <si>
    <t>Building City 31</t>
  </si>
  <si>
    <t>Building State 31</t>
  </si>
  <si>
    <t>Building Zip Code 31</t>
  </si>
  <si>
    <t>Mkt Units 31</t>
  </si>
  <si>
    <t>TC  Units 31</t>
  </si>
  <si>
    <t>Building Address 32</t>
  </si>
  <si>
    <t>Building City 32</t>
  </si>
  <si>
    <t>Building State 32</t>
  </si>
  <si>
    <t>Building Zip Code 32</t>
  </si>
  <si>
    <t>Mkt Units 32</t>
  </si>
  <si>
    <t>TC  Units 32</t>
  </si>
  <si>
    <t>Building Address 33</t>
  </si>
  <si>
    <t>Building City 33</t>
  </si>
  <si>
    <t>Building State 33</t>
  </si>
  <si>
    <t>Building Zip Code 33</t>
  </si>
  <si>
    <t>Mkt Units 33</t>
  </si>
  <si>
    <t>TC  Units 33</t>
  </si>
  <si>
    <t>Building Address 34</t>
  </si>
  <si>
    <t>Building City 34</t>
  </si>
  <si>
    <t>Building State 34</t>
  </si>
  <si>
    <t>Building Zip Code 34</t>
  </si>
  <si>
    <t>Mkt Units 34</t>
  </si>
  <si>
    <t>TC  Units 34</t>
  </si>
  <si>
    <t>Number of Buildngs</t>
  </si>
  <si>
    <t>Does an Identity of Ownership exist between owner and principal?</t>
  </si>
  <si>
    <t>Rehab expenditures allocable to low-income units</t>
  </si>
  <si>
    <t>Adjusted building basis</t>
  </si>
  <si>
    <t>OwnerShip Entity</t>
  </si>
  <si>
    <t>TIN</t>
  </si>
  <si>
    <t>Type</t>
  </si>
  <si>
    <t>align values</t>
  </si>
  <si>
    <t>Management Agent Firm</t>
  </si>
  <si>
    <t>Contact</t>
  </si>
  <si>
    <t>Consultant Firm</t>
  </si>
  <si>
    <t>Contractor Firm</t>
  </si>
  <si>
    <t>Syndicator</t>
  </si>
  <si>
    <t>Architect</t>
  </si>
  <si>
    <t>Architect Contact</t>
  </si>
  <si>
    <t>Accountant</t>
  </si>
  <si>
    <t>Proxy Entities</t>
  </si>
  <si>
    <t>Name</t>
  </si>
  <si>
    <t>Company/Ind</t>
  </si>
  <si>
    <t>Role</t>
  </si>
  <si>
    <t>Email</t>
  </si>
  <si>
    <t>Phone Number</t>
  </si>
  <si>
    <t>Doing Business</t>
  </si>
  <si>
    <t>First Name</t>
  </si>
  <si>
    <t>Last Name</t>
  </si>
  <si>
    <t>Doing Business As</t>
  </si>
  <si>
    <t xml:space="preserve">First Name </t>
  </si>
  <si>
    <t>Entity - Developer</t>
  </si>
  <si>
    <t>Entity - Owner</t>
  </si>
  <si>
    <t>Entity - Principal 1</t>
  </si>
  <si>
    <t>Entity - Principal 2</t>
  </si>
  <si>
    <t>Entity - Principal 3</t>
  </si>
  <si>
    <t>Entity - Management Agent</t>
  </si>
  <si>
    <t>Entity - Consultant</t>
  </si>
  <si>
    <t>Entity - Contractor</t>
  </si>
  <si>
    <t>Entity - Syndicator</t>
  </si>
  <si>
    <t>Entity - Architect</t>
  </si>
  <si>
    <t>Entity - Design Architect</t>
  </si>
  <si>
    <t>Entity - Attorney</t>
  </si>
  <si>
    <t>Entity - Accountant</t>
  </si>
  <si>
    <t>Entity - Developer 2</t>
  </si>
  <si>
    <t>Entity - Developer 3</t>
  </si>
  <si>
    <t>Entity - Developer 4</t>
  </si>
  <si>
    <t>Contact - Dev</t>
  </si>
  <si>
    <t>Contact - Dev 2</t>
  </si>
  <si>
    <t>Contact - Dev 3</t>
  </si>
  <si>
    <t>Contact - Dev 4</t>
  </si>
  <si>
    <t>Contact - Management Co</t>
  </si>
  <si>
    <t>Contact - Consultant</t>
  </si>
  <si>
    <t>Contact - Contractor</t>
  </si>
  <si>
    <t>Contact - Syndicator</t>
  </si>
  <si>
    <t>Contact - Design Architect</t>
  </si>
  <si>
    <t>Contact - Architect</t>
  </si>
  <si>
    <t>Contact - Accountant</t>
  </si>
  <si>
    <t>Contact Principal 1</t>
  </si>
  <si>
    <t>Contact Principal 2</t>
  </si>
  <si>
    <t>Contact Principal 3</t>
  </si>
  <si>
    <t>Management Agent - Identity of Interest</t>
  </si>
  <si>
    <t>Consultant - Identity of Interest</t>
  </si>
  <si>
    <t>General Contractor - Identity of Interest</t>
  </si>
  <si>
    <t>Syndicator - Identity of Interest</t>
  </si>
  <si>
    <t>Design Architect - Identity of Interest</t>
  </si>
  <si>
    <t>Supervisory Architect - Identity of Interest</t>
  </si>
  <si>
    <t>Attorney - Identity of Interest</t>
  </si>
  <si>
    <t>Accountant - Identity of Interest</t>
  </si>
  <si>
    <t>Project &amp; Unit Amenities</t>
  </si>
  <si>
    <t>Community Building</t>
  </si>
  <si>
    <t>Screened Porch</t>
  </si>
  <si>
    <t>Onsite Office</t>
  </si>
  <si>
    <t>Community Room Sq Ft</t>
  </si>
  <si>
    <t>Community Room</t>
  </si>
  <si>
    <t>Game Room</t>
  </si>
  <si>
    <t>Walking Trails</t>
  </si>
  <si>
    <t>Surface Parking #</t>
  </si>
  <si>
    <t xml:space="preserve">Heating </t>
  </si>
  <si>
    <t>Garages</t>
  </si>
  <si>
    <t>Media Center</t>
  </si>
  <si>
    <t>Therapetic Whirlpool</t>
  </si>
  <si>
    <t>Underground &amp; Garage Parking #</t>
  </si>
  <si>
    <t>Surface Parking</t>
  </si>
  <si>
    <t>Chapel</t>
  </si>
  <si>
    <t>Communit Patio</t>
  </si>
  <si>
    <t>Surface Parking Rent</t>
  </si>
  <si>
    <t>Underground Parking</t>
  </si>
  <si>
    <t>Covered Drive Through</t>
  </si>
  <si>
    <t>Num Parking</t>
  </si>
  <si>
    <t>Underground and Garage Rent</t>
  </si>
  <si>
    <t>Lanudry Room</t>
  </si>
  <si>
    <t>Playground</t>
  </si>
  <si>
    <t>Resident Computer Center</t>
  </si>
  <si>
    <t>Gazebos</t>
  </si>
  <si>
    <t>Reading Room</t>
  </si>
  <si>
    <t>Community Dining Room</t>
  </si>
  <si>
    <t>Guest Lodging</t>
  </si>
  <si>
    <t>Trash Disposal</t>
  </si>
  <si>
    <t>Garden Plots</t>
  </si>
  <si>
    <t>Exam Room</t>
  </si>
  <si>
    <t>Car Care Center</t>
  </si>
  <si>
    <t>Exercise Room</t>
  </si>
  <si>
    <t>Describe difference in low-income &amp; market-rate unit amenities</t>
  </si>
  <si>
    <t>Storage Units</t>
  </si>
  <si>
    <t>Beauty Salon</t>
  </si>
  <si>
    <t>Is Heat Landlord Paid</t>
  </si>
  <si>
    <t>Security Locked Building</t>
  </si>
  <si>
    <t>Picnic Area</t>
  </si>
  <si>
    <t>Is AC Landlord Paid</t>
  </si>
  <si>
    <t>24 Hr Resident Manager</t>
  </si>
  <si>
    <t>Pool</t>
  </si>
  <si>
    <t>Is Cooking Landlord Paid</t>
  </si>
  <si>
    <t>Is Electric Landlord Paid</t>
  </si>
  <si>
    <t>Heating Type</t>
  </si>
  <si>
    <t>Cooking Type</t>
  </si>
  <si>
    <t>Is Hot Water Landlord Paid</t>
  </si>
  <si>
    <t>Air Conditioning Type</t>
  </si>
  <si>
    <t>Hot Water Type</t>
  </si>
  <si>
    <t>Is Sewer Landlord Paid</t>
  </si>
  <si>
    <t>Internet Access</t>
  </si>
  <si>
    <t>Is Trash Landlord Paid</t>
  </si>
  <si>
    <t>Is Cable Landlord Paid</t>
  </si>
  <si>
    <t>Is Water Landlord Paid</t>
  </si>
  <si>
    <t># Bedrooms 1</t>
  </si>
  <si>
    <t>Bathrooms 1</t>
  </si>
  <si>
    <t>Unit Type 1</t>
  </si>
  <si>
    <t>Net SF 1</t>
  </si>
  <si>
    <t>#  of Units 1</t>
  </si>
  <si>
    <t>Monthly Rent 1</t>
  </si>
  <si>
    <t>CMI 1</t>
  </si>
  <si>
    <t>Subtotal SQFT 1</t>
  </si>
  <si>
    <t>Apartment Type 1</t>
  </si>
  <si>
    <t>Base Rent 1</t>
  </si>
  <si>
    <t>Sq Ft 1</t>
  </si>
  <si>
    <t># Units 1</t>
  </si>
  <si>
    <t>Utility Allowance 1</t>
  </si>
  <si>
    <t>AMI 1</t>
  </si>
  <si>
    <t># Bedrooms 2</t>
  </si>
  <si>
    <t>Bathrooms 2</t>
  </si>
  <si>
    <t>Unit Type 2</t>
  </si>
  <si>
    <t>Net SF 2</t>
  </si>
  <si>
    <t>#  of Units 2</t>
  </si>
  <si>
    <t>Monthly Rent 2</t>
  </si>
  <si>
    <t>CMI 2</t>
  </si>
  <si>
    <t>Subtotal SQFT 2</t>
  </si>
  <si>
    <t>Apartment Type 2</t>
  </si>
  <si>
    <t>Base Rent 2</t>
  </si>
  <si>
    <t>Sq Ft 2</t>
  </si>
  <si>
    <t># Units 2</t>
  </si>
  <si>
    <t>Utility Allowance 2</t>
  </si>
  <si>
    <t>AMI 2</t>
  </si>
  <si>
    <t># Bedrooms 3</t>
  </si>
  <si>
    <t>Bathrooms 3</t>
  </si>
  <si>
    <t>Unit Type 3</t>
  </si>
  <si>
    <t>Net SF 3</t>
  </si>
  <si>
    <t>#  of Units 3</t>
  </si>
  <si>
    <t>Monthly Rent 3</t>
  </si>
  <si>
    <t>CMI 3</t>
  </si>
  <si>
    <t>Subtotal SQFT 3</t>
  </si>
  <si>
    <t>Apartment Type 3</t>
  </si>
  <si>
    <t>Base Rent 3</t>
  </si>
  <si>
    <t>Sq Ft 3</t>
  </si>
  <si>
    <t># Units 3</t>
  </si>
  <si>
    <t>Utility Allowance 3</t>
  </si>
  <si>
    <t>AMI 3</t>
  </si>
  <si>
    <t># Bedrooms 4</t>
  </si>
  <si>
    <t>Bathrooms 4</t>
  </si>
  <si>
    <t>Unit Type 4</t>
  </si>
  <si>
    <t>Net SF 4</t>
  </si>
  <si>
    <t>#  of Units 4</t>
  </si>
  <si>
    <t>Monthly Rent 4</t>
  </si>
  <si>
    <t>CMI 4</t>
  </si>
  <si>
    <t>Subtotal SQFT 4</t>
  </si>
  <si>
    <t>Apartment Type 4</t>
  </si>
  <si>
    <t>Base Rent 4</t>
  </si>
  <si>
    <t>Sq Ft 4</t>
  </si>
  <si>
    <t># Units 4</t>
  </si>
  <si>
    <t>Utility Allowance 4</t>
  </si>
  <si>
    <t>AMI 4</t>
  </si>
  <si>
    <t># Bedrooms 5</t>
  </si>
  <si>
    <t>Bathrooms 5</t>
  </si>
  <si>
    <t>Unit Type 5</t>
  </si>
  <si>
    <t>Net SF 5</t>
  </si>
  <si>
    <t>#  of Units 5</t>
  </si>
  <si>
    <t>Monthly Rent 5</t>
  </si>
  <si>
    <t>CMI 5</t>
  </si>
  <si>
    <t>Subtotal SQFT 5</t>
  </si>
  <si>
    <t>Apartment Type 5</t>
  </si>
  <si>
    <t>Base Rent 5</t>
  </si>
  <si>
    <t>Sq Ft 5</t>
  </si>
  <si>
    <t># Units 5</t>
  </si>
  <si>
    <t>Utility Allowance 5</t>
  </si>
  <si>
    <t>AMI 5</t>
  </si>
  <si>
    <t># Bedrooms 6</t>
  </si>
  <si>
    <t>Bathrooms 6</t>
  </si>
  <si>
    <t>Unit Type 6</t>
  </si>
  <si>
    <t>Net SF 6</t>
  </si>
  <si>
    <t>#  of Units 6</t>
  </si>
  <si>
    <t>Monthly Rent 6</t>
  </si>
  <si>
    <t>CMI 6</t>
  </si>
  <si>
    <t>Subtotal SQFT 6</t>
  </si>
  <si>
    <t>Apartment Type 6</t>
  </si>
  <si>
    <t>Base Rent 6</t>
  </si>
  <si>
    <t>Sq Ft 6</t>
  </si>
  <si>
    <t># Units 6</t>
  </si>
  <si>
    <t>Utility Allowance 6</t>
  </si>
  <si>
    <t>AMI 6</t>
  </si>
  <si>
    <t># Bedrooms 7</t>
  </si>
  <si>
    <t>Bathrooms 7</t>
  </si>
  <si>
    <t>Unit Type 7</t>
  </si>
  <si>
    <t>Net SF 7</t>
  </si>
  <si>
    <t>#  of Units 7</t>
  </si>
  <si>
    <t>Monthly Rent 7</t>
  </si>
  <si>
    <t>CMI 7</t>
  </si>
  <si>
    <t>Subtotal SQFT 7</t>
  </si>
  <si>
    <t>Apartment Type 7</t>
  </si>
  <si>
    <t>Base Rent 7</t>
  </si>
  <si>
    <t>Sq Ft 7</t>
  </si>
  <si>
    <t># Units 7</t>
  </si>
  <si>
    <t>Utility Allowance 7</t>
  </si>
  <si>
    <t>AMI 7</t>
  </si>
  <si>
    <t># Bedrooms 8</t>
  </si>
  <si>
    <t>Bathrooms 8</t>
  </si>
  <si>
    <t>Unit Type 8</t>
  </si>
  <si>
    <t>Net SF 8</t>
  </si>
  <si>
    <t>#  of Units 8</t>
  </si>
  <si>
    <t>Monthly Rent 8</t>
  </si>
  <si>
    <t>CMI 8</t>
  </si>
  <si>
    <t>Subtotal SQFT 8</t>
  </si>
  <si>
    <t>Apartment Type 8</t>
  </si>
  <si>
    <t>Base Rent 8</t>
  </si>
  <si>
    <t>Sq Ft 8</t>
  </si>
  <si>
    <t># Units 8</t>
  </si>
  <si>
    <t>Utility Allowance 8</t>
  </si>
  <si>
    <t>AMI 8</t>
  </si>
  <si>
    <t># Bedrooms 9</t>
  </si>
  <si>
    <t>Bathrooms 9</t>
  </si>
  <si>
    <t>Unit Type 9</t>
  </si>
  <si>
    <t>Net SF 9</t>
  </si>
  <si>
    <t>#  of Units 9</t>
  </si>
  <si>
    <t>Monthly Rent 9</t>
  </si>
  <si>
    <t>CMI 9</t>
  </si>
  <si>
    <t>Subtotal SQFT 9</t>
  </si>
  <si>
    <t>Apartment Type 9</t>
  </si>
  <si>
    <t>Base Rent 9</t>
  </si>
  <si>
    <t>Sq Ft 9</t>
  </si>
  <si>
    <t># Units 9</t>
  </si>
  <si>
    <t>Utility Allowance 9</t>
  </si>
  <si>
    <t>AMI 9</t>
  </si>
  <si>
    <t># Bedrooms 10</t>
  </si>
  <si>
    <t>Bathrooms 10</t>
  </si>
  <si>
    <t>Unit Type 10</t>
  </si>
  <si>
    <t>Net SF 10</t>
  </si>
  <si>
    <t>#  of Units 10</t>
  </si>
  <si>
    <t>Monthly Rent 10</t>
  </si>
  <si>
    <t>CMI 10</t>
  </si>
  <si>
    <t>Subtotal SQFT 10</t>
  </si>
  <si>
    <t>Apartment Type 10</t>
  </si>
  <si>
    <t>Base Rent 10</t>
  </si>
  <si>
    <t>Sq Ft 10</t>
  </si>
  <si>
    <t># Units 10</t>
  </si>
  <si>
    <t>Utility Allowance 10</t>
  </si>
  <si>
    <t>AMI 10</t>
  </si>
  <si>
    <t># Bedrooms 11</t>
  </si>
  <si>
    <t>Bathrooms 11</t>
  </si>
  <si>
    <t>Unit Type 11</t>
  </si>
  <si>
    <t>Net SF 11</t>
  </si>
  <si>
    <t>#  of Units 11</t>
  </si>
  <si>
    <t>Monthly Rent 11</t>
  </si>
  <si>
    <t>CMI 11</t>
  </si>
  <si>
    <t>Subtotal SQFT 11</t>
  </si>
  <si>
    <t>Apartment Type 11</t>
  </si>
  <si>
    <t>Base Rent 11</t>
  </si>
  <si>
    <t>Sq Ft 11</t>
  </si>
  <si>
    <t># Units 11</t>
  </si>
  <si>
    <t>Utility Allowance 11</t>
  </si>
  <si>
    <t>AMI 11</t>
  </si>
  <si>
    <t># Bedrooms 12</t>
  </si>
  <si>
    <t>Bathrooms 12</t>
  </si>
  <si>
    <t>Unit Type 12</t>
  </si>
  <si>
    <t>Net SF 12</t>
  </si>
  <si>
    <t>#  of Units 12</t>
  </si>
  <si>
    <t>Monthly Rent 12</t>
  </si>
  <si>
    <t>CMI 12</t>
  </si>
  <si>
    <t>Subtotal SQFT 12</t>
  </si>
  <si>
    <t>Apartment Type 12</t>
  </si>
  <si>
    <t>Base Rent 12</t>
  </si>
  <si>
    <t>Sq Ft 12</t>
  </si>
  <si>
    <t># Units 12</t>
  </si>
  <si>
    <t>Utility Allowance 12</t>
  </si>
  <si>
    <t>AMI 12</t>
  </si>
  <si>
    <t># Bedrooms 13</t>
  </si>
  <si>
    <t>Bathrooms 13</t>
  </si>
  <si>
    <t>Unit Type 13</t>
  </si>
  <si>
    <t>Net SF 13</t>
  </si>
  <si>
    <t>#  of Units 13</t>
  </si>
  <si>
    <t>Monthly Rent 13</t>
  </si>
  <si>
    <t>CMI 13</t>
  </si>
  <si>
    <t>Subtotal SQFT 13</t>
  </si>
  <si>
    <t>Apartment Type 13</t>
  </si>
  <si>
    <t>Base Rent 13</t>
  </si>
  <si>
    <t>Sq Ft 13</t>
  </si>
  <si>
    <t># Units 13</t>
  </si>
  <si>
    <t>Utility Allowance 13</t>
  </si>
  <si>
    <t>AMI 13</t>
  </si>
  <si>
    <t># Bedrooms 14</t>
  </si>
  <si>
    <t>Bathrooms 14</t>
  </si>
  <si>
    <t>Unit Type 14</t>
  </si>
  <si>
    <t>Net SF 14</t>
  </si>
  <si>
    <t>#  of Units 14</t>
  </si>
  <si>
    <t>Monthly Rent 14</t>
  </si>
  <si>
    <t>CMI 14</t>
  </si>
  <si>
    <t>Subtotal SQFT 14</t>
  </si>
  <si>
    <t>Apartment Type 14</t>
  </si>
  <si>
    <t>Base Rent 14</t>
  </si>
  <si>
    <t>Sq Ft 14</t>
  </si>
  <si>
    <t># Units 14</t>
  </si>
  <si>
    <t>Utility Allowance 14</t>
  </si>
  <si>
    <t>AMI 14</t>
  </si>
  <si>
    <t># Bedrooms 15</t>
  </si>
  <si>
    <t>Bathrooms 15</t>
  </si>
  <si>
    <t>Unit Type 15</t>
  </si>
  <si>
    <t>Net SF 15</t>
  </si>
  <si>
    <t>#  of Units 15</t>
  </si>
  <si>
    <t>Monthly Rent 15</t>
  </si>
  <si>
    <t>CMI 15</t>
  </si>
  <si>
    <t>Subtotal SQFT 15</t>
  </si>
  <si>
    <t>Apartment Type 15</t>
  </si>
  <si>
    <t>Base Rent 15</t>
  </si>
  <si>
    <t>Sq Ft 15</t>
  </si>
  <si>
    <t># Units 15</t>
  </si>
  <si>
    <t>Utility Allowance 15</t>
  </si>
  <si>
    <t>AMI 15</t>
  </si>
  <si>
    <t># Bedrooms 16</t>
  </si>
  <si>
    <t>Bathrooms 16</t>
  </si>
  <si>
    <t>Unit Type 16</t>
  </si>
  <si>
    <t>Net SF 16</t>
  </si>
  <si>
    <t>#  of Units 16</t>
  </si>
  <si>
    <t>Monthly Rent 16</t>
  </si>
  <si>
    <t>CMI 16</t>
  </si>
  <si>
    <t>Subtotal SQFT 16</t>
  </si>
  <si>
    <t>Apartment Type 16</t>
  </si>
  <si>
    <t>Base Rent 16</t>
  </si>
  <si>
    <t>Sq Ft 16</t>
  </si>
  <si>
    <t># Units 16</t>
  </si>
  <si>
    <t>Utility Allowance 16</t>
  </si>
  <si>
    <t>AMI 16</t>
  </si>
  <si>
    <t># Bedrooms 17</t>
  </si>
  <si>
    <t>Bathrooms 17</t>
  </si>
  <si>
    <t>Unit Type 17</t>
  </si>
  <si>
    <t>Net SF 17</t>
  </si>
  <si>
    <t>#  of Units 17</t>
  </si>
  <si>
    <t>Monthly Rent 17</t>
  </si>
  <si>
    <t>CMI 17</t>
  </si>
  <si>
    <t>Subtotal SQFT 17</t>
  </si>
  <si>
    <t>Apartment Type 17</t>
  </si>
  <si>
    <t>Base Rent 17</t>
  </si>
  <si>
    <t>Sq Ft 17</t>
  </si>
  <si>
    <t># Units 17</t>
  </si>
  <si>
    <t>Utility Allowance 17</t>
  </si>
  <si>
    <t>AMI 17</t>
  </si>
  <si>
    <t># Bedrooms 18</t>
  </si>
  <si>
    <t>Bathrooms 18</t>
  </si>
  <si>
    <t>Unit Type 18</t>
  </si>
  <si>
    <t>Net SF 18</t>
  </si>
  <si>
    <t>#  of Units 18</t>
  </si>
  <si>
    <t>Monthly Rent 18</t>
  </si>
  <si>
    <t>CMI 18</t>
  </si>
  <si>
    <t>Subtotal SQFT 18</t>
  </si>
  <si>
    <t>Apartment Type 18</t>
  </si>
  <si>
    <t>Base Rent 18</t>
  </si>
  <si>
    <t>Sq Ft 18</t>
  </si>
  <si>
    <t># Units 18</t>
  </si>
  <si>
    <t>Utility Allowance 18</t>
  </si>
  <si>
    <t>AMI 18</t>
  </si>
  <si>
    <t># Bedrooms 19</t>
  </si>
  <si>
    <t>Bathrooms 19</t>
  </si>
  <si>
    <t>Unit Type 19</t>
  </si>
  <si>
    <t>Net SF 19</t>
  </si>
  <si>
    <t>#  of Units 19</t>
  </si>
  <si>
    <t>Monthly Rent 19</t>
  </si>
  <si>
    <t>CMI 19</t>
  </si>
  <si>
    <t>Subtotal SQFT 19</t>
  </si>
  <si>
    <t>Apartment Type 19</t>
  </si>
  <si>
    <t>Base Rent 19</t>
  </si>
  <si>
    <t>Sq Ft 19</t>
  </si>
  <si>
    <t># Units 19</t>
  </si>
  <si>
    <t>Utility Allowance 19</t>
  </si>
  <si>
    <t>AMI 19</t>
  </si>
  <si>
    <t># Bedrooms 20</t>
  </si>
  <si>
    <t>Bathrooms 20</t>
  </si>
  <si>
    <t>Unit Type 20</t>
  </si>
  <si>
    <t>Net SF 20</t>
  </si>
  <si>
    <t>#  of Units 20</t>
  </si>
  <si>
    <t>Monthly Rent 20</t>
  </si>
  <si>
    <t>CMI 20</t>
  </si>
  <si>
    <t>Subtotal SQFT 20</t>
  </si>
  <si>
    <t>Apartment Type 20</t>
  </si>
  <si>
    <t>Base Rent 20</t>
  </si>
  <si>
    <t>Sq Ft 20</t>
  </si>
  <si>
    <t># Units 20</t>
  </si>
  <si>
    <t>Utility Allowance 20</t>
  </si>
  <si>
    <t>AMI 20</t>
  </si>
  <si>
    <t># Bedrooms 21</t>
  </si>
  <si>
    <t>Bathrooms 21</t>
  </si>
  <si>
    <t>Unit Type 21</t>
  </si>
  <si>
    <t>Net SF 21</t>
  </si>
  <si>
    <t>#  of Units 21</t>
  </si>
  <si>
    <t>Monthly Rent 21</t>
  </si>
  <si>
    <t>CMI 21</t>
  </si>
  <si>
    <t>Subtotal SQFT 21</t>
  </si>
  <si>
    <t>Apartment Type 21</t>
  </si>
  <si>
    <t>Base Rent 21</t>
  </si>
  <si>
    <t>Sq Ft 21</t>
  </si>
  <si>
    <t># Units 21</t>
  </si>
  <si>
    <t>Utility Allowance 21</t>
  </si>
  <si>
    <t>AMI 21</t>
  </si>
  <si>
    <t># Bedrooms 22</t>
  </si>
  <si>
    <t>Bathrooms 22</t>
  </si>
  <si>
    <t>Unit Type 22</t>
  </si>
  <si>
    <t>Net SF 22</t>
  </si>
  <si>
    <t>#  of Units 22</t>
  </si>
  <si>
    <t>Monthly Rent 22</t>
  </si>
  <si>
    <t>CMI 22</t>
  </si>
  <si>
    <t>Subtotal SQFT 22</t>
  </si>
  <si>
    <t>Apartment Type 22</t>
  </si>
  <si>
    <t>Base Rent 22</t>
  </si>
  <si>
    <t>Sq Ft 22</t>
  </si>
  <si>
    <t># Units 22</t>
  </si>
  <si>
    <t>Utility Allowance 22</t>
  </si>
  <si>
    <t>AMI 22</t>
  </si>
  <si>
    <t># Bedrooms 23</t>
  </si>
  <si>
    <t>Bathrooms 23</t>
  </si>
  <si>
    <t>Unit Type 23</t>
  </si>
  <si>
    <t>Net SF 23</t>
  </si>
  <si>
    <t>#  of Units 23</t>
  </si>
  <si>
    <t>Monthly Rent 23</t>
  </si>
  <si>
    <t>CMI 23</t>
  </si>
  <si>
    <t>Subtotal SQFT 23</t>
  </si>
  <si>
    <t>Apartment Type 23</t>
  </si>
  <si>
    <t>Base Rent 23</t>
  </si>
  <si>
    <t>Sq Ft 23</t>
  </si>
  <si>
    <t># Units 23</t>
  </si>
  <si>
    <t>Utility Allowance 23</t>
  </si>
  <si>
    <t>AMI 23</t>
  </si>
  <si>
    <t># Bedrooms 24</t>
  </si>
  <si>
    <t>Bathrooms 24</t>
  </si>
  <si>
    <t>Unit Type 24</t>
  </si>
  <si>
    <t>Net SF 24</t>
  </si>
  <si>
    <t>#  of Units 24</t>
  </si>
  <si>
    <t>Monthly Rent 24</t>
  </si>
  <si>
    <t>CMI 24</t>
  </si>
  <si>
    <t>Subtotal SQFT 24</t>
  </si>
  <si>
    <t>Apartment Type 24</t>
  </si>
  <si>
    <t>Base Rent 24</t>
  </si>
  <si>
    <t>Sq Ft 24</t>
  </si>
  <si>
    <t># Units 24</t>
  </si>
  <si>
    <t>Utility Allowance 24</t>
  </si>
  <si>
    <t>AMI 24</t>
  </si>
  <si>
    <t># Bedrooms 25</t>
  </si>
  <si>
    <t>Bathrooms 25</t>
  </si>
  <si>
    <t>Unit Type 25</t>
  </si>
  <si>
    <t>Net SF 25</t>
  </si>
  <si>
    <t>#  of Units 25</t>
  </si>
  <si>
    <t>Monthly Rent 25</t>
  </si>
  <si>
    <t>CMI 25</t>
  </si>
  <si>
    <t>Subtotal SQFT 25</t>
  </si>
  <si>
    <t>Apartment Type 25</t>
  </si>
  <si>
    <t>Base Rent 25</t>
  </si>
  <si>
    <t>Sq Ft 25</t>
  </si>
  <si>
    <t># Units 25</t>
  </si>
  <si>
    <t>Utility Allowance 25</t>
  </si>
  <si>
    <t>AMI 25</t>
  </si>
  <si>
    <t># Bedrooms 26</t>
  </si>
  <si>
    <t>Bathrooms 26</t>
  </si>
  <si>
    <t>Unit Type 26</t>
  </si>
  <si>
    <t>Net SF 26</t>
  </si>
  <si>
    <t>#  of Units 26</t>
  </si>
  <si>
    <t>Monthly Rent 26</t>
  </si>
  <si>
    <t>CMI 26</t>
  </si>
  <si>
    <t>Subtotal SQFT 26</t>
  </si>
  <si>
    <t>Apartment Type 26</t>
  </si>
  <si>
    <t>Base Rent 26</t>
  </si>
  <si>
    <t>Sq Ft 26</t>
  </si>
  <si>
    <t># Units 26</t>
  </si>
  <si>
    <t>Utility Allowance 26</t>
  </si>
  <si>
    <t>AMI 26</t>
  </si>
  <si>
    <t># Bedrooms 27</t>
  </si>
  <si>
    <t>Bathrooms 27</t>
  </si>
  <si>
    <t>Unit Type 27</t>
  </si>
  <si>
    <t>Net SF 27</t>
  </si>
  <si>
    <t>#  of Units 27</t>
  </si>
  <si>
    <t>Monthly Rent 27</t>
  </si>
  <si>
    <t>CMI 27</t>
  </si>
  <si>
    <t>Subtotal SQFT 27</t>
  </si>
  <si>
    <t>Apartment Type 27</t>
  </si>
  <si>
    <t>Base Rent 27</t>
  </si>
  <si>
    <t>Sq Ft 27</t>
  </si>
  <si>
    <t># Units 27</t>
  </si>
  <si>
    <t>Utility Allowance 27</t>
  </si>
  <si>
    <t>AMI 27</t>
  </si>
  <si>
    <t># Bedrooms 28</t>
  </si>
  <si>
    <t>Bathrooms 28</t>
  </si>
  <si>
    <t>Unit Type 28</t>
  </si>
  <si>
    <t>Net SF 28</t>
  </si>
  <si>
    <t>#  of Units 28</t>
  </si>
  <si>
    <t>Monthly Rent 28</t>
  </si>
  <si>
    <t>CMI 28</t>
  </si>
  <si>
    <t>Subtotal SQFT 28</t>
  </si>
  <si>
    <t>Apartment Type 28</t>
  </si>
  <si>
    <t>Base Rent 28</t>
  </si>
  <si>
    <t>Sq Ft 28</t>
  </si>
  <si>
    <t># Units 28</t>
  </si>
  <si>
    <t>Utility Allowance 28</t>
  </si>
  <si>
    <t>AMI 28</t>
  </si>
  <si>
    <t># Bedrooms 29</t>
  </si>
  <si>
    <t>Bathrooms 29</t>
  </si>
  <si>
    <t>Unit Type 29</t>
  </si>
  <si>
    <t>Net SF 29</t>
  </si>
  <si>
    <t>#  of Units 29</t>
  </si>
  <si>
    <t>Monthly Rent 29</t>
  </si>
  <si>
    <t>CMI 29</t>
  </si>
  <si>
    <t>Subtotal SQFT 29</t>
  </si>
  <si>
    <t>Apartment Type 29</t>
  </si>
  <si>
    <t>Base Rent 29</t>
  </si>
  <si>
    <t>Sq Ft 29</t>
  </si>
  <si>
    <t># Units 29</t>
  </si>
  <si>
    <t>Utility Allowance 29</t>
  </si>
  <si>
    <t>AMI 29</t>
  </si>
  <si>
    <t># Bedrooms 30</t>
  </si>
  <si>
    <t>Bathrooms 30</t>
  </si>
  <si>
    <t>Unit Type 30</t>
  </si>
  <si>
    <t>Net SF 30</t>
  </si>
  <si>
    <t>#  of Units 30</t>
  </si>
  <si>
    <t>Monthly Rent 30</t>
  </si>
  <si>
    <t>CMI 30</t>
  </si>
  <si>
    <t>Subtotal SQFT 30</t>
  </si>
  <si>
    <t>Apartment Type 30</t>
  </si>
  <si>
    <t>Base Rent 30</t>
  </si>
  <si>
    <t>Sq Ft 30</t>
  </si>
  <si>
    <t># Units 30</t>
  </si>
  <si>
    <t>Utility Allowance 30</t>
  </si>
  <si>
    <t>AMI 30</t>
  </si>
  <si>
    <t># Bedrooms 31</t>
  </si>
  <si>
    <t>Bathrooms 31</t>
  </si>
  <si>
    <t>Unit Type 31</t>
  </si>
  <si>
    <t>Net SF 31</t>
  </si>
  <si>
    <t>#  of Units 31</t>
  </si>
  <si>
    <t>Monthly Rent 31</t>
  </si>
  <si>
    <t>CMI 31</t>
  </si>
  <si>
    <t>Subtotal SQFT 31</t>
  </si>
  <si>
    <t>Apartment Type 31</t>
  </si>
  <si>
    <t>Base Rent 31</t>
  </si>
  <si>
    <t>Sq Ft 31</t>
  </si>
  <si>
    <t># Units 31</t>
  </si>
  <si>
    <t>Utility Allowance 31</t>
  </si>
  <si>
    <t>AMI 31</t>
  </si>
  <si>
    <t># Bedrooms 32</t>
  </si>
  <si>
    <t>Bathrooms 32</t>
  </si>
  <si>
    <t>Unit Type 32</t>
  </si>
  <si>
    <t>Net SF 32</t>
  </si>
  <si>
    <t>#  of Units 32</t>
  </si>
  <si>
    <t>Monthly Rent 32</t>
  </si>
  <si>
    <t>CMI 32</t>
  </si>
  <si>
    <t>Subtotal SQFT 32</t>
  </si>
  <si>
    <t>Apartment Type 32</t>
  </si>
  <si>
    <t>Base Rent 32</t>
  </si>
  <si>
    <t>Sq Ft 32</t>
  </si>
  <si>
    <t># Units 32</t>
  </si>
  <si>
    <t>Utility Allowance 32</t>
  </si>
  <si>
    <t>AMI 32</t>
  </si>
  <si>
    <t># Bedrooms 33</t>
  </si>
  <si>
    <t>Bathrooms 33</t>
  </si>
  <si>
    <t>Unit Type 33</t>
  </si>
  <si>
    <t>Net SF 33</t>
  </si>
  <si>
    <t>#  of Units 33</t>
  </si>
  <si>
    <t>Monthly Rent 33</t>
  </si>
  <si>
    <t>CMI 33</t>
  </si>
  <si>
    <t>Subtotal SQFT 33</t>
  </si>
  <si>
    <t>Apartment Type 33</t>
  </si>
  <si>
    <t>Base Rent 33</t>
  </si>
  <si>
    <t>Sq Ft 33</t>
  </si>
  <si>
    <t># Units 33</t>
  </si>
  <si>
    <t>Utility Allowance 33</t>
  </si>
  <si>
    <t>AMI 33</t>
  </si>
  <si>
    <t># Bedrooms 34</t>
  </si>
  <si>
    <t>Bathrooms 34</t>
  </si>
  <si>
    <t>Unit Type 34</t>
  </si>
  <si>
    <t>Net SF 34</t>
  </si>
  <si>
    <t>#  of Units 34</t>
  </si>
  <si>
    <t>Monthly Rent 34</t>
  </si>
  <si>
    <t>CMI 34</t>
  </si>
  <si>
    <t>Subtotal SQFT 34</t>
  </si>
  <si>
    <t>Apartment Type 34</t>
  </si>
  <si>
    <t>Base Rent 34</t>
  </si>
  <si>
    <t>Sq Ft 34</t>
  </si>
  <si>
    <t># Units 34</t>
  </si>
  <si>
    <t>Utility Allowance 34</t>
  </si>
  <si>
    <t>AMI 34</t>
  </si>
  <si>
    <t># Bedrooms 35</t>
  </si>
  <si>
    <t>Bathrooms 35</t>
  </si>
  <si>
    <t>Unit Type 35</t>
  </si>
  <si>
    <t>Net SF 35</t>
  </si>
  <si>
    <t>#  of Units 35</t>
  </si>
  <si>
    <t>Monthly Rent 35</t>
  </si>
  <si>
    <t>CMI 35</t>
  </si>
  <si>
    <t>Subtotal SQFT 35</t>
  </si>
  <si>
    <t>Apartment Type 35</t>
  </si>
  <si>
    <t>Base Rent 35</t>
  </si>
  <si>
    <t>Sq Ft 35</t>
  </si>
  <si>
    <t># Units 35</t>
  </si>
  <si>
    <t>Utility Allowance 35</t>
  </si>
  <si>
    <t>AMI 35</t>
  </si>
  <si>
    <t># Bedrooms 36</t>
  </si>
  <si>
    <t>Bathrooms 36</t>
  </si>
  <si>
    <t>Unit Type 36</t>
  </si>
  <si>
    <t>Net SF 36</t>
  </si>
  <si>
    <t>#  of Units 36</t>
  </si>
  <si>
    <t>Monthly Rent 36</t>
  </si>
  <si>
    <t>CMI 36</t>
  </si>
  <si>
    <t>Subtotal SQFT 36</t>
  </si>
  <si>
    <t>Apartment Type 36</t>
  </si>
  <si>
    <t>Base Rent 36</t>
  </si>
  <si>
    <t>Sq Ft 36</t>
  </si>
  <si>
    <t># Units 36</t>
  </si>
  <si>
    <t>Utility Allowance 36</t>
  </si>
  <si>
    <t>AMI 36</t>
  </si>
  <si>
    <t># Bedrooms 37</t>
  </si>
  <si>
    <t>Bathrooms 37</t>
  </si>
  <si>
    <t>Unit Type 37</t>
  </si>
  <si>
    <t>Net SF 37</t>
  </si>
  <si>
    <t>#  of Units 37</t>
  </si>
  <si>
    <t>Monthly Rent 37</t>
  </si>
  <si>
    <t>CMI 37</t>
  </si>
  <si>
    <t>Subtotal SQFT 37</t>
  </si>
  <si>
    <t>Apartment Type 37</t>
  </si>
  <si>
    <t>Base Rent 37</t>
  </si>
  <si>
    <t>Sq Ft 37</t>
  </si>
  <si>
    <t># Units 37</t>
  </si>
  <si>
    <t>Utility Allowance 37</t>
  </si>
  <si>
    <t>AMI 37</t>
  </si>
  <si>
    <t># Bedrooms 38</t>
  </si>
  <si>
    <t>Bathrooms 38</t>
  </si>
  <si>
    <t>Unit Type 38</t>
  </si>
  <si>
    <t>Net SF 38</t>
  </si>
  <si>
    <t>#  of Units 38</t>
  </si>
  <si>
    <t>Monthly Rent 38</t>
  </si>
  <si>
    <t>CMI 38</t>
  </si>
  <si>
    <t>Subtotal SQFT 38</t>
  </si>
  <si>
    <t>Apartment Type 38</t>
  </si>
  <si>
    <t>Base Rent 38</t>
  </si>
  <si>
    <t>Sq Ft 38</t>
  </si>
  <si>
    <t># Units 38</t>
  </si>
  <si>
    <t>Utility Allowance 38</t>
  </si>
  <si>
    <t>AMI 38</t>
  </si>
  <si>
    <t># Bedrooms 39</t>
  </si>
  <si>
    <t>Bathrooms 39</t>
  </si>
  <si>
    <t>Unit Type 39</t>
  </si>
  <si>
    <t>Net SF 39</t>
  </si>
  <si>
    <t>#  of Units 39</t>
  </si>
  <si>
    <t>Monthly Rent 39</t>
  </si>
  <si>
    <t>CMI 39</t>
  </si>
  <si>
    <t>Subtotal SQFT 39</t>
  </si>
  <si>
    <t>Apartment Type 39</t>
  </si>
  <si>
    <t>Base Rent 39</t>
  </si>
  <si>
    <t>Sq Ft 39</t>
  </si>
  <si>
    <t># Units 39</t>
  </si>
  <si>
    <t>Utility Allowance 39</t>
  </si>
  <si>
    <t>AMI 39</t>
  </si>
  <si>
    <t># Bedrooms 40</t>
  </si>
  <si>
    <t>Bathrooms 40</t>
  </si>
  <si>
    <t>Unit Type 40</t>
  </si>
  <si>
    <t>Net SF 40</t>
  </si>
  <si>
    <t>#  of Units 40</t>
  </si>
  <si>
    <t>Monthly Rent 40</t>
  </si>
  <si>
    <t>CMI 40</t>
  </si>
  <si>
    <t>Subtotal SQFT 40</t>
  </si>
  <si>
    <t>Apartment Type 40</t>
  </si>
  <si>
    <t>Base Rent 40</t>
  </si>
  <si>
    <t>Sq Ft 40</t>
  </si>
  <si>
    <t># Units 40</t>
  </si>
  <si>
    <t>Utility Allowance 40</t>
  </si>
  <si>
    <t>AMI 40</t>
  </si>
  <si>
    <t># Bedrooms 41</t>
  </si>
  <si>
    <t>Bathrooms 41</t>
  </si>
  <si>
    <t>Unit Type 41</t>
  </si>
  <si>
    <t>Net SF 41</t>
  </si>
  <si>
    <t>#  of Units 41</t>
  </si>
  <si>
    <t>Monthly Rent 41</t>
  </si>
  <si>
    <t>CMI 41</t>
  </si>
  <si>
    <t>Subtotal SQFT 41</t>
  </si>
  <si>
    <t>Apartment Type 41</t>
  </si>
  <si>
    <t>Base Rent 41</t>
  </si>
  <si>
    <t>Sq Ft 41</t>
  </si>
  <si>
    <t># Units 41</t>
  </si>
  <si>
    <t>Utility Allowance 41</t>
  </si>
  <si>
    <t>AMI 41</t>
  </si>
  <si>
    <t># Bedrooms 42</t>
  </si>
  <si>
    <t>Bathrooms 42</t>
  </si>
  <si>
    <t>Unit Type 42</t>
  </si>
  <si>
    <t>Net SF 42</t>
  </si>
  <si>
    <t>#  of Units 42</t>
  </si>
  <si>
    <t>Monthly Rent 42</t>
  </si>
  <si>
    <t>CMI 42</t>
  </si>
  <si>
    <t>Subtotal SQFT 42</t>
  </si>
  <si>
    <t>Apartment Type 42</t>
  </si>
  <si>
    <t>Base Rent 42</t>
  </si>
  <si>
    <t>Sq Ft 42</t>
  </si>
  <si>
    <t># Units 42</t>
  </si>
  <si>
    <t>Utility Allowance 42</t>
  </si>
  <si>
    <t>AMI 42</t>
  </si>
  <si>
    <t># Bedrooms 43</t>
  </si>
  <si>
    <t>Bathrooms 43</t>
  </si>
  <si>
    <t>Unit Type 43</t>
  </si>
  <si>
    <t>Net SF 43</t>
  </si>
  <si>
    <t>#  of Units 43</t>
  </si>
  <si>
    <t>Monthly Rent 43</t>
  </si>
  <si>
    <t>CMI 43</t>
  </si>
  <si>
    <t>Subtotal SQFT 43</t>
  </si>
  <si>
    <t>Apartment Type 43</t>
  </si>
  <si>
    <t>Base Rent 43</t>
  </si>
  <si>
    <t>Sq Ft 43</t>
  </si>
  <si>
    <t># Units 43</t>
  </si>
  <si>
    <t>Utility Allowance 43</t>
  </si>
  <si>
    <t>AMI 43</t>
  </si>
  <si>
    <t># Bedrooms 44</t>
  </si>
  <si>
    <t>Bathrooms 44</t>
  </si>
  <si>
    <t>Unit Type 44</t>
  </si>
  <si>
    <t>Net SF 44</t>
  </si>
  <si>
    <t>#  of Units 44</t>
  </si>
  <si>
    <t>Monthly Rent 44</t>
  </si>
  <si>
    <t>CMI 44</t>
  </si>
  <si>
    <t>Subtotal SQFT 44</t>
  </si>
  <si>
    <t>Apartment Type 44</t>
  </si>
  <si>
    <t>Base Rent 44</t>
  </si>
  <si>
    <t>Sq Ft 44</t>
  </si>
  <si>
    <t># Units 44</t>
  </si>
  <si>
    <t>Utility Allowance 44</t>
  </si>
  <si>
    <t>AMI 44</t>
  </si>
  <si>
    <t># Bedrooms 45</t>
  </si>
  <si>
    <t>Bathrooms 45</t>
  </si>
  <si>
    <t>Unit Type 45</t>
  </si>
  <si>
    <t>Net SF 45</t>
  </si>
  <si>
    <t>#  of Units 45</t>
  </si>
  <si>
    <t>Monthly Rent 45</t>
  </si>
  <si>
    <t>CMI 45</t>
  </si>
  <si>
    <t>Subtotal SQFT 45</t>
  </si>
  <si>
    <t>Apartment Type 45</t>
  </si>
  <si>
    <t>Base Rent 45</t>
  </si>
  <si>
    <t>Sq Ft 45</t>
  </si>
  <si>
    <t># Units 45</t>
  </si>
  <si>
    <t>Utility Allowance 45</t>
  </si>
  <si>
    <t>AMI 45</t>
  </si>
  <si>
    <t># Bedrooms 46</t>
  </si>
  <si>
    <t>Bathrooms 46</t>
  </si>
  <si>
    <t>Unit Type 46</t>
  </si>
  <si>
    <t>Net SF 46</t>
  </si>
  <si>
    <t>#  of Units 46</t>
  </si>
  <si>
    <t>Monthly Rent 46</t>
  </si>
  <si>
    <t>CMI 46</t>
  </si>
  <si>
    <t>Subtotal SQFT 46</t>
  </si>
  <si>
    <t>Apartment Type 46</t>
  </si>
  <si>
    <t>Base Rent 46</t>
  </si>
  <si>
    <t>Sq Ft 46</t>
  </si>
  <si>
    <t># Units 46</t>
  </si>
  <si>
    <t>Utility Allowance 46</t>
  </si>
  <si>
    <t>AMI 46</t>
  </si>
  <si>
    <t># Bedrooms 47</t>
  </si>
  <si>
    <t>Bathrooms 47</t>
  </si>
  <si>
    <t>Unit Type 47</t>
  </si>
  <si>
    <t>Net SF 47</t>
  </si>
  <si>
    <t>#  of Units 47</t>
  </si>
  <si>
    <t>Monthly Rent 47</t>
  </si>
  <si>
    <t>CMI 47</t>
  </si>
  <si>
    <t>Subtotal SQFT 47</t>
  </si>
  <si>
    <t>Apartment Type 47</t>
  </si>
  <si>
    <t>Base Rent 47</t>
  </si>
  <si>
    <t>Sq Ft 47</t>
  </si>
  <si>
    <t># Units 47</t>
  </si>
  <si>
    <t>Utility Allowance 47</t>
  </si>
  <si>
    <t>AMI 47</t>
  </si>
  <si>
    <t># Bedrooms 48</t>
  </si>
  <si>
    <t>Bathrooms 48</t>
  </si>
  <si>
    <t>Unit Type 48</t>
  </si>
  <si>
    <t>Net SF 48</t>
  </si>
  <si>
    <t>#  of Units 48</t>
  </si>
  <si>
    <t>Monthly Rent 48</t>
  </si>
  <si>
    <t>CMI 48</t>
  </si>
  <si>
    <t>Subtotal SQFT 48</t>
  </si>
  <si>
    <t>Apartment Type 48</t>
  </si>
  <si>
    <t>Base Rent 48</t>
  </si>
  <si>
    <t>Sq Ft 48</t>
  </si>
  <si>
    <t># Units 48</t>
  </si>
  <si>
    <t>Utility Allowance 48</t>
  </si>
  <si>
    <t>AMI 48</t>
  </si>
  <si>
    <t># Bedrooms 49</t>
  </si>
  <si>
    <t>Bathrooms 49</t>
  </si>
  <si>
    <t>Unit Type 49</t>
  </si>
  <si>
    <t>Net SF 49</t>
  </si>
  <si>
    <t>#  of Units 49</t>
  </si>
  <si>
    <t>Monthly Rent 49</t>
  </si>
  <si>
    <t>CMI 49</t>
  </si>
  <si>
    <t>Subtotal SQFT 49</t>
  </si>
  <si>
    <t>Apartment Type 49</t>
  </si>
  <si>
    <t>Base Rent 49</t>
  </si>
  <si>
    <t>Sq Ft 49</t>
  </si>
  <si>
    <t># Units 49</t>
  </si>
  <si>
    <t>Utility Allowance 49</t>
  </si>
  <si>
    <t>AMI 49</t>
  </si>
  <si>
    <t># Bedrooms 50</t>
  </si>
  <si>
    <t>Bathrooms 50</t>
  </si>
  <si>
    <t>Unit Type 50</t>
  </si>
  <si>
    <t>Net SF 50</t>
  </si>
  <si>
    <t>#  of Units 50</t>
  </si>
  <si>
    <t>Monthly Rent 50</t>
  </si>
  <si>
    <t>CMI 50</t>
  </si>
  <si>
    <t>Subtotal SQFT 50</t>
  </si>
  <si>
    <t>Apartment Type 50</t>
  </si>
  <si>
    <t>Base Rent 50</t>
  </si>
  <si>
    <t>Sq Ft 50</t>
  </si>
  <si>
    <t># Units 50</t>
  </si>
  <si>
    <t>Utility Allowance 50</t>
  </si>
  <si>
    <t>AMI 50</t>
  </si>
  <si>
    <t># Bedrooms 54</t>
  </si>
  <si>
    <t>Market Rate Bathrooms 1</t>
  </si>
  <si>
    <t>Market Rate Unit Type 1</t>
  </si>
  <si>
    <t>Market Rate Net SF 1</t>
  </si>
  <si>
    <t>Market Rate #  of Units 1</t>
  </si>
  <si>
    <t>Market Rate Monthly Rent 1</t>
  </si>
  <si>
    <t>Market Rate Subtotal SQFT 1</t>
  </si>
  <si>
    <t>Unit Type 51</t>
  </si>
  <si>
    <t>Apartment Type 51</t>
  </si>
  <si>
    <t>Base Rent 51</t>
  </si>
  <si>
    <t>Sq Ft 51</t>
  </si>
  <si>
    <t># Units 51</t>
  </si>
  <si>
    <t>Utility Allowance 51</t>
  </si>
  <si>
    <t>AMI 51</t>
  </si>
  <si>
    <t># Bedrooms 55</t>
  </si>
  <si>
    <t>Market Rate Bathrooms 2</t>
  </si>
  <si>
    <t>Market Rate Unit Type 2</t>
  </si>
  <si>
    <t>Market Rate Net SF 2</t>
  </si>
  <si>
    <t>Market Rate #  of Units 2</t>
  </si>
  <si>
    <t>Market Rate Monthly Rent 2</t>
  </si>
  <si>
    <t>Market Rate Subtotal SQFT 2</t>
  </si>
  <si>
    <t>Unit Type 52</t>
  </si>
  <si>
    <t>Apartment Type 52</t>
  </si>
  <si>
    <t>Base Rent 52</t>
  </si>
  <si>
    <t>Sq Ft 52</t>
  </si>
  <si>
    <t># Units 52</t>
  </si>
  <si>
    <t>Utility Allowance 52</t>
  </si>
  <si>
    <t>AMI 52</t>
  </si>
  <si>
    <t># Bedrooms 56</t>
  </si>
  <si>
    <t>Market Rate Bathrooms 3</t>
  </si>
  <si>
    <t>Market Rate Unit Type 3</t>
  </si>
  <si>
    <t>Market Rate Net SF 3</t>
  </si>
  <si>
    <t>Market Rate #  of Units 3</t>
  </si>
  <si>
    <t>Market Rate Monthly Rent 3</t>
  </si>
  <si>
    <t>Market Rate Subtotal SQFT 3</t>
  </si>
  <si>
    <t>Unit Type 53</t>
  </si>
  <si>
    <t>Apartment Type 53</t>
  </si>
  <si>
    <t>Base Rent 53</t>
  </si>
  <si>
    <t>Sq Ft 53</t>
  </si>
  <si>
    <t># Units 53</t>
  </si>
  <si>
    <t>Utility Allowance 53</t>
  </si>
  <si>
    <t>AMI 53</t>
  </si>
  <si>
    <t># Bedrooms 57</t>
  </si>
  <si>
    <t>Market Rate Bathrooms 4</t>
  </si>
  <si>
    <t>Market Rate Unit Type 4</t>
  </si>
  <si>
    <t>Market Rate Net SF 4</t>
  </si>
  <si>
    <t>Market Rate #  of Units 4</t>
  </si>
  <si>
    <t>Market Rate Monthly Rent 4</t>
  </si>
  <si>
    <t>Market Rate Subtotal SQFT 4</t>
  </si>
  <si>
    <t>Unit Type 54</t>
  </si>
  <si>
    <t>Apartment Type 54</t>
  </si>
  <si>
    <t>Base Rent 54</t>
  </si>
  <si>
    <t>Sq Ft 54</t>
  </si>
  <si>
    <t># Units 54</t>
  </si>
  <si>
    <t>Utility Allowance 54</t>
  </si>
  <si>
    <t># Bedrooms 58</t>
  </si>
  <si>
    <t>Market Rate Bathrooms 5</t>
  </si>
  <si>
    <t>Market Rate Unit Type 5</t>
  </si>
  <si>
    <t>Market Rate Net SF 5</t>
  </si>
  <si>
    <t>Market Rate #  of Units 5</t>
  </si>
  <si>
    <t>Market Rate Monthly Rent 5</t>
  </si>
  <si>
    <t>Market Rate Subtotal SQFT 5</t>
  </si>
  <si>
    <t>Unit Type 55</t>
  </si>
  <si>
    <t>Apartment Type 55</t>
  </si>
  <si>
    <t>Base Rent 55</t>
  </si>
  <si>
    <t>Sq Ft 55</t>
  </si>
  <si>
    <t># Units 55</t>
  </si>
  <si>
    <t>Utility Allowance 55</t>
  </si>
  <si>
    <t># Bedrooms 59</t>
  </si>
  <si>
    <t>Market Rate Bathrooms 6</t>
  </si>
  <si>
    <t>Market Rate Unit Type 6</t>
  </si>
  <si>
    <t>Market Rate Net SF 6</t>
  </si>
  <si>
    <t>Market Rate #  of Units 6</t>
  </si>
  <si>
    <t>Market Rate Monthly Rent 6</t>
  </si>
  <si>
    <t>Market Rate Subtotal SQFT 6</t>
  </si>
  <si>
    <t>Unit Type 56</t>
  </si>
  <si>
    <t>Apartment Type 56</t>
  </si>
  <si>
    <t>Base Rent 56</t>
  </si>
  <si>
    <t>Sq Ft 56</t>
  </si>
  <si>
    <t># Units 56</t>
  </si>
  <si>
    <t>Utility Allowance 56</t>
  </si>
  <si>
    <t># Bedrooms 60</t>
  </si>
  <si>
    <t>Market Rate Bathrooms 7</t>
  </si>
  <si>
    <t>Market Rate Unit Type 7</t>
  </si>
  <si>
    <t>Market Rate Net SF 7</t>
  </si>
  <si>
    <t>Market Rate #  of Units 7</t>
  </si>
  <si>
    <t>Market Rate Monthly Rent 7</t>
  </si>
  <si>
    <t>Market Rate Subtotal SQFT 7</t>
  </si>
  <si>
    <t>Unit Type 57</t>
  </si>
  <si>
    <t>Apartment Type 57</t>
  </si>
  <si>
    <t>Base Rent 57</t>
  </si>
  <si>
    <t>Sq Ft 57</t>
  </si>
  <si>
    <t># Units 57</t>
  </si>
  <si>
    <t>Utility Allowance 57</t>
  </si>
  <si>
    <t># Bedrooms 61</t>
  </si>
  <si>
    <t>Market Rate Bathrooms 8</t>
  </si>
  <si>
    <t>Market Rate Unit Type 8</t>
  </si>
  <si>
    <t>Market Rate Net SF 8</t>
  </si>
  <si>
    <t>Market Rate #  of Units 8</t>
  </si>
  <si>
    <t>Market Rate Monthly Rent 8</t>
  </si>
  <si>
    <t>Market Rate Subtotal SQFT 8</t>
  </si>
  <si>
    <t>Unit Type 58</t>
  </si>
  <si>
    <t>Apartment Type 58</t>
  </si>
  <si>
    <t>Base Rent 58</t>
  </si>
  <si>
    <t>Sq Ft 58</t>
  </si>
  <si>
    <t># Units 58</t>
  </si>
  <si>
    <t>Utility Allowance 58</t>
  </si>
  <si>
    <t># Bedrooms 62</t>
  </si>
  <si>
    <t>Market Rate Bathrooms 9</t>
  </si>
  <si>
    <t>Market Rate Unit Type 9</t>
  </si>
  <si>
    <t>Market Rate Net SF 9</t>
  </si>
  <si>
    <t>Market Rate #  of Units 9</t>
  </si>
  <si>
    <t>Market Rate Monthly Rent 9</t>
  </si>
  <si>
    <t>Market Rate Subtotal SQFT 9</t>
  </si>
  <si>
    <t>Unit Type 59</t>
  </si>
  <si>
    <t>Apartment Type 59</t>
  </si>
  <si>
    <t>Base Rent 59</t>
  </si>
  <si>
    <t>Sq Ft 59</t>
  </si>
  <si>
    <t># Units 59</t>
  </si>
  <si>
    <t>Utility Allowance 59</t>
  </si>
  <si>
    <t># Bedrooms 63</t>
  </si>
  <si>
    <t>Market Rate Bathrooms 10</t>
  </si>
  <si>
    <t>Market Rate Unit Type 10</t>
  </si>
  <si>
    <t>Market Rate Net SF 10</t>
  </si>
  <si>
    <t>Market Rate #  of Units 10</t>
  </si>
  <si>
    <t>Market Rate Monthly Rent 10</t>
  </si>
  <si>
    <t>Market Rate Subtotal SQFT 10</t>
  </si>
  <si>
    <t>Unit Type 60</t>
  </si>
  <si>
    <t>Apartment Type 60</t>
  </si>
  <si>
    <t>Base Rent 60</t>
  </si>
  <si>
    <t>Sq Ft 60</t>
  </si>
  <si>
    <t># Units 60</t>
  </si>
  <si>
    <t>Utility Allowance 60</t>
  </si>
  <si>
    <t># Bedrooms 51</t>
  </si>
  <si>
    <t>Employee Bathrooms 1</t>
  </si>
  <si>
    <t>Employee Unit Type 1</t>
  </si>
  <si>
    <t>Employee Net SF 1</t>
  </si>
  <si>
    <t>Employee #  of Units 1</t>
  </si>
  <si>
    <t>Employee Monthly Rent 1</t>
  </si>
  <si>
    <t>Employee Subtotal SQFT 1</t>
  </si>
  <si>
    <t>Unit Type 61</t>
  </si>
  <si>
    <t>Apartment Type 61</t>
  </si>
  <si>
    <t>Base Rent 61</t>
  </si>
  <si>
    <t>Sq Ft 61</t>
  </si>
  <si>
    <t># Units 61</t>
  </si>
  <si>
    <t>Utility Allowance 61</t>
  </si>
  <si>
    <t># Bedrooms 52</t>
  </si>
  <si>
    <t>Employee Bathrooms 2</t>
  </si>
  <si>
    <t>Employee Unit Type 2</t>
  </si>
  <si>
    <t>Employee Net SF 2</t>
  </si>
  <si>
    <t>Employee #  of Units 2</t>
  </si>
  <si>
    <t>Employee Monthly Rent 2</t>
  </si>
  <si>
    <t>Employee Subtotal SQFT 2</t>
  </si>
  <si>
    <t>Unit Type 62</t>
  </si>
  <si>
    <t>Apartment Type 62</t>
  </si>
  <si>
    <t>Base Rent 62</t>
  </si>
  <si>
    <t>Sq Ft 62</t>
  </si>
  <si>
    <t># Units 62</t>
  </si>
  <si>
    <t>Utility Allowance 62</t>
  </si>
  <si>
    <t># Bedrooms 53</t>
  </si>
  <si>
    <t>Employee Bathrooms 3</t>
  </si>
  <si>
    <t>Employee Unit Type 3</t>
  </si>
  <si>
    <t>Employee Net SF 3</t>
  </si>
  <si>
    <t>Employee #  of Units 3</t>
  </si>
  <si>
    <t>Employee Monthly Rent 3</t>
  </si>
  <si>
    <t>Employee Subtotal SQFT 3</t>
  </si>
  <si>
    <t>Unit Type 63</t>
  </si>
  <si>
    <t>Apartment Type 63</t>
  </si>
  <si>
    <t>Base Rent 63</t>
  </si>
  <si>
    <t>Sq Ft 63</t>
  </si>
  <si>
    <t># Units 63</t>
  </si>
  <si>
    <t>Utility Allowance 63</t>
  </si>
  <si>
    <t>Unit Summary</t>
  </si>
  <si>
    <t>Total Market Units</t>
  </si>
  <si>
    <t>Unit Type</t>
  </si>
  <si>
    <t># of TC Units</t>
  </si>
  <si>
    <t>Average Square Ft</t>
  </si>
  <si>
    <t>#MKT Units</t>
  </si>
  <si>
    <t>Total Rental Units</t>
  </si>
  <si>
    <t># LIHTC Units</t>
  </si>
  <si>
    <t>0 Bedrooms</t>
  </si>
  <si>
    <t>0 Bedroom</t>
  </si>
  <si>
    <t># LIHTC Beds</t>
  </si>
  <si>
    <t>1 Bedroom</t>
  </si>
  <si>
    <t>Total Square Feet</t>
  </si>
  <si>
    <t>2 Bedroom</t>
  </si>
  <si>
    <t>Totals Beds</t>
  </si>
  <si>
    <t>3 Bedroom</t>
  </si>
  <si>
    <t>Total Units</t>
  </si>
  <si>
    <t>4 Bedroom</t>
  </si>
  <si>
    <t>Total LI Units</t>
  </si>
  <si>
    <t>5 Bedroom</t>
  </si>
  <si>
    <t>Total Employee Units</t>
  </si>
  <si>
    <t>Total Bedrooms</t>
  </si>
  <si>
    <t>TC Net Rentable SF</t>
  </si>
  <si>
    <t>Total Floor SQ Ft</t>
  </si>
  <si>
    <t>Mkt Rental SF</t>
  </si>
  <si>
    <t>Total Low Income Units</t>
  </si>
  <si>
    <t>Total Low Income SQFT</t>
  </si>
  <si>
    <t>Total Low Income Bedrooms</t>
  </si>
  <si>
    <t>Residential Heated SQ FT</t>
  </si>
  <si>
    <t>Commercial SQFT</t>
  </si>
  <si>
    <t>Total Rental Bedrooms</t>
  </si>
  <si>
    <t>Funding Sources</t>
  </si>
  <si>
    <t>Permanent</t>
  </si>
  <si>
    <t>Permanent Funding Sources</t>
  </si>
  <si>
    <t>Type 1</t>
  </si>
  <si>
    <t>Total Amount 1</t>
  </si>
  <si>
    <t>Rate 1</t>
  </si>
  <si>
    <t>Term 1</t>
  </si>
  <si>
    <t>Ann DSC 1</t>
  </si>
  <si>
    <t>Source Type</t>
  </si>
  <si>
    <t>Source Name</t>
  </si>
  <si>
    <t>Is HFA Monies</t>
  </si>
  <si>
    <t>DEV Funding Source</t>
  </si>
  <si>
    <t>Program Type</t>
  </si>
  <si>
    <t>Loan Product Type</t>
  </si>
  <si>
    <t>Term</t>
  </si>
  <si>
    <t>Amount</t>
  </si>
  <si>
    <t>Rate</t>
  </si>
  <si>
    <t>Debt Service</t>
  </si>
  <si>
    <t>Type 2</t>
  </si>
  <si>
    <t>Total Amount 2</t>
  </si>
  <si>
    <t>Rate 2</t>
  </si>
  <si>
    <t>Term 2</t>
  </si>
  <si>
    <t>Ann DSC 2</t>
  </si>
  <si>
    <t>Type 3</t>
  </si>
  <si>
    <t>Total Amount 3</t>
  </si>
  <si>
    <t>Rate 3</t>
  </si>
  <si>
    <t>Term 3</t>
  </si>
  <si>
    <t>Ann DSC 3</t>
  </si>
  <si>
    <t>Type 4</t>
  </si>
  <si>
    <t>Total Amount 4</t>
  </si>
  <si>
    <t>Rate 4</t>
  </si>
  <si>
    <t>Term 4</t>
  </si>
  <si>
    <t>Ann DSC 4</t>
  </si>
  <si>
    <t>Type 5</t>
  </si>
  <si>
    <t>Total Amount 5</t>
  </si>
  <si>
    <t>Rate 5</t>
  </si>
  <si>
    <t>Term 5</t>
  </si>
  <si>
    <t>Ann DSC 5</t>
  </si>
  <si>
    <t>Type 6</t>
  </si>
  <si>
    <t>Total Amount 6</t>
  </si>
  <si>
    <t>Rate 6</t>
  </si>
  <si>
    <t>Term 6</t>
  </si>
  <si>
    <t>Ann DSC 6</t>
  </si>
  <si>
    <t>External</t>
  </si>
  <si>
    <t>Type 7</t>
  </si>
  <si>
    <t>Total Amount 7</t>
  </si>
  <si>
    <t>Rate 7</t>
  </si>
  <si>
    <t>Term 7</t>
  </si>
  <si>
    <t>Ann DSC 7</t>
  </si>
  <si>
    <t>Type 8</t>
  </si>
  <si>
    <t>Total Amount 8</t>
  </si>
  <si>
    <t>Rate 8</t>
  </si>
  <si>
    <t>Term 8</t>
  </si>
  <si>
    <t>Ann DSC 8</t>
  </si>
  <si>
    <t>Type 9</t>
  </si>
  <si>
    <t>Total Amount 9</t>
  </si>
  <si>
    <t>Rate 9</t>
  </si>
  <si>
    <t>Term 9</t>
  </si>
  <si>
    <t>Ann DSC 9</t>
  </si>
  <si>
    <t>Type 10</t>
  </si>
  <si>
    <t>Total Amount 10</t>
  </si>
  <si>
    <t>Rate 10</t>
  </si>
  <si>
    <t>Term 10</t>
  </si>
  <si>
    <t>Ann DSC 10</t>
  </si>
  <si>
    <t>Map &gt;</t>
  </si>
  <si>
    <t>Type 11</t>
  </si>
  <si>
    <t>Total Amount 11</t>
  </si>
  <si>
    <t>Rate 11</t>
  </si>
  <si>
    <t>Term 11</t>
  </si>
  <si>
    <t>Ann DSC 11</t>
  </si>
  <si>
    <t>Type 12</t>
  </si>
  <si>
    <t>Total Amount 12</t>
  </si>
  <si>
    <t>Rate 12</t>
  </si>
  <si>
    <t>Term 12</t>
  </si>
  <si>
    <t>Ann DSC 12</t>
  </si>
  <si>
    <t>Type 13</t>
  </si>
  <si>
    <t>Total Amount 13</t>
  </si>
  <si>
    <t>Rate 13</t>
  </si>
  <si>
    <t>Term 13</t>
  </si>
  <si>
    <t>Ann DSC 13</t>
  </si>
  <si>
    <t>Grants</t>
  </si>
  <si>
    <t>Construction Funding Sources</t>
  </si>
  <si>
    <t>Amount 1</t>
  </si>
  <si>
    <t>Amount 2</t>
  </si>
  <si>
    <t>Amount 3</t>
  </si>
  <si>
    <t>Amount 4</t>
  </si>
  <si>
    <t>Amount 5</t>
  </si>
  <si>
    <t>Amount 6</t>
  </si>
  <si>
    <t>Amount 7</t>
  </si>
  <si>
    <t>Amount 8</t>
  </si>
  <si>
    <t>Amount 9</t>
  </si>
  <si>
    <t>Amount 10</t>
  </si>
  <si>
    <t>Amount 11</t>
  </si>
  <si>
    <t>Construction</t>
  </si>
  <si>
    <t>Subsidized Funding</t>
  </si>
  <si>
    <t>New</t>
  </si>
  <si>
    <t>Amount 12</t>
  </si>
  <si>
    <t>Legend:</t>
  </si>
  <si>
    <t>Value Sent</t>
  </si>
  <si>
    <t>To Send to Dev Deal: Initial Budget</t>
  </si>
  <si>
    <t>Included in other L/I</t>
  </si>
  <si>
    <t>No Value to Send</t>
  </si>
  <si>
    <t>Line Item Number</t>
  </si>
  <si>
    <t>Dev Budget Mapping</t>
  </si>
  <si>
    <t>Note: don't forget to check $Z$2 = ""</t>
  </si>
  <si>
    <t>Project Costs &amp; Credit Calc</t>
  </si>
  <si>
    <t>Line Item Label</t>
  </si>
  <si>
    <t>Value from Tab 13</t>
  </si>
  <si>
    <t>Prolink Field Name</t>
  </si>
  <si>
    <t>Value to Send</t>
  </si>
  <si>
    <t>Prolink Other?</t>
  </si>
  <si>
    <t>Line Item</t>
  </si>
  <si>
    <t>Prolink Field</t>
  </si>
  <si>
    <t>Actual</t>
  </si>
  <si>
    <t>4% Credits (30% PV)</t>
  </si>
  <si>
    <t>9% Credits (70% PV)</t>
  </si>
  <si>
    <t>Section Updated - mgc?</t>
  </si>
  <si>
    <t>Old Name</t>
  </si>
  <si>
    <t>New Name</t>
  </si>
  <si>
    <t>SC - Land Acquisition</t>
  </si>
  <si>
    <t>Land</t>
  </si>
  <si>
    <t>Land Acq Cost</t>
  </si>
  <si>
    <t>None</t>
  </si>
  <si>
    <t>SC - Acquisition</t>
  </si>
  <si>
    <t>Purchase of Buildings</t>
  </si>
  <si>
    <t>Existing Improvements Cost</t>
  </si>
  <si>
    <t>Building_Acq_4 / 9</t>
  </si>
  <si>
    <t>PC_ACQ_BuildingAcq</t>
  </si>
  <si>
    <t>**Acquisition</t>
  </si>
  <si>
    <t>Other Purchase Bldgs &amp; Land</t>
  </si>
  <si>
    <t>Actual Addl Cost 1</t>
  </si>
  <si>
    <t>Other_Purchase_4 / 9</t>
  </si>
  <si>
    <t>PC_ACQ_OtherPurchase</t>
  </si>
  <si>
    <t>Other Acquisition</t>
  </si>
  <si>
    <t>HC - Structures</t>
  </si>
  <si>
    <t xml:space="preserve">Total Acquisition </t>
  </si>
  <si>
    <t>Removed for 2025</t>
  </si>
  <si>
    <t>**Structures</t>
  </si>
  <si>
    <t>CONSTRUCTION RELATED EXPENSES</t>
  </si>
  <si>
    <t>HC - Accessory Structures</t>
  </si>
  <si>
    <t>NEW CONSTRUCTION &amp; REHAB</t>
  </si>
  <si>
    <t>HC - Other1</t>
  </si>
  <si>
    <t>HC - Other1 Comments</t>
  </si>
  <si>
    <t>Construction of New Buildings</t>
  </si>
  <si>
    <t>Unit Structures New</t>
  </si>
  <si>
    <t>Building_4</t>
  </si>
  <si>
    <t>PC_CST_Building</t>
  </si>
  <si>
    <t>HC - Other2</t>
  </si>
  <si>
    <t>HC - Other2 Comments</t>
  </si>
  <si>
    <t>Rehabilitation</t>
  </si>
  <si>
    <t>Unit Structures Rehab</t>
  </si>
  <si>
    <t>Accessory Buildings (Garage, storage, etc)</t>
  </si>
  <si>
    <t>Accessory Buildings</t>
  </si>
  <si>
    <t>Accessory_Building_4</t>
  </si>
  <si>
    <t>PC_CST_Accessory_Building</t>
  </si>
  <si>
    <t>HC - Off Site Improvment</t>
  </si>
  <si>
    <t>Personal Property</t>
  </si>
  <si>
    <t>Other Costs</t>
  </si>
  <si>
    <t>Personal_Property_4</t>
  </si>
  <si>
    <t>PC_CST_Personal_Property</t>
  </si>
  <si>
    <t>Other New Construction/Rehabilitation</t>
  </si>
  <si>
    <t>Actual Addl Cost 2</t>
  </si>
  <si>
    <t>Double counts Furnishings and Equipment</t>
  </si>
  <si>
    <t>Other_New_Construction_4</t>
  </si>
  <si>
    <t>PC_CST_Other_New_Construction</t>
  </si>
  <si>
    <t>HC - Demolition</t>
  </si>
  <si>
    <t>Subtotal New Construction &amp; Rehab</t>
  </si>
  <si>
    <t>HC - Site Improvments</t>
  </si>
  <si>
    <t>OFF-SITE WORK COSTS</t>
  </si>
  <si>
    <t>HC - Lawns</t>
  </si>
  <si>
    <t>Off Site Work</t>
  </si>
  <si>
    <t>SC - Furn Fixt Equip</t>
  </si>
  <si>
    <t>Utilities</t>
  </si>
  <si>
    <t>HC - Other Work</t>
  </si>
  <si>
    <t>Lawns and Plantings</t>
  </si>
  <si>
    <t>Unusual Site Conditions</t>
  </si>
  <si>
    <t>HC - General Req</t>
  </si>
  <si>
    <t xml:space="preserve">Roads , Walks &amp; Paving </t>
  </si>
  <si>
    <t>HC - Overhead</t>
  </si>
  <si>
    <t>Other Off Site Work</t>
  </si>
  <si>
    <t>HC - Profit</t>
  </si>
  <si>
    <t xml:space="preserve">Subtotal Off-Site Costs </t>
  </si>
  <si>
    <t>Off Site Improvements</t>
  </si>
  <si>
    <t>OffSite_Subtotal_4</t>
  </si>
  <si>
    <t>PC_CST_OffSite_Subtotal</t>
  </si>
  <si>
    <t>HC - Other3</t>
  </si>
  <si>
    <t>HC - Other3 Comments</t>
  </si>
  <si>
    <t>SITE WORK COSTS</t>
  </si>
  <si>
    <t>Demolition_4</t>
  </si>
  <si>
    <t>PC_CST_Demolition</t>
  </si>
  <si>
    <t>HC - Contingency</t>
  </si>
  <si>
    <t>Site Work</t>
  </si>
  <si>
    <t>Earthwork_4</t>
  </si>
  <si>
    <t>PC_CST_Earthwork</t>
  </si>
  <si>
    <t>SC - Contingency</t>
  </si>
  <si>
    <t>Roads / Walks</t>
  </si>
  <si>
    <t>Site Utilities</t>
  </si>
  <si>
    <t>SC -HFA Finance Fee</t>
  </si>
  <si>
    <t>Landscaping</t>
  </si>
  <si>
    <t>Lawns</t>
  </si>
  <si>
    <t>Lawn_Planting_4</t>
  </si>
  <si>
    <t>PC_CST_Lawn_Planting</t>
  </si>
  <si>
    <t>SC - Other1</t>
  </si>
  <si>
    <t>SC - Other1 Comments</t>
  </si>
  <si>
    <t>Furnishing and Equipment</t>
  </si>
  <si>
    <t>Fixtures_Furn_4</t>
  </si>
  <si>
    <t>PC_CST_Fixtures_Furn</t>
  </si>
  <si>
    <t>**HFA Finance Fee</t>
  </si>
  <si>
    <t>Other Site Work</t>
  </si>
  <si>
    <t>Other_Site_Work_4</t>
  </si>
  <si>
    <t>PC_CST_Other_Site_Work</t>
  </si>
  <si>
    <t xml:space="preserve">Subtotal Site-Work Costs </t>
  </si>
  <si>
    <t>SC - Other2</t>
  </si>
  <si>
    <t>SC - Other2 Comments</t>
  </si>
  <si>
    <t>CONTRACTOR FEES</t>
  </si>
  <si>
    <t>SC - Contruction Interest</t>
  </si>
  <si>
    <t>General Requirements</t>
  </si>
  <si>
    <t>General_Requirements_4</t>
  </si>
  <si>
    <t>PC_CST_General_Requirements</t>
  </si>
  <si>
    <t>**Construction Interest</t>
  </si>
  <si>
    <t>Contractor Overhead</t>
  </si>
  <si>
    <t>Builders Overhead</t>
  </si>
  <si>
    <t>Builders_Overhead_4</t>
  </si>
  <si>
    <t>PC_CST_Builders_Overhead</t>
  </si>
  <si>
    <t>SC - Other3</t>
  </si>
  <si>
    <t>SC - Other3 Comments</t>
  </si>
  <si>
    <t>Contractor Profit</t>
  </si>
  <si>
    <t>Builders Profit</t>
  </si>
  <si>
    <t>Builders_Profit_4</t>
  </si>
  <si>
    <t>PC_CST_Builders_Profit</t>
  </si>
  <si>
    <t>Construction Supervision</t>
  </si>
  <si>
    <t>Other Construction1</t>
  </si>
  <si>
    <t>Constr_Mgmt_Fee_4</t>
  </si>
  <si>
    <t>PC_CST_Constr_Mgmt_Fee</t>
  </si>
  <si>
    <t>SC - Letter Of Credit</t>
  </si>
  <si>
    <t>Builder's Risk Insurance</t>
  </si>
  <si>
    <t>SC - Taxes During Const</t>
  </si>
  <si>
    <t>Other Contractor Fees</t>
  </si>
  <si>
    <t>SC - Title Recording</t>
  </si>
  <si>
    <t xml:space="preserve">Subtotal Contractor Fees </t>
  </si>
  <si>
    <t>SC - Insurance</t>
  </si>
  <si>
    <t xml:space="preserve">Total Construction Related </t>
  </si>
  <si>
    <t>SC - Tenant Relocation</t>
  </si>
  <si>
    <t>CONTINGENCY FUNDS</t>
  </si>
  <si>
    <t>**Tenant Relocation</t>
  </si>
  <si>
    <t>Construction Contingency</t>
  </si>
  <si>
    <t>Other Construction3</t>
  </si>
  <si>
    <t>Res_HC_Contingency_4</t>
  </si>
  <si>
    <t>PC_CNT_HC_Contingency</t>
  </si>
  <si>
    <t>SC - Other4</t>
  </si>
  <si>
    <t>HC - Other4 Comments</t>
  </si>
  <si>
    <t>Other Contingency</t>
  </si>
  <si>
    <t>Other Contingency Total</t>
  </si>
  <si>
    <t>Res_SC_Contingency_4</t>
  </si>
  <si>
    <t>PC_CNT_SC_Contingency</t>
  </si>
  <si>
    <t>Total Contingency Costs</t>
  </si>
  <si>
    <t>SC - Other5</t>
  </si>
  <si>
    <t>SC - Other5 Comments</t>
  </si>
  <si>
    <t>CONSTRUCTION PERIOD EXPENSES</t>
  </si>
  <si>
    <t>LOCAL OR STATE AGENCY - RESIDENTIAL RELATED FEES &amp; EXPENSES</t>
  </si>
  <si>
    <t>SC - Mortgage Banker</t>
  </si>
  <si>
    <t>WHEDA Application Fees (incl. T/E Ap Fee)</t>
  </si>
  <si>
    <t>SC - Legal</t>
  </si>
  <si>
    <t>T/E Bond Allocation/Reservation Fees</t>
  </si>
  <si>
    <t>SC - Other6</t>
  </si>
  <si>
    <t>SC - Other6 Comments</t>
  </si>
  <si>
    <t>Construction Loan Origination Fee - WHEDA</t>
  </si>
  <si>
    <t>Actual Addl Cost 4</t>
  </si>
  <si>
    <t>WHEDA_Constr_Loan_4</t>
  </si>
  <si>
    <t>PC_CSP_WHEDA_Constr_Loan</t>
  </si>
  <si>
    <t>Construction Loan Origination Fee - Non WHEDA</t>
  </si>
  <si>
    <t>Constr Loan Orig Fee</t>
  </si>
  <si>
    <t>WHEDA_Otehr_Finan_4</t>
  </si>
  <si>
    <t>PC_CSP_WHEDA_Other_Finan</t>
  </si>
  <si>
    <t>SC - Design Architect</t>
  </si>
  <si>
    <t>WHEDA Legal/Structuring Fees</t>
  </si>
  <si>
    <t>SC - Architect Supervision</t>
  </si>
  <si>
    <t>WHEDA Construction Inspection Fees</t>
  </si>
  <si>
    <t>SC - Design Engineering</t>
  </si>
  <si>
    <t>Other Fees and Expenses</t>
  </si>
  <si>
    <t>Credit Calculation using Equity Gap</t>
  </si>
  <si>
    <t>SC - Survey</t>
  </si>
  <si>
    <t>Subtotal WHEDA Fees &amp; Expenses</t>
  </si>
  <si>
    <t>SC - Other7</t>
  </si>
  <si>
    <t>SC - Other7 Comments</t>
  </si>
  <si>
    <t>BOND RELATED EXPENSES</t>
  </si>
  <si>
    <t>Cost of Bond Issuance</t>
  </si>
  <si>
    <t>Actual Addl Cost 6</t>
  </si>
  <si>
    <t>SC - Org Costs</t>
  </si>
  <si>
    <t xml:space="preserve">Subtotal Bond Related Fees </t>
  </si>
  <si>
    <t>SC - Equity Financed</t>
  </si>
  <si>
    <t>OTHER LENDER &amp; FINANCING RELATED EXPENSES</t>
  </si>
  <si>
    <t>**Equity Financed</t>
  </si>
  <si>
    <t>Bridge Loan Fees and Expenses</t>
  </si>
  <si>
    <t>Actual Addl Cost 16</t>
  </si>
  <si>
    <t>N/A CSP</t>
  </si>
  <si>
    <t>Predev./ Bridge Financing Fees</t>
  </si>
  <si>
    <t>SC - Reserves</t>
  </si>
  <si>
    <t>Predev / Bridge Origination Fees</t>
  </si>
  <si>
    <t>SC -RR Funding</t>
  </si>
  <si>
    <t>WHEDA Construction Loan Interest</t>
  </si>
  <si>
    <t>SC - Monitoring Lease Up Res</t>
  </si>
  <si>
    <t>Other Construction Loan Interest</t>
  </si>
  <si>
    <t>Const Interest</t>
  </si>
  <si>
    <t>LU_Period_Constr</t>
  </si>
  <si>
    <t>PC_CSP_Oth_Const_Loan_Int</t>
  </si>
  <si>
    <t>**Reserves</t>
  </si>
  <si>
    <t>Construction Lender Legal Fees</t>
  </si>
  <si>
    <t>Lender Inspection Fees</t>
  </si>
  <si>
    <t>Legal Fees - Miscellaneous</t>
  </si>
  <si>
    <t>Closing Legal Fees</t>
  </si>
  <si>
    <t>Other_Lender_Fees</t>
  </si>
  <si>
    <t>PC_CSP_Legal_Fees_Misc</t>
  </si>
  <si>
    <t>Subtotal Construction Lender &amp; Finance Fees</t>
  </si>
  <si>
    <t>OTHER CONSTRUCTION PERIOD SOFT COSTS</t>
  </si>
  <si>
    <t>SC - Appraisal</t>
  </si>
  <si>
    <t>Construction Loan Credit Enhancement/LOC</t>
  </si>
  <si>
    <t>Credit Enhancement</t>
  </si>
  <si>
    <t>Credit_Enhance_Fee_</t>
  </si>
  <si>
    <t>PC_CSP_Const_Loan_Credit</t>
  </si>
  <si>
    <t>SC - Market Study</t>
  </si>
  <si>
    <t>Construction Period Real Estate Taxes</t>
  </si>
  <si>
    <t>Taxes Construction</t>
  </si>
  <si>
    <t>Taxes_During_Constr</t>
  </si>
  <si>
    <t>PC_CSP_Const_Real_Est_Tax</t>
  </si>
  <si>
    <t>SC - Property Reports</t>
  </si>
  <si>
    <t>Title and Recording</t>
  </si>
  <si>
    <t>Title And Recording</t>
  </si>
  <si>
    <t>Title_Recording</t>
  </si>
  <si>
    <t>PC_CSP_Title_Recording</t>
  </si>
  <si>
    <t>SC - Environmental</t>
  </si>
  <si>
    <t>Green Building Cert/ Inspections</t>
  </si>
  <si>
    <t>Construction Insurance</t>
  </si>
  <si>
    <t>Insurance Construction</t>
  </si>
  <si>
    <t>Include line 96 Construction Liability Insurance.</t>
  </si>
  <si>
    <t>Constr_Hazard_insur</t>
  </si>
  <si>
    <t>PC_CSP_Const_Insurance</t>
  </si>
  <si>
    <t>SC - Tax Credit Fee</t>
  </si>
  <si>
    <t>Construction Liability Insurance</t>
  </si>
  <si>
    <t>**Tax Credit Fee</t>
  </si>
  <si>
    <t>Other Interim/Const Costs</t>
  </si>
  <si>
    <t>Temporary Relocation Expenses</t>
  </si>
  <si>
    <t>Actual Addl Cost 12</t>
  </si>
  <si>
    <t xml:space="preserve"> Temp_Reloocation_</t>
  </si>
  <si>
    <t>PC_CSP_Temp_Relocation</t>
  </si>
  <si>
    <t>SC - Tap Fees</t>
  </si>
  <si>
    <t>Permanent Relocation Expenses</t>
  </si>
  <si>
    <t>Actual Addl Cost 11</t>
  </si>
  <si>
    <t>SC - Certification</t>
  </si>
  <si>
    <t>Other Interim/Construction Costs</t>
  </si>
  <si>
    <t>Other Construction 2 (was Addl Cost 5)</t>
  </si>
  <si>
    <t>Other_Constr_Costs_</t>
  </si>
  <si>
    <t>SC - Mrkt Gen Lease Up</t>
  </si>
  <si>
    <t xml:space="preserve">Subtotal Contractor Related Fees </t>
  </si>
  <si>
    <t>SC - Other8</t>
  </si>
  <si>
    <t>SC - Other8 Comments</t>
  </si>
  <si>
    <t>Total Construction Period Expense</t>
  </si>
  <si>
    <t>SC - Miscellaneous</t>
  </si>
  <si>
    <t>PERMANENT FINANCING EXPENSES</t>
  </si>
  <si>
    <t>LENDER &amp; FINANCING RELATED EXPENSES</t>
  </si>
  <si>
    <t>SC - Development Mgt</t>
  </si>
  <si>
    <t>Permanent Loan Origination Fee - Non WHEDA</t>
  </si>
  <si>
    <t>Perm Loan Fee</t>
  </si>
  <si>
    <t>SC - Other9</t>
  </si>
  <si>
    <t>SC - Other9 Comments</t>
  </si>
  <si>
    <t>Permanent Loan Origination Fee - WHEDA</t>
  </si>
  <si>
    <t>Actual Addl Cost 7</t>
  </si>
  <si>
    <t>**Development Management</t>
  </si>
  <si>
    <t>Perm Lender Origination/Points</t>
  </si>
  <si>
    <t>SC - Consultants</t>
  </si>
  <si>
    <t>Perm Lender Legal Fees</t>
  </si>
  <si>
    <t>Permanent Loan Credit Enhancement</t>
  </si>
  <si>
    <t>Other Perm Loan Fees</t>
  </si>
  <si>
    <t>Perm Closing Title and Recording</t>
  </si>
  <si>
    <t xml:space="preserve">Perm Closing Property Taxes  </t>
  </si>
  <si>
    <t>Legal Fees - Real Estate</t>
  </si>
  <si>
    <t>Actual Addl Cost 14</t>
  </si>
  <si>
    <t>Other Financing Fees and Expenses</t>
  </si>
  <si>
    <t>Actual Addl Cost 8</t>
  </si>
  <si>
    <t>Total Permanent Financing</t>
  </si>
  <si>
    <t>ARCHITECTURAL &amp; ENGINEERING EXPENSES</t>
  </si>
  <si>
    <t>Architect's Fee - Design</t>
  </si>
  <si>
    <t>Arch Engin Design Fee</t>
  </si>
  <si>
    <t>Architect's Fee - Inspection/Supervision</t>
  </si>
  <si>
    <t>Arch Supervision Fee</t>
  </si>
  <si>
    <t>Engineering Costs</t>
  </si>
  <si>
    <t>Engineering</t>
  </si>
  <si>
    <t xml:space="preserve">Survey </t>
  </si>
  <si>
    <t>Actual Addl Cost 9</t>
  </si>
  <si>
    <t>Other Architect and Engineering</t>
  </si>
  <si>
    <t>Total Architectural &amp; Engineering</t>
  </si>
  <si>
    <t>SYNDICATION FEES &amp; EXPENSES</t>
  </si>
  <si>
    <t>Organizational (Partnership)</t>
  </si>
  <si>
    <t>Other Syndication Costs</t>
  </si>
  <si>
    <t>Tax Opinion</t>
  </si>
  <si>
    <t>Total Syndication Fees &amp; Expenses</t>
  </si>
  <si>
    <t>Addl Cost 5</t>
  </si>
  <si>
    <t>CAPITALIZED RESERVES</t>
  </si>
  <si>
    <t>Operating Reserve</t>
  </si>
  <si>
    <t>Oper Reserve</t>
  </si>
  <si>
    <t>Replacement Reserve</t>
  </si>
  <si>
    <t>Actual Addl Cost 19</t>
  </si>
  <si>
    <t>Lease-up Operating Deficit</t>
  </si>
  <si>
    <t>Actual Addl Cost 20</t>
  </si>
  <si>
    <t>Debt Service Reserve</t>
  </si>
  <si>
    <t>Capital Needs Reserve</t>
  </si>
  <si>
    <t>Other Reserves</t>
  </si>
  <si>
    <t>Escrows</t>
  </si>
  <si>
    <t>Other Capitalized Reserves</t>
  </si>
  <si>
    <t>Total Capitalized Reserves</t>
  </si>
  <si>
    <t>REPORTS, STUDIES &amp; RELATED WORK</t>
  </si>
  <si>
    <t>Reports &amp; Studies</t>
  </si>
  <si>
    <t>Appraisal(s)</t>
  </si>
  <si>
    <t>Appraisal Fee</t>
  </si>
  <si>
    <t>Market Study</t>
  </si>
  <si>
    <t>Capital Needs Assessment Report</t>
  </si>
  <si>
    <t>Actual Addl Cost 13</t>
  </si>
  <si>
    <t>Environmental Report</t>
  </si>
  <si>
    <t>Enviro Study</t>
  </si>
  <si>
    <t>Done^</t>
  </si>
  <si>
    <t>Subtotal Reports &amp; Studies</t>
  </si>
  <si>
    <t>Additional Reports &amp; Studies</t>
  </si>
  <si>
    <t>Environmental Review Fee (HOME/Risk Share)</t>
  </si>
  <si>
    <t xml:space="preserve">Soils GeoTech Report / Soil Borings Expense </t>
  </si>
  <si>
    <t>Boundary / Topo-Survey</t>
  </si>
  <si>
    <t>Third Party Review Fees</t>
  </si>
  <si>
    <t>Other Zoning Study</t>
  </si>
  <si>
    <t>Other Reports &amp; Studies</t>
  </si>
  <si>
    <t>Subtotal Additional Reports &amp; Studies</t>
  </si>
  <si>
    <t>Total Reports &amp; Studies</t>
  </si>
  <si>
    <t>OTHER SOFT COSTS</t>
  </si>
  <si>
    <t xml:space="preserve">Federal / Historic Tax Credit Fees </t>
  </si>
  <si>
    <t xml:space="preserve">Tax Credit Application Fee </t>
  </si>
  <si>
    <t>Tax Credit Fee</t>
  </si>
  <si>
    <t xml:space="preserve">Tax Credit Allocation Fee </t>
  </si>
  <si>
    <t>Tax Credit Compliance Fee</t>
  </si>
  <si>
    <t xml:space="preserve">Local / Building Permit Fees </t>
  </si>
  <si>
    <t>Water, Sewer and Impact Fees</t>
  </si>
  <si>
    <t>Net Local Development Impact Fees</t>
  </si>
  <si>
    <t>Commercial Costs - non-construction related)</t>
  </si>
  <si>
    <t>Cost Certification/Accounting Fees</t>
  </si>
  <si>
    <t>Cost Cert Fee</t>
  </si>
  <si>
    <t>Rent-Up Marketing Expense</t>
  </si>
  <si>
    <t>Actual Addl Cost 10</t>
  </si>
  <si>
    <t>Commercial Marketing &amp; Rent-Up Expenses</t>
  </si>
  <si>
    <t>Mortgage Payoff - N/A for Tax Credit Application</t>
  </si>
  <si>
    <t>Other Miscellaneous Costs</t>
  </si>
  <si>
    <t>Actual Addl Cost 15</t>
  </si>
  <si>
    <t>Total Other Costs</t>
  </si>
  <si>
    <t xml:space="preserve">SUBTOTAL </t>
  </si>
  <si>
    <t>DEVELOPER EARNED FEES &amp; EXPENSES</t>
  </si>
  <si>
    <t>Developer's Fee Received</t>
  </si>
  <si>
    <t>Developer Fees</t>
  </si>
  <si>
    <t>Developer's Fee - Deferred</t>
  </si>
  <si>
    <t>Actual Addl Cost 17</t>
  </si>
  <si>
    <t>Developer Overhead</t>
  </si>
  <si>
    <t>Consultants</t>
  </si>
  <si>
    <t>Actual Addl Cost 18</t>
  </si>
  <si>
    <t>Construction Oversight &amp; Mgmt.</t>
  </si>
  <si>
    <t>Other Developer's Fees</t>
  </si>
  <si>
    <t>Total Developer Costs</t>
  </si>
  <si>
    <t>TOTAL DEVELOPMENT COST</t>
  </si>
  <si>
    <t>Less Federal Financing</t>
  </si>
  <si>
    <t>Less Nonqualified Nonrecourse Financing</t>
  </si>
  <si>
    <t>Less Historic Tax Credit Residential</t>
  </si>
  <si>
    <t>Less other</t>
  </si>
  <si>
    <t>Describe:</t>
  </si>
  <si>
    <t>Total Eligible Basis</t>
  </si>
  <si>
    <t>Add Adjustment for QCT/DDA</t>
  </si>
  <si>
    <t>Deduction  from QCT/DDA Adjustment</t>
  </si>
  <si>
    <t>Add HFA Boost</t>
  </si>
  <si>
    <t>Deduction from HFA Boost</t>
  </si>
  <si>
    <t>Applicable Fraction</t>
  </si>
  <si>
    <t>Total Qualified Basis</t>
  </si>
  <si>
    <t>Tax Credit Percentage Rate</t>
  </si>
  <si>
    <t>Applicable Percentage</t>
  </si>
  <si>
    <t>Tax Credit Allocation Month</t>
  </si>
  <si>
    <t>Federal Tax Credits at Estimated Rate</t>
  </si>
  <si>
    <t>Total Federal Tax credits at Estimated Rate</t>
  </si>
  <si>
    <t>Previous Year's Allocation</t>
  </si>
  <si>
    <t>Tax Credits Requested</t>
  </si>
  <si>
    <t>Total Project Costs</t>
  </si>
  <si>
    <t>Less Loans</t>
  </si>
  <si>
    <t>Non Qual Financing</t>
  </si>
  <si>
    <t>Less Grants</t>
  </si>
  <si>
    <t>Fed Grant Financing</t>
  </si>
  <si>
    <t>Less Historic Rehab Credits</t>
  </si>
  <si>
    <t>Historic TC Residential</t>
  </si>
  <si>
    <t>Less - Other</t>
  </si>
  <si>
    <t>Costs of Non Qual Units</t>
  </si>
  <si>
    <t>Total Sources of Funds</t>
  </si>
  <si>
    <t>Total Equity Gap</t>
  </si>
  <si>
    <t>Weighted Equity Gap Allocation</t>
  </si>
  <si>
    <t>Number of Years the Credits are Claimed</t>
  </si>
  <si>
    <t>Divided by Years of Credit</t>
  </si>
  <si>
    <t>Pricing per Credit</t>
  </si>
  <si>
    <t xml:space="preserve">Divided by Equity Pricing </t>
  </si>
  <si>
    <t>Divided by Investor Ownership Interest</t>
  </si>
  <si>
    <t>Annual Credit Award</t>
  </si>
  <si>
    <t>Total Annual Credit Amount Request</t>
  </si>
  <si>
    <t>Projected Operating Costs</t>
  </si>
  <si>
    <t>I. Rent Expenses</t>
  </si>
  <si>
    <t>Convention and Meetings</t>
  </si>
  <si>
    <t>Subtotal: Rent</t>
  </si>
  <si>
    <t>Management Consultants</t>
  </si>
  <si>
    <t>Subtotal: Admin</t>
  </si>
  <si>
    <t>Advertising / Marketing Expense</t>
  </si>
  <si>
    <t>Subtotal: Utilities</t>
  </si>
  <si>
    <t xml:space="preserve">Other </t>
  </si>
  <si>
    <t>Subtotal: Oper &amp; Maint</t>
  </si>
  <si>
    <t>Subtotal: Taxes &amp; Insur</t>
  </si>
  <si>
    <t>II. Administrative Expenses</t>
  </si>
  <si>
    <t>Subtotal: Service Expense</t>
  </si>
  <si>
    <t>Office Salaries</t>
  </si>
  <si>
    <t>Total Operating Expenses</t>
  </si>
  <si>
    <t>Office Expenses</t>
  </si>
  <si>
    <t>Per Unit Per Month</t>
  </si>
  <si>
    <t>Office or Model Apartment Rent</t>
  </si>
  <si>
    <t>Management Fee - Residential Rents</t>
  </si>
  <si>
    <t>Management Fee - Commercial Rents</t>
  </si>
  <si>
    <t>Management Fee - Misc. Income</t>
  </si>
  <si>
    <t>Manager/Superintendent Salaries</t>
  </si>
  <si>
    <t>Administrative Rent - Free Unit</t>
  </si>
  <si>
    <t>Legal Expenses - Project Only</t>
  </si>
  <si>
    <t>Auditing Expenses - Project Only</t>
  </si>
  <si>
    <t>Bookkeeping Fees/Accounting Services</t>
  </si>
  <si>
    <t>Tax Credit Monitoring Fees</t>
  </si>
  <si>
    <t>Bad Debt Expense</t>
  </si>
  <si>
    <t>Other Administrative Expenses</t>
  </si>
  <si>
    <t>III. Utilities Expenses</t>
  </si>
  <si>
    <t>Fuel Oil</t>
  </si>
  <si>
    <t>Electricity</t>
  </si>
  <si>
    <t>Water</t>
  </si>
  <si>
    <t>Sewer</t>
  </si>
  <si>
    <t>Owner - Paid Amenities</t>
  </si>
  <si>
    <t>IV. Operating &amp; Maintenance Expenses</t>
  </si>
  <si>
    <t xml:space="preserve">Payroll   </t>
  </si>
  <si>
    <t xml:space="preserve">Supplies  </t>
  </si>
  <si>
    <t>Contracts</t>
  </si>
  <si>
    <t>Operating and Maintenance Rent Fee Unit</t>
  </si>
  <si>
    <t>Garbage and Trash Removal</t>
  </si>
  <si>
    <t>Security Payroll / Contract (incl taxes and benefits)</t>
  </si>
  <si>
    <t>Security Rent Free Unit</t>
  </si>
  <si>
    <t>Heating / Cooling Repairs Maintenance</t>
  </si>
  <si>
    <t>Snow Removal</t>
  </si>
  <si>
    <t>Vehicle / Maintenace Equipment Operation &amp; Repairs</t>
  </si>
  <si>
    <t>Misc. Operating &amp; Maintenance Expenses</t>
  </si>
  <si>
    <t>V. Taxes and Insurance</t>
  </si>
  <si>
    <t>Real Estate &amp; Personal Property  Taxes</t>
  </si>
  <si>
    <t>Property and Liability Insurance (Hazard)</t>
  </si>
  <si>
    <t>Miscellaneous Taxes, Licenses and Permits</t>
  </si>
  <si>
    <t>Payroll Taxes - Project Share</t>
  </si>
  <si>
    <t>Fidelity Bond Issuance</t>
  </si>
  <si>
    <t>Workmen's Compensation</t>
  </si>
  <si>
    <t>Health Insurance and Other Employee Benefits</t>
  </si>
  <si>
    <t>Misc. Taxes, Licenses, Permits, and Insurance</t>
  </si>
  <si>
    <t>VI. Total Service Expense</t>
  </si>
  <si>
    <t>Dietary Salaries</t>
  </si>
  <si>
    <t>Dietary Purchased Serv</t>
  </si>
  <si>
    <t>Food</t>
  </si>
  <si>
    <t>Registerd Nurse Salary</t>
  </si>
  <si>
    <t>Housekeeping Salary</t>
  </si>
  <si>
    <t>Housekeeping Supply</t>
  </si>
  <si>
    <t>Other Housekeeping</t>
  </si>
  <si>
    <t>Housekeeping Purchased Serv</t>
  </si>
  <si>
    <t>Medical Supplies</t>
  </si>
  <si>
    <t>Medical Purchased Serv</t>
  </si>
  <si>
    <t>Laundry/Linen</t>
  </si>
  <si>
    <t>Laundry Salaries</t>
  </si>
  <si>
    <t>Laundry Purchased Serv</t>
  </si>
  <si>
    <t>Laundry Supplies</t>
  </si>
  <si>
    <t>Medical Records Salary</t>
  </si>
  <si>
    <t>Medical Records Supply</t>
  </si>
  <si>
    <t>Med Records Purchased Srv</t>
  </si>
  <si>
    <t>Recreation/Rehab</t>
  </si>
  <si>
    <t>Activities Supplies</t>
  </si>
  <si>
    <t>Activities Purchased Serv</t>
  </si>
  <si>
    <t>Rehab Salaries</t>
  </si>
  <si>
    <t>Rehab Supplies</t>
  </si>
  <si>
    <t>Rehab Purchased Serv</t>
  </si>
  <si>
    <t>Other Support Serv</t>
  </si>
  <si>
    <t>Annual Replacement Reserve</t>
  </si>
  <si>
    <t>Map to Replacement Reserves  (Feasibility tab in ProLink).</t>
  </si>
  <si>
    <t>Subtotal Service Expense</t>
  </si>
  <si>
    <t xml:space="preserve">16. Scoring </t>
  </si>
  <si>
    <t>1. Lower-Income Areas</t>
  </si>
  <si>
    <t xml:space="preserve">2. Energy Efficiency and Sustainability </t>
  </si>
  <si>
    <t xml:space="preserve">3. Mixed-Income Incentive </t>
  </si>
  <si>
    <t xml:space="preserve">4. Serves Large Families </t>
  </si>
  <si>
    <t xml:space="preserve">5. Serves Lowest-Income Residents </t>
  </si>
  <si>
    <t xml:space="preserve">6. Supportive Housing </t>
  </si>
  <si>
    <t>7. Rehab/Neighborhood Stabilization</t>
  </si>
  <si>
    <t xml:space="preserve">8. Universal Design </t>
  </si>
  <si>
    <t xml:space="preserve">9. Financial Leverage </t>
  </si>
  <si>
    <t>10. Eventual Tenant Ownership</t>
  </si>
  <si>
    <t xml:space="preserve">11. Development Team </t>
  </si>
  <si>
    <t xml:space="preserve">12. Readiness to Proceed </t>
  </si>
  <si>
    <t xml:space="preserve">13. Areas of Economic Opportunity </t>
  </si>
  <si>
    <t>14. Rural Areas without Recent Housing Tax Credit Awards (D.3. Site Characteristics)</t>
  </si>
  <si>
    <t>16. Community Services Facilities</t>
  </si>
  <si>
    <t>Total Score</t>
  </si>
  <si>
    <t>STATIC VALUES</t>
  </si>
  <si>
    <t>Exended Use Agreement</t>
  </si>
  <si>
    <t>15</t>
  </si>
  <si>
    <t>(Mapping all TCA Deals to 15 years)</t>
  </si>
  <si>
    <t>v25.1.9</t>
  </si>
  <si>
    <t>Table of Contents</t>
  </si>
  <si>
    <r>
      <rPr>
        <b/>
        <sz val="11"/>
        <color theme="1"/>
        <rFont val="Calibri"/>
        <family val="2"/>
        <scheme val="minor"/>
      </rPr>
      <t>Instructions</t>
    </r>
    <r>
      <rPr>
        <sz val="11"/>
        <color theme="1"/>
        <rFont val="Calibri"/>
        <family val="2"/>
        <scheme val="minor"/>
      </rPr>
      <t>: Complete the WHEDA Multifamily Application for any WHEDA administered resources. For</t>
    </r>
  </si>
  <si>
    <t>Housing Tax Credits,  complete all tabs marked required for HTC. For WHEDA financed loans, complete</t>
  </si>
  <si>
    <t>Data Validation Settings:</t>
  </si>
  <si>
    <t>all tabs required for Financing.</t>
  </si>
  <si>
    <t>Apply to A1:Q:53</t>
  </si>
  <si>
    <t>Allow: Custom</t>
  </si>
  <si>
    <t xml:space="preserve">Required for </t>
  </si>
  <si>
    <t>Data: between (greyed out)</t>
  </si>
  <si>
    <t>HTC</t>
  </si>
  <si>
    <t>Financing</t>
  </si>
  <si>
    <t>Formula: &lt;0&gt;0</t>
  </si>
  <si>
    <t>ü</t>
  </si>
  <si>
    <t>908 East Main Street, Ste 501</t>
  </si>
  <si>
    <t>PO Box 1728</t>
  </si>
  <si>
    <t>Madison WI 53701-1728</t>
  </si>
  <si>
    <t>608-266-7884</t>
  </si>
  <si>
    <t>611 W National Ave, Ste 110</t>
  </si>
  <si>
    <t>Milwaukee WI 53204-1768</t>
  </si>
  <si>
    <t>414-227-4039</t>
  </si>
  <si>
    <t>Application Checklist - Submit with Initial Application Only</t>
  </si>
  <si>
    <t>Self-Scoring Checklist - Submit with Initial Application Only</t>
  </si>
  <si>
    <t>Project Summary</t>
  </si>
  <si>
    <t>Application</t>
  </si>
  <si>
    <t>Project Number</t>
  </si>
  <si>
    <t xml:space="preserve">Please provide a detailed description of the proposed project. Explain how this project fills the need of the intended community and any unique aspect about the site, development, or any other relevant information about this project. </t>
  </si>
  <si>
    <t>Deal Stage</t>
  </si>
  <si>
    <t>TC Deal Status</t>
  </si>
  <si>
    <t xml:space="preserve">Dev Deal </t>
  </si>
  <si>
    <t>Dev Deal Stage</t>
  </si>
  <si>
    <t>Project</t>
  </si>
  <si>
    <t>Development Team</t>
  </si>
  <si>
    <t>Co-Developer</t>
  </si>
  <si>
    <t>General Contractor</t>
  </si>
  <si>
    <t>Management Agent</t>
  </si>
  <si>
    <t>Housing Tax Credit Request</t>
  </si>
  <si>
    <t>9% Federal Credit</t>
  </si>
  <si>
    <t>4% Federal Credit</t>
  </si>
  <si>
    <t>4% State Credit</t>
  </si>
  <si>
    <t>Federal 10 YR Total</t>
  </si>
  <si>
    <t>State 6 YR Total</t>
  </si>
  <si>
    <t>Unit Mix Analysis</t>
  </si>
  <si>
    <t>Unit Mix Summary</t>
  </si>
  <si>
    <t>Unit Information</t>
  </si>
  <si>
    <t># Units</t>
  </si>
  <si>
    <t>CMI</t>
  </si>
  <si>
    <t>Total</t>
  </si>
  <si>
    <t>Total Subsidized Units</t>
  </si>
  <si>
    <t>Rural Development (RD)</t>
  </si>
  <si>
    <t>Project-Based - VASH</t>
  </si>
  <si>
    <t>Section 8 Rent Supplemental or RA Payment:</t>
  </si>
  <si>
    <t>HUD - Project Based Section 8 HAP</t>
  </si>
  <si>
    <t>HUD - RAD (PBRA - Project Based Voucher)</t>
  </si>
  <si>
    <t>HUD - 236</t>
  </si>
  <si>
    <t>Market</t>
  </si>
  <si>
    <t>Veterans Units</t>
  </si>
  <si>
    <t>Supportive Units</t>
  </si>
  <si>
    <t>Unit Mix Distribution Analysis</t>
  </si>
  <si>
    <t>All Units</t>
  </si>
  <si>
    <t>Financial Summary</t>
  </si>
  <si>
    <t>Operating Budget Highlights</t>
  </si>
  <si>
    <t>Financing Sources</t>
  </si>
  <si>
    <t>Budget Item</t>
  </si>
  <si>
    <t>Year One</t>
  </si>
  <si>
    <t>PUPM</t>
  </si>
  <si>
    <t>Loans</t>
  </si>
  <si>
    <t>Total Rent</t>
  </si>
  <si>
    <t>Permanent First Loan, Hard Debt (WHEDA Financed)</t>
  </si>
  <si>
    <t>Other Income</t>
  </si>
  <si>
    <t>Vacancy</t>
  </si>
  <si>
    <t>Operating Expenses</t>
  </si>
  <si>
    <t>Rent Expense</t>
  </si>
  <si>
    <t>Management Fee</t>
  </si>
  <si>
    <t xml:space="preserve">HOME </t>
  </si>
  <si>
    <t>Other Administrative Expense</t>
  </si>
  <si>
    <t>Utilities Expense</t>
  </si>
  <si>
    <t>Operating &amp; Maintenance Expenses</t>
  </si>
  <si>
    <t>Taxes and Insurance</t>
  </si>
  <si>
    <t>Service Expense</t>
  </si>
  <si>
    <t>Replacement Reserves</t>
  </si>
  <si>
    <t>Total Expenses</t>
  </si>
  <si>
    <t>Net Operating Income</t>
  </si>
  <si>
    <t>1st Mtg Y1 DCR</t>
  </si>
  <si>
    <t>1st Mtg Y15 DCR</t>
  </si>
  <si>
    <t>Equity/Owner Investment</t>
  </si>
  <si>
    <t>Federal Housing Tax Credit Equity</t>
  </si>
  <si>
    <t>State Housing Tax Credit Equity</t>
  </si>
  <si>
    <t>Hard / Construction 
Costs</t>
  </si>
  <si>
    <t>Historic Tax Credit Equity</t>
  </si>
  <si>
    <t>Developer Costs</t>
  </si>
  <si>
    <t>Deferred Developer Fee</t>
  </si>
  <si>
    <t>Soft Costs</t>
  </si>
  <si>
    <t>Reserves</t>
  </si>
  <si>
    <t>Total Sources</t>
  </si>
  <si>
    <t>Financial Feasibility</t>
  </si>
  <si>
    <t>WHEDA will evaluate the financial feasibility of all HTC Applications. Feasibility is determined by taking into account a variety of factors including: projected operating expenses, replacement reserves, rents and other income, vacancy assumptions, debt service and expected equity proceeds. 
Developments submitted with operating expenses, operating reserves, replacement reserves and/or a debt coverage ratio outside the prescribed ranges, without documentation, will be considered infeasible. At WHEDA's discretion, only acquisition/rehabilitation projects will be permitted to request a variance on the posted operating expense range(s). Provide a copy of last three (3) years P&amp;L (revenue &amp; expenses) statements for currently operating developments. Submit operating expense documentation to support the proposed operating expense assumption for the proposed project.</t>
  </si>
  <si>
    <t xml:space="preserve">PUPM Operating Expenses &amp; Replacement Reserves </t>
  </si>
  <si>
    <t>Expected Range</t>
  </si>
  <si>
    <t>Per Unit Month Note</t>
  </si>
  <si>
    <t>Single Family Homes/Duplex</t>
  </si>
  <si>
    <t>$575 to $650</t>
  </si>
  <si>
    <t>$500 to $575</t>
  </si>
  <si>
    <t>Family/Other</t>
  </si>
  <si>
    <t>$550 to $625</t>
  </si>
  <si>
    <t>*Submit operating expense documentation to support the proposed operating expense assumption for the proposed project.</t>
  </si>
  <si>
    <t>Debt Coverage Ratio: Primary "Must Pay" Debt</t>
  </si>
  <si>
    <t>Debt Ratio Note</t>
  </si>
  <si>
    <t>All Projects</t>
  </si>
  <si>
    <t>1.15 to 1.40</t>
  </si>
  <si>
    <t>Operating Reserve Months</t>
  </si>
  <si>
    <t>Expected Value</t>
  </si>
  <si>
    <t>Operating Reserve Note</t>
  </si>
  <si>
    <t>6 months or more</t>
  </si>
  <si>
    <t>Annual Per-Unit Replacement Reserves</t>
  </si>
  <si>
    <t>Annual Reserves Note</t>
  </si>
  <si>
    <t>New Construction, Age Restricted</t>
  </si>
  <si>
    <t>$250 or more</t>
  </si>
  <si>
    <t>New Construction, Family</t>
  </si>
  <si>
    <t>$300 or more</t>
  </si>
  <si>
    <t>$400 or more</t>
  </si>
  <si>
    <t>General Requirements Note</t>
  </si>
  <si>
    <t>5% or less</t>
  </si>
  <si>
    <t>Contractor Overhead Note</t>
  </si>
  <si>
    <t>2% or less</t>
  </si>
  <si>
    <t>Contractor Profit Note</t>
  </si>
  <si>
    <t>Deferred Developer Fee Repaid within 15 years</t>
  </si>
  <si>
    <t>Deferred Fee Repayment Note</t>
  </si>
  <si>
    <t>Repaid within 15 years</t>
  </si>
  <si>
    <t xml:space="preserve">Unit Mix Threshold </t>
  </si>
  <si>
    <t>Unit Mix Note</t>
  </si>
  <si>
    <t>Check for red shading on Unit Mix Distribution Analysis</t>
  </si>
  <si>
    <t>Project Location</t>
  </si>
  <si>
    <t xml:space="preserve">Project Name </t>
  </si>
  <si>
    <t xml:space="preserve">Is project a Scattered Site? </t>
  </si>
  <si>
    <t>Please submit an Appendix W - Additional Sites Addendum</t>
  </si>
  <si>
    <t xml:space="preserve">Street Address </t>
  </si>
  <si>
    <t>Input additional building and address information on Tab 7: Site Control</t>
  </si>
  <si>
    <t xml:space="preserve">City </t>
  </si>
  <si>
    <t xml:space="preserve">State </t>
  </si>
  <si>
    <t>Wisconsin</t>
  </si>
  <si>
    <t xml:space="preserve"> County </t>
  </si>
  <si>
    <t xml:space="preserve">Zip Code </t>
  </si>
  <si>
    <t xml:space="preserve">Is project in a Qualified Census Tract? </t>
  </si>
  <si>
    <t xml:space="preserve">Is project in a Difficult Development Area? </t>
  </si>
  <si>
    <t xml:space="preserve">Census Tract </t>
  </si>
  <si>
    <t xml:space="preserve">Difficult Development Area Number </t>
  </si>
  <si>
    <t xml:space="preserve">School District </t>
  </si>
  <si>
    <t xml:space="preserve">Did this Project win an RFP/RFQ? </t>
  </si>
  <si>
    <t xml:space="preserve">Does a community revitalization plan exist? </t>
  </si>
  <si>
    <t xml:space="preserve">Located on Federally Designated Tribal Land </t>
  </si>
  <si>
    <t>city</t>
  </si>
  <si>
    <t xml:space="preserve">Political Jurisdiction </t>
  </si>
  <si>
    <t>county</t>
  </si>
  <si>
    <t xml:space="preserve">Jurisdiction CEO First Name </t>
  </si>
  <si>
    <t xml:space="preserve">Last Name </t>
  </si>
  <si>
    <t xml:space="preserve">Title </t>
  </si>
  <si>
    <t>zip</t>
  </si>
  <si>
    <t xml:space="preserve">Jurisdiction Street Address </t>
  </si>
  <si>
    <t>census</t>
  </si>
  <si>
    <t xml:space="preserve">Jurisdiction City </t>
  </si>
  <si>
    <t xml:space="preserve">Jurisdiction Phone </t>
  </si>
  <si>
    <t xml:space="preserve">E-Mail Address </t>
  </si>
  <si>
    <t>qualified census tract</t>
  </si>
  <si>
    <t xml:space="preserve">Wisconsin Assembly District </t>
  </si>
  <si>
    <t>community revitalization plan</t>
  </si>
  <si>
    <t xml:space="preserve">Wisconsin Senate District </t>
  </si>
  <si>
    <t>difficult development area</t>
  </si>
  <si>
    <t xml:space="preserve">US Congressional District </t>
  </si>
  <si>
    <t>political jurisdiction</t>
  </si>
  <si>
    <t>Applicant Notes</t>
  </si>
  <si>
    <t>last name</t>
  </si>
  <si>
    <t>title</t>
  </si>
  <si>
    <t>jurisdiction address</t>
  </si>
  <si>
    <t>phone</t>
  </si>
  <si>
    <t>email</t>
  </si>
  <si>
    <t>SUM</t>
  </si>
  <si>
    <t xml:space="preserve">Internal Use Only: </t>
  </si>
  <si>
    <t>Underwriter Notes</t>
  </si>
  <si>
    <t xml:space="preserve">Project Type </t>
  </si>
  <si>
    <t xml:space="preserve">New Construction Units </t>
  </si>
  <si>
    <t xml:space="preserve">Acquisition Rehab Units </t>
  </si>
  <si>
    <t xml:space="preserve">Adaptive Reuse Units </t>
  </si>
  <si>
    <t xml:space="preserve">Equity Takeout/Refinance Units </t>
  </si>
  <si>
    <t xml:space="preserve">Will this project be utilizing federal assistance? </t>
  </si>
  <si>
    <t xml:space="preserve">Will this project be receiving project based federal rental assistance? </t>
  </si>
  <si>
    <t xml:space="preserve">HUD RAD </t>
  </si>
  <si>
    <t xml:space="preserve">Number of Units </t>
  </si>
  <si>
    <t xml:space="preserve">RD/Rental Assistance </t>
  </si>
  <si>
    <t xml:space="preserve">Section 221(d)(3) BMIR </t>
  </si>
  <si>
    <t xml:space="preserve">Section 236 </t>
  </si>
  <si>
    <t xml:space="preserve">Section 8 Rent Supplemental or Rental Assistance Payment </t>
  </si>
  <si>
    <t xml:space="preserve">Section 8 Housing Assistance Payment Contract </t>
  </si>
  <si>
    <t xml:space="preserve">VASH Vouchers </t>
  </si>
  <si>
    <t xml:space="preserve">Section 811 Vouchers </t>
  </si>
  <si>
    <t xml:space="preserve">Is HUD approval for transfer of physical asset required? </t>
  </si>
  <si>
    <t xml:space="preserve">Is RD approval for transfer of physical asset required? </t>
  </si>
  <si>
    <t xml:space="preserve"> Is WHEDA approval for transfer of physical asset required? </t>
  </si>
  <si>
    <t xml:space="preserve">Any existing LURA? </t>
  </si>
  <si>
    <t xml:space="preserve">Has project previously submitted for credits? </t>
  </si>
  <si>
    <t>Please provide the previous project number:</t>
  </si>
  <si>
    <t>Family *</t>
  </si>
  <si>
    <t xml:space="preserve">* Number of Units </t>
  </si>
  <si>
    <t>isFamily</t>
  </si>
  <si>
    <t>Age Restricted *</t>
  </si>
  <si>
    <t>isAge Restricted</t>
  </si>
  <si>
    <t xml:space="preserve">Homeless </t>
  </si>
  <si>
    <t>isHomeless</t>
  </si>
  <si>
    <t xml:space="preserve">Supportive Housing </t>
  </si>
  <si>
    <t>isSupportiveHousing</t>
  </si>
  <si>
    <t xml:space="preserve">Single Room Occupancy </t>
  </si>
  <si>
    <t xml:space="preserve"> Number of Units </t>
  </si>
  <si>
    <t>isSingleRoomOccupancy</t>
  </si>
  <si>
    <t xml:space="preserve">CBRF </t>
  </si>
  <si>
    <t>isCBRF</t>
  </si>
  <si>
    <t xml:space="preserve">RCAC </t>
  </si>
  <si>
    <t>isRCAC</t>
  </si>
  <si>
    <t>* Auto-filled from tab 11. Unit Mix.</t>
  </si>
  <si>
    <t xml:space="preserve">Is this an application for additional credit? </t>
  </si>
  <si>
    <t xml:space="preserve">If yes, list name of project and WHEDA application number </t>
  </si>
  <si>
    <t xml:space="preserve">Is this a credit application for a property that has completed its HTC compliance period? </t>
  </si>
  <si>
    <t xml:space="preserve">For App 2 &amp; App 3, enter the annual State TC award amount </t>
  </si>
  <si>
    <t xml:space="preserve">Set-Aside </t>
  </si>
  <si>
    <t>Rural Set Aside?</t>
  </si>
  <si>
    <t xml:space="preserve">Credit percentage applied for </t>
  </si>
  <si>
    <t>State Credit?</t>
  </si>
  <si>
    <t>Credit Percentage Multiplier (State Rural Set-Aside Only, up to 2.00)</t>
  </si>
  <si>
    <t>Would like to remove, it doesn't serve a purpose with the various set-asides</t>
  </si>
  <si>
    <t>Use Multiplier?</t>
  </si>
  <si>
    <t xml:space="preserve">Federal Financing? </t>
  </si>
  <si>
    <t>Multiplier %</t>
  </si>
  <si>
    <t xml:space="preserve">Type of Federal Financing </t>
  </si>
  <si>
    <t xml:space="preserve">Minimum Set-Aside Requirements </t>
  </si>
  <si>
    <t xml:space="preserve">Elevator Building </t>
  </si>
  <si>
    <t xml:space="preserve">Number of Stories </t>
  </si>
  <si>
    <t xml:space="preserve">Non-elevator Building </t>
  </si>
  <si>
    <t xml:space="preserve">Row House/Town House </t>
  </si>
  <si>
    <t xml:space="preserve">Detached Single-Family </t>
  </si>
  <si>
    <t xml:space="preserve">Detached Two-Family (Duplex) </t>
  </si>
  <si>
    <t xml:space="preserve">Other (Please describe) </t>
  </si>
  <si>
    <t xml:space="preserve">Slab on Grade </t>
  </si>
  <si>
    <t xml:space="preserve">Crawl Space </t>
  </si>
  <si>
    <t xml:space="preserve">Partial Basement </t>
  </si>
  <si>
    <t xml:space="preserve">Full Basement </t>
  </si>
  <si>
    <t xml:space="preserve">Rental </t>
  </si>
  <si>
    <t>Rental Targeted For Eventual Tenant Ownership*</t>
  </si>
  <si>
    <t>*(A plan must be submitted incorporating an exit strategy including how units will be marketed and sold to the eventual resident owner as well as</t>
  </si>
  <si>
    <t xml:space="preserve">          detailing the provision of services including home ownership education, training and down payment assistance.)</t>
  </si>
  <si>
    <t>Development Timeline</t>
  </si>
  <si>
    <t>Projected schedule:</t>
  </si>
  <si>
    <t xml:space="preserve">Construction Loan Closing Date </t>
  </si>
  <si>
    <t xml:space="preserve">50% Occupancy Projection Date </t>
  </si>
  <si>
    <t xml:space="preserve">Construction Start Date </t>
  </si>
  <si>
    <t xml:space="preserve">Stabilized Occupancy Projection Date </t>
  </si>
  <si>
    <t xml:space="preserve">Construction Complete Date </t>
  </si>
  <si>
    <t xml:space="preserve">Conversion-Permanent Closing Date </t>
  </si>
  <si>
    <t xml:space="preserve">Expected First Building Placed in Service Date </t>
  </si>
  <si>
    <t xml:space="preserve">Expected Last Building Placed in Service Date </t>
  </si>
  <si>
    <t>Lease Up Period From Date</t>
  </si>
  <si>
    <t xml:space="preserve"> Lease up Period To Date </t>
  </si>
  <si>
    <t xml:space="preserve">Note: Both the Developer and Co-Developer must sign the application. Both the Developer and Co-Developer are expected to own an interest in the controlling entity (managing member or general partner) for the project, materially participate in the development of the project, and make financial guarantees to the investor. If these tests are not met, the entity should be listed as “consultant” under Project Team. </t>
  </si>
  <si>
    <t>Primary Applicant/Developer</t>
  </si>
  <si>
    <t xml:space="preserve">Name </t>
  </si>
  <si>
    <t>Primary Contact</t>
  </si>
  <si>
    <t xml:space="preserve">Telephone Number </t>
  </si>
  <si>
    <t xml:space="preserve">Alternate Number </t>
  </si>
  <si>
    <t xml:space="preserve">Fax </t>
  </si>
  <si>
    <t xml:space="preserve">Email Address </t>
  </si>
  <si>
    <t>Co-Applicant/Developer</t>
  </si>
  <si>
    <t>Is there a Co-Applicant?</t>
  </si>
  <si>
    <t>Additional Information</t>
  </si>
  <si>
    <t xml:space="preserve">Applicant Notes </t>
  </si>
  <si>
    <t xml:space="preserve">Internal Use Only:  </t>
  </si>
  <si>
    <t xml:space="preserve">Underwriter Notes </t>
  </si>
  <si>
    <t xml:space="preserve">Total Site Acreage </t>
  </si>
  <si>
    <t xml:space="preserve">Total Buildable Acreage </t>
  </si>
  <si>
    <t xml:space="preserve">If buildable acreage is less than total acreage, please explain </t>
  </si>
  <si>
    <t xml:space="preserve">Identify utilities and services currently available (and with adequate capacity) for this site </t>
  </si>
  <si>
    <t xml:space="preserve">Storm Sewer </t>
  </si>
  <si>
    <t xml:space="preserve">Sanitary Sewer </t>
  </si>
  <si>
    <t xml:space="preserve">Water </t>
  </si>
  <si>
    <t xml:space="preserve">Gas </t>
  </si>
  <si>
    <t xml:space="preserve">Electric </t>
  </si>
  <si>
    <t xml:space="preserve">Is the demolition of any buildings required or planned? </t>
  </si>
  <si>
    <t xml:space="preserve">If yes, please describe </t>
  </si>
  <si>
    <t xml:space="preserve">Are existing buildings on the site currently occupied? </t>
  </si>
  <si>
    <t xml:space="preserve">If yes, (a) briefly describe the situation </t>
  </si>
  <si>
    <t xml:space="preserve">(b) Will tenant displacement be temporary? </t>
  </si>
  <si>
    <t xml:space="preserve">(c) Will tenant displacement be permanent? </t>
  </si>
  <si>
    <t xml:space="preserve">Describe relocation plan and assistance </t>
  </si>
  <si>
    <t xml:space="preserve">Year Built </t>
  </si>
  <si>
    <t xml:space="preserve">Number of existing units </t>
  </si>
  <si>
    <t xml:space="preserve">Number of occupied units </t>
  </si>
  <si>
    <t xml:space="preserve">Current Occupancy </t>
  </si>
  <si>
    <t xml:space="preserve">Required for all Projects </t>
  </si>
  <si>
    <t xml:space="preserve">Is any part of the site, regardless of where 
 actual building is/will be, in a flood zone? </t>
  </si>
  <si>
    <t xml:space="preserve">Please describe any known prior uses of this site </t>
  </si>
  <si>
    <t xml:space="preserve">Legal Description of Property (5000 Character Limit) </t>
  </si>
  <si>
    <t>Character Count:</t>
  </si>
  <si>
    <t>Nearest Linkages and Services*</t>
  </si>
  <si>
    <t>Distance in Miles</t>
  </si>
  <si>
    <t>Full Service Grocery Store</t>
  </si>
  <si>
    <t xml:space="preserve">Public park with playground equipment or athletic facilities, or hiking/biking trail </t>
  </si>
  <si>
    <t xml:space="preserve">Senior Center </t>
  </si>
  <si>
    <t>Public Elementary, Middle or High School (not scored for Senior)</t>
  </si>
  <si>
    <t>Public Library</t>
  </si>
  <si>
    <t>Job-Training Facility, Community College or Continuing Education Programs</t>
  </si>
  <si>
    <t>Full Service Medical Clinic or Hospital</t>
  </si>
  <si>
    <t>* Will be used to determine eligibility for scoring in Tab 21, Location Score, A1 - Access to Service and Amenities</t>
  </si>
  <si>
    <t xml:space="preserve">Name of Buyer </t>
  </si>
  <si>
    <t>Seller Info</t>
  </si>
  <si>
    <t xml:space="preserve">Name of Seller </t>
  </si>
  <si>
    <t xml:space="preserve">Zip code </t>
  </si>
  <si>
    <t>Seller Contact Info</t>
  </si>
  <si>
    <t>Does an identity of interest (direct or indirect) exist between the
owner/principal or ownership entity with the option/contract
for purchase of the property and the seller of the property?</t>
  </si>
  <si>
    <t xml:space="preserve">If yes, specify the relationship </t>
  </si>
  <si>
    <t xml:space="preserve">Does the Applicant or Developer have fee simple ownership of the property (site/buildings)? </t>
  </si>
  <si>
    <t>If yes, provide</t>
  </si>
  <si>
    <t xml:space="preserve">Purchase Date </t>
  </si>
  <si>
    <t xml:space="preserve">Purchase Price </t>
  </si>
  <si>
    <t>If no</t>
  </si>
  <si>
    <t xml:space="preserve">(a)   Enter the current expiration date of the option/contract to purchase </t>
  </si>
  <si>
    <t xml:space="preserve">(b)   Enter Purchase Price </t>
  </si>
  <si>
    <t>Adaptive Re-use or Rehabilitation Projects Only</t>
  </si>
  <si>
    <t xml:space="preserve">Rehabilitation expenditures allocable to low-income units </t>
  </si>
  <si>
    <t xml:space="preserve">Adjusted building basis </t>
  </si>
  <si>
    <t>Formatting rule D30-D35.</t>
  </si>
  <si>
    <t>Acquisition of Existing Buildings (Adaptive Re-use or  Rehabilitation Projects Only)</t>
  </si>
  <si>
    <t xml:space="preserve">How many buildings will be acquired for the development? </t>
  </si>
  <si>
    <t xml:space="preserve">Are all of the buildings currently under site control for the development? </t>
  </si>
  <si>
    <r>
      <rPr>
        <b/>
        <u/>
        <sz val="12"/>
        <color theme="1"/>
        <rFont val="Calibri"/>
        <family val="2"/>
        <scheme val="minor"/>
      </rPr>
      <t xml:space="preserve">Multi-site Acquisition and Rehabilitation of Single-Family Homes, Duplexes or fourplexes </t>
    </r>
    <r>
      <rPr>
        <sz val="12"/>
        <color theme="1"/>
        <rFont val="Calibri"/>
        <family val="2"/>
        <scheme val="minor"/>
      </rPr>
      <t xml:space="preserve">
1) All intended site addresses must be identified in Application One. 2) WHEDA will only require Site Control, Appraisals, and Capital Needs Assessments on 35% of the application’s sites at Application One (to help reduce application prep cost). 3) The balance of these materials must be submitted within 180 days of Credit Reservation issuance (i.e. submit with Application Two). 4) The substitution of a limited number of sites at Application Two is allowed if the applicant can demonstrate a) the substitution enhances the development, and b) results in no loss of points.</t>
    </r>
  </si>
  <si>
    <t>Building Information</t>
  </si>
  <si>
    <r>
      <t xml:space="preserve">Building information should be entered for </t>
    </r>
    <r>
      <rPr>
        <i/>
        <sz val="12"/>
        <color rgb="FF000000"/>
        <rFont val="Calibri"/>
        <family val="2"/>
        <scheme val="minor"/>
      </rPr>
      <t xml:space="preserve">all </t>
    </r>
    <r>
      <rPr>
        <sz val="12"/>
        <color rgb="FF000000"/>
        <rFont val="Calibri"/>
        <family val="2"/>
        <scheme val="minor"/>
      </rPr>
      <t>projects, not just multi-site projects.</t>
    </r>
  </si>
  <si>
    <t>Number of 
Mkt Units</t>
  </si>
  <si>
    <t>Number of 
TC Units</t>
  </si>
  <si>
    <t>Acquisition Cost
of Building</t>
  </si>
  <si>
    <t>Type of Control</t>
  </si>
  <si>
    <t>Expiration Date 
of Control
Document</t>
  </si>
  <si>
    <t>Please further describe site</t>
  </si>
  <si>
    <t xml:space="preserve">Is the proposed project permitted by the present zoning? </t>
  </si>
  <si>
    <t xml:space="preserve">Is multifamily use permitted? </t>
  </si>
  <si>
    <t xml:space="preserve">Are variances, special or conditional use permits or any other item </t>
  </si>
  <si>
    <t xml:space="preserve">requiring a public hearing needed to develop this proposal? </t>
  </si>
  <si>
    <t xml:space="preserve">If yes, have the hearings been completed and permits been obtained? </t>
  </si>
  <si>
    <t xml:space="preserve">If yes, specify permit or variance required and date obtained. </t>
  </si>
  <si>
    <t xml:space="preserve">If no, describe permits/variances required and schedule for obtaining them. </t>
  </si>
  <si>
    <t xml:space="preserve">Are there any existing conditions of historical significance located on the project </t>
  </si>
  <si>
    <t xml:space="preserve">site that will require Wisconsin State Historical Society office review? </t>
  </si>
  <si>
    <t>If yes, describe</t>
  </si>
  <si>
    <t xml:space="preserve">Are there any existing conditions of environmental significance located on the project site? </t>
  </si>
  <si>
    <t xml:space="preserve">If yes, describe </t>
  </si>
  <si>
    <t>Project Ownership Entity and Development Team</t>
  </si>
  <si>
    <t>List the project ownership entity information.</t>
  </si>
  <si>
    <t xml:space="preserve">Owner Name </t>
  </si>
  <si>
    <t xml:space="preserve">C/O </t>
  </si>
  <si>
    <t xml:space="preserve">Address </t>
  </si>
  <si>
    <t xml:space="preserve">Federal Tax ID Number of Ownership Entity </t>
  </si>
  <si>
    <t xml:space="preserve">Entity Type </t>
  </si>
  <si>
    <t xml:space="preserve">Entity Status </t>
  </si>
  <si>
    <t xml:space="preserve">Ownership Contact Person First Name </t>
  </si>
  <si>
    <t xml:space="preserve">Ownership Contact Person Last Name </t>
  </si>
  <si>
    <t>Required - Upload organizational chart to Procorem along with application</t>
  </si>
  <si>
    <t xml:space="preserve">List all general partners, members, and principals. Specify nonprofit, corporate, general partners, or members. </t>
  </si>
  <si>
    <t xml:space="preserve">Entity/Principal Name </t>
  </si>
  <si>
    <t xml:space="preserve">Entity/Principal Function </t>
  </si>
  <si>
    <t xml:space="preserve">Telephone </t>
  </si>
  <si>
    <t xml:space="preserve">Email </t>
  </si>
  <si>
    <t xml:space="preserve">Nonprofit </t>
  </si>
  <si>
    <t xml:space="preserve">Tax ID </t>
  </si>
  <si>
    <t xml:space="preserve">Ownership Percentage </t>
  </si>
  <si>
    <t xml:space="preserve">Last Name  </t>
  </si>
  <si>
    <t xml:space="preserve"> </t>
  </si>
  <si>
    <t xml:space="preserve">First Name  </t>
  </si>
  <si>
    <t xml:space="preserve">Address  </t>
  </si>
  <si>
    <t xml:space="preserve">City  </t>
  </si>
  <si>
    <t>Applicant/Developer Disclosure</t>
  </si>
  <si>
    <t xml:space="preserve">Required - Upload resume of the development applicant, describe the number of developments, number of units, type of units and if any, type of Assistance (State or Federal). </t>
  </si>
  <si>
    <t>Identity of Interest?</t>
  </si>
  <si>
    <t xml:space="preserve">Company </t>
  </si>
  <si>
    <t xml:space="preserve">Contact First Name </t>
  </si>
  <si>
    <t xml:space="preserve">Contact Last Name </t>
  </si>
  <si>
    <t>Consultant/Application Preparer (if different from developer)</t>
  </si>
  <si>
    <t xml:space="preserve">Is there a Consultant/Application Preparer? </t>
  </si>
  <si>
    <t xml:space="preserve">Identity of Interest? </t>
  </si>
  <si>
    <t>Equity Investor/Syndicator</t>
  </si>
  <si>
    <t>Design Architect</t>
  </si>
  <si>
    <t xml:space="preserve">Is there a Design Architect? </t>
  </si>
  <si>
    <t>Supervisory Architect</t>
  </si>
  <si>
    <t xml:space="preserve">Is there a Supervisory Architect? </t>
  </si>
  <si>
    <t>Attorney</t>
  </si>
  <si>
    <t>Is there an Accountant?</t>
  </si>
  <si>
    <t>Please further describe details regarding developer relationships, ownership entity information, or project team.</t>
  </si>
  <si>
    <t>Project and Unit Amenities</t>
  </si>
  <si>
    <t>Project Amenities</t>
  </si>
  <si>
    <t xml:space="preserve">Provide a detailed description of the 
physical building and amenities. </t>
  </si>
  <si>
    <t xml:space="preserve">Community Building </t>
  </si>
  <si>
    <t>Community Building - Sq. Ft.</t>
  </si>
  <si>
    <t xml:space="preserve">Community Room </t>
  </si>
  <si>
    <t>Community Room - Sq. Ft.</t>
  </si>
  <si>
    <t xml:space="preserve">Community Service Facility </t>
  </si>
  <si>
    <t>Community Service Facility - Sq. Ft.</t>
  </si>
  <si>
    <t xml:space="preserve">Commercial Space </t>
  </si>
  <si>
    <t>Commercial Space - Sq. Ft.</t>
  </si>
  <si>
    <t xml:space="preserve">Garages </t>
  </si>
  <si>
    <t xml:space="preserve">Number </t>
  </si>
  <si>
    <t xml:space="preserve">Rent per stall per month </t>
  </si>
  <si>
    <t xml:space="preserve">Surface Parking </t>
  </si>
  <si>
    <t xml:space="preserve">Underground Parking </t>
  </si>
  <si>
    <t xml:space="preserve">Laundry Room </t>
  </si>
  <si>
    <t>Estimated Cost per unit per month</t>
  </si>
  <si>
    <t xml:space="preserve">In-Unit Internet Access </t>
  </si>
  <si>
    <t xml:space="preserve">Screened Porch </t>
  </si>
  <si>
    <t xml:space="preserve">Exam Room </t>
  </si>
  <si>
    <t xml:space="preserve">Resident Computer Center </t>
  </si>
  <si>
    <t xml:space="preserve">Game/Craft Room </t>
  </si>
  <si>
    <t xml:space="preserve">Exercise Room </t>
  </si>
  <si>
    <t xml:space="preserve">Reading Room/Library </t>
  </si>
  <si>
    <t xml:space="preserve">Media Center Room </t>
  </si>
  <si>
    <t>Non-Smoking Units</t>
  </si>
  <si>
    <t xml:space="preserve">Guest Lodging </t>
  </si>
  <si>
    <t xml:space="preserve">Picnic Area </t>
  </si>
  <si>
    <t xml:space="preserve">Garden Plots </t>
  </si>
  <si>
    <t xml:space="preserve">Covered Drive Thru </t>
  </si>
  <si>
    <t xml:space="preserve">Pool </t>
  </si>
  <si>
    <t xml:space="preserve">Car Care Area </t>
  </si>
  <si>
    <t xml:space="preserve">Playground </t>
  </si>
  <si>
    <t xml:space="preserve">Onsite Leasing Office </t>
  </si>
  <si>
    <t xml:space="preserve">Storage Units </t>
  </si>
  <si>
    <t xml:space="preserve">Gazebos </t>
  </si>
  <si>
    <t xml:space="preserve">Walking Trails </t>
  </si>
  <si>
    <t xml:space="preserve">Security Locked Building </t>
  </si>
  <si>
    <t xml:space="preserve">Community Dining Room </t>
  </si>
  <si>
    <t xml:space="preserve">Therapeutic Whirlpool Tub </t>
  </si>
  <si>
    <t xml:space="preserve">24 Hour On-Site Resident Manager </t>
  </si>
  <si>
    <t xml:space="preserve">Community Patio </t>
  </si>
  <si>
    <t>Description of Onsite Services
and Activities.</t>
  </si>
  <si>
    <t xml:space="preserve">Describe Differences in Low-income &amp; Market-rate Unit Amenities </t>
  </si>
  <si>
    <t>Unit Amenities</t>
  </si>
  <si>
    <t xml:space="preserve">Interior Apartment (check all that apply) </t>
  </si>
  <si>
    <t xml:space="preserve">Range/Oven </t>
  </si>
  <si>
    <t xml:space="preserve">Range Hood </t>
  </si>
  <si>
    <t xml:space="preserve">Dishwasher </t>
  </si>
  <si>
    <t xml:space="preserve">Disposal </t>
  </si>
  <si>
    <t xml:space="preserve">Refrigerator </t>
  </si>
  <si>
    <t xml:space="preserve">Exterior Storage </t>
  </si>
  <si>
    <t xml:space="preserve">Washer/Dryer </t>
  </si>
  <si>
    <t xml:space="preserve">W/D Hookups </t>
  </si>
  <si>
    <t xml:space="preserve">Pantry </t>
  </si>
  <si>
    <t xml:space="preserve">Ceiling fans </t>
  </si>
  <si>
    <t xml:space="preserve">Walk-in Closets </t>
  </si>
  <si>
    <t xml:space="preserve">Drapes </t>
  </si>
  <si>
    <t xml:space="preserve">Mini-blinds </t>
  </si>
  <si>
    <t xml:space="preserve">Patio/Balcony </t>
  </si>
  <si>
    <t xml:space="preserve">Microwave </t>
  </si>
  <si>
    <t xml:space="preserve">Sunrooms </t>
  </si>
  <si>
    <t xml:space="preserve">Front Porches </t>
  </si>
  <si>
    <t xml:space="preserve">Flooring </t>
  </si>
  <si>
    <t xml:space="preserve">Carpet </t>
  </si>
  <si>
    <t xml:space="preserve">LVP </t>
  </si>
  <si>
    <t xml:space="preserve">Wood </t>
  </si>
  <si>
    <t xml:space="preserve">Ceramic Tile </t>
  </si>
  <si>
    <t xml:space="preserve">Heating/Cooling </t>
  </si>
  <si>
    <t xml:space="preserve">Gas Heat </t>
  </si>
  <si>
    <t xml:space="preserve">Heat Pump </t>
  </si>
  <si>
    <t xml:space="preserve">Electric Pump </t>
  </si>
  <si>
    <t xml:space="preserve">Electric Heat </t>
  </si>
  <si>
    <t xml:space="preserve">Central Air </t>
  </si>
  <si>
    <t xml:space="preserve">Window A/C </t>
  </si>
  <si>
    <t xml:space="preserve">A/C Sleeve </t>
  </si>
  <si>
    <t xml:space="preserve">Please further describe  </t>
  </si>
  <si>
    <t>#BR</t>
  </si>
  <si>
    <t>Net SF</t>
  </si>
  <si>
    <t>Unit Mix #</t>
  </si>
  <si>
    <t>LI / Emp Unit Count</t>
  </si>
  <si>
    <t>Market Rate Count</t>
  </si>
  <si>
    <t>LI/EMP #</t>
  </si>
  <si>
    <t>Market Rate #</t>
  </si>
  <si>
    <t># BRs</t>
  </si>
  <si>
    <t>Total  # of  Units</t>
  </si>
  <si>
    <t>CMI %</t>
  </si>
  <si>
    <t>Monthly Net Rent</t>
  </si>
  <si>
    <t>UnitType</t>
  </si>
  <si>
    <t>Low Income / Employee</t>
  </si>
  <si>
    <t>Market Rate</t>
  </si>
  <si>
    <t>Credit Calculation Using Equity Gap</t>
  </si>
  <si>
    <t>Total Project Costs (from E170 in Tab 13, MFA):</t>
  </si>
  <si>
    <t>Years</t>
  </si>
  <si>
    <t>Pricing</t>
  </si>
  <si>
    <t>Weight</t>
  </si>
  <si>
    <t>Multiplier</t>
  </si>
  <si>
    <t>Adjusted Weight</t>
  </si>
  <si>
    <t>Weighted Percentage</t>
  </si>
  <si>
    <t>Federal Weight</t>
  </si>
  <si>
    <t>Less Permanent Loans (from G16:GE25 in Tab 12 in MFA):</t>
  </si>
  <si>
    <t>State Weight</t>
  </si>
  <si>
    <t>WHEDA Loan</t>
  </si>
  <si>
    <t>Total Weight</t>
  </si>
  <si>
    <t>WHEDA Subordinate Loan 1</t>
  </si>
  <si>
    <t>WHEDA Subordinate Loan 2</t>
  </si>
  <si>
    <t>WHEDA Subordinate Loan 3</t>
  </si>
  <si>
    <t>WHEDA Subordinate Loan 4</t>
  </si>
  <si>
    <t>AHP Loan</t>
  </si>
  <si>
    <t>HOME Loan</t>
  </si>
  <si>
    <t>Less Grants (from E30:E36 in Tab 12 in MFA):</t>
  </si>
  <si>
    <t>HOME Grant</t>
  </si>
  <si>
    <t>CDBG Grant</t>
  </si>
  <si>
    <t>WHEDA Foundation Grant</t>
  </si>
  <si>
    <t>Less Tax Credit Sources (from E40:E45 in Tab 12 in MFA):</t>
  </si>
  <si>
    <t>Federal Historic Tax Credit Equity</t>
  </si>
  <si>
    <t>State Historic Tax Credit Equity</t>
  </si>
  <si>
    <t>Deferred Developer Fees</t>
  </si>
  <si>
    <t>Owner Investment</t>
  </si>
  <si>
    <t>Total Financing Sources:</t>
  </si>
  <si>
    <t>Total Equity Gap:</t>
  </si>
  <si>
    <t>Equity Gap Tax Credit Calculations</t>
  </si>
  <si>
    <r>
      <rPr>
        <b/>
        <sz val="11"/>
        <color theme="1"/>
        <rFont val="Calibri"/>
        <family val="2"/>
        <scheme val="minor"/>
      </rPr>
      <t>Federal</t>
    </r>
    <r>
      <rPr>
        <sz val="11"/>
        <color theme="1"/>
        <rFont val="Calibri"/>
        <family val="2"/>
        <scheme val="minor"/>
      </rPr>
      <t xml:space="preserve"> Portion Weight</t>
    </r>
  </si>
  <si>
    <r>
      <rPr>
        <b/>
        <sz val="11"/>
        <color theme="1"/>
        <rFont val="Calibri"/>
        <family val="2"/>
        <scheme val="minor"/>
      </rPr>
      <t>State</t>
    </r>
    <r>
      <rPr>
        <sz val="11"/>
        <color theme="1"/>
        <rFont val="Calibri"/>
        <family val="2"/>
        <scheme val="minor"/>
      </rPr>
      <t xml:space="preserve"> Portion Weight</t>
    </r>
  </si>
  <si>
    <t>Weighted Federal Portion of Equity Gap</t>
  </si>
  <si>
    <t>Weighted State Portion of Equity Gap</t>
  </si>
  <si>
    <t>Federal Divided by Years of Credits</t>
  </si>
  <si>
    <t>State Divided by 6 Years</t>
  </si>
  <si>
    <t>Pricing per credits (Enter as decimal)</t>
  </si>
  <si>
    <t>Pricing per credits (as decimal)</t>
  </si>
  <si>
    <t>Enter Investor Ownership (enter as decimal)</t>
  </si>
  <si>
    <t>Enter Investor Ownership (as decimal)</t>
  </si>
  <si>
    <t>Copy this (as value) into cell J9 to reduce State TC Size to max limit</t>
  </si>
  <si>
    <t>Federal Annual Credit Award</t>
  </si>
  <si>
    <t>State Annual Credit Award</t>
  </si>
  <si>
    <t>Federal Annual Credit Award cannot exceed the Eligible Basis calculation</t>
  </si>
  <si>
    <t>State Annual Credit Award cannot exceed $1,200,000, please change the multiplier in cell I9</t>
  </si>
  <si>
    <t>Previous Tax Credit Calculations from MFA</t>
  </si>
  <si>
    <t>Federal Eligible Basis Award from E190 in Tab 13 in MFA</t>
  </si>
  <si>
    <t>State Eligible Basis Award</t>
  </si>
  <si>
    <t>Federal Equity Gap Award from E206 in Tab 13 in MFA</t>
  </si>
  <si>
    <t>State Equity Gap Award</t>
  </si>
  <si>
    <t>Lessor of Federal Award Calulations</t>
  </si>
  <si>
    <t>Lessor of State Award Calulations</t>
  </si>
  <si>
    <t>Tax Credit Adjustments</t>
  </si>
  <si>
    <t>Federal TC Adjustment (put in E211 in Tab 13 of MFA)</t>
  </si>
  <si>
    <t>State TC Adjustment</t>
  </si>
  <si>
    <t>Applicant Notes (put in C216 in Tab 13, MFA):</t>
  </si>
  <si>
    <t>Low Income Units</t>
  </si>
  <si>
    <t>NOTES:</t>
  </si>
  <si>
    <t>• Low income rents shall be the lower of market rents as determined by the market study, proposed HTC set-aside rents, or the current HAP/RAP or other subsidy program rents applicable to the project.</t>
  </si>
  <si>
    <t>• The distribution of units of various bedroom sizes is required to be proportionate to the distribution of units at various income limits.</t>
  </si>
  <si>
    <t>Helper Functions. Probably best if hidden</t>
  </si>
  <si>
    <r>
      <t>• Unit information must be typed in and not copied/pasted and may not include</t>
    </r>
    <r>
      <rPr>
        <u/>
        <sz val="11"/>
        <color theme="1"/>
        <rFont val="Calibri"/>
        <family val="2"/>
      </rPr>
      <t xml:space="preserve"> blank rows</t>
    </r>
    <r>
      <rPr>
        <sz val="11"/>
        <color theme="1"/>
        <rFont val="Calibri"/>
        <family val="2"/>
      </rPr>
      <t xml:space="preserve"> between units.</t>
    </r>
  </si>
  <si>
    <t>• Projects using the Average Income Test Set-Aside may include units up to 80% CMI, provided that; (a) the average does not exceed 60% of CMI; and (b) 100% of units are affordable.</t>
  </si>
  <si>
    <t>• Monthly gross rents of units set-aside at or above 60% CMI may not exceed 95% of the gross rent limit under Section 42 of the Internal Revenue Code and monthly net rents may not exceed 90% of estimated market rents (as listed in the Market Study).</t>
  </si>
  <si>
    <t>Utility allowance Data Validation (Col M)</t>
  </si>
  <si>
    <t>• Utility Allowance (column M) may be entered manually for each row. Alternatively, complete the table Utility Allowance - Enter Allowances for Tenant Paid Utilities by Bdrm. Size to autofill Utility Allowance (column M).</t>
  </si>
  <si>
    <t>IF(J18="Low Income",AND(P18&gt;=0,P18&lt;=1),P18&gt;=0)</t>
  </si>
  <si>
    <t>Is project applying using the Average Income Test?</t>
  </si>
  <si>
    <t>• See Appendix D: Underwriting Criteria for a complete overview of all Housing Tax Credit underwriting requirements</t>
  </si>
  <si>
    <t>IS LI/CMI?</t>
  </si>
  <si>
    <t>Low Income Unit Totals</t>
  </si>
  <si>
    <t>Low Income Rent Totals</t>
  </si>
  <si>
    <t>Voucher Units</t>
  </si>
  <si>
    <t>HOME Units</t>
  </si>
  <si>
    <t>Employee Units</t>
  </si>
  <si>
    <t>Large Families</t>
  </si>
  <si>
    <t>60% Voucher Units</t>
  </si>
  <si>
    <t xml:space="preserve">Apartment Type   </t>
  </si>
  <si>
    <t>Age
Restriction</t>
  </si>
  <si>
    <t># Bedrooms</t>
  </si>
  <si>
    <t># Bathrooms</t>
  </si>
  <si>
    <t>Net Square Footage</t>
  </si>
  <si>
    <t>Rent $/SF</t>
  </si>
  <si>
    <t>Utility Allowance</t>
  </si>
  <si>
    <t>Monthly Gross Rent</t>
  </si>
  <si>
    <t>% of Max HTC Rent</t>
  </si>
  <si>
    <t>Estimated Market Rent</t>
  </si>
  <si>
    <t>% Max Market Rent</t>
  </si>
  <si>
    <t>Total Annual Rent</t>
  </si>
  <si>
    <t>Unit Weight</t>
  </si>
  <si>
    <t>Weighted Average %</t>
  </si>
  <si>
    <t>Multiple Story Unit</t>
  </si>
  <si>
    <t>Is Voucher?</t>
  </si>
  <si>
    <t>Units</t>
  </si>
  <si>
    <t>Rent</t>
  </si>
  <si>
    <t>Is HOME?</t>
  </si>
  <si>
    <t>Is EMP?</t>
  </si>
  <si>
    <t>&lt;=50%  LI 3BR?</t>
  </si>
  <si>
    <t>Is SF?</t>
  </si>
  <si>
    <t>Homes</t>
  </si>
  <si>
    <t>is 60% Voucher?</t>
  </si>
  <si>
    <t>30% or voucher?</t>
  </si>
  <si>
    <t>Average CMI%*</t>
  </si>
  <si>
    <t>Totals:</t>
  </si>
  <si>
    <t>Voucher:</t>
  </si>
  <si>
    <t>HOME:</t>
  </si>
  <si>
    <t>EMP:</t>
  </si>
  <si>
    <t>LI3BR:</t>
  </si>
  <si>
    <t>Homes:</t>
  </si>
  <si>
    <t>Total 60% Voucher</t>
  </si>
  <si>
    <t>* Use Average CMI% To Verify Income Averaging % if applicable.</t>
  </si>
  <si>
    <t xml:space="preserve">Project will use National Non-Metropolitan Rent Limits </t>
  </si>
  <si>
    <t xml:space="preserve">Extend Rent Limit </t>
  </si>
  <si>
    <t xml:space="preserve">Contract Number </t>
  </si>
  <si>
    <t xml:space="preserve">MONTHLY RESIDENTIAL TENANT UTILITY ALLOWANCES </t>
  </si>
  <si>
    <t>Owner/Tenant Paid?</t>
  </si>
  <si>
    <t>Utilities Provided to Units</t>
  </si>
  <si>
    <t>Enter Allowances for Tenant Paid Utilities by Bdrm. Size</t>
  </si>
  <si>
    <t>UTILITY OR SERVICE</t>
  </si>
  <si>
    <t>GENERATION TYPE</t>
  </si>
  <si>
    <t>PRODUCT TYPE</t>
  </si>
  <si>
    <t>0 Bdrm</t>
  </si>
  <si>
    <t>1 Bdrm</t>
  </si>
  <si>
    <t>2 Bdrm</t>
  </si>
  <si>
    <t>3 Bdrm</t>
  </si>
  <si>
    <t>4 Bdrm</t>
  </si>
  <si>
    <t>5 Bdrm</t>
  </si>
  <si>
    <t>Source of Utility Allowance Assumptions</t>
  </si>
  <si>
    <t>Trash Removal</t>
  </si>
  <si>
    <t xml:space="preserve">Snow Removal </t>
  </si>
  <si>
    <t xml:space="preserve">Date: </t>
  </si>
  <si>
    <t>Cable</t>
  </si>
  <si>
    <t>Internet</t>
  </si>
  <si>
    <t xml:space="preserve">Other   </t>
  </si>
  <si>
    <t>TOTALS</t>
  </si>
  <si>
    <t>Utility Providers</t>
  </si>
  <si>
    <t>Existing?</t>
  </si>
  <si>
    <t xml:space="preserve">Will the above utility rates apply to all buildings?  </t>
  </si>
  <si>
    <t xml:space="preserve">If not please justify /explain below: </t>
  </si>
  <si>
    <t>Water/Sewer</t>
  </si>
  <si>
    <t xml:space="preserve">Type   </t>
  </si>
  <si>
    <t>Total
 # of  Units</t>
  </si>
  <si>
    <t>Max HTC Limit</t>
  </si>
  <si>
    <t>Market Rate Units</t>
  </si>
  <si>
    <t>Statistics</t>
  </si>
  <si>
    <t>% of Units</t>
  </si>
  <si>
    <t>Gross Annual Rental Income</t>
  </si>
  <si>
    <t xml:space="preserve">20% CMI </t>
  </si>
  <si>
    <t xml:space="preserve">30% CMI </t>
  </si>
  <si>
    <t xml:space="preserve">40% CMI </t>
  </si>
  <si>
    <t xml:space="preserve">50% CMI </t>
  </si>
  <si>
    <t xml:space="preserve">60% CMI </t>
  </si>
  <si>
    <t xml:space="preserve">70% CMI </t>
  </si>
  <si>
    <t xml:space="preserve">80% CMI </t>
  </si>
  <si>
    <t>Low Income Totals</t>
  </si>
  <si>
    <t xml:space="preserve">Common Space </t>
  </si>
  <si>
    <t xml:space="preserve">Employee Units </t>
  </si>
  <si>
    <t xml:space="preserve">Market Rate </t>
  </si>
  <si>
    <t xml:space="preserve">Totals </t>
  </si>
  <si>
    <t xml:space="preserve">Proposed number of residential building(s) </t>
  </si>
  <si>
    <t xml:space="preserve">Maximum number of stories in building(s) </t>
  </si>
  <si>
    <t>Project Includes:</t>
  </si>
  <si>
    <t xml:space="preserve">Elevators </t>
  </si>
  <si>
    <t xml:space="preserve">Number of Elevators </t>
  </si>
  <si>
    <t xml:space="preserve">Accessory Building(s) </t>
  </si>
  <si>
    <t xml:space="preserve">Commercial Facilities </t>
  </si>
  <si>
    <t xml:space="preserve">Other Facilities </t>
  </si>
  <si>
    <t>Square Footage Information:</t>
  </si>
  <si>
    <t xml:space="preserve">Gross Building Square Footage </t>
  </si>
  <si>
    <t>Common Area Sq. Ft. :</t>
  </si>
  <si>
    <t xml:space="preserve">Residential Sq. Ft. (All Heated Areas) </t>
  </si>
  <si>
    <t xml:space="preserve">Commercial/Retail Square Footage: (pulls from Project &amp; Unit Amenities Tab) </t>
  </si>
  <si>
    <t>Remarks concerning Unit Mix</t>
  </si>
  <si>
    <t>Please further describe</t>
  </si>
  <si>
    <t>Permanent Financing</t>
  </si>
  <si>
    <r>
      <t xml:space="preserve">Note in Applicant notes below if any of these loans are refinanced loans. </t>
    </r>
    <r>
      <rPr>
        <b/>
        <sz val="11"/>
        <color rgb="FFFF0000"/>
        <rFont val="Calibri"/>
        <family val="2"/>
      </rPr>
      <t>Please indicate the repayment type for all loans in Column J. If you have a Cash Flow dependent loan ("Soft Debt" or "Other Repayment"), please complete the "Cash Flow Dependent Loans" section on Tab 17.</t>
    </r>
  </si>
  <si>
    <t>Source</t>
  </si>
  <si>
    <t>Funders</t>
  </si>
  <si>
    <t>Percent of Permanent Financing</t>
  </si>
  <si>
    <t>Tax-Exempt?</t>
  </si>
  <si>
    <t>WHEDA Term Sheet</t>
  </si>
  <si>
    <t xml:space="preserve">Amortizing? </t>
  </si>
  <si>
    <t>Anticipated Payment Schedule</t>
  </si>
  <si>
    <t>Rate (%)</t>
  </si>
  <si>
    <t>Term (Years)</t>
  </si>
  <si>
    <t>Amortization Period (Years)</t>
  </si>
  <si>
    <t>Annual Debt Service</t>
  </si>
  <si>
    <t>Must Pay/Hard Debt</t>
  </si>
  <si>
    <t>TE Perm</t>
  </si>
  <si>
    <t>TE Con</t>
  </si>
  <si>
    <t>Total TE</t>
  </si>
  <si>
    <t>Soft Debt</t>
  </si>
  <si>
    <t>Other Repayment</t>
  </si>
  <si>
    <t>No Payments</t>
  </si>
  <si>
    <t>WHEDA TIF Loan</t>
  </si>
  <si>
    <t>N/A for AHP</t>
  </si>
  <si>
    <t>Lender Name</t>
  </si>
  <si>
    <t>Lender Name/Bond Issuer</t>
  </si>
  <si>
    <t>Total Loans</t>
  </si>
  <si>
    <t>If you are applying for tax credits and are receiving a grant that will be converted to a loan to a project, please list them in the Loans section above.</t>
  </si>
  <si>
    <t>TC Deal Type:</t>
  </si>
  <si>
    <t>N/A for Home</t>
  </si>
  <si>
    <t>FederalAnnual TC:</t>
  </si>
  <si>
    <t>Specify Grantor</t>
  </si>
  <si>
    <t>Fed 4%</t>
  </si>
  <si>
    <t>Fed 9%</t>
  </si>
  <si>
    <t>Total Grants</t>
  </si>
  <si>
    <t>Equity/Developer Financing</t>
  </si>
  <si>
    <t>Number of Years</t>
  </si>
  <si>
    <t>Investor Ownership %</t>
  </si>
  <si>
    <t>Price per Credit</t>
  </si>
  <si>
    <t>Annual Credit Amount</t>
  </si>
  <si>
    <t>Specify Investor</t>
  </si>
  <si>
    <r>
      <rPr>
        <b/>
        <sz val="11"/>
        <color rgb="FF000000"/>
        <rFont val="Calibri"/>
        <family val="2"/>
      </rPr>
      <t>Credit Pricing:</t>
    </r>
    <r>
      <rPr>
        <sz val="11"/>
        <color rgb="FF000000"/>
        <rFont val="Calibri"/>
        <family val="2"/>
      </rPr>
      <t xml:space="preserve"> Credit pricing must comply with guidance in Appendix D: Underwriting Guidelines found at WHEDA.com. If pricing is outside posted range, project must include explanation and provide copy of LOI from investor/syndicator.        </t>
    </r>
  </si>
  <si>
    <t>Total Equity/Developer</t>
  </si>
  <si>
    <t>Construction Financing</t>
  </si>
  <si>
    <t>List all funding sources, including permanent sources that will be used during construction</t>
  </si>
  <si>
    <t>Source of Funds</t>
  </si>
  <si>
    <t>Percentage of Total</t>
  </si>
  <si>
    <t>Tax Exempt?</t>
  </si>
  <si>
    <t>Term (Months)</t>
  </si>
  <si>
    <t>Construction Loan 1</t>
  </si>
  <si>
    <t>Enter Lender Name</t>
  </si>
  <si>
    <t>Construction Loan 2</t>
  </si>
  <si>
    <t>Construction Loan 3</t>
  </si>
  <si>
    <t>Construction Loan 4</t>
  </si>
  <si>
    <t>Construction Loan 5</t>
  </si>
  <si>
    <t>Other - Specify</t>
  </si>
  <si>
    <t>Total Construction Financing</t>
  </si>
  <si>
    <t>50% Test for 4% Tax-Exempt LIHTC Transactions</t>
  </si>
  <si>
    <t>Net Eligible Basis</t>
  </si>
  <si>
    <t>Tax Exempt Bond Amount</t>
  </si>
  <si>
    <t>% of Eligible Basis Covered by TE Bonds (Must be &gt;50%)</t>
  </si>
  <si>
    <t>Meets 50% Test?</t>
  </si>
  <si>
    <t>Remarks concerning Project Funding Sources:</t>
  </si>
  <si>
    <t>(Please be sure to include the name of the funding source(s))</t>
  </si>
  <si>
    <t>Construction Cost Schedule of Values (SOV)</t>
  </si>
  <si>
    <t>Division</t>
  </si>
  <si>
    <t>Total Cost</t>
  </si>
  <si>
    <t>Residential Const.</t>
  </si>
  <si>
    <t>Commercial Cost</t>
  </si>
  <si>
    <t>Community Service Cost</t>
  </si>
  <si>
    <t>Cost/Gross Sq. Ft</t>
  </si>
  <si>
    <t>Cost per Unit</t>
  </si>
  <si>
    <t>Division 00 - Procurement and Contracting Requirements</t>
  </si>
  <si>
    <t>00 00 00 - Procurement and Contracting Requirements</t>
  </si>
  <si>
    <t>00 10 00 - Solicitation</t>
  </si>
  <si>
    <t>00 20 00 - Instructions for Procurement</t>
  </si>
  <si>
    <t>00 30 00 - Available Information</t>
  </si>
  <si>
    <t>00 40 00 - Procurement Forms and Supplements</t>
  </si>
  <si>
    <t>00 50 00 - Contracting Forms and Supplements</t>
  </si>
  <si>
    <t>00 60 00 - Project Forms</t>
  </si>
  <si>
    <t>00 70 00 - Conditions of the Contract</t>
  </si>
  <si>
    <t>00 80 00 - Other</t>
  </si>
  <si>
    <t>00 90 00 - Revisions, Clarifications, and Modifications</t>
  </si>
  <si>
    <t>Division 01 - General Requirements</t>
  </si>
  <si>
    <t>01 00 00 - General Requirements</t>
  </si>
  <si>
    <t>01 10 00 - Summary</t>
  </si>
  <si>
    <t>01 20 00 - Price and Payment Procedures</t>
  </si>
  <si>
    <t>01 30 00 - Administrative Requirements</t>
  </si>
  <si>
    <t>01 40 00 - Quality Requirements</t>
  </si>
  <si>
    <t>01 50 00 - Temporary Facilities and Controls</t>
  </si>
  <si>
    <t>01 60 00 - Product Requirements</t>
  </si>
  <si>
    <t>01 70 00 - Execution and Closeout Requirements</t>
  </si>
  <si>
    <t>01 80 00 - Performance Requirements</t>
  </si>
  <si>
    <t>01 90 00 - Life Cycle Activities</t>
  </si>
  <si>
    <t>Division 02 - Existing Conditions</t>
  </si>
  <si>
    <t>02 00 00 - Existing Conditions</t>
  </si>
  <si>
    <t>02 20 00 - Assessment</t>
  </si>
  <si>
    <t>02 30 00 - Subsurface Investigation</t>
  </si>
  <si>
    <t>02 40 00 - Demolition and Structure Moving</t>
  </si>
  <si>
    <t>02 50 00 - Site Remediation</t>
  </si>
  <si>
    <t>02 60 00 - Contaminated Site Material Removal</t>
  </si>
  <si>
    <t>02 70 00 - Water Remediation</t>
  </si>
  <si>
    <t>02 80 00 - Facility Remediation</t>
  </si>
  <si>
    <t>Division 03 - Concrete</t>
  </si>
  <si>
    <t>03 00 00 - Concrete</t>
  </si>
  <si>
    <t>03 10 00 - Concrete Forming and Accessories</t>
  </si>
  <si>
    <t>03 20 00 - Concrete Reinforcing</t>
  </si>
  <si>
    <t>03 30 00 - Cast-in-Place Concrete</t>
  </si>
  <si>
    <t>03 40 00 - Precast Concrete</t>
  </si>
  <si>
    <t>03 50 00 - Cast Decks and Underlayment</t>
  </si>
  <si>
    <t>03 60 00 - Grouting</t>
  </si>
  <si>
    <t>03 70 00 - Mass Concrete</t>
  </si>
  <si>
    <t>03 80 00 - Concrete Cutting and Boring</t>
  </si>
  <si>
    <t>Division 04 - Masonry</t>
  </si>
  <si>
    <t>04 00 00 - Masonry</t>
  </si>
  <si>
    <t>04 20 00 - Unit Masonry</t>
  </si>
  <si>
    <t>04 40 00 - Stone Assemblies</t>
  </si>
  <si>
    <t>04 50 00 - Refractory Masonry</t>
  </si>
  <si>
    <t>04 60 00 - Corrosion-Resistant Masonry</t>
  </si>
  <si>
    <t>04 70 00 - Manufactured Masonry</t>
  </si>
  <si>
    <t>Division 05 - Metals</t>
  </si>
  <si>
    <t>05 00 00 - Metals</t>
  </si>
  <si>
    <t>05 10 00 - Structural Metal Framing</t>
  </si>
  <si>
    <t>05 20 00 - Metal Joists</t>
  </si>
  <si>
    <t>05 30 00 - Metal Decking</t>
  </si>
  <si>
    <t>05 40 00 - Cold-Formed Metal Framing</t>
  </si>
  <si>
    <t>05 50 00 - Metal Fabrications</t>
  </si>
  <si>
    <t>05 70 00 - Decorative Metal</t>
  </si>
  <si>
    <t>Division 06 - Wood, Plastics, Composites</t>
  </si>
  <si>
    <t>06 00 00 - Wood, Plastics, Composites</t>
  </si>
  <si>
    <t>06 10 00 - Rough Carpentry</t>
  </si>
  <si>
    <t>06 20 00 - Finish Carpentry</t>
  </si>
  <si>
    <t>06 40 00 - Architectural Woodwork</t>
  </si>
  <si>
    <t>06 50 00 - Structural Plastics</t>
  </si>
  <si>
    <t>06 60 00 - Plastic Fabrications</t>
  </si>
  <si>
    <t>06 70 00 - Structural Composites</t>
  </si>
  <si>
    <t>06 80 00 - Composite Fabrications</t>
  </si>
  <si>
    <t>Division 07 - Thermal and Moisture Protection</t>
  </si>
  <si>
    <t>07 00 00 - Thermal and Moisture Protection</t>
  </si>
  <si>
    <t>07 10 00 - Damp proofing and Waterproofing</t>
  </si>
  <si>
    <t>07 20 00 - Thermal Protection</t>
  </si>
  <si>
    <t>07 25 00 - Weather Barriers</t>
  </si>
  <si>
    <t>07 30 00 - Steep Slope Roofing</t>
  </si>
  <si>
    <t>07 40 00 - Roofing and Siding Panels</t>
  </si>
  <si>
    <t>07 50 00 - Membrane Roofing</t>
  </si>
  <si>
    <t>07 60 00 - Flashing and Sheet Metal</t>
  </si>
  <si>
    <t>07 70 00 - Roof and Wall Specialties and Accessories</t>
  </si>
  <si>
    <t>07 80 00 - Fire and Smoke Protection</t>
  </si>
  <si>
    <t>07 90 00 - Joint Protection</t>
  </si>
  <si>
    <t>Division 08 - Openings</t>
  </si>
  <si>
    <t>08 00 00 - Openings</t>
  </si>
  <si>
    <t>08 10 00 - Doors and Frames</t>
  </si>
  <si>
    <t>08 30 00 - Specialty Doors and Frames</t>
  </si>
  <si>
    <t>08 40 00 - Entrances, Storefronts, and Curtain Walls</t>
  </si>
  <si>
    <t>08 50 00 - Windows</t>
  </si>
  <si>
    <t>08 60 00 - Roof Windows and Skylights</t>
  </si>
  <si>
    <t>08 70 00 - Hardware</t>
  </si>
  <si>
    <t>08 80 00 - Glazing</t>
  </si>
  <si>
    <t>08 90 00 - Louvers and Vents</t>
  </si>
  <si>
    <t>Division 09 - Finishes</t>
  </si>
  <si>
    <t>09 00 00 - Finishes</t>
  </si>
  <si>
    <t>09 20 00 - Plaster and Gypsum Board</t>
  </si>
  <si>
    <t>09 30 00 - Tiling</t>
  </si>
  <si>
    <t>09 50 00 - Ceilings</t>
  </si>
  <si>
    <t>09 60 00 - Floorings</t>
  </si>
  <si>
    <t>09 68 00 - Carpeting</t>
  </si>
  <si>
    <t>09 70 00 - Wall Finishes</t>
  </si>
  <si>
    <t>09 80 00 - Acoustic Treatment</t>
  </si>
  <si>
    <t>09 90 00 - Painting and Coating</t>
  </si>
  <si>
    <t>Division 10 - Specialties</t>
  </si>
  <si>
    <t>10 00 00 - Specialties</t>
  </si>
  <si>
    <t>10 10 00 - Information Specialties</t>
  </si>
  <si>
    <t>10 20 00 - Interior Specialties</t>
  </si>
  <si>
    <t>10 30 00 - Fireplaces and Stoves</t>
  </si>
  <si>
    <t>10 40 00 - Safety Specialties</t>
  </si>
  <si>
    <t>10 50 00 - Storage Specialties</t>
  </si>
  <si>
    <t>10 70 00 - Exterior Specialties</t>
  </si>
  <si>
    <t>10 80 00 - Other Specialties</t>
  </si>
  <si>
    <t>Division 11 - Equipment</t>
  </si>
  <si>
    <t>11 00 00 - Equipment</t>
  </si>
  <si>
    <t>11 10 00 - Vehicle and Pedestrian Equipment</t>
  </si>
  <si>
    <t>11 15 00 - Security, Detention, and Banking Equipment</t>
  </si>
  <si>
    <t>11 20 00 - Commercial Equipment</t>
  </si>
  <si>
    <t>11 30 00 - Residential Equipment</t>
  </si>
  <si>
    <t>11 40 00 - Foodservice Equipment</t>
  </si>
  <si>
    <t>11 50 00 - Educational and Scientific Equipment</t>
  </si>
  <si>
    <t>11 60 00 - Entertainment Equipment</t>
  </si>
  <si>
    <t>11 65 00 - Athletic and Recreational Equipment</t>
  </si>
  <si>
    <t>11 70 00 - Healthcare Equipment</t>
  </si>
  <si>
    <t>11 80 00 - Collection and Disposal Equipment</t>
  </si>
  <si>
    <t>11 90 00 - Other Equipment</t>
  </si>
  <si>
    <t>Division 12 - Furnishings</t>
  </si>
  <si>
    <t>12 00 00 - Furnishings</t>
  </si>
  <si>
    <t>12 10 00 - Art</t>
  </si>
  <si>
    <t>12 20 00 - Window Treatments</t>
  </si>
  <si>
    <t>12 30 00 - Casework</t>
  </si>
  <si>
    <t>12 40 00 - Furnishings and Accessories</t>
  </si>
  <si>
    <t>12 50 00 - Furniture</t>
  </si>
  <si>
    <t>12 60 00 - Multiple Seating</t>
  </si>
  <si>
    <t>12 90 00 - Other Furnishings</t>
  </si>
  <si>
    <t>Division 13 - Special Construction</t>
  </si>
  <si>
    <t>13 00 00 - Special Construction</t>
  </si>
  <si>
    <t>13 10 00 - Special Facility Components</t>
  </si>
  <si>
    <t>13 20 00 - Special Purpose Rooms</t>
  </si>
  <si>
    <t>13 30 00 - Special Structures</t>
  </si>
  <si>
    <t>13 40 00 - Integrated Construction</t>
  </si>
  <si>
    <t>13 50 00 - Special Instrumentation</t>
  </si>
  <si>
    <t>Division 14 - Conveying Equipment</t>
  </si>
  <si>
    <t>14 00 00 - Conveying Equipment</t>
  </si>
  <si>
    <t>14 10 00 - Dumbwaiters</t>
  </si>
  <si>
    <t>14 20 00 - Elevators</t>
  </si>
  <si>
    <t>14 30 00 - Escalators and Moving Walks</t>
  </si>
  <si>
    <t>14 40 00 - Lifts</t>
  </si>
  <si>
    <t>14 70 00 - Turntables</t>
  </si>
  <si>
    <t>14 80 00 - Scaffolding</t>
  </si>
  <si>
    <t>14 90 00 - Other Conveying Equipment</t>
  </si>
  <si>
    <t>Division 21 - Fire Suppression</t>
  </si>
  <si>
    <t>21 00 00 - Fire Suppression</t>
  </si>
  <si>
    <t>21 10 00 - Water-Based Fire-Suppression Systems</t>
  </si>
  <si>
    <t>21 20 00 - Fire-Extinguishing Systems</t>
  </si>
  <si>
    <t>21 30 00 - Fire Pumps</t>
  </si>
  <si>
    <t>21 40 00 - Fire Suppression Water Storage</t>
  </si>
  <si>
    <t>Division 22 - Plumbing</t>
  </si>
  <si>
    <t>22 00 00 - Plumbing</t>
  </si>
  <si>
    <t>22 10 00 - Plumbing Piping</t>
  </si>
  <si>
    <t>22 30 00 - Plumbing Equipment</t>
  </si>
  <si>
    <t>22 40 00 - Plumbing Fixtures</t>
  </si>
  <si>
    <t>22 50 00 - Pool and Fountain Plumbing Systems</t>
  </si>
  <si>
    <t>22 60 00 - Gas and Vacuum Systems for Laboratory and Healthcare Facilities</t>
  </si>
  <si>
    <t>Division 23 - Heating, Ventilating, and Air Conditioning (HVAC)</t>
  </si>
  <si>
    <t>23 00 00 - Heating, Ventilating, and Air Conditioning (HVAC)</t>
  </si>
  <si>
    <t>23 10 00 - Facility Fuel Systems</t>
  </si>
  <si>
    <t>23 20 00 - HVAC Piping and Pumps</t>
  </si>
  <si>
    <t>23 30 00 - HVAC Air Distribution</t>
  </si>
  <si>
    <t>23 40 00 - HVAC Air Cleaning Devices</t>
  </si>
  <si>
    <t>23 50 00 - Central Heating Equipment</t>
  </si>
  <si>
    <t>23 60 00 - Central Cooling Equipment</t>
  </si>
  <si>
    <t>23 70 00 - Central HVAC Equipment</t>
  </si>
  <si>
    <t>23 80 00 - Decentralized HVAC Equipment</t>
  </si>
  <si>
    <t>Division 25 - Integrated Automation</t>
  </si>
  <si>
    <t>25 00 00 - Integrated Automation</t>
  </si>
  <si>
    <t>25 10 00 - Integrated Automation Network Equipment</t>
  </si>
  <si>
    <t>25 30 00 - Integrated Automation Instrumentation and Terminal Devices</t>
  </si>
  <si>
    <t>25 50 00 - Integrated Automation Facility Controls</t>
  </si>
  <si>
    <t>25 90 00 - Integrated Automation Control Sequences</t>
  </si>
  <si>
    <t>Division 26 - Electrical</t>
  </si>
  <si>
    <t>26 00 00 - Electrical</t>
  </si>
  <si>
    <t>26 10 00 - Medium-Voltage Electrical Distribution</t>
  </si>
  <si>
    <t>26 20 00 - Low-Voltage Electrical Transmission</t>
  </si>
  <si>
    <t>26 30 00 - Facility Electrical Power Generating and Storing Equipment</t>
  </si>
  <si>
    <t>26 40 00 - Electrical and Cathodic Protection</t>
  </si>
  <si>
    <t>26 50 00 - Lighting</t>
  </si>
  <si>
    <t>Division 27 - Communications</t>
  </si>
  <si>
    <t>27 00 00 - Communications</t>
  </si>
  <si>
    <t>27 10 00 - Structured Cabling</t>
  </si>
  <si>
    <t>27 20 00 - Data Communications</t>
  </si>
  <si>
    <t>27 30 00 - Voice Communications</t>
  </si>
  <si>
    <t>27 40 00 - Audio-Video Communications</t>
  </si>
  <si>
    <t>27 50 00 - Distributed Communications and Monitoring Systems</t>
  </si>
  <si>
    <t>Division 28 - Electronic Safety and Security</t>
  </si>
  <si>
    <t>28 00 00 - Electronic Safety and Security</t>
  </si>
  <si>
    <t>28 10 00 - Electronic Access Control and Intrusion Detection</t>
  </si>
  <si>
    <t>28 20 00 - Electronic Surveillance</t>
  </si>
  <si>
    <t>28 30 00 - Electronic Detection and Alarm</t>
  </si>
  <si>
    <t>28 40 00 - Electronic Monitoring and Control</t>
  </si>
  <si>
    <t>Division 31 - Earthwork (On-Site - Site Work)</t>
  </si>
  <si>
    <t>31 00 00 - Earthwork</t>
  </si>
  <si>
    <t>31 10 00 - Site Clearing</t>
  </si>
  <si>
    <t>31 20 00 - Earth Moving</t>
  </si>
  <si>
    <t>31 30 00 - Earthwork Methods</t>
  </si>
  <si>
    <t>31 40 00 - Shoring and Underpinning</t>
  </si>
  <si>
    <t>31 50 00 - Excavation Support and Protection</t>
  </si>
  <si>
    <t>31 60 00 - Special Foundations and Load-Bearing Elements</t>
  </si>
  <si>
    <t>31 70 00 - Tunneling and Mining</t>
  </si>
  <si>
    <t>Division 32 - Exterior Improvements (Off-Site - Site Work)</t>
  </si>
  <si>
    <t>32 00 00 - Exterior Improvements</t>
  </si>
  <si>
    <t>32 10 00 - Bases, Ballasts, and Paving</t>
  </si>
  <si>
    <t>32 30 00 - Site Improvements</t>
  </si>
  <si>
    <t>32 70 00 - Wetlands</t>
  </si>
  <si>
    <t>32 80 00 - Irrigation</t>
  </si>
  <si>
    <t>32 90 00 - Planting</t>
  </si>
  <si>
    <t>Division 33 - Utilities</t>
  </si>
  <si>
    <t>33 00 00 - Utilities</t>
  </si>
  <si>
    <t>33 10 00 - Water Utilities</t>
  </si>
  <si>
    <t>33 20 00 - Wells</t>
  </si>
  <si>
    <t>33 30 00 - Sanitary Sewerage Utilities</t>
  </si>
  <si>
    <t>33 40 00 - Storm Drainage Utilities</t>
  </si>
  <si>
    <t>33 50 00 - Fuel Distribution Utilities</t>
  </si>
  <si>
    <t>33 60 00 - Hydronic and Steam Energy Utilities</t>
  </si>
  <si>
    <t>33 70 00 - Electrical Utilities</t>
  </si>
  <si>
    <t>33 80 00 - Communications Utilities</t>
  </si>
  <si>
    <t>Total Primary Construction Contract Amount</t>
  </si>
  <si>
    <t>Escalation (Enter %)</t>
  </si>
  <si>
    <t>Owner's Construction Contingency (Enter %)</t>
  </si>
  <si>
    <t>Owner's Construction Contract Amount</t>
  </si>
  <si>
    <t>TOTAL</t>
  </si>
  <si>
    <t>Rehab Costs</t>
  </si>
  <si>
    <t>Commercial
(if applicable)</t>
  </si>
  <si>
    <t>Cost / gross sq. ft.</t>
  </si>
  <si>
    <t>Cost per unit</t>
  </si>
  <si>
    <t>A - Substructure</t>
  </si>
  <si>
    <t>A10 - Foundations</t>
  </si>
  <si>
    <t>A1010 - Standard Foundations</t>
  </si>
  <si>
    <t>A1020 - Special Foundations</t>
  </si>
  <si>
    <t>A1030 - Slab on Grade</t>
  </si>
  <si>
    <t>A20 - Basement Construction OR Subgrade Enclosures</t>
  </si>
  <si>
    <t>A2010 - Basement Excavation</t>
  </si>
  <si>
    <t>A2020 - Basement Walls</t>
  </si>
  <si>
    <t>Subtotal Substructure</t>
  </si>
  <si>
    <t>B - Shell</t>
  </si>
  <si>
    <t>B10 - Superstructure</t>
  </si>
  <si>
    <t>B1010 - Floor Construction</t>
  </si>
  <si>
    <t>B1020 - Roof Construction</t>
  </si>
  <si>
    <t>B20 - Exterior Enclosure</t>
  </si>
  <si>
    <t>B2010 - Exterior Walls</t>
  </si>
  <si>
    <t>B2020 - Exterior Windows</t>
  </si>
  <si>
    <t>B2030 - Exterior Doors</t>
  </si>
  <si>
    <t>B30 - Roofing</t>
  </si>
  <si>
    <t>B3010 - Roof Coverings</t>
  </si>
  <si>
    <t>B3020 - Roof Openings</t>
  </si>
  <si>
    <t>Subtotal Shell</t>
  </si>
  <si>
    <t>C - Interiors</t>
  </si>
  <si>
    <t>C10 - Interior Construction</t>
  </si>
  <si>
    <t>C1010 - Partitions</t>
  </si>
  <si>
    <t>C1020 - Interior Doors</t>
  </si>
  <si>
    <t>C1030 - Fittings</t>
  </si>
  <si>
    <t>C20 - Stairs</t>
  </si>
  <si>
    <t>C2010 - Stair Construction</t>
  </si>
  <si>
    <t>C2020 - Stair Finishes</t>
  </si>
  <si>
    <t>C30 - Interior Finishes</t>
  </si>
  <si>
    <t>C3010 - Wall Finishes</t>
  </si>
  <si>
    <t>C3020 - Floor Finishes</t>
  </si>
  <si>
    <t>C3030 - Ceiling Finishes</t>
  </si>
  <si>
    <t>Subtotal Interiors</t>
  </si>
  <si>
    <t>D - Services</t>
  </si>
  <si>
    <t>D10 - Conveying</t>
  </si>
  <si>
    <t>D1010 - Elevators &amp; Lifts</t>
  </si>
  <si>
    <t>D1020 - Escalators &amp; Moving Walks</t>
  </si>
  <si>
    <t>D1090 - Other Conveying Systems</t>
  </si>
  <si>
    <t>D20 - Plumbing</t>
  </si>
  <si>
    <t>D2010 - Plumbing Fixtures</t>
  </si>
  <si>
    <t>D2020 - Domestic Water Distribution</t>
  </si>
  <si>
    <t>D2030 - Sanitary Waste</t>
  </si>
  <si>
    <t>D2040 - Rain Water Drainage</t>
  </si>
  <si>
    <t>D2090 - Other Plumbing Systems</t>
  </si>
  <si>
    <t>D30 - HVAC</t>
  </si>
  <si>
    <t>D3010 - Supply</t>
  </si>
  <si>
    <t>D3020 - Heat Generating Systems</t>
  </si>
  <si>
    <t>D3030 - Cooling Generating Systems</t>
  </si>
  <si>
    <t>D3040 - Distribution Systems</t>
  </si>
  <si>
    <t>D3050 - Terminal &amp; Package Units</t>
  </si>
  <si>
    <t>D3060 - Controls &amp; Instrumentation</t>
  </si>
  <si>
    <t>D3070 - Systems Testing &amp; Balancing</t>
  </si>
  <si>
    <t>D3090 - Other HVAC Systems &amp; Equipment</t>
  </si>
  <si>
    <t>D40 - Fire Protection</t>
  </si>
  <si>
    <t>D4010 - Sprinklers</t>
  </si>
  <si>
    <t>D4020 - Standpipes</t>
  </si>
  <si>
    <t>D4030 - Fire Protection Specialties</t>
  </si>
  <si>
    <t>D4090 - Other Fire Protection Systems</t>
  </si>
  <si>
    <t>D50 - Electrical</t>
  </si>
  <si>
    <t>D5010 - Electrical Service &amp; Distribution</t>
  </si>
  <si>
    <t>D5020 - Lighting and Branch Wiring</t>
  </si>
  <si>
    <t>D5030 - Communications &amp; Security</t>
  </si>
  <si>
    <t>D5090 - Other Electrical Systems</t>
  </si>
  <si>
    <t>Subtotal Services</t>
  </si>
  <si>
    <t>E - Equipment &amp; Furnishings</t>
  </si>
  <si>
    <t>E10 - Equipment</t>
  </si>
  <si>
    <t>E1010 - Commercial Equipment</t>
  </si>
  <si>
    <t>E1020 - Institutional Equipment</t>
  </si>
  <si>
    <t>E1030 - Vehicular Equipment</t>
  </si>
  <si>
    <t>E1060 - Residential Equipment (Appliances)</t>
  </si>
  <si>
    <t>E1090 - Other Equipment</t>
  </si>
  <si>
    <t>E20 - Furnishings</t>
  </si>
  <si>
    <t>E2010 - Fixed Furnishings</t>
  </si>
  <si>
    <t>E2020 - Movable Furnishings</t>
  </si>
  <si>
    <t>Subtotal Equipment &amp; Furnishings</t>
  </si>
  <si>
    <t>F - Special Construction &amp; 
Demolition</t>
  </si>
  <si>
    <t>F10 - Special Construction</t>
  </si>
  <si>
    <t>F1010 - Special Structures</t>
  </si>
  <si>
    <t>F1020 - Integrated Construction</t>
  </si>
  <si>
    <t>F1030 - Special Construction Systems</t>
  </si>
  <si>
    <t>F1040 - Special Facilities</t>
  </si>
  <si>
    <t>F1050 - Special Controls and Instrumentation</t>
  </si>
  <si>
    <t>F20 - Selective Building Demolition</t>
  </si>
  <si>
    <t>F2010 - Building Elements Demolition</t>
  </si>
  <si>
    <t>F2020 - Hazardous Components Abatement</t>
  </si>
  <si>
    <t>Subtotal Special Construction &amp; Demolition</t>
  </si>
  <si>
    <t>G - Off-Site
Sitework</t>
  </si>
  <si>
    <t>Off-G10 - Site Preparation</t>
  </si>
  <si>
    <t>G1010 - Site Clearing</t>
  </si>
  <si>
    <t>G1020 - Site Demolition and Relocations</t>
  </si>
  <si>
    <t>G1030 - Site Earthwork</t>
  </si>
  <si>
    <t>G1040 - Hazardous Waste Remediation</t>
  </si>
  <si>
    <t>Off-G20 - Site Improvements</t>
  </si>
  <si>
    <t>G2010 - Roadways</t>
  </si>
  <si>
    <t>G2020 - Parking Lots</t>
  </si>
  <si>
    <t>G2030 - Pedestrian Paving</t>
  </si>
  <si>
    <t>G2040 - Site Development</t>
  </si>
  <si>
    <t>G2050 - Landscaping</t>
  </si>
  <si>
    <t>Off-G30 - Site Mechanical Utilities</t>
  </si>
  <si>
    <t>G3010 - Water Supply</t>
  </si>
  <si>
    <t>G3020 - Sanitary Sewer</t>
  </si>
  <si>
    <t>G3030 - Storm Sewer</t>
  </si>
  <si>
    <t>G3040 - Heating Distribution</t>
  </si>
  <si>
    <t>G3050 - Cooling Distribution</t>
  </si>
  <si>
    <t>G3060 - Fuel Distribution</t>
  </si>
  <si>
    <t>G3090 - Other Site Mechanical Utilities</t>
  </si>
  <si>
    <t>Off-G40 - Site Electrical Utilities</t>
  </si>
  <si>
    <t>G4010 - Electrical Distribution</t>
  </si>
  <si>
    <t>G4020 - Site Lighting</t>
  </si>
  <si>
    <t>G4030 - Site Communications &amp; Security</t>
  </si>
  <si>
    <t>G4090 - Other Site Mechanical Utilities</t>
  </si>
  <si>
    <t>Off-G90 - Other Site Construction</t>
  </si>
  <si>
    <t>G9010 - Service and Pedestrian Tunnels</t>
  </si>
  <si>
    <t>G9090 - Other Site Systems &amp; Equipment</t>
  </si>
  <si>
    <t>Subtotal Off-Site Construction</t>
  </si>
  <si>
    <t>On-Site - 
Sitework</t>
  </si>
  <si>
    <t>On-G10 - Site Preparation</t>
  </si>
  <si>
    <t>On-G20 - Site Improvements</t>
  </si>
  <si>
    <t>Update to AIA references for all categories</t>
  </si>
  <si>
    <t>On-G30 - Site Mechanical Utilities</t>
  </si>
  <si>
    <t>Look at the differences between OR SOV and ARPA SOV</t>
  </si>
  <si>
    <t>Tie it to Construction Budget</t>
  </si>
  <si>
    <t>On-G40 - Site Electrical Utilities</t>
  </si>
  <si>
    <t>On-G90 - Other Site Construction</t>
  </si>
  <si>
    <t>Subtotal On-Site Construction</t>
  </si>
  <si>
    <t>Z - General</t>
  </si>
  <si>
    <t>Z10 - General Requirements</t>
  </si>
  <si>
    <t>Z1010 - Price and Payment Procedures</t>
  </si>
  <si>
    <t>Z1020 - Administrative Requirements</t>
  </si>
  <si>
    <t>Z1040 - Quality Requirements</t>
  </si>
  <si>
    <t>Z1050 - Temporary Facilities and Controls</t>
  </si>
  <si>
    <t>Z1060 - Product Requirements</t>
  </si>
  <si>
    <t>Z1070 - Execution and Closeout Requirements</t>
  </si>
  <si>
    <t>Z1090 - Life Cycle Activities</t>
  </si>
  <si>
    <t>Z70 Taxes, Permits Insurance &amp; Bonds</t>
  </si>
  <si>
    <t>Z7010 - Taxes</t>
  </si>
  <si>
    <t>Z7030 - License Fees</t>
  </si>
  <si>
    <t>Z7050 - Permit Costs</t>
  </si>
  <si>
    <t>Z7060 - Insurance</t>
  </si>
  <si>
    <t>Z7070 - Bond Fees</t>
  </si>
  <si>
    <t>Z90 Fees and Contingencies</t>
  </si>
  <si>
    <t>Z9010 - Overhead</t>
  </si>
  <si>
    <t>Z9030 - Profit</t>
  </si>
  <si>
    <t xml:space="preserve">Z9050 - GC's Construction Contingencies </t>
  </si>
  <si>
    <t>Z9060 - General Conditions (not duplicative of general requirements)</t>
  </si>
  <si>
    <t>Z9090 - Financing Costs</t>
  </si>
  <si>
    <t>Subtotal General Contractor</t>
  </si>
  <si>
    <t>Note: On Budget Uses page, these items will be distributed evenly across site.</t>
  </si>
  <si>
    <t>Owners Construction Contingency (Enter %)</t>
  </si>
  <si>
    <t>Owners Construction Contract Amount</t>
  </si>
  <si>
    <t>Please explain how you arrived to your escalation percentage and why you think it will be sufficient based on your planned construction date.</t>
  </si>
  <si>
    <t>Development Budget</t>
  </si>
  <si>
    <t>Pro-rata Share</t>
  </si>
  <si>
    <t>New Construction Portion</t>
  </si>
  <si>
    <t>TOTAL COST</t>
  </si>
  <si>
    <t>RESIDENTIAL CONSTRUCTION COSTS</t>
  </si>
  <si>
    <r>
      <t xml:space="preserve">COMMERICAL BUILDING COSTS
</t>
    </r>
    <r>
      <rPr>
        <b/>
        <i/>
        <sz val="10"/>
        <color theme="0"/>
        <rFont val="Calibri"/>
        <family val="2"/>
        <scheme val="minor"/>
      </rPr>
      <t>(Costs excluded from basis)</t>
    </r>
  </si>
  <si>
    <t>COMMERICAL BUILDING COSTS</t>
  </si>
  <si>
    <r>
      <rPr>
        <b/>
        <sz val="12"/>
        <color rgb="FFFFFFFF"/>
        <rFont val="Calibri"/>
        <family val="2"/>
        <scheme val="minor"/>
      </rPr>
      <t xml:space="preserve">ELIGIBLE BASIS COSTS
</t>
    </r>
    <r>
      <rPr>
        <b/>
        <i/>
        <sz val="10"/>
        <color rgb="FFFFFFFF"/>
        <rFont val="Calibri"/>
        <family val="2"/>
        <scheme val="minor"/>
      </rPr>
      <t>(for HTC projects only)</t>
    </r>
  </si>
  <si>
    <t>COST/SQ FT
GROSS BUILDING</t>
  </si>
  <si>
    <t>COST/UNIT</t>
  </si>
  <si>
    <t>Rehab Portion</t>
  </si>
  <si>
    <t>Total units</t>
  </si>
  <si>
    <t>ACQUISITION</t>
  </si>
  <si>
    <t>Note: Mike will ensure formulas are same between 9%, 4%, State, etc.</t>
  </si>
  <si>
    <t>Hard/Construction Costs</t>
  </si>
  <si>
    <t>F - Special Construction &amp; Demolition</t>
  </si>
  <si>
    <t>Z - General / Indirect Costs</t>
  </si>
  <si>
    <t>Escalation</t>
  </si>
  <si>
    <t>Accessory Buildings (Garage, storage, etc.)</t>
  </si>
  <si>
    <t>Personal Property / Furniture, Fixtures, &amp; Equipment</t>
  </si>
  <si>
    <t>Off-Site - Site Work</t>
  </si>
  <si>
    <t>On-Site - Site Work</t>
  </si>
  <si>
    <t>&lt;= Nice to have: calculate required fees</t>
  </si>
  <si>
    <t>Draw Schedule Int Est:</t>
  </si>
  <si>
    <t xml:space="preserve">Soils Geotech Report / Soil Borings Expense </t>
  </si>
  <si>
    <t>Water, Sewer, and Impact Fees</t>
  </si>
  <si>
    <r>
      <t xml:space="preserve">Mortgage Payoff - </t>
    </r>
    <r>
      <rPr>
        <b/>
        <sz val="10"/>
        <color rgb="FF000000"/>
        <rFont val="Calibri"/>
        <family val="2"/>
        <scheme val="minor"/>
      </rPr>
      <t>N/A for Tax Credit Application</t>
    </r>
  </si>
  <si>
    <t>Dev. Fee Subtotal</t>
  </si>
  <si>
    <t>Acq Fee</t>
  </si>
  <si>
    <t>TC Type:</t>
  </si>
  <si>
    <t>If Acq/Rehab</t>
  </si>
  <si>
    <t>New Const</t>
  </si>
  <si>
    <t>If 4% deal</t>
  </si>
  <si>
    <t>Rest of Dev Fee</t>
  </si>
  <si>
    <t>Is Tab13 Blank?</t>
  </si>
  <si>
    <t>Is State TC (Tab3) Blank?</t>
  </si>
  <si>
    <t>Is App1?</t>
  </si>
  <si>
    <t>State Tab Tab13</t>
  </si>
  <si>
    <t>s</t>
  </si>
  <si>
    <t>Federal 9%</t>
  </si>
  <si>
    <t>Federal 4%</t>
  </si>
  <si>
    <t>TEST DATA</t>
  </si>
  <si>
    <t>Total Costs</t>
  </si>
  <si>
    <t>Link Pricing to Funding Sources</t>
  </si>
  <si>
    <t>Tab13 State TC Size:</t>
  </si>
  <si>
    <t>Size Fed TC for App2/3 State + Fed 4% Deals:</t>
  </si>
  <si>
    <t>Tab 3 State TC Size:</t>
  </si>
  <si>
    <t>State 4% Annual Credit Award from Reservation Agreement</t>
  </si>
  <si>
    <t>Multiplied by Investor Ownership Percentage</t>
  </si>
  <si>
    <t>Multiplied by Price Per State Housing Tax Credit</t>
  </si>
  <si>
    <t>Multiplied by Number of Years Credits are Claimed</t>
  </si>
  <si>
    <t>State Tax Credit Equity Amount</t>
  </si>
  <si>
    <t>Credit Percentage Month</t>
  </si>
  <si>
    <t xml:space="preserve">Total Equity Gap </t>
  </si>
  <si>
    <t>Tax Credits at Estimated Rate</t>
  </si>
  <si>
    <t>Pricing per credits</t>
  </si>
  <si>
    <t>Total Federal Project Eligible Tax Credits</t>
  </si>
  <si>
    <t>State Hidden Fields</t>
  </si>
  <si>
    <t>Federal Hidden Fees</t>
  </si>
  <si>
    <t>Divided by 0.9999 Investor Ownership</t>
  </si>
  <si>
    <t>Fed 4% Amount</t>
  </si>
  <si>
    <t>Fed 4% Resized</t>
  </si>
  <si>
    <t>Fed 4% TC Size</t>
  </si>
  <si>
    <t>sum(</t>
  </si>
  <si>
    <t>Investor Ownership Interest</t>
  </si>
  <si>
    <t>Credits Calculated by:</t>
  </si>
  <si>
    <t>Eligible Basis Calculation</t>
  </si>
  <si>
    <t>Equity Gap Calculation</t>
  </si>
  <si>
    <t>Lower of Calculations</t>
  </si>
  <si>
    <t>Other adjustments*</t>
  </si>
  <si>
    <t>Credit Amount</t>
  </si>
  <si>
    <t>Applicant Notes / Remarks concerning Project Costs</t>
  </si>
  <si>
    <t>Credit Calculation</t>
  </si>
  <si>
    <t>Federal Tax Credit Calculation</t>
  </si>
  <si>
    <t>State Tax Credit Calculation</t>
  </si>
  <si>
    <t>Acquisition Credit</t>
  </si>
  <si>
    <t>LI Units</t>
  </si>
  <si>
    <t>LI Sq Ft</t>
  </si>
  <si>
    <t>Acquisition Price</t>
  </si>
  <si>
    <t>Mkt Units</t>
  </si>
  <si>
    <t>Mkt Sq Ft</t>
  </si>
  <si>
    <t>Emp Units</t>
  </si>
  <si>
    <t>Emp Sq Ft</t>
  </si>
  <si>
    <t>Qualified Basis</t>
  </si>
  <si>
    <t>Units AF</t>
  </si>
  <si>
    <t>Sq Ft AF</t>
  </si>
  <si>
    <t>Potential Annual Acquisition Credit</t>
  </si>
  <si>
    <t>Potential Annual Credit</t>
  </si>
  <si>
    <t>Federal Eligible Basis Credit Calculation</t>
  </si>
  <si>
    <t>State Eligible Basis Credit Calculation</t>
  </si>
  <si>
    <t>Initial Eligible Basis</t>
  </si>
  <si>
    <t>Less: Building Acquisition</t>
  </si>
  <si>
    <t>Less: Acquisition Credit</t>
  </si>
  <si>
    <t>Less: Other Credits</t>
  </si>
  <si>
    <t>Less: Historic Tax Basis (enter as Negative number)</t>
  </si>
  <si>
    <t>Less: Grants</t>
  </si>
  <si>
    <t>Adjusted Eligible Building Basis</t>
  </si>
  <si>
    <t>QCT/DDA Boost</t>
  </si>
  <si>
    <t>Boost %</t>
  </si>
  <si>
    <t>HFA Boost</t>
  </si>
  <si>
    <t>Potential Federal Annual Credit - Eligible Basis Calc.</t>
  </si>
  <si>
    <t>Potential State Annual Credit - Eligible Basis Calc</t>
  </si>
  <si>
    <t>Equity Gap Method</t>
  </si>
  <si>
    <t>Equity Gap Method - State Credit</t>
  </si>
  <si>
    <t>Total Residential Project Costs</t>
  </si>
  <si>
    <t>Less Loans:</t>
  </si>
  <si>
    <t>Less Grants:</t>
  </si>
  <si>
    <t>Less Historic Rehab Credits Equity</t>
  </si>
  <si>
    <t>Less - Acq. Credits Equity</t>
  </si>
  <si>
    <t>Less - Fed. Credits Equity</t>
  </si>
  <si>
    <t>Number of Years The Credits are Claimed</t>
  </si>
  <si>
    <t>Gap Divided by Years</t>
  </si>
  <si>
    <t>Gap Divided by Equity Pricing</t>
  </si>
  <si>
    <t>Other Adjustments</t>
  </si>
  <si>
    <r>
      <rPr>
        <sz val="11"/>
        <color rgb="FF000000"/>
        <rFont val="Calibri"/>
        <family val="2"/>
        <scheme val="minor"/>
      </rPr>
      <t>Maximum Annual Credits</t>
    </r>
    <r>
      <rPr>
        <b/>
        <sz val="11"/>
        <color rgb="FF000000"/>
        <rFont val="Calibri"/>
        <family val="2"/>
        <scheme val="minor"/>
      </rPr>
      <t xml:space="preserve"> (9% Applications Only)</t>
    </r>
  </si>
  <si>
    <t>Maximum Annual Credits</t>
  </si>
  <si>
    <t xml:space="preserve">Equity Gap issue on the bonus credits. Could produce a circular issue. </t>
  </si>
  <si>
    <r>
      <rPr>
        <b/>
        <sz val="11"/>
        <color theme="1"/>
        <rFont val="Calibri"/>
        <family val="2"/>
        <scheme val="minor"/>
      </rPr>
      <t>Boost</t>
    </r>
    <r>
      <rPr>
        <sz val="11"/>
        <color theme="1"/>
        <rFont val="Calibri"/>
        <family val="2"/>
        <scheme val="minor"/>
      </rPr>
      <t xml:space="preserve">: See Appendix E of the HTC application for a list of QCTs and DDAs. WHEDA will provide periodic guidance to applicants regarding the maximum QCT basis boost that may be requested by applicants. Projects are required to comply. </t>
    </r>
  </si>
  <si>
    <r>
      <rPr>
        <b/>
        <sz val="11"/>
        <color theme="1"/>
        <rFont val="Calibri"/>
        <family val="2"/>
        <scheme val="minor"/>
      </rPr>
      <t xml:space="preserve">Maximum Credit Request: </t>
    </r>
    <r>
      <rPr>
        <sz val="11"/>
        <color theme="1"/>
        <rFont val="Calibri"/>
        <family val="2"/>
        <scheme val="minor"/>
      </rPr>
      <t>Refer to QAP and FAQ for guidance found at WHEDA.com</t>
    </r>
  </si>
  <si>
    <t>Project Operations (Year One)</t>
  </si>
  <si>
    <t xml:space="preserve">                                                                Subtotal: Rent Expense</t>
  </si>
  <si>
    <t xml:space="preserve">                                   Subtotal: Administrative Expenses</t>
  </si>
  <si>
    <t xml:space="preserve">                                                      Subtotal: Utilities Expenses</t>
  </si>
  <si>
    <t>Vehicle / Maintenance Equipment Operation &amp; Repairs</t>
  </si>
  <si>
    <t xml:space="preserve">                                   Subtotal: Operating &amp; Maintenance Expenses</t>
  </si>
  <si>
    <t>Fidelity Bond Insurance</t>
  </si>
  <si>
    <t>Miscellaneous Taxes, Licenses, Permits, and Insurance</t>
  </si>
  <si>
    <t>Subtotal: Taxes and Insurance</t>
  </si>
  <si>
    <t>Registered Nurse Salary</t>
  </si>
  <si>
    <t>Totals</t>
  </si>
  <si>
    <t>Remarks concerning Projected Operating Costs:</t>
  </si>
  <si>
    <t>Internal Use Only</t>
  </si>
  <si>
    <t>Cash Flow &amp; Replacement Reserves</t>
  </si>
  <si>
    <t>Projected Cash Flow (Year One)</t>
  </si>
  <si>
    <t xml:space="preserve">NOTES: </t>
  </si>
  <si>
    <t>• If the project funding sources include soft debt / Cash Flow dependent loans, please complete the "Cash Flow Dependent Loans" section beginning in row 119 of this tab.</t>
  </si>
  <si>
    <t>• See Appendix D: Underwriting Criteria for a complete overview of all Housing Tax Credit underwriting requirements.</t>
  </si>
  <si>
    <t>Inflation Rate</t>
  </si>
  <si>
    <t>Vacancy Assumption</t>
  </si>
  <si>
    <t>Growth Assumption %</t>
  </si>
  <si>
    <t>Gross rental income</t>
  </si>
  <si>
    <t>Gross rental income
(from Unit Mix - Total Monthly Rent)</t>
  </si>
  <si>
    <t>Commercial Income</t>
  </si>
  <si>
    <t>Include Commercial Income in Project DCR?*</t>
  </si>
  <si>
    <t>Parking</t>
  </si>
  <si>
    <t>Laundry and Vending</t>
  </si>
  <si>
    <t>Misc. Income (specify in Applicant Notes):</t>
  </si>
  <si>
    <t xml:space="preserve">Will TIF be Monetized? </t>
  </si>
  <si>
    <t>TIF Increment Revenue</t>
  </si>
  <si>
    <t>Other  (specify Below):</t>
  </si>
  <si>
    <t>Total Gross Income Potential at 100% Occupancy</t>
  </si>
  <si>
    <t>Vacancy Allowance - Rental Income</t>
  </si>
  <si>
    <t>Vacancy Allowance - Commercial Income</t>
  </si>
  <si>
    <t>Vacancy Allowance - Additional Revenue</t>
  </si>
  <si>
    <t>NET RENTAL/OTHER INCOME</t>
  </si>
  <si>
    <t>TOTAL OPERATING EXPENSES</t>
  </si>
  <si>
    <t>NET OPERATING INCOME</t>
  </si>
  <si>
    <t>DEBT SERVICE</t>
  </si>
  <si>
    <t>NET CASH FLOW</t>
  </si>
  <si>
    <t>DEBT COVERAGE RATIO
(Minimum of 1.15)</t>
  </si>
  <si>
    <t>Other Administrative Exp</t>
  </si>
  <si>
    <t>Operating &amp; Maintenance Exp</t>
  </si>
  <si>
    <t xml:space="preserve">*Note: Commercial Income cannot be included in the Debt Service Coverage Ratio at initial HTC Application </t>
  </si>
  <si>
    <t>Include and calculate other estimated non-rental income sources below:</t>
  </si>
  <si>
    <r>
      <rPr>
        <sz val="11"/>
        <color rgb="FF000000"/>
        <rFont val="Calibri"/>
        <family val="2"/>
      </rPr>
      <t xml:space="preserve">Explanation of </t>
    </r>
    <r>
      <rPr>
        <b/>
        <u/>
        <sz val="11"/>
        <color rgb="FF000000"/>
        <rFont val="Calibri"/>
        <family val="2"/>
      </rPr>
      <t>Other Income:       Percent of Gross Revenue =</t>
    </r>
  </si>
  <si>
    <t>Cash Flow Assumptions</t>
  </si>
  <si>
    <t>Beginning Year</t>
  </si>
  <si>
    <t>Completion Year-Assumes 12 months</t>
  </si>
  <si>
    <t>Cashflow by Year</t>
  </si>
  <si>
    <t>Gross Potential Income: (Excluding TIF &amp; Other)</t>
  </si>
  <si>
    <t>Other Income Source</t>
  </si>
  <si>
    <t>Vacancy Allowance - Parking</t>
  </si>
  <si>
    <t>Vacancy Allowance - Laundry and Vending</t>
  </si>
  <si>
    <t>Vacancy Allowance - Misc. Income</t>
  </si>
  <si>
    <t>Vacancy Allowance - Other</t>
  </si>
  <si>
    <t>Total Vacancy</t>
  </si>
  <si>
    <t>Effective Gross Income:</t>
  </si>
  <si>
    <t>Operating Expenses by Year</t>
  </si>
  <si>
    <t>Management Fees</t>
  </si>
  <si>
    <t>Other Administrative Exp (Less Mgmt Fees)</t>
  </si>
  <si>
    <t>Other Taxes and Insurance</t>
  </si>
  <si>
    <t>Net Operating Income by Year</t>
  </si>
  <si>
    <t>Effective Gross Income, After Reserve</t>
  </si>
  <si>
    <t>Overview of Must Pay Debt</t>
  </si>
  <si>
    <t>Loan Term</t>
  </si>
  <si>
    <t>Total Owed Amnt</t>
  </si>
  <si>
    <t>DCR</t>
  </si>
  <si>
    <t>Cash Flow Remaining-1st Mortgage</t>
  </si>
  <si>
    <t>Investor Asset Management Fee</t>
  </si>
  <si>
    <t>Cash Flow Remaining After 1st Mortgage and AM Fee</t>
  </si>
  <si>
    <t>Cash Flow Remaining</t>
  </si>
  <si>
    <r>
      <rPr>
        <b/>
        <u/>
        <sz val="10"/>
        <color rgb="FFFFFFFF"/>
        <rFont val="Calibri"/>
        <family val="2"/>
        <scheme val="minor"/>
      </rPr>
      <t xml:space="preserve">Cashflow Dependent Loans                                                                                                                                                                                                                                                                                                                                                                                                                                                                           
</t>
    </r>
    <r>
      <rPr>
        <sz val="10"/>
        <color rgb="FFFFFFFF"/>
        <rFont val="Calibri"/>
        <family val="2"/>
        <scheme val="minor"/>
      </rPr>
      <t xml:space="preserve">Please select from the Intended Payment Schedule below. Please note that if a loan is not paid off within its term, the final year will reflect a balloon payment. The options include:
     1: Full P&amp;I Payments - Treating the loan as if it was hard debt, and making "full" annual payments. If available Cash Flow is lower than the annual payment, the full remainder of Cash Flow will be used.
     2: Even Annual Payments - Input your desired annual payment amount into year 1, and this amount will be paid for the term of the loan. 
     3: Percentage of Cash Flow - Input the desired percentage of available Cash Flow that you want to put toward the loan. This percentage will be applied to each year's remaining Cash Flow, 
     and that amount will be applied as a payment to the loan.
     4: I/O - This option displays interest only payments for the life of the loan.
</t>
    </r>
    <r>
      <rPr>
        <u/>
        <sz val="10"/>
        <color rgb="FFFFFFFF"/>
        <rFont val="Calibri"/>
        <family val="2"/>
        <scheme val="minor"/>
      </rPr>
      <t xml:space="preserve">     5: Fully Customizable - This option allows you to customize each year's payment however you would like.     </t>
    </r>
    <r>
      <rPr>
        <b/>
        <u/>
        <sz val="10"/>
        <color rgb="FFFFFFFF"/>
        <rFont val="Calibri"/>
        <family val="2"/>
        <scheme val="minor"/>
      </rPr>
      <t xml:space="preserve">                                                                                                                                                                                                                                                                                                                                            </t>
    </r>
  </si>
  <si>
    <t>CF Note 1 Am</t>
  </si>
  <si>
    <t>CF Note 2 Am</t>
  </si>
  <si>
    <t>CF Note 3 Am</t>
  </si>
  <si>
    <t>Overview of Cash Flow Dependent Loans</t>
  </si>
  <si>
    <t>Current Selected</t>
  </si>
  <si>
    <t>Intended Payment Schedule?</t>
  </si>
  <si>
    <t>I/O</t>
  </si>
  <si>
    <t>Payments</t>
  </si>
  <si>
    <t>Full P&amp;I Payments</t>
  </si>
  <si>
    <t>Even Annual Payments</t>
  </si>
  <si>
    <t>Percentage of Cashflow</t>
  </si>
  <si>
    <t>Fully Customizable</t>
  </si>
  <si>
    <t>Cash Flow Remaining-9th Mortgage</t>
  </si>
  <si>
    <t>Proposed Annual Debt Service-8th Mortgage</t>
  </si>
  <si>
    <t>DCR-8th Mortgage</t>
  </si>
  <si>
    <t>Cash Flow Remaining-8th Mortgage</t>
  </si>
  <si>
    <t>Proposed Annual Debt Service-9th Mortgage</t>
  </si>
  <si>
    <t>DCR-9th Mortgage</t>
  </si>
  <si>
    <t>Deferred Developer Fee Payment Calculation</t>
  </si>
  <si>
    <t>Developer's Fee - Total Amount Deferred</t>
  </si>
  <si>
    <t>Payment Needed?</t>
  </si>
  <si>
    <t>Developer's Fee - Payment</t>
  </si>
  <si>
    <t>Developer's Fee - Remaining</t>
  </si>
  <si>
    <t>Cash Flow Remaining After Deferred Developer Fee</t>
  </si>
  <si>
    <t>TIF Payment Calculation by Year</t>
  </si>
  <si>
    <t>Tax Incremental Financing (TIF) Revenue</t>
  </si>
  <si>
    <t>Amortizing TIF Payment</t>
  </si>
  <si>
    <t>Excess Payment/TIF Sweep Payment</t>
  </si>
  <si>
    <t>Total TIF Payment</t>
  </si>
  <si>
    <t>DCR- TIF Mortgage</t>
  </si>
  <si>
    <t>Cash Flow Remaining After TIF Mortgage</t>
  </si>
  <si>
    <t xml:space="preserve">Replacement Reserve Assumptions </t>
  </si>
  <si>
    <t>Interest Rate on Reserves</t>
  </si>
  <si>
    <t>Annual Reserve Deposit</t>
  </si>
  <si>
    <t>Annual Growth Rate for Reserve Deposit</t>
  </si>
  <si>
    <t>Beginning Reserve Balance</t>
  </si>
  <si>
    <t>Replacement Reserves by Year</t>
  </si>
  <si>
    <t>Completion</t>
  </si>
  <si>
    <t xml:space="preserve">  Beginning Balance</t>
  </si>
  <si>
    <t xml:space="preserve">  Interest Earned</t>
  </si>
  <si>
    <t xml:space="preserve">  Annual Deposit</t>
  </si>
  <si>
    <t xml:space="preserve">  Estimated Disbursement</t>
  </si>
  <si>
    <t xml:space="preserve">  Est. Ending Balance</t>
  </si>
  <si>
    <t xml:space="preserve">Please further describe: </t>
  </si>
  <si>
    <t>Max Cost Model</t>
  </si>
  <si>
    <t>Instructions</t>
  </si>
  <si>
    <t xml:space="preserve">Complete all cells highlighted in green in the Questions section and review all information populated in the Information Review </t>
  </si>
  <si>
    <t xml:space="preserve">section. Confirm that the calculcated value in Cell M63 does not exceed the calculated value in cell M62. </t>
  </si>
  <si>
    <t>WHEDA limits total development cost for any one development for both HTC and lending.   This is a threshold item and applications exceeding the allowed maximum will be rejected.  Public housing authorities are exempt if they are the primary applicant and HOPE VI or Choice Neighborhood Initiative grant is a source of funds. Tribal housing authorities are exempt if they are the primary applicant and NAHASDA or similar funding is a source of funds.   Development costs attributable to Community Service Facilities and 4% transaction developer fee above the current limit for 9% transaction will be excluded from the calculation of the maximum cost.</t>
  </si>
  <si>
    <t xml:space="preserve">The model is based on historical data from Wisconsin’s HTC program and uses regression modeling with combinations of variables listed below to predict costs.  A development is limited to the Maximum Per-Unit Cost calculated below.  </t>
  </si>
  <si>
    <t>Questions</t>
  </si>
  <si>
    <t>Development costs attributable to employment-related Community Service Facility:</t>
  </si>
  <si>
    <t>Is this a rehabilitation development with per per-unit rehabilitation costs between $25,000 and $50,000?</t>
  </si>
  <si>
    <t>Is this a rehabilitation development with per per-unit rehabilitation costs in excess of $50,000?</t>
  </si>
  <si>
    <t>Does this development qualify for the Supportive Housing set-aside?</t>
  </si>
  <si>
    <t>Does this development primarily address the rehabilitation of foreclosed or abandoned single family homes or duplexes?</t>
  </si>
  <si>
    <t>Does this development primarily contain single-family homes and duplexes?</t>
  </si>
  <si>
    <t>Information Review</t>
  </si>
  <si>
    <t>Number of Acquisition-Rehab Units:</t>
  </si>
  <si>
    <t>Number of New Construction Units:</t>
  </si>
  <si>
    <t>Number of Adaptive Reuse Units:</t>
  </si>
  <si>
    <t>Total number of units in this development</t>
  </si>
  <si>
    <t>Location</t>
  </si>
  <si>
    <t>Is the development located in the City of Milwaukee?</t>
  </si>
  <si>
    <t>Milwaukee's Average (including Westlawn projects) is $54,672 over the average Cost/Unit</t>
  </si>
  <si>
    <t>Is the development located in the City of Madison?</t>
  </si>
  <si>
    <t>Is the development located in one of the metropolitan counties listed on the Metro Counties page (excluding City of Milwaukee and City of Madison)?</t>
  </si>
  <si>
    <t>Look at the Difference to Avg</t>
  </si>
  <si>
    <t>Is the development located on Wisconsin Tribal Lands?</t>
  </si>
  <si>
    <t>Development</t>
  </si>
  <si>
    <t>Basis</t>
  </si>
  <si>
    <t>Calcs</t>
  </si>
  <si>
    <t>NC Units</t>
  </si>
  <si>
    <t>Ad Reuse</t>
  </si>
  <si>
    <t>A/R</t>
  </si>
  <si>
    <t>Does this have new construction development?</t>
  </si>
  <si>
    <t>Does this have adaptive reuse development?</t>
  </si>
  <si>
    <t>Madison</t>
  </si>
  <si>
    <t>Gross square feet in this development</t>
  </si>
  <si>
    <t>Other Metro</t>
  </si>
  <si>
    <t>Tribal</t>
  </si>
  <si>
    <t>Developer Fee (4% Transactions Only)</t>
  </si>
  <si>
    <t>New Const.</t>
  </si>
  <si>
    <r>
      <t xml:space="preserve">For </t>
    </r>
    <r>
      <rPr>
        <b/>
        <sz val="11"/>
        <color theme="1"/>
        <rFont val="Calibri"/>
        <family val="2"/>
        <scheme val="minor"/>
      </rPr>
      <t>4% transactions</t>
    </r>
    <r>
      <rPr>
        <sz val="11"/>
        <color theme="1"/>
        <rFont val="Calibri"/>
        <family val="2"/>
        <scheme val="minor"/>
      </rPr>
      <t xml:space="preserve"> only, developer fee above the current limit for 9% transactions </t>
    </r>
  </si>
  <si>
    <t>Adapt ReUse</t>
  </si>
  <si>
    <t>Acq Rehab Low</t>
  </si>
  <si>
    <t>Calculation Review</t>
  </si>
  <si>
    <t>Acq Rehab High</t>
  </si>
  <si>
    <t>Calculated Cost Limit</t>
  </si>
  <si>
    <t>30% Allowance</t>
  </si>
  <si>
    <t>SF Homes</t>
  </si>
  <si>
    <t>Subtotal</t>
  </si>
  <si>
    <t>SqFt per Unit</t>
  </si>
  <si>
    <t>Max Basis</t>
  </si>
  <si>
    <t>Min Basis</t>
  </si>
  <si>
    <t>Max Cost</t>
  </si>
  <si>
    <t>Min Cost</t>
  </si>
  <si>
    <t>Calc Amt</t>
  </si>
  <si>
    <t>Limit</t>
  </si>
  <si>
    <t>% Units</t>
  </si>
  <si>
    <t>Weighted Limit</t>
  </si>
  <si>
    <t>Allowance for supportive housing developments and those addressing foreclosed/abandoned homes</t>
  </si>
  <si>
    <t>NC - Ad Reuse</t>
  </si>
  <si>
    <t>Acq Rehab</t>
  </si>
  <si>
    <t>Maximum Per-Unit Cost for this Development</t>
  </si>
  <si>
    <t>Actual Per-Unit Cost for this Development</t>
  </si>
  <si>
    <t>Look at Developer Fee adjustment</t>
  </si>
  <si>
    <t>About the Maximum Cost Model</t>
  </si>
  <si>
    <t xml:space="preserve">Maximum Cost Model: Provide project specific WHEDA Maximum Cost Model (Appendix F). </t>
  </si>
  <si>
    <t>Exemptions</t>
  </si>
  <si>
    <t xml:space="preserve">• </t>
  </si>
  <si>
    <t>Public Housing Authorities who are the primary applicant and evidence the intent to use Choice Neighborhood (fka: HOPE VI) as a funding source.</t>
  </si>
  <si>
    <t>Tribal Housing Authorities who are the primary applicant and evidence the intent to use NAHASDA or similar funding as a source of funds.</t>
  </si>
  <si>
    <t xml:space="preserve">Development costs attributable to employment-related Community Service Facilities (CSF) will be excluded from the calculation. The inclusion of a CSF in the project must clearly be stated within the application. </t>
  </si>
  <si>
    <t>If development is a combination of new construction and Adaptive Reuse - applicants should input total number of units as Adaptive Reuse and list as Primarily Adaptive Reuse.</t>
  </si>
  <si>
    <t>4% transactions only, If applicant has chosen the option to take a higher developer fee than the standard (see Developer Fee Policy Appendix J) any amount above the standard calculation should NOT be included in the Maximum Cost Calculation.</t>
  </si>
  <si>
    <t>NOTE:</t>
  </si>
  <si>
    <t xml:space="preserve">Completion of this tab is not required for initial Housing Tax Credit applications. </t>
  </si>
  <si>
    <t>Closing</t>
  </si>
  <si>
    <t>Months of Const.</t>
  </si>
  <si>
    <t>Months from Close to Perm Conv</t>
  </si>
  <si>
    <t>Month</t>
  </si>
  <si>
    <t>Draw #</t>
  </si>
  <si>
    <t>Draw #1</t>
  </si>
  <si>
    <t>Draw #2</t>
  </si>
  <si>
    <t>Draw #3</t>
  </si>
  <si>
    <t>Draw #4</t>
  </si>
  <si>
    <t>Draw #5</t>
  </si>
  <si>
    <t>Draw #6</t>
  </si>
  <si>
    <t>Draw #7</t>
  </si>
  <si>
    <t>Draw #8</t>
  </si>
  <si>
    <t>Draw #9</t>
  </si>
  <si>
    <t>Draw #10</t>
  </si>
  <si>
    <t>Draw #11</t>
  </si>
  <si>
    <t>Draw #12</t>
  </si>
  <si>
    <t>Draw #13</t>
  </si>
  <si>
    <t>Draw #14</t>
  </si>
  <si>
    <t>Draw #15</t>
  </si>
  <si>
    <t>Draw #16</t>
  </si>
  <si>
    <t>Draw #17</t>
  </si>
  <si>
    <t>Draw #18</t>
  </si>
  <si>
    <t>Draw $19</t>
  </si>
  <si>
    <t>Draw #20</t>
  </si>
  <si>
    <t>Draw #21</t>
  </si>
  <si>
    <t>Draw #22</t>
  </si>
  <si>
    <t>Draw #23</t>
  </si>
  <si>
    <t>Draw #24</t>
  </si>
  <si>
    <t>Draw #25</t>
  </si>
  <si>
    <t>Draw #26</t>
  </si>
  <si>
    <t>Draw #28</t>
  </si>
  <si>
    <t>Draw #29</t>
  </si>
  <si>
    <t>Draw #30</t>
  </si>
  <si>
    <t>When Payment Due</t>
  </si>
  <si>
    <t>Monthly % Construction Complete</t>
  </si>
  <si>
    <t>Cumulative % Construction Complete</t>
  </si>
  <si>
    <t>PROJECT BUDGET</t>
  </si>
  <si>
    <t>BALANCE REMAINING</t>
  </si>
  <si>
    <t xml:space="preserve">Subtotal Site Costs </t>
  </si>
  <si>
    <t>See Row 194</t>
  </si>
  <si>
    <t>Subtotal Construction Period Costs</t>
  </si>
  <si>
    <t>Cumulative Draws</t>
  </si>
  <si>
    <t>FUNDING SOURCES</t>
  </si>
  <si>
    <t>INTERIM Construction Financing Source</t>
  </si>
  <si>
    <t>Total Amount</t>
  </si>
  <si>
    <t>Funds Debited</t>
  </si>
  <si>
    <t>Funds Credited</t>
  </si>
  <si>
    <t>Paid off</t>
  </si>
  <si>
    <t>Zero Out Balance?</t>
  </si>
  <si>
    <t>CONSTRUCTION INTEREST CALCULATION:</t>
  </si>
  <si>
    <t>Total Interest</t>
  </si>
  <si>
    <t>Interest on Permanent Financing (if applicable)</t>
  </si>
  <si>
    <t>See Funding Sources</t>
  </si>
  <si>
    <t>*</t>
  </si>
  <si>
    <t>Line Item for Construction Interest in Project Cost:</t>
  </si>
  <si>
    <t>*Note: Consider updating your line item in the Project Costs &amp; Credit Calc section titled "Construction Period Interest Pymts" with this value</t>
  </si>
  <si>
    <t>PERMANENT Financing</t>
  </si>
  <si>
    <t>Loans:</t>
  </si>
  <si>
    <t>Grants:</t>
  </si>
  <si>
    <t>Equity and Other:</t>
  </si>
  <si>
    <t>TOTAL FUNDING SOURCE - ALL</t>
  </si>
  <si>
    <t>TOTAL FUNDING SOURCE - NET OF INTERIM CONSTRUCTION</t>
  </si>
  <si>
    <t>Difference</t>
  </si>
  <si>
    <t>Cumulative Funding Sources</t>
  </si>
  <si>
    <t>Interest Calculation Loan #1</t>
  </si>
  <si>
    <t>Interest Calculation Loan #2</t>
  </si>
  <si>
    <t>Interest Calculation Loan #3</t>
  </si>
  <si>
    <t>Interest Calculation Loan #4</t>
  </si>
  <si>
    <t>Interest Calculation Loan #5</t>
  </si>
  <si>
    <t>TOTAL CONSTRUCTION PERIOD INTEREST - Loan #1</t>
  </si>
  <si>
    <t>TOTAL CONSTRUCTION PERIOD INTEREST - Loan #2</t>
  </si>
  <si>
    <t>TOTAL CONSTRUCTION PERIOD INTEREST - Loan #3</t>
  </si>
  <si>
    <t>TOTAL CONSTRUCTION PERIOD INTEREST - Loan #4</t>
  </si>
  <si>
    <t>TOTAL CONSTRUCTION PERIOD INTEREST - Loan #5</t>
  </si>
  <si>
    <t>TOTAL CONSTRUCTION PERIOD INTEREST - Permanent Financing</t>
  </si>
  <si>
    <t>CROSS CHECK - CONSTRUCTION LOAN SIZING ESTIMATE (TOTAL):</t>
  </si>
  <si>
    <t>Construction Loan Needed:</t>
  </si>
  <si>
    <t>VS. in Total Construction Loan in Project Budget</t>
  </si>
  <si>
    <t>Instructions / Scoring Summary</t>
  </si>
  <si>
    <t>Review the calculated Applicant Scores for your development on this Exhibit. You must proactively choose or decline participation in several</t>
  </si>
  <si>
    <t xml:space="preserve">scoring categories. Points will not be awarded if not requested, or if the required documentation for a category is not </t>
  </si>
  <si>
    <t xml:space="preserve">submitted, is insufficient, or is in an unacceptable form. Applicants must commit via written agreements to actions </t>
  </si>
  <si>
    <t xml:space="preserve">supporting points awarded in scoring categories. Once a development has executed a Reservation of Credit, no </t>
  </si>
  <si>
    <t xml:space="preserve">changes to the development score will be allowed. </t>
  </si>
  <si>
    <t xml:space="preserve">WHEDA will determine final point scores after reviewing information provided by applicant. If two or more applicants </t>
  </si>
  <si>
    <t xml:space="preserve">receive the same score, the application with the lowest amount of Housing Tax Credits (HTCs) per low income unit will be ranked the highest. </t>
  </si>
  <si>
    <t xml:space="preserve"> A secondary tiebreaker, if needed, will rank applications by the number of units in the project. </t>
  </si>
  <si>
    <t xml:space="preserve">All developments must score at least 75 points to be eligible for Credit. Points ending in a fraction will be rounded </t>
  </si>
  <si>
    <t xml:space="preserve">down. WHEDA reserves the right to change this threshold as it deems appropriate. </t>
  </si>
  <si>
    <t xml:space="preserve">Unless otherwise noted, for scattered site developments, two-thirds of the units must meet the scoring category </t>
  </si>
  <si>
    <t>criteria to receive points.</t>
  </si>
  <si>
    <t>WHEDA score not linked</t>
  </si>
  <si>
    <t>Scoring Categories</t>
  </si>
  <si>
    <t>Points Available</t>
  </si>
  <si>
    <t>Applicant Score</t>
  </si>
  <si>
    <t>A. Location Score</t>
  </si>
  <si>
    <t>A.1. Areas of Economic Opportunity</t>
  </si>
  <si>
    <t>A.2.  Lower Income Areas</t>
  </si>
  <si>
    <t>A.3. Workforce Housing Communities</t>
  </si>
  <si>
    <t>A.4.  Rehab/Neighborhood Stabilization</t>
  </si>
  <si>
    <t>B. Teants Served Score</t>
  </si>
  <si>
    <t>B.1.  Serves Large Families or Seniors</t>
  </si>
  <si>
    <t>B.2.  Serves Lowest-Income Residents</t>
  </si>
  <si>
    <t>B.3.  Supportive Housing</t>
  </si>
  <si>
    <t>B.4.  Veterans Housing</t>
  </si>
  <si>
    <t>C. Building Design Score</t>
  </si>
  <si>
    <t>C.1.  Energy Efficiency and Sustainability</t>
  </si>
  <si>
    <t>C.2.  Universal Design</t>
  </si>
  <si>
    <t>C.3. Eventual Tenant Ownership</t>
  </si>
  <si>
    <t>C.4. Community Service Facilities</t>
  </si>
  <si>
    <t>C.5. Additional Amenities Score</t>
  </si>
  <si>
    <t>D. Development Process Score</t>
  </si>
  <si>
    <t>D.1. Credit Efficiency</t>
  </si>
  <si>
    <t>D.2. Development Team</t>
  </si>
  <si>
    <t>D.3. Site Characteristics</t>
  </si>
  <si>
    <t>Scoring Total</t>
  </si>
  <si>
    <t>All Appendices and WHEDA forms referenced in scoring categories can be located on WHEDA’s website (www.wheda.com)</t>
  </si>
  <si>
    <t>Location Score</t>
  </si>
  <si>
    <t xml:space="preserve">Location Total Score </t>
  </si>
  <si>
    <t>Points in yellow cells are auto-calculated based on project information entered within this workbook. Green or white cells must be manually completed to request points.</t>
  </si>
  <si>
    <t>Maximum Score</t>
  </si>
  <si>
    <t>A.1 Area of Economic Opportunity (Maximum 20 Points)</t>
  </si>
  <si>
    <t>A list of census tracts/school districts that qualify points in this catgory can be found in Appendix R.</t>
  </si>
  <si>
    <t>Projects scoring points in Rehabilitation &amp; Neighborhood Stabilization cannot score points in this category.</t>
  </si>
  <si>
    <t>Rehab and Neighborhood?</t>
  </si>
  <si>
    <t>Points</t>
  </si>
  <si>
    <t>Description</t>
  </si>
  <si>
    <t>Source of data to calculate score</t>
  </si>
  <si>
    <r>
      <rPr>
        <b/>
        <u/>
        <sz val="11"/>
        <color rgb="FF000000"/>
        <rFont val="Calibri"/>
        <family val="2"/>
        <scheme val="minor"/>
      </rPr>
      <t>Median Income</t>
    </r>
    <r>
      <rPr>
        <u/>
        <sz val="11"/>
        <color rgb="FF000000"/>
        <rFont val="Calibri"/>
        <family val="2"/>
        <scheme val="minor"/>
      </rPr>
      <t xml:space="preserve"> </t>
    </r>
    <r>
      <rPr>
        <sz val="11"/>
        <color rgb="FF000000"/>
        <rFont val="Calibri"/>
        <family val="2"/>
        <scheme val="minor"/>
      </rPr>
      <t xml:space="preserve">
</t>
    </r>
    <r>
      <rPr>
        <b/>
        <sz val="11"/>
        <color rgb="FF000000"/>
        <rFont val="Calibri"/>
        <family val="2"/>
        <scheme val="minor"/>
      </rPr>
      <t>10 points</t>
    </r>
    <r>
      <rPr>
        <sz val="11"/>
        <color rgb="FF000000"/>
        <rFont val="Calibri"/>
        <family val="2"/>
        <scheme val="minor"/>
      </rPr>
      <t xml:space="preserve">: Sites in census tracts at or above 120% of County Median Income.
</t>
    </r>
    <r>
      <rPr>
        <b/>
        <sz val="11"/>
        <color rgb="FF000000"/>
        <rFont val="Calibri"/>
        <family val="2"/>
        <scheme val="minor"/>
      </rPr>
      <t xml:space="preserve">8 points: </t>
    </r>
    <r>
      <rPr>
        <sz val="11"/>
        <color rgb="FF000000"/>
        <rFont val="Calibri"/>
        <family val="2"/>
        <scheme val="minor"/>
      </rPr>
      <t>Sites in census tracts between 100% and 119% of County Median Income.</t>
    </r>
  </si>
  <si>
    <t>Appendix R.1</t>
  </si>
  <si>
    <r>
      <rPr>
        <b/>
        <u/>
        <sz val="11"/>
        <color rgb="FF000000"/>
        <rFont val="Calibri"/>
        <family val="2"/>
        <scheme val="minor"/>
      </rPr>
      <t>School District</t>
    </r>
    <r>
      <rPr>
        <b/>
        <sz val="11"/>
        <color rgb="FF000000"/>
        <rFont val="Calibri"/>
        <family val="2"/>
        <scheme val="minor"/>
      </rPr>
      <t xml:space="preserve">
5 points: </t>
    </r>
    <r>
      <rPr>
        <sz val="11"/>
        <color rgb="FF000000"/>
        <rFont val="Calibri"/>
        <family val="2"/>
        <scheme val="minor"/>
      </rPr>
      <t xml:space="preserve">Sites in school districts ranked as Significantly Exceeds Expectations by the Wisconsin Department of Public Instruction’s most recent Overall Accountability Score.
</t>
    </r>
    <r>
      <rPr>
        <b/>
        <sz val="11"/>
        <color rgb="FF000000"/>
        <rFont val="Calibri"/>
        <family val="2"/>
        <scheme val="minor"/>
      </rPr>
      <t xml:space="preserve">3 points: </t>
    </r>
    <r>
      <rPr>
        <sz val="11"/>
        <color rgb="FF000000"/>
        <rFont val="Calibri"/>
        <family val="2"/>
        <scheme val="minor"/>
      </rPr>
      <t xml:space="preserve">Sites in school districts ranked as Exceeds Expectations by the Wisconsin Department of Public Instruction’s most recent Overall Accountability Score.
</t>
    </r>
    <r>
      <rPr>
        <i/>
        <sz val="11"/>
        <color rgb="FF000000"/>
        <rFont val="Calibri"/>
        <family val="2"/>
        <scheme val="minor"/>
      </rPr>
      <t>Note: It may be possible for a Site to be located in multiple School Districts as some Districts may overlap. If overlapping Districts receive conflicting points, the higher score may be applied.</t>
    </r>
  </si>
  <si>
    <t>Appendix R.2</t>
  </si>
  <si>
    <r>
      <rPr>
        <b/>
        <u/>
        <sz val="11"/>
        <color rgb="FF000000"/>
        <rFont val="Calibri"/>
        <family val="2"/>
        <scheme val="minor"/>
      </rPr>
      <t>Rent Burden</t>
    </r>
    <r>
      <rPr>
        <sz val="11"/>
        <color rgb="FF000000"/>
        <rFont val="Calibri"/>
        <family val="2"/>
        <scheme val="minor"/>
      </rPr>
      <t xml:space="preserve"> 
</t>
    </r>
    <r>
      <rPr>
        <b/>
        <sz val="11"/>
        <color rgb="FF000000"/>
        <rFont val="Calibri"/>
        <family val="2"/>
        <scheme val="minor"/>
      </rPr>
      <t xml:space="preserve">5 points: </t>
    </r>
    <r>
      <rPr>
        <sz val="11"/>
        <color rgb="FF000000"/>
        <rFont val="Calibri"/>
        <family val="2"/>
        <scheme val="minor"/>
      </rPr>
      <t xml:space="preserve">Sites in census tracts in which 50% or more of renters pay over 30% of their income towards rent.
</t>
    </r>
    <r>
      <rPr>
        <b/>
        <sz val="11"/>
        <color rgb="FF000000"/>
        <rFont val="Calibri"/>
        <family val="2"/>
        <scheme val="minor"/>
      </rPr>
      <t>3 points:</t>
    </r>
    <r>
      <rPr>
        <sz val="11"/>
        <color rgb="FF000000"/>
        <rFont val="Calibri"/>
        <family val="2"/>
        <scheme val="minor"/>
      </rPr>
      <t xml:space="preserve"> Sites census tracts in which 40%-40.99% of renters pay over 30% of their income toward rent. 
</t>
    </r>
    <r>
      <rPr>
        <i/>
        <sz val="11"/>
        <color rgb="FF000000"/>
        <rFont val="Calibri"/>
        <family val="2"/>
        <scheme val="minor"/>
      </rPr>
      <t>Note: Census Tracts must have an average rent of $900 or more to be eligible for points in this category.</t>
    </r>
  </si>
  <si>
    <t>Appendix R.3</t>
  </si>
  <si>
    <r>
      <t xml:space="preserve">Properties will receive points for proximity to key services and amenities. </t>
    </r>
    <r>
      <rPr>
        <u/>
        <sz val="11"/>
        <color theme="1"/>
        <rFont val="Calibri"/>
        <family val="2"/>
      </rPr>
      <t>Score will auto-populate based on information from Tab 6: Site Description</t>
    </r>
  </si>
  <si>
    <t xml:space="preserve">• Sites meeting WHEDA’s Rural Set-Aside definition: points will be awarded for amenities and services within 2.0 miles </t>
  </si>
  <si>
    <t xml:space="preserve">• Sites meeting WHEDA’s Small Urban Set-Aside definition: points will be awarded for amenities and services within 1.5 miles </t>
  </si>
  <si>
    <t xml:space="preserve">• Sites on Federally Designated Tribal Land: points will be awarded for amenities and services within 4.0 miles </t>
  </si>
  <si>
    <t>• All other areas of the state: points will be awarded for amenities and services within 1.0 mile</t>
  </si>
  <si>
    <t>If requesting points for access to services and amenities, include a map with distance measurements, clear color photos, contact person, and contact information. At WHEDA's discretion, absence of these items may result in the project not receiving points claimed.</t>
  </si>
  <si>
    <t>For the table below, applications containing more than 50% senior units will be allowed to request points in the senior categories – all other applications should use the Family or Supportive categories.</t>
  </si>
  <si>
    <t>NOTE: Age restricted unit designation is based on tenancy selection on the Unit Mix tab. Amenities points are calculated based on set-aside chosen on the Project Description Tab and mileage on the Site Description Tab.</t>
  </si>
  <si>
    <t xml:space="preserve">Full Service Grocery Store (2 points)* </t>
  </si>
  <si>
    <t xml:space="preserve">Public Elementary, Middle or High School (N/A for Senior Properties) </t>
  </si>
  <si>
    <t>Senior Center (N/A for Family Properties)</t>
  </si>
  <si>
    <t xml:space="preserve">Full Service Medical Clinic or Hospital** </t>
  </si>
  <si>
    <t>Public Library ***</t>
  </si>
  <si>
    <t>Job-Training Facility, Community College or Continuing Education Programs ****</t>
  </si>
  <si>
    <t xml:space="preserve">*A convenience store does not meet the definition of full service grocery store </t>
  </si>
  <si>
    <t xml:space="preserve">**A specialty medical clinic (such as podiatrist or ophthalmologist), diagnostic lab, nursing home or hospice facility does not meet the definition of full service medical clinic or hospital </t>
  </si>
  <si>
    <t xml:space="preserve">***University libraries; public/private school libraries, state kiosk, express libraries or mini/mobile libraries are not eligible for points. </t>
  </si>
  <si>
    <t xml:space="preserve">****Job-Training Facility, Community College, or Continuing Education Programs - must be available to tenant base to participate. </t>
  </si>
  <si>
    <t>Peer Review Comments</t>
  </si>
  <si>
    <t>A.2. Lower-Income Areas</t>
  </si>
  <si>
    <t>Eligible Locations (maximum of 2 points)</t>
  </si>
  <si>
    <t>Check one box, if both are selected then 1 point will be unselected.</t>
  </si>
  <si>
    <t>Feature</t>
  </si>
  <si>
    <t xml:space="preserve">Please answer </t>
  </si>
  <si>
    <t>Two points will be awarded for:</t>
  </si>
  <si>
    <t xml:space="preserve">1. Properties in a QCT that have a Concerted Community Revitalization Plan (CCRP) that specifically </t>
  </si>
  <si>
    <t xml:space="preserve">addresses the need for affordable and/or rental housing in the area of the proposed HTC project </t>
  </si>
  <si>
    <t xml:space="preserve">  • Attach a print-out of census tract from American Fact Finder or similar program </t>
  </si>
  <si>
    <t xml:space="preserve">  • Provide the website location for the community revitalization/redevelopment plan or provide a hard copy of the plan</t>
  </si>
  <si>
    <t>2. Properties located on federally designated Tribal lands</t>
  </si>
  <si>
    <t>One Point will be awarded for:</t>
  </si>
  <si>
    <t>1. Properties in a QCT that have a Concerted Community Revitalization Plan (CCRP):</t>
  </si>
  <si>
    <t>• Attach a print-out of census tract from American Fact Finder or similar program.</t>
  </si>
  <si>
    <t>• Provide the website location for the community revitalization/redevelopment plan or provide a hard copy of the plan.</t>
  </si>
  <si>
    <t xml:space="preserve">Concerted Community Revitalization Plans (CCRPs) must: </t>
  </si>
  <si>
    <t xml:space="preserve">1. Be geographically specific (the proposed HTC development must be within the identified planning area); </t>
  </si>
  <si>
    <t>2. Include a strategy for obtaining commitments of public and private investment for infrastructure, amenities, or services beyond the proposed HTC development;</t>
  </si>
  <si>
    <t xml:space="preserve">3. Clearly demonstrate the need for revitalization in the planning area; </t>
  </si>
  <si>
    <t xml:space="preserve">4. Include elements such as outcome goals, timelines and benchmarks, and identification of community partners; </t>
  </si>
  <si>
    <t>5. Have been approved within the past 10 years. If a CCRP was amended within the past 10 years, the project site must be located within the geographic area addressed within the amendment.</t>
  </si>
  <si>
    <t xml:space="preserve">CCRPs do not necessarily need to be approved by the local municipality. CCRPs completed by neighborhood groups </t>
  </si>
  <si>
    <t>(which meet the criteria noted above) will be acceptable.</t>
  </si>
  <si>
    <t>Up to four points will be awarded for each of the items below. A list of census tracts that qualify for Top Job Centers and Net Job Growth points can be found in Appendix V.</t>
  </si>
  <si>
    <t xml:space="preserve">Note: Points in yellow cells are auto-calculated based on project location data entered on Project Description Tab checked against Appendix V. Green Cells must be manually selected to request points. </t>
  </si>
  <si>
    <r>
      <rPr>
        <b/>
        <u/>
        <sz val="11"/>
        <color theme="1"/>
        <rFont val="Calibri"/>
        <family val="2"/>
        <scheme val="minor"/>
      </rPr>
      <t>Top Job Centers</t>
    </r>
    <r>
      <rPr>
        <sz val="11"/>
        <color theme="1"/>
        <rFont val="Calibri"/>
        <family val="2"/>
        <scheme val="minor"/>
      </rPr>
      <t xml:space="preserve"> 
 Points will be awarded to properties located in a county with 2,200 or greater jobs (4 points) or to properties located in a county with between 1,800 and 2,199 jobs (3 points) or to properties located in a county with between 1,000 and 1,799 jobs (2 points) or to properties located in a county with between 500 and 999 jobs (1 point).</t>
    </r>
  </si>
  <si>
    <r>
      <rPr>
        <b/>
        <u/>
        <sz val="11"/>
        <color theme="1"/>
        <rFont val="Calibri"/>
        <family val="2"/>
        <scheme val="minor"/>
      </rPr>
      <t>Net Job Growth</t>
    </r>
    <r>
      <rPr>
        <sz val="11"/>
        <color theme="1"/>
        <rFont val="Calibri"/>
        <family val="2"/>
        <scheme val="minor"/>
      </rPr>
      <t xml:space="preserve">
Points will be awarded to properties located in a county that experienced job growth of 10% or greater in the past year (4 points) or to properties located in a county that experienced job growth between 7% and 9.99% in the past year (3 points) or to properties located in a county that experienced job growth between 1% and 6.99% in the past year (2 points) or to properties located in a county that experienced job growth between 0.1% and 0.99% (1 point).</t>
    </r>
  </si>
  <si>
    <t>A.4. Rehabilitation &amp; Neighborhood Stabilization</t>
  </si>
  <si>
    <t>Do you wish to claim points for this scoring category?</t>
  </si>
  <si>
    <t>Claim Points?</t>
  </si>
  <si>
    <t>Projects scoring points in this category cannot score points in Areas of Economic Opportunity.</t>
  </si>
  <si>
    <t>Points will be awarded to applications which demonstrate either of the following:
    A) Propose acquisition and rehab of existing single family, duplex or four-plex housing as part of a targeted, city-supported plan to stabilize neighborhoods due to vacant properties and/or foreclosure.
    -OR- 
    B) Located on federally designated Tribal lands.</t>
  </si>
  <si>
    <t>(11. Unit Mix, Total All Units)</t>
  </si>
  <si>
    <t>Units &gt; 24?</t>
  </si>
  <si>
    <t>WHEDA will limit the number of Rehab/Neighborhood Stabilization awards to one per application competition in any city, and no more than one to any developer.</t>
  </si>
  <si>
    <t>Requirements:</t>
  </si>
  <si>
    <t>City or tribal support letter including 1) description of overall neighborhood plan, 2) details of financial support and 3) support for proposed property clustering.</t>
  </si>
  <si>
    <t>Minimum 24 units.</t>
  </si>
  <si>
    <t>Total Const. Costs (70% PV)</t>
  </si>
  <si>
    <t>Minimum $25,000 per unit of Hard Cost Rehab, defined as the total of the following costs on the Project Cost and Credit Calculation page:  Rehabilitation, Accessory Buildings (Garage, storage, etc.), Personal Property, General Requirements, Contractor Overhead, Contractor Profit, and Construction Supervision.</t>
  </si>
  <si>
    <t>Construction costs / unit</t>
  </si>
  <si>
    <t>Cost Per Unit &gt; 25K</t>
  </si>
  <si>
    <t>New Construction allowed only if building(s) will be demolished or have been demolished and is replacing like housing (no additional units). Such new construction is limited to 50% of total units unless the project is located on Federally Designated Tribal Lands.</t>
  </si>
  <si>
    <t>50% or greater Rehab?</t>
  </si>
  <si>
    <t>An application’s aggregate occupied units shall be automatically assumed by WHEDA to have a maximum 85% applicable fraction (i.e. assumed to have 15% over-income households) unless the applicant provides rent rolls, certifications, or other information sufficient for WHEDA to determine that a higher applicable fraction will not result in the displacement of current residents. Aggregate un-occupied units may be assumed to be 100% income qualifying.</t>
  </si>
  <si>
    <t>Applications must demonstrate a year one proforma rent increase of no more than five percent (5%) for any occupied rental units. Provide current rent schedule and explanation.</t>
  </si>
  <si>
    <t>Must show property clustering no greater than one-half (1/2) mile radius for non-tribal locations. Proposed clustering must be supported by city letter.</t>
  </si>
  <si>
    <t>Must show financial support minimum 5% of total development cost by the local government and/or private institutions or foundations.</t>
  </si>
  <si>
    <t>Unit Mix All Units</t>
  </si>
  <si>
    <t>Unit Mix SF Units</t>
  </si>
  <si>
    <t>Unit mix may include single family homes, duplexes, tri-plexes or four-plexes but not less than 50% of the total units must be single family homes.</t>
  </si>
  <si>
    <t>SF Units &gt; 50% All Units?</t>
  </si>
  <si>
    <t>Application operating expenses must reflect annual replacement reserve deposit of $400/unit minimum.</t>
  </si>
  <si>
    <t>Replacement Reserve / Unit</t>
  </si>
  <si>
    <t>Is Replacement Reserve / Unit &gt; $400?</t>
  </si>
  <si>
    <t>Reminder: Applicants should provide a plan addressing any proposed temporary relocation of residents. The plan should meet the standards established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t>
  </si>
  <si>
    <t>WHEDA prohibits permanent displacement of residents, including those whose incomes are known to, or are estimated to, exceed tax credit maximums. WHEDA may require the reduction of applicable fractions in tax credit awards to avoid displacement of existing residents.</t>
  </si>
  <si>
    <t>Located on Tribal Lands?</t>
  </si>
  <si>
    <t>If Score Points is Yes, and (If Tribal OR Everything else is TRUE) 25 points, otherwise 0 pts)</t>
  </si>
  <si>
    <t>Points Scored</t>
  </si>
  <si>
    <t>=IF(S158,IF(OR(S196,AND(S171,S173,S175,S188,S191)),S200,0),0)</t>
  </si>
  <si>
    <t>Who Score</t>
  </si>
  <si>
    <t>Tenants Served Score</t>
  </si>
  <si>
    <t>B. Tenants Served Total Score</t>
  </si>
  <si>
    <t>B.1. Serves Large Families or Seniors</t>
  </si>
  <si>
    <t>• The market study and the HTC application must clearly identify the development as “Family” to claim points for Serves Large Families</t>
  </si>
  <si>
    <t>Percentage</t>
  </si>
  <si>
    <t>• The market study and the HTC application must clearly identify the development as “Senior” to claim points for Seniors</t>
  </si>
  <si>
    <t>5.00 - 10.99%</t>
  </si>
  <si>
    <t>• Divide the number of three-bedroom (or larger) low-income or voucher Family units by total number of low-income units.</t>
  </si>
  <si>
    <t>11.00 - 15.99%</t>
  </si>
  <si>
    <t>16.00 - 100.00%</t>
  </si>
  <si>
    <t>3 Bedroom+ Low-Income Units</t>
  </si>
  <si>
    <t>Total Low-Income Units</t>
  </si>
  <si>
    <t>Percentage Serves Large Families</t>
  </si>
  <si>
    <t>From helper functions on unit mix tab</t>
  </si>
  <si>
    <t>Total Low income units from unit mix tab</t>
  </si>
  <si>
    <t>• OR divide the number of senior age-restricted  units by total number of units.</t>
  </si>
  <si>
    <t>Serves Seniors?</t>
  </si>
  <si>
    <t>Age-Restricted Units</t>
  </si>
  <si>
    <t>Percent Serves Seniors</t>
  </si>
  <si>
    <t>&gt; 50%</t>
  </si>
  <si>
    <t>Applicant Notes:</t>
  </si>
  <si>
    <t>Underwriter Notes:</t>
  </si>
  <si>
    <t>B.2. Serves Lowest-Income Residents (Maximum 35 Points)</t>
  </si>
  <si>
    <t>• Applications will be allowed to score points in this category for new construction projects covered by operating or rental subsidies.</t>
  </si>
  <si>
    <t>• Developments using committed project based vouchers or other rental subsidies as "50% CMI equivalents" for the calculation below. These units are to be reflected as "60% CMI units" on the Unit Mix page.</t>
  </si>
  <si>
    <t xml:space="preserve">• WHEDA will award points to developments with a minimum percentage of units reserved for households with incomes at 50% or less of county median income. </t>
  </si>
  <si>
    <t>• The market study must show there is a sufficient market for the target population.</t>
  </si>
  <si>
    <t>• The unit mix stated in the Application, and the unit mix for which points are taken in this scoring category, will be reflected in the eventual Land Use Restriction Agreement for the property.</t>
  </si>
  <si>
    <t>CMI Set-Aside Percentage</t>
  </si>
  <si>
    <t>Number of Units @ CMI</t>
  </si>
  <si>
    <t>Percentage of Total Units
(Must equal or exceed 5%)</t>
  </si>
  <si>
    <t>Multiply Percent by Factor</t>
  </si>
  <si>
    <t>Total Points</t>
  </si>
  <si>
    <t>x</t>
  </si>
  <si>
    <t>30% or Lower</t>
  </si>
  <si>
    <t>B.3. Supportive Housing</t>
  </si>
  <si>
    <t>• Points will be awarded to developments intending to provide supportive services to veterans, individuals, and to families who may require access to supportive services to maintain housing.</t>
  </si>
  <si>
    <t>• Adequate Supportive Services must be firmly committed and budgeted for in accordance with Appendix S or Appendix T</t>
  </si>
  <si>
    <t>• WHEDA will require that an affidavit be executed and filed by the property manager in the property files attesting that the supportive housing unit was marketed to target residents</t>
  </si>
  <si>
    <t xml:space="preserve">• See Appendix S and Appendix T for a complete overview of documentation and commitments required to receive points in this scoring category  </t>
  </si>
  <si>
    <t>Score .75 point for every percentage point of targeted housing in the development as a whole, up to 10 points. Points are rounded down. Common space manager units should not be included in the total unit count.</t>
  </si>
  <si>
    <t xml:space="preserve">In order to score points in this category the applicant must provide any combination of 30% CMI HTC units and rental subsidy assistance for the targeted units. </t>
  </si>
  <si>
    <t>If rental subsidies, applicant must submit firm commitments for the targeted number of units.</t>
  </si>
  <si>
    <t>Examples of allowable rental assistance include: Project-based Section 8 HAP or vouchers, operating subsidy, or capitalized operating fund or other rental subsidy assistance provided by a public housing authority or other government entity.</t>
  </si>
  <si>
    <t>Number of Supportive Units</t>
  </si>
  <si>
    <t>Percentage of Supportive Housing</t>
  </si>
  <si>
    <t>B.4. Veteran's Housing</t>
  </si>
  <si>
    <t xml:space="preserve">• Points will be awarded to developments intending to provide services designed to address the needs of Veterans. </t>
  </si>
  <si>
    <t xml:space="preserve">• The applicant must submit a signed MOU with a County or Tribal Veterans Service Office or a Veteran- specific Service Provider. The MOU must describe a referral and outreach system to connect potential Veteran residents with local or State Veteran-specific services and resources. </t>
  </si>
  <si>
    <t>• The project is required to hold open a vacant veterans housing unit for a minimum of 30 days or until local collaborative long term veterans service partners, in conjunction with the management agent, finds a person meeting the target veteran definition and requisite income qualifications to lease the unit.  After the 30 days, the unit may be leased to any otherwise income qualifying family or individual.</t>
  </si>
  <si>
    <t>• WHEDA will require that an affidavit be executed and filed by the property manager in the property files attesting that the veterans unit was marketed in accordance with the 30 day marketing period requirement.</t>
  </si>
  <si>
    <t>• The veterans housing units must 60% CMI or below.  Rental subsidies are allowable if supported by firm commitments.</t>
  </si>
  <si>
    <t xml:space="preserve">Veteran's Units </t>
  </si>
  <si>
    <t xml:space="preserve">Total Units </t>
  </si>
  <si>
    <t xml:space="preserve">Percentage of Units </t>
  </si>
  <si>
    <t>1-5%</t>
  </si>
  <si>
    <t>6-10%</t>
  </si>
  <si>
    <t>11-100%</t>
  </si>
  <si>
    <t>Building Design Score</t>
  </si>
  <si>
    <t>What Score</t>
  </si>
  <si>
    <t xml:space="preserve">Building Design Score Total </t>
  </si>
  <si>
    <t>C.1. Energy Efficiency and Sustainability</t>
  </si>
  <si>
    <t>New Const?</t>
  </si>
  <si>
    <t>• See Appendix W - Energy Efficiency and Sustainability for a detailed overview of the Threshold and Scoring components of this Category.</t>
  </si>
  <si>
    <t xml:space="preserve">• All projects are required to meet Threshold-level certifications defined in Appendix M - WHEDA Housing Tax Credit Design Requirements </t>
  </si>
  <si>
    <t xml:space="preserve">• Applicants may elect to pursue Advanced Certifications to earn additional points in the HTC Application Process </t>
  </si>
  <si>
    <t xml:space="preserve">• Projects should carefully assess whether Net Zero is feasible, as it may not be the best option for most developments. </t>
  </si>
  <si>
    <t xml:space="preserve">• Threshold and Advanced Certifications can earn additional points by including renewable energy. </t>
  </si>
  <si>
    <t xml:space="preserve">• Stretch Goal - Net Zero Certifications are not eligible for additional renewable points. </t>
  </si>
  <si>
    <t>• Proof of certification must be submitted before the issuance of the IRS Forms() 8609 or the Wisconsin Low-Income Housing Credit Allocation Certificate.</t>
  </si>
  <si>
    <t>Cert</t>
  </si>
  <si>
    <t>Pts</t>
  </si>
  <si>
    <t>New Construction Projects (maximum of 20 points)</t>
  </si>
  <si>
    <t>Enterprise 2020 Green Communities - Certification (10 pts)</t>
  </si>
  <si>
    <t>Enterprise 2020 Green Communities - Certification Plus via Criterion 5.4 (20 pts)</t>
  </si>
  <si>
    <t>Program</t>
  </si>
  <si>
    <t>Advanced Certifications (10 pts)</t>
  </si>
  <si>
    <t>Stretch Goal - Net Zero Certifications (20 pts)</t>
  </si>
  <si>
    <t>LEED - Silver (10 pts)</t>
  </si>
  <si>
    <t>Enterprise 2020 Green Communities</t>
  </si>
  <si>
    <t>Certification</t>
  </si>
  <si>
    <t>Certification Plus via Criterion 5.4</t>
  </si>
  <si>
    <t>LEED - Zero Energy (20 pts)</t>
  </si>
  <si>
    <t>LEED</t>
  </si>
  <si>
    <t>Gold/Platinum</t>
  </si>
  <si>
    <t>LEED Zero Energy</t>
  </si>
  <si>
    <t>Passive House Institute US - PHIUS Core (10 pts)</t>
  </si>
  <si>
    <t>Passive House Institute US</t>
  </si>
  <si>
    <t>PHIUS Core</t>
  </si>
  <si>
    <t>PHIUS Zero</t>
  </si>
  <si>
    <t>Passive House Institute US - PHIUS Zero (20 pts)</t>
  </si>
  <si>
    <t>Wisconsin Green Built Homes</t>
  </si>
  <si>
    <t>Gold Plus</t>
  </si>
  <si>
    <t>Gold Zero Energy</t>
  </si>
  <si>
    <t>Wisconsin Green Built Homes - Gold Plus (10 pts)</t>
  </si>
  <si>
    <t>Wisconsin Green Built Homes - Gold Zero Energy (20 pts)</t>
  </si>
  <si>
    <t>Optional: Select Green Building Certification</t>
  </si>
  <si>
    <t>Please answer Yes/No</t>
  </si>
  <si>
    <t>Additional Renewable Energy Items</t>
  </si>
  <si>
    <t>Additional</t>
  </si>
  <si>
    <t>A Geothermal HVAC System serving the entire building (4 pts)</t>
  </si>
  <si>
    <t>Geotherm HVAC</t>
  </si>
  <si>
    <t>Solar that offsets 20% or more of the total building annual load OR Solar that offsets 70%-80% of common area annual load (2 pts)</t>
  </si>
  <si>
    <t>A Centralized Geothermal HVAC System with Solar that offsets at least 20% of the annual load (8 pts)</t>
  </si>
  <si>
    <t>Geo HVAC Solar</t>
  </si>
  <si>
    <t>Rehab of Existing Buildings Requirements (maximum of 20 points)</t>
  </si>
  <si>
    <t xml:space="preserve">For purposes of this category, both rehab of existing residential buildings and adaptive reuse of nonresidential structures may qualify. </t>
  </si>
  <si>
    <t>Rehab?</t>
  </si>
  <si>
    <t xml:space="preserve">Rehab Projects pursuing threshold certifications are required to meet one of the following building performance standards: </t>
  </si>
  <si>
    <t>i. A HERS Index score of 80 or less for properties built in or after 1980 or demonstrate that the energy performance of the completed building will be equivalent to, or better than, ASHRAE 90.1-2013 using an energy model created by a qualified energy services provider according to Appendix G 90.1–2016.</t>
  </si>
  <si>
    <t>ii. A HERS Index score of 100 or less for properties built before 1980 or Demonstrate that the energy performance of the completed building will be equivalent to, or better than, ASHRAE 90.1-2013 using an energy model created by a qualified energy services provider according to Appendix G 90.1–2016.</t>
  </si>
  <si>
    <t>iii. A post-rehab HERS Index score at least 15% less than the pre-rehab HERS Index score.</t>
  </si>
  <si>
    <t>Gold</t>
  </si>
  <si>
    <t>Optional: Select energy efficiency program</t>
  </si>
  <si>
    <t>Public Transportation Score (5 points)</t>
  </si>
  <si>
    <t>Requirements</t>
  </si>
  <si>
    <t>Points will be awarded to developments in which any portion of the site is located no more than one half (0.5) of a mile from a regularly scheduled local bus stop. Projects in areas eligible for the Rural Set-Aside may qualify for points by submitting evidence of an "on call" transportation program that provides users a choice of local destinations at a low cost. 
Provide a map showing that the site is no more than one half miles from the bus stop and a schedule showing the frequency of the bus service or detailed information on availability,  cost, and destinations of the "on call" transportation program.</t>
  </si>
  <si>
    <t>Public Transport</t>
  </si>
  <si>
    <t>C.2. Universal Design</t>
  </si>
  <si>
    <t>All items must be specified and certified to by the architect of record and attached to the initial application. Incorporated items must meet current code(s) in force for the year of the HTC application, complying with all Federal, State, Local and Municipal laws, codes, rules, ordinances, and regulations as they relate to the specific project.</t>
  </si>
  <si>
    <r>
      <t>The current building code for the State of Wisconsin is the 2015 ICC (International Code Council) Code and the referenced standard for accessibility is ICC/ANSI A117.1-2017. References to section numbers within Universal Design are sections numbers from ICC/ANSI A117.1-2017.</t>
    </r>
    <r>
      <rPr>
        <strike/>
        <sz val="11"/>
        <rFont val="Calibri"/>
        <family val="2"/>
      </rPr>
      <t xml:space="preserve"> </t>
    </r>
  </si>
  <si>
    <t>ANSI Intent Statements have been provided to give brief summaries of referenced section numbers but do not replace actual language found in ICC/ANSI A117.1-2017.</t>
  </si>
  <si>
    <t>Common Area Features</t>
  </si>
  <si>
    <t>Answer Yes/No next to all that apply</t>
  </si>
  <si>
    <r>
      <t xml:space="preserve">Hand rails: </t>
    </r>
    <r>
      <rPr>
        <b/>
        <u/>
        <sz val="11"/>
        <color rgb="FF000000"/>
        <rFont val="Calibri"/>
        <family val="2"/>
      </rPr>
      <t>In age restricted housing only</t>
    </r>
    <r>
      <rPr>
        <sz val="11"/>
        <color rgb="FF000000"/>
        <rFont val="Calibri"/>
        <family val="2"/>
      </rPr>
      <t>, install handrails on both sides of common hallways at all wall sections 4’0” or more in length uninterrupted by door or window openings. Handrails shall meet the requirements of Sections 505.4 through 505.9.         
           - Cottage style, townhouse, duplex, and single family style are not eligible for handrail point.
ANSI Intent Statement: Referenced sections specify requirements such as installed height, handrail profile, handrail clearances that comply with accessibility standards for commercial building handrails.</t>
    </r>
  </si>
  <si>
    <t>Automatic Door Openers:  Provide automatic door openers at main accessible entrances to all main buildings, including entrance from accessible parking areas, per Section 404.3.
ANSI Intent Statement: Doors with automatic openers are intended for individuals with mobility impairments and therefore must be designed to additional accessibility guidelines such as 32” clear opening, maneuvering clearances at either side of door, low profile threshold and control switches located beyond the arc of the door swing.</t>
  </si>
  <si>
    <t xml:space="preserve">Accessible Signage: Provide accessible signage for all common rooms and dwelling unit entries with visual characters per Section 703.2 and Braille characters per Section 703.4. If possible, unit entry signage shall be mounted 60” maximum above the floor to the top of the signage and located on the wall adjacent to the latch side of the door. The accessible signage requirement applies to all dwelling unit entries including units accessed by an exterior entrance such as a townhome.
ANSI Intent Statement: Accessible signage follows guidelines that permit immediately recognizable information to visually impaired residents and/or visitors.  These sections identify standards for text heights, text width, text contrast, sign mounting height and braille guidelines. </t>
  </si>
  <si>
    <t>Accessible Public Bathroom:  Provide accessible public toilet room adjacent to public gathering areas.  This common area toilet shall have clearances that meet the requirements of Section 603.
ANSI Intent Statement: The public bathroom shall follow accessibility standards for commercial buildings as the bathroom is located in a public area. The bathroom contains accessibility features such as turning space, plumbing fixture clear floor spaces, plumbing fixture heights and grab bar installation.</t>
  </si>
  <si>
    <t>Unit Features. Minimum of 20% of units, unless otherwise indicated.</t>
  </si>
  <si>
    <t>Provide a circular or T-shaped turning space per Section 304 in kitchen(s) and accessible floor level bathroom(s). Turning space shall be outside the door swing in bathrooms unless a 30” x 52” clear floor space is provided within the room beyond the arc of the door swing per Section 603.2.3 Exception 2. Sinks/vanities shall meet the requirements of Section 1103.12.4 including a height of 34” maximum above the floor with a clear floor space for forward approach.
ANSI Intent Statement: Circular and T-shaped turning spaces are an invisible but useful feature of rooms used by individuals with mobility impairments. The turning space is allowed within the door swing arc in bathrooms as this room is assumed to have single occupancy. Section 1103.12.4 dictates a higher level of accessibility features at the sink because it requires forward approach which includes knee and toe clearances. To obtain these clearances, either a wall mounted sink or vanity with removable cabinets can be provided. If a removable cabinet is provided, floor and wall finishes shall extend beneath the cabinet and the removal of the cabinet shall occur without modifications of the sink. Water supply and drain pipes under lavatories and sinks shall be insulated or otherwise configured to protect against contact.</t>
  </si>
  <si>
    <r>
      <t xml:space="preserve">Provide a curbless roll-in type shower compartment per Section 608.2.2. 
</t>
    </r>
    <r>
      <rPr>
        <b/>
        <sz val="11"/>
        <rFont val="Calibri"/>
        <family val="2"/>
      </rPr>
      <t>Minimum 5% of total development units.</t>
    </r>
    <r>
      <rPr>
        <sz val="11"/>
        <rFont val="Calibri"/>
        <family val="2"/>
      </rPr>
      <t xml:space="preserve">
Multi-story units will not receive these points unless:
1) a sample floor plan is submitted to show this feature is located on an accessible floor level, AND
2) at least one bedroom is located on this accessible level floor
3) an alternative is to provide single story building(s) with units incorporating this feature
ANSI Intent Statement: A standard roll-in type shower compartments is a minimum of 30” in depth and minimum of 60” in width with shower seat on one end, shower controls on back wall adjacent to shower seat and grab bars provided on back wall and opposite the shower seat. Showers with a curb of any height will not be eligible for points in this category. </t>
    </r>
  </si>
  <si>
    <t>On accessible floor levels, all closet doors shall have a clear floor space of 30" x 52" minimum to allow either forward or parallel approach by wheelchair. Doors to closets that are more than 18" in depth shall provide at least 32" nominal clear opening.</t>
  </si>
  <si>
    <t>Bottom edge of mirror at all accessible floor level bathroom sink/vanities to be 40" maximum above the floor. If medicine cabinet is provided in addition to a mirror, then bottom edge shelf on the cabinet to be 44" maximum above the floor.</t>
  </si>
  <si>
    <t>All interior doors intended for user passage shall comply with Section 1103.5, which includes maneuvering clearances, thresholds, clear width, level hardware, etc.
ANSI Intent Statement: The primary entrance door and other doors intended for user passage must incorporate accessibility features. It is important to avoid improperly designed door openings that do not maintain an accessible route throughout the dwelling unit. Common design flaws include a distance less than 32” between a door opened 90 degrees and the door stop, doors not maintaining proper pull or push side maneuvering clearances or the door hardware not being a lever type. The maneuvering clearances at either side of the door determined by direction of travel and are diagramed at Figure 404.2.3.2.</t>
  </si>
  <si>
    <t>Garbage disposal switch, range hood controls, and electrical receptacles shall meet the requirements of Section 309. At each section of countertop uninterrupted by a sink or appliance; as long as one accessible electrical receptacle is provided then other non- accessible receptacles may also be provided.
ANSI Intent Statement: Section 309 states that operable parts must be located within one of the reach ranges specified in Section 308. Within a kitchen, the obstructed side reach is the most often scenario encountered by a wheelchair user and is defined as the ability to reach a maximum of 24” over an object with the maximum height of 34” to a surface a maximum of 46” high on the far side. A common solution to bring operable parts such as switches and receptacles closer to the user is to have these items mounted on the face of the kitchen cabinets. Another available solution would be extending the operable parts such as switches and receptacles through a full height backsplash which maintains the maximum 24” distance from the face of backsplash to the lip of the counter.</t>
  </si>
  <si>
    <t>Provide minimum one accessible work surface that meets all requirements of Section 1103.12.3 including top of counter at 34” above the floor, minimum 30” wide, and a clear floor space for forward approach.
ANSI Intent Statement: The work surface is a kitchen design feature that would allow a wheelchair user to work at the counter with their knees beneath the working surface. Removable casework is often provided beneath the work surface but the floor and wall finishes shall extend beneath the cabinet and the removal of the cabinet shall occur without modifications to the work surface. There must be a 30” wide opening beneath the work surface when the removable cabinet is removed to allow for forward approach below the work surface.</t>
  </si>
  <si>
    <t>Entrance doors to the unit shall comply with Section 404 including delayed action closers, maneuvering clearances, low profile threshold, and door hardware. A screen door or storm door may be added in addition to the entrance door with installation method to allow for management to remove screen door or storm door at tenant request.
ANSI Intent Statement: The entrance door to the dwelling unit requires additional maneuvering clearances because a closer and latch are provided at this door. The maneuvering clearances at the interior and exterior side of the door are determined by direction of travel and are diagramed at Figure 404.2.3.2.</t>
  </si>
  <si>
    <r>
      <t xml:space="preserve">Where operable windows are provided, provide at least one window in each sleeping, living, and dining space complying with all of Section 309 including the following: are easily grasped with one hand without tight grasping, pinching, or twisting of the wrist; and are located no more than 48” above the floor. Provide 30” x 52” clear floor space for forward or parallel approach centered on the window.
</t>
    </r>
    <r>
      <rPr>
        <b/>
        <sz val="11"/>
        <rFont val="Calibri"/>
        <family val="2"/>
      </rPr>
      <t xml:space="preserve">Minimum 10% of total development units.
</t>
    </r>
    <r>
      <rPr>
        <sz val="11"/>
        <rFont val="Calibri"/>
        <family val="2"/>
      </rPr>
      <t>ANSI Intent Statement: Section 309 provides accessible design guidance on operable parts. This section is not specific to describing operable windows but has been applied to the window controls for the purpose of this point. Window locking mechanism to be within reach range and crank window must be ADA compliant style.</t>
    </r>
  </si>
  <si>
    <t>Carpet shall have 1/2" maximum pile and meet all requirements of Section 302.2
ANSI Intent Statement: Flooring properties are an important factor to those with mobility impairments as they should not restrict movement of a wheelchair or provide tripping hazards at flooring transitions. Carpet pile is limited to 1/2 inch maximum in height. Transitions over 1/4 inch in height and less than 1/2 inch shall be beveled.</t>
  </si>
  <si>
    <t xml:space="preserve">All unit light and fan switches shall comply with Section 309. </t>
  </si>
  <si>
    <t>Items Below only available for Acquisition/Rehab and Preservation project - points for the following items will not be awarded to Adaptive Reuse projects.</t>
  </si>
  <si>
    <t>Minimum of 20% of developments total units, unless otherwise indicated.</t>
  </si>
  <si>
    <t>Provide all bathtubs/showers with offset controls and a 30" x 48" clear floor space for parallel approach. Where the centerline of the controls is between 18" and 9" from the open face of the bathtub/shower compartment, the clear floor space in front of the fixture shall extend at least 9" beyond the control wall. Where the centerline of the controls is between 9" and 0" from the open face of the bathtub/shower compartment, the clear floor space in front of the fixture shall extend at least 5" beyond the control wall.</t>
  </si>
  <si>
    <t>Electrical outlets and cable/data outputs set to a minimum height 18" above the floor.</t>
  </si>
  <si>
    <t>Thermostats, primary electrical box and light switches set to a maximum height of 48" above the floor.</t>
  </si>
  <si>
    <t>100% visitable units. Provide an accessible route from accessible parking stalls to all dwelling units. Accessible routes shall meet all requirements of Section 402 including Section 404 for accessible doors. The living room, kitchen and minimum of one bathroom (with a minimum of a toilet and sink) must be on the accessible route from the unit entry. Bathroom shall meet the requirements of Sections 1104.11.
ANSI Intent Statement: An accessible route is defined by walking surfaces not steeper than 1:20 ramps, curb ramps excluding flared sides, elevators and platform lift. Once the resident or visitor arrives at the dwelling unit, the unit doorway and path connecting the living room, kitchen and one bathroom shall have proper maneuvering clearances on either side of the doorway. The kitchen is required to have turning space but is not required to have other accessibility features such as 34” high counters or accessible work spaces by this point item. Section 1104.11 is lengthy and should be read carefully as there are two bathroom options that may not be intermixed. Under either option turning space, fixture clear floor spaces, reinforcement for future grab bars must be provided.</t>
  </si>
  <si>
    <t>Toilets in units shall have clearances that meet requirements of Section 1104.11.3.1.2.
ANSI Intent Statement: All sections referenced are describing the various clearance options at the toilet and are diagramed at Figure 1104.11.3.1.2 for easier reference. Section 1104.11.3.1.2.2.2 describes a parallel approach measuring 56” deep by 48” wide. Section 1104.11.3.1.2.2.3 describes a forward approach measuring 66” deep by 48” wide. Sections 1104.11.3.1.2.2.1 and 1104.11.3.1.2.2.4 describe widths and vanity overlap.</t>
  </si>
  <si>
    <t>Low-profile thresholds - All changes in level within common areas and in dwelling units to be 1/4” maximum vertical or 1/2” maximum beveled at 1:2 per Sections 303.2 and 303.3.
ANSI Intent Statement: Transitions at doorways or flooring surfaces present tripping hazards. Figure 303.3 provides a good diagram for the acceptable threshold profiles.</t>
  </si>
  <si>
    <t>Provide reinforcement for the future installation of grab bars at toilets, bathtubs, and shower compartments per Section 1003.11.1. If walls are not being opened up to allow for installment of the reinforcement, a face plate installation for the toilet grab bar(s) would be an acceptable substitution. For bathtubs and shower compartments if there is not existing reinforcement in place within the wall structure, these features must be replaced with new compartments that have the reinforcement included.
ANSI Intent Statement: Reinforcement for installation of grab bars allows a resident an opportunity for safety within the bathroom while not incurring the initial cost of installing grab bars and shower seats in every dwelling unit.</t>
  </si>
  <si>
    <t>Bathroom/shower compartment permanently lined with non-skid surface or pattern covering 75% of floor.</t>
  </si>
  <si>
    <t>Sum of Items Checked:</t>
  </si>
  <si>
    <t>Sum of
checked items</t>
  </si>
  <si>
    <t>Maximum
total points</t>
  </si>
  <si>
    <t>21 and over</t>
  </si>
  <si>
    <t>17-20</t>
  </si>
  <si>
    <t>13-16</t>
  </si>
  <si>
    <t>8-12</t>
  </si>
  <si>
    <t>3-7</t>
  </si>
  <si>
    <t xml:space="preserve">    • Points are limited to developments designated as BOTH (1) family and (2) single family detached style construction.</t>
  </si>
  <si>
    <t xml:space="preserve">    • 100% of the development must be intended for eventual resident ownership. </t>
  </si>
  <si>
    <t>100% of the development is intended for eventual resident ownership. A Resident Homeownership Plan must be submitted with initial application. The plan must incorporate an exit strategy, including how units will be marketed and sold to the eventual resident owner, as well as detailing the provision of services including home ownership education, training, and down payment assistance.</t>
  </si>
  <si>
    <t>A Resident Homeownership Plan must be submitted. The plan must include the following:</t>
  </si>
  <si>
    <t xml:space="preserve">    • Anticipated tenant qualifications. </t>
  </si>
  <si>
    <t xml:space="preserve">    • Pre-purchase homeownership and financial counseling services to be provided. </t>
  </si>
  <si>
    <t xml:space="preserve">    • Estimated timelines for transition to ownership. </t>
  </si>
  <si>
    <t xml:space="preserve">    • Estimated affordable purchase price of units including methodology. Use WHEDA’s Affordable purchase price limits. </t>
  </si>
  <si>
    <t xml:space="preserve">    • Detail any down payment assistance that will be offered to the residents – for example, will any part of the monthly rent be reserved for down payment assistance?</t>
  </si>
  <si>
    <t xml:space="preserve">    • Applications must demonstrate a year one proforma rent increase of no more than five percent (5%) for any occupied rental units. Provide current rent schedule and explanation. </t>
  </si>
  <si>
    <t xml:space="preserve">    • Must show property clustering no greater than one-half (1/2) mile radius for non-tribal locations. Proposed clustering must be supported by city letter. </t>
  </si>
  <si>
    <t xml:space="preserve">    • Must show financial support minimum 5% of total development cost by the local government and/or private institutions or foundations. </t>
  </si>
  <si>
    <t xml:space="preserve">    • Unit mix may include single family homes, duplexes, tri-plexes or four-plexes but not less than 50% of the total units must be single family homes and each unit must have a unique legal description
       at the time of 8609 issuance. </t>
  </si>
  <si>
    <t xml:space="preserve">    • Application operating expenses must reflect annual replacement reserve deposit of $400/unit minimum.</t>
  </si>
  <si>
    <t xml:space="preserve">Release of the LURA after the expiration of the compliance period will be subject to WHEDA's review at that time regarding the above, as well as tenant protection, continued affordability, and a </t>
  </si>
  <si>
    <t xml:space="preserve">review of a Capital Needs Assessement (CNA) and satsifaction of all requirements in WHEDA's Requirements for Partial Releases of LURA for Tenant-Purchased Units. </t>
  </si>
  <si>
    <t>Failure to provide any required element of the Resident Homeownership Plan will result in no points.</t>
  </si>
  <si>
    <t>Properties in a Qualified Census Tract, which also include a job/skill training center or employment counseling center (or similar facilities) as a Community Service Facility included in eligible basis are eligible for 2 points based on these criteria:</t>
  </si>
  <si>
    <t xml:space="preserve">    • Include an attachment that clearly identifies the costs, basis and HTC attributable to the Community Service Facilities broken out from the other costs in the project budget.</t>
  </si>
  <si>
    <t xml:space="preserve">    • WHEDA expects that the per-square-foot costs of the Community Service Facilities will be significantly below the per-square-foot costs for the residential portion of the property.</t>
  </si>
  <si>
    <t xml:space="preserve">    • Include an executed Memorandum of Understanding between the property owner and the operator of the Community Service Facility including but not limited to a description of the use of the property, the services provided, a statement that services are available throughout the year, and a statement that the facility will be used primarily to provide services for individuals whose income is 60% or less than the area's median gross income.</t>
  </si>
  <si>
    <t xml:space="preserve">    • Include a statement that any fees charged for the services provided in the facility must be affordable to persons at or below the 60% income level.</t>
  </si>
  <si>
    <t xml:space="preserve">    • The need for the services provided by the Community Service Facility must be stipulated in the project’s market study.</t>
  </si>
  <si>
    <t xml:space="preserve">    • Commercial rent collected from the Community Service Facility space may not be included in the tax credit application for the purposes of calculating Debt Service Coverage Ratio.</t>
  </si>
  <si>
    <t xml:space="preserve">    • The amount of community service facility basis is limited to 25 percent of the first $15 million of eligible basis of the project plus 10% of the remaining total Eligible Basis of the project.  See IRS  
       Code Section:  I.R.C. § 42(d)(4)(C)(ii)</t>
  </si>
  <si>
    <t xml:space="preserve">    • Applicants with community service facilities should consult with their tax or legal counsel before selecting points in this category.</t>
  </si>
  <si>
    <t xml:space="preserve">    • Letter evidencing permissive zoning for the project must confirm that the proposed Community Service Facility is permitted to receive points in this category.</t>
  </si>
  <si>
    <t xml:space="preserve">Note: </t>
  </si>
  <si>
    <t xml:space="preserve">WHEDA will not grant points for project amenities including but not limited to community room, community building, fitness center, resident computer center, or onsite leasing office. WHEDA is the sole arbiter on the appropriateness of points in this category.  </t>
  </si>
  <si>
    <t>Applicants are encouraged to consult with WHEDA staff regarding documentation in advance of submitting their application.</t>
  </si>
  <si>
    <t>WHEDA will award points for projects that include the following amenities:</t>
  </si>
  <si>
    <t>Qualifies?</t>
  </si>
  <si>
    <t>On-Site Services and Amenities</t>
  </si>
  <si>
    <t>In-unit internet at no cost to residents (1 point)</t>
  </si>
  <si>
    <t>On-site community room dedicated for residents (1 point)</t>
  </si>
  <si>
    <t>How Score</t>
  </si>
  <si>
    <t>Developent Process Score</t>
  </si>
  <si>
    <t>Development Process Total Score</t>
  </si>
  <si>
    <t xml:space="preserve">WHEDA will award points to developments utilizing the annual credit request per unit most efficiently. Each unit will be weighted based on income targeting. </t>
  </si>
  <si>
    <t>Non-Rural</t>
  </si>
  <si>
    <t>Rural</t>
  </si>
  <si>
    <t>Non-Rural Set-Aside Projects</t>
  </si>
  <si>
    <t>Rural Set-Aside Projects</t>
  </si>
  <si>
    <t>Projects that only use 4% Federal credit will be awarded 36 points in this category.</t>
  </si>
  <si>
    <t>9% NC display</t>
  </si>
  <si>
    <t>9% NC Range 1</t>
  </si>
  <si>
    <t>9% NC Range 2</t>
  </si>
  <si>
    <t>Bin Display</t>
  </si>
  <si>
    <t>Unused Ranges</t>
  </si>
  <si>
    <t>Credit Type</t>
  </si>
  <si>
    <t>Unit CMI</t>
  </si>
  <si>
    <t>Unit Count</t>
  </si>
  <si>
    <t>Weighted Units</t>
  </si>
  <si>
    <t>&lt;$19,600</t>
  </si>
  <si>
    <t>&lt;$21,200</t>
  </si>
  <si>
    <t>4% NC display</t>
  </si>
  <si>
    <t>4% NC Range 1</t>
  </si>
  <si>
    <t>4% NC Range 2</t>
  </si>
  <si>
    <t>Construction Type Ranges Used</t>
  </si>
  <si>
    <t>$19,600- $20,800</t>
  </si>
  <si>
    <t>$21,200 - $22,000</t>
  </si>
  <si>
    <t>&lt;$12,837</t>
  </si>
  <si>
    <t>&lt;$10,804</t>
  </si>
  <si>
    <t>30% CMI</t>
  </si>
  <si>
    <t>$20,801 - $22,000</t>
  </si>
  <si>
    <t>$22,001 - $22,800</t>
  </si>
  <si>
    <t>$12,838 - $13,649</t>
  </si>
  <si>
    <t>$10,805 - $11,204</t>
  </si>
  <si>
    <t>40% CMI</t>
  </si>
  <si>
    <t>$22,001 - $23,200</t>
  </si>
  <si>
    <t xml:space="preserve"> $22,801 - $23,600</t>
  </si>
  <si>
    <t>$13,650 - $14,460</t>
  </si>
  <si>
    <t>$11,205 - $11,604</t>
  </si>
  <si>
    <t>Total Weighted Units*</t>
  </si>
  <si>
    <t>50% CMI</t>
  </si>
  <si>
    <t>$23,201 - $24,400</t>
  </si>
  <si>
    <t>$23,601 - $24,400</t>
  </si>
  <si>
    <t>$14,461 - $15,272</t>
  </si>
  <si>
    <t>$11,605 - $12,004</t>
  </si>
  <si>
    <t>*Units are weighted based on income targetting, as shown in the table to the right</t>
  </si>
  <si>
    <t>60% CMI</t>
  </si>
  <si>
    <t>$24,401 - 25,600</t>
  </si>
  <si>
    <t>$24,401 - $ 25,200</t>
  </si>
  <si>
    <t>$15,273 - $16,084</t>
  </si>
  <si>
    <t>$12,005 - $12,404</t>
  </si>
  <si>
    <t>70% CMI</t>
  </si>
  <si>
    <t>&gt;$25,600</t>
  </si>
  <si>
    <t>&gt;$25,200</t>
  </si>
  <si>
    <t>$15,273 - $16,085</t>
  </si>
  <si>
    <t>&gt;$12,405</t>
  </si>
  <si>
    <t>Credit Leverage (Cred/Unit)</t>
  </si>
  <si>
    <t>80% CMI</t>
  </si>
  <si>
    <t>9% A/R display</t>
  </si>
  <si>
    <t>9% A/R Range 1</t>
  </si>
  <si>
    <t>9% A/R Range 2</t>
  </si>
  <si>
    <t>&gt;$16,086</t>
  </si>
  <si>
    <t>Rural Set-Aside?</t>
  </si>
  <si>
    <t>Total Weighted Units</t>
  </si>
  <si>
    <t>&lt;$14,600</t>
  </si>
  <si>
    <t>&lt;$15,800</t>
  </si>
  <si>
    <t>4% A/R display</t>
  </si>
  <si>
    <t>4% A/R Range 1</t>
  </si>
  <si>
    <t>4% A/R Range 2</t>
  </si>
  <si>
    <t>$14,600 - $15,500</t>
  </si>
  <si>
    <t>$15,801 - $16,400</t>
  </si>
  <si>
    <t>&lt;$9,627</t>
  </si>
  <si>
    <t>&lt;$8,103</t>
  </si>
  <si>
    <t>$15,501 - $16,400</t>
  </si>
  <si>
    <t>$16,401 - $17,000</t>
  </si>
  <si>
    <t>$9,628 - $10,236</t>
  </si>
  <si>
    <t>$8,104 - $8,403</t>
  </si>
  <si>
    <t>Credits Per Unit</t>
  </si>
  <si>
    <t>$16,401 - $17,300</t>
  </si>
  <si>
    <t>$17,001 - $17,600</t>
  </si>
  <si>
    <t>$10,237 - $10,845</t>
  </si>
  <si>
    <t>$8,404 - $8,703</t>
  </si>
  <si>
    <t>$17,301 - $18,200</t>
  </si>
  <si>
    <t>$17,601 - $18,200</t>
  </si>
  <si>
    <t>$10,846 - $11,454</t>
  </si>
  <si>
    <t>$8,704 - $9,003</t>
  </si>
  <si>
    <t>$18,201 - $19,100</t>
  </si>
  <si>
    <t>$18,201 - $18,800</t>
  </si>
  <si>
    <t>$11,455 - $12,063</t>
  </si>
  <si>
    <t>$9,004 - $9,303</t>
  </si>
  <si>
    <t>&gt;$19,100</t>
  </si>
  <si>
    <t>&gt;$18,800</t>
  </si>
  <si>
    <t>&gt;$12,064</t>
  </si>
  <si>
    <t>&gt;$9,304</t>
  </si>
  <si>
    <t>4%S NC display</t>
  </si>
  <si>
    <t>4%S NC Range 1</t>
  </si>
  <si>
    <t>4%S NC Range 2</t>
  </si>
  <si>
    <t>&lt;$8,500</t>
  </si>
  <si>
    <t>&lt;$15,500</t>
  </si>
  <si>
    <t>$8,500 - $9,200</t>
  </si>
  <si>
    <t>$15,500 - $16,400</t>
  </si>
  <si>
    <t>$9,201 - $9,900</t>
  </si>
  <si>
    <t>$9,901 - $10,600</t>
  </si>
  <si>
    <t>Committed Sources</t>
  </si>
  <si>
    <t>$10,601 - $11,300</t>
  </si>
  <si>
    <t>$11,301 - $12,000</t>
  </si>
  <si>
    <t>$19,101 - $20,000</t>
  </si>
  <si>
    <t>&gt;$12,000</t>
  </si>
  <si>
    <t>&gt;$20,000</t>
  </si>
  <si>
    <t>Total Development Cost</t>
  </si>
  <si>
    <t>4%S A/R display</t>
  </si>
  <si>
    <t>4%S A/R Range 1</t>
  </si>
  <si>
    <t>4%S A/R Range 2</t>
  </si>
  <si>
    <t>Total $ Amount of Committed Non-WHEDA Sources</t>
  </si>
  <si>
    <t>&lt;$6,400</t>
  </si>
  <si>
    <t>&lt;$11,600</t>
  </si>
  <si>
    <t>Percent of Non-WHEDA project financing committed:</t>
  </si>
  <si>
    <t>$6,400 - $6,900</t>
  </si>
  <si>
    <t>$11,601 - $12,300</t>
  </si>
  <si>
    <t>$6,901 - $7,400</t>
  </si>
  <si>
    <t>$12,301 - $12,900</t>
  </si>
  <si>
    <t>% Committed</t>
  </si>
  <si>
    <t>$7,401 - $7,900</t>
  </si>
  <si>
    <t>$12,901 - $13,600</t>
  </si>
  <si>
    <t>&gt;10%</t>
  </si>
  <si>
    <t>$7,901 - $8,400</t>
  </si>
  <si>
    <t>$13,601 - $14,300</t>
  </si>
  <si>
    <t>0%-10%</t>
  </si>
  <si>
    <t>$8,401 - $9,000</t>
  </si>
  <si>
    <t>$14,301 - $14,900</t>
  </si>
  <si>
    <t>&gt;$9,000</t>
  </si>
  <si>
    <t>&gt;$14,900</t>
  </si>
  <si>
    <t>Maximum 25 Points</t>
  </si>
  <si>
    <t>Non-Rural Calculation</t>
  </si>
  <si>
    <t>Rural Calculation</t>
  </si>
  <si>
    <t>Section 2 Score:</t>
  </si>
  <si>
    <t xml:space="preserve">Applicants must document Development Team strength and experience. Please refer to appropriate appendix (Development Team) for detailed factors that will be considered by WHEDA in evaluating the Development Team. Applicants are encouraged to consult with WHEDA staff regarding documentation in advance of submitting their application.	</t>
  </si>
  <si>
    <t xml:space="preserve">FOR INFORMATIONAL PURPOSES ONLY - SCORING WILL BE COMPLETED BY WHEDA </t>
  </si>
  <si>
    <t>Note: Developer scoring will be done based on scores of the Primary Developer and the Co-Developer (if any). WHEDA will use the higher of the following:</t>
  </si>
  <si>
    <t>• Total points for the primary developer individually</t>
  </si>
  <si>
    <t>• The average of the total points of the primary developer and co-developer(s)</t>
  </si>
  <si>
    <t>Available Points</t>
  </si>
  <si>
    <t>Primary Developer</t>
  </si>
  <si>
    <t>2nd Co-Developer</t>
  </si>
  <si>
    <t>A. Emerging Developers (maximum of 2 points)</t>
  </si>
  <si>
    <t>Applications that include an emerging developer or emerging co‐developer that have at least 49% stake in all aspects of the development including but not limited to ownership, cash‐flow, and voting rights.</t>
  </si>
  <si>
    <t>Codeveloper</t>
  </si>
  <si>
    <t>Primary</t>
  </si>
  <si>
    <t>2nd Codeveloper</t>
  </si>
  <si>
    <t>Applications that include an emerging developer or emerging co‐developer that have at least 24% stake in all aspects of the development including but not limited to ownership, cash‐flow, and voting rights.</t>
  </si>
  <si>
    <t>B. WHEDA evaluation of capacity, delivery of prior HTC properties and timely &amp; accurate completion of prior HTC applications and awards (maximum of 2 points)</t>
  </si>
  <si>
    <t xml:space="preserve">C. Nonprofit Developers (maximum of 2 points) </t>
  </si>
  <si>
    <t>Two points will be awarded for applications that include a Nonprofit organization, acting as Developer and Owner, that meets the requirements for applicants in the Nonprofit Set-Aside. Nonprofit points will only be applied to the Nonprofit entity only.</t>
  </si>
  <si>
    <r>
      <rPr>
        <b/>
        <sz val="11"/>
        <color theme="1"/>
        <rFont val="Calibri"/>
        <family val="2"/>
        <scheme val="minor"/>
      </rPr>
      <t>Note:</t>
    </r>
    <r>
      <rPr>
        <sz val="11"/>
        <color theme="1"/>
        <rFont val="Calibri"/>
        <family val="2"/>
        <scheme val="minor"/>
      </rPr>
      <t xml:space="preserve"> Developers and Co-developers for properties owned by Public Housing Authorities or Tribal Housing Authorities will not be required to have an ownership role in the property.</t>
    </r>
  </si>
  <si>
    <t>WHEDA will continue to reserve the right to deduct up to 6 points for non-compliance with a previous HTC award’s representation of scope, support services, design, energy efficiency, amenities, score, certifications, or nonpayment of fees.</t>
  </si>
  <si>
    <t>Subtotals</t>
  </si>
  <si>
    <t>CoDev1</t>
  </si>
  <si>
    <t>CoDev2</t>
  </si>
  <si>
    <t>WHEDA will award points for sites acquired via a publicly controlled process including:</t>
  </si>
  <si>
    <t xml:space="preserve">• Successful respondent to a city or local competitive RFP/RFQ to develop a project on publicly-controlled land. There cannot be an identity of interest between the issuer and awardee. </t>
  </si>
  <si>
    <t>• Sites located on Federally-Designated Tribal Land</t>
  </si>
  <si>
    <t>WHEDA will limit the number of points awarded in this category to two per competitive cycle in any city/Tribe, and no more than one to any developer.</t>
  </si>
  <si>
    <t>Check if Included or N/A</t>
  </si>
  <si>
    <t>Item Number</t>
  </si>
  <si>
    <t>Item Name</t>
  </si>
  <si>
    <t>HTC Application Fee</t>
  </si>
  <si>
    <t xml:space="preserve">$1,000 (24 Units or Fewer) or $2,000 (Over 24 Units). Include copy of Fee Remittance Form on WHEDA.com. Credit will not be reserved, allocated, or allowed without payment of these respective fees. Payment of the Project Concept Application Fee will be applied toward the Full Application Fee. </t>
  </si>
  <si>
    <t>Application Checklist</t>
  </si>
  <si>
    <t>Complete this checklist to indicate which items are included with the application submission</t>
  </si>
  <si>
    <t>Application Workbook</t>
  </si>
  <si>
    <t xml:space="preserve">Excel copy of completed Multifamily Application Workbook and PDF copy of Tax Credit Signatures tab signed/dated by both primary applicant and co-applicant(s) (if applicable). </t>
  </si>
  <si>
    <t xml:space="preserve">A signed &amp; accepted photocopy of an unexpired contract (offer to purchase/deed) between the current owner and the seller for purchase of the property, or a photocopy of the deed if the title has been transferred. Must identify site location (i.e., legal description, address) of the property, terms of sale, price, etc. If seller financing, must identify in offer/option to purchase and submit appraisal supporting value. Options to purchase must extend a minimum of 90 days beyond the application submission date. </t>
  </si>
  <si>
    <t xml:space="preserve">Evidence that permissive zoning is in place for the proposed project including number of residential units and any other project elements such as commercial space or Community Service Facility. Final plan approval is not required. </t>
  </si>
  <si>
    <t>Organizational Chart</t>
  </si>
  <si>
    <t>Detailed listing and/or organizational chart of all individuals or corporate entities that will maintain 20% or greater ownership in the managing member or general partner.</t>
  </si>
  <si>
    <t>Development Agreement</t>
  </si>
  <si>
    <r>
      <rPr>
        <sz val="11"/>
        <color theme="1"/>
        <rFont val="Calibri"/>
        <family val="2"/>
        <scheme val="minor"/>
      </rPr>
      <t>If project includes co-developer(s), Development Agreement of MOU b</t>
    </r>
    <r>
      <rPr>
        <sz val="11"/>
        <color theme="1"/>
        <rFont val="Calibri"/>
        <family val="2"/>
        <scheme val="minor"/>
      </rPr>
      <t>etween the lead developer and co-developer(s) describing the payment of developer fees and the development duties to be performed by each party.</t>
    </r>
  </si>
  <si>
    <t>Delinquent Taxpayer</t>
  </si>
  <si>
    <t xml:space="preserve">Complete background check for any owners having 20% or more ownership interest for Delinquent Taxes at: https://revenue.wi.gov/Pages/HTML/delqlist.aspx or https://www.wicourts.gov/casesearch.htm. If there is a delinquency in either record, Application is not eligible for an Award. Nonprofit entities are exempt. </t>
  </si>
  <si>
    <t>Delinquent Child Support</t>
  </si>
  <si>
    <t xml:space="preserve">Complete background check for any owners having 20% or more ownership interest for Delinquent Child Support at: https://liendocket.wisconsin.gov/Secure/LienDocketSearch.aspx or https://www.wicourts.gov/casesearch.htm. If there is a delinquency in either record, Application is not eligible for an Award. Nonprofit entities are exempt. </t>
  </si>
  <si>
    <t>Building and Site Plans</t>
  </si>
  <si>
    <t>Schematic Design plans including site plan and identification of all units and amenities required for threshold or scoring purposes.</t>
  </si>
  <si>
    <t>Design Requirements</t>
  </si>
  <si>
    <t xml:space="preserve">Copy of Appendix M signed by Applicant/Owner and Architect/Engineer indicating that all Development Requirements outlined in Appendix M will be incorporated in the completed development. </t>
  </si>
  <si>
    <t>Market Study must support proposed rents. Refer to Appendix A. Studies will be considered "stale" after six (6) months but may be updated by the provider. Studies w/appropriate updates are considered stale after 18 months from original market study date.  Confirm completed by an approved provider on WHEDA's list.</t>
  </si>
  <si>
    <t xml:space="preserve">Evidence that 80% of Funding Sources are committed. Acceptable Sources:
• WHEDA as the permanent debt lender, applicant must use WHEDA's current loan terms. Other terms can be used if a term specific executed financing commitment accompanies the application.  
• Loans or grant with a firm commitment from the lender/grantor/government entity identifying amount, interest rate, term, and amortization.  
• Historic tax credit equity - letter of intent from the syndicator/investor, written evidence that historic designation (Part I) has been applied for, or that the building is already deemed historic, and detailed calculation of the credit and equity amounts. 
• HTC equity if pricing falls within WHEDA's published guidance or if supported by executed LOI
• Sellers Note –  value supported by an appraisal and note or other commitment provided (or language included in offer/option) 
Commitments (must have word "commitment") or award letters for any non-WHEDA source must be provided and should be signed by both parties.  Letter of intent, proposal or expression of interest are not acceptable, must list rate, term, amortization.  Contingency for HTC award is acceptable but other contingencies that are outside of the applicant’s control such as further underwriting, or loan committee approval are not acceptable. Deferred developer fees or other developer financing will not count towards the 80% committed funding sources. </t>
  </si>
  <si>
    <t>Rental Assistance</t>
  </si>
  <si>
    <t>If the proposed unit mix indicates voucher units and includes rents that exceed HTC maximum rent limits, evidence of firm commitments for rental subsidy must be submitted. Commitments must be fully executed and must identify the project to which the vouchers will be committed, must include the number of units to be supported, the rents to be paid by the rental assistance, and the term of the commitment. Examples of allowable rental assistance include: Project-based Section 8 HAP or vouchers, operating subsidy or capitalized operating fund, or other rental subsidy assistance provided by a public housing authority or other government entity.</t>
  </si>
  <si>
    <t>50% Test</t>
  </si>
  <si>
    <t>Evidence the tax-exempt bond amount listed on the funding sources tab is 50% or more of the Aggregate Basis (4% transactions only)</t>
  </si>
  <si>
    <t>Acquisition and Rehabilitation Projects</t>
  </si>
  <si>
    <t>Capital Needs Assessment</t>
  </si>
  <si>
    <r>
      <t xml:space="preserve">Capital Needs Assessment with “Scope of Work” attached: Refer to Appendix G &amp; Appendix G1 (no older than 24 months). Unit inspection frequency must conform with Appendix G. Confirm CNA provider is </t>
    </r>
    <r>
      <rPr>
        <sz val="11"/>
        <color theme="1"/>
        <rFont val="Calibri"/>
        <family val="2"/>
        <scheme val="minor"/>
      </rPr>
      <t xml:space="preserve">on WHEDA's approved provider list. Adaptive reuse projects do not need to submit. </t>
    </r>
  </si>
  <si>
    <t>Operating Statements</t>
  </si>
  <si>
    <t xml:space="preserve"> If submitting operating expenses or vacancy rates outside of the expected ranges, provide a copy of last three (3) years P&amp;L (revenue &amp; expenses) statements for currently operating developments. </t>
  </si>
  <si>
    <t>Rent roll</t>
  </si>
  <si>
    <t>If project is currently occupied, rent roll must be dated not more than 60 days prior to application and identify all residents whose incomes currently exceed tax credit maximums.</t>
  </si>
  <si>
    <t>Relocation</t>
  </si>
  <si>
    <r>
      <t>Provide plan addressing any proposed temporary relocation, or any proposed permanent relocation of over- income residents. The plan should meet the standards es</t>
    </r>
    <r>
      <rPr>
        <sz val="11"/>
        <color theme="1"/>
        <rFont val="Calibri"/>
        <family val="2"/>
        <scheme val="minor"/>
      </rPr>
      <t xml:space="preserve">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 </t>
    </r>
  </si>
  <si>
    <t>Appendix N</t>
  </si>
  <si>
    <t xml:space="preserve">For projects preserving Federal Assistance, provide all documents required per Appendix N  </t>
  </si>
  <si>
    <t>For projects preserving expiring Housing Tax Credits, provide a copy of the original recorded LURA</t>
  </si>
  <si>
    <t>Projects Requesting Acquisition Credits</t>
  </si>
  <si>
    <t>Appraisal</t>
  </si>
  <si>
    <r>
      <rPr>
        <sz val="11"/>
        <color theme="1"/>
        <rFont val="Calibri"/>
        <family val="2"/>
        <scheme val="minor"/>
      </rPr>
      <t xml:space="preserve">Establishes “As-is market value” for any project requesting 4% Acquisition Credit (includes both Acquisition/Rehab and Adaptive Re-Use transactions). Must be conducted by third-party appraiser with general certification. </t>
    </r>
    <r>
      <rPr>
        <u/>
        <sz val="11"/>
        <color theme="1"/>
        <rFont val="Calibri"/>
        <family val="2"/>
        <scheme val="minor"/>
      </rPr>
      <t xml:space="preserve">Must also be completed if requesting to use seller financing as part of committed sources. </t>
    </r>
  </si>
  <si>
    <t>10 Year Rule</t>
  </si>
  <si>
    <t>Documentation of placed-in-service date (note or other documentation) and that current owner has owned the development for 10 years or more (seller's warranty deed). (Waived for any federally assisted building such as Sec. 8, Sec. 236, Sec. 515 etc.)</t>
  </si>
  <si>
    <t>Nonprofit-Led Projects</t>
  </si>
  <si>
    <t>Appendix B</t>
  </si>
  <si>
    <t>Completed Appendix B with all documentation attached. Note: Non-profit must be named as the "Primary Applicant/Developer" and sign the application</t>
  </si>
  <si>
    <t>Supportive Housing Set-Aside Projects</t>
  </si>
  <si>
    <t xml:space="preserve">Firm commitments for rental subsidy meeting all requirements identified in Checklist Item #15  must be evidenced for a minimum 25% of the total development units. </t>
  </si>
  <si>
    <t>Appendix T</t>
  </si>
  <si>
    <t xml:space="preserve">Executed Appendix T with all supporting documentation attached </t>
  </si>
  <si>
    <t>Rural/Small Urban Set-Aside Projects</t>
  </si>
  <si>
    <t>Appendix U</t>
  </si>
  <si>
    <t>Map verifying project location in eligible municipality</t>
  </si>
  <si>
    <t>Appendix O</t>
  </si>
  <si>
    <t xml:space="preserve">Projects using USDA Section 515 or other financing must submit a completed Appendix O </t>
  </si>
  <si>
    <r>
      <rPr>
        <b/>
        <sz val="11"/>
        <rFont val="Calibri"/>
        <family val="2"/>
        <scheme val="minor"/>
      </rPr>
      <t>Census Tract Identification</t>
    </r>
    <r>
      <rPr>
        <sz val="11"/>
        <rFont val="Calibri"/>
        <family val="2"/>
        <scheme val="minor"/>
      </rPr>
      <t>: Provide documentation of the census tract in which the project site is located.</t>
    </r>
  </si>
  <si>
    <r>
      <t>School District:</t>
    </r>
    <r>
      <rPr>
        <sz val="11"/>
        <rFont val="Calibri"/>
        <family val="2"/>
        <scheme val="minor"/>
      </rPr>
      <t xml:space="preserve"> Identify the School District that includes the site, along with a map or other documentation confirming that the site is within the identified school district.</t>
    </r>
  </si>
  <si>
    <r>
      <t xml:space="preserve">Access to services and amenities: </t>
    </r>
    <r>
      <rPr>
        <sz val="11"/>
        <rFont val="Calibri"/>
        <family val="2"/>
        <scheme val="minor"/>
      </rPr>
      <t xml:space="preserve">Include a map with distance measurements, clear color photos, contact person, and contact information. At WHEDA’s discretion, absence of those items may result in the project not receiving points claimed. Exclusions are outlined at the bottom of this category. </t>
    </r>
  </si>
  <si>
    <t>A.2. Lower Income Areas</t>
  </si>
  <si>
    <r>
      <rPr>
        <b/>
        <sz val="11"/>
        <color theme="1"/>
        <rFont val="Calibri"/>
        <family val="2"/>
        <scheme val="minor"/>
      </rPr>
      <t>Qualified Census Tract:</t>
    </r>
    <r>
      <rPr>
        <sz val="11"/>
        <color theme="1"/>
        <rFont val="Calibri"/>
        <family val="2"/>
        <scheme val="minor"/>
      </rPr>
      <t xml:space="preserve"> Attach a print-out of the project's census tract from American Fact Finder or similar program. In addition, highlight the related census tract on WHEDA's Appendix E.</t>
    </r>
  </si>
  <si>
    <r>
      <rPr>
        <b/>
        <sz val="11"/>
        <color theme="1"/>
        <rFont val="Calibri"/>
        <family val="2"/>
        <scheme val="minor"/>
      </rPr>
      <t xml:space="preserve">Community Revitalization or Redevelopment Plan: </t>
    </r>
    <r>
      <rPr>
        <sz val="11"/>
        <color theme="1"/>
        <rFont val="Calibri"/>
        <family val="2"/>
        <scheme val="minor"/>
      </rPr>
      <t xml:space="preserve"> Provide a PDF of the plan, or the website location. Include a write up explaining how the plan meets each of the five requirements. If five points are being requested, the write up should also identify where in the plan the need for affordable and/or rental housing in the specific area of the project is discussed. </t>
    </r>
  </si>
  <si>
    <t>A.3. Workforce Housing Community</t>
  </si>
  <si>
    <r>
      <t xml:space="preserve">Top Growth Centers: </t>
    </r>
    <r>
      <rPr>
        <sz val="11"/>
        <rFont val="Calibri"/>
        <family val="2"/>
        <scheme val="minor"/>
      </rPr>
      <t>Evidence site is located within a top growth center</t>
    </r>
    <r>
      <rPr>
        <b/>
        <sz val="11"/>
        <rFont val="Calibri"/>
        <family val="2"/>
        <scheme val="minor"/>
      </rPr>
      <t>.</t>
    </r>
  </si>
  <si>
    <r>
      <t xml:space="preserve">Net Job Growth: </t>
    </r>
    <r>
      <rPr>
        <sz val="11"/>
        <rFont val="Calibri"/>
        <family val="2"/>
        <scheme val="minor"/>
      </rPr>
      <t>Evidence site is located within a geographic area associated with the amount of points being requested</t>
    </r>
    <r>
      <rPr>
        <b/>
        <sz val="11"/>
        <rFont val="Calibri"/>
        <family val="2"/>
        <scheme val="minor"/>
      </rPr>
      <t>.</t>
    </r>
  </si>
  <si>
    <t>A.4. Rehabilitation/ Neighborhood Stabilization</t>
  </si>
  <si>
    <t>City/Tribal Support Letter</t>
  </si>
  <si>
    <r>
      <t xml:space="preserve">Current rent schedule: </t>
    </r>
    <r>
      <rPr>
        <sz val="11"/>
        <rFont val="Calibri"/>
        <family val="2"/>
        <scheme val="minor"/>
      </rPr>
      <t xml:space="preserve">Only if currently occupied rental property. Must reflect income of residents and gross monthly rent. </t>
    </r>
  </si>
  <si>
    <r>
      <t xml:space="preserve">Relocation Certification: </t>
    </r>
    <r>
      <rPr>
        <sz val="11"/>
        <rFont val="Calibri"/>
        <family val="2"/>
        <scheme val="minor"/>
      </rPr>
      <t xml:space="preserve">Plan must meet standards established by the Federal Uniform Relocation Act (URL). WHEDA prohibits permanent displacement of residents, including those whose incomes are known to or are estimated to exceed tax credit maximums. </t>
    </r>
  </si>
  <si>
    <r>
      <t xml:space="preserve">Last three (3) years P&amp; L (revenue &amp; expenses): </t>
    </r>
    <r>
      <rPr>
        <sz val="11"/>
        <rFont val="Calibri"/>
        <family val="2"/>
        <scheme val="minor"/>
      </rPr>
      <t xml:space="preserve">Statements only required for currently operating developments. </t>
    </r>
  </si>
  <si>
    <r>
      <t xml:space="preserve">Map: </t>
    </r>
    <r>
      <rPr>
        <sz val="11"/>
        <rFont val="Calibri"/>
        <family val="2"/>
        <scheme val="minor"/>
      </rPr>
      <t>Must show property clustering no greater than one-half (1/2) mile radius for non-tribal locations.</t>
    </r>
  </si>
  <si>
    <r>
      <t xml:space="preserve">Municipality letter: </t>
    </r>
    <r>
      <rPr>
        <sz val="11"/>
        <rFont val="Calibri"/>
        <family val="2"/>
        <scheme val="minor"/>
      </rPr>
      <t>Outlining support of the proposed clustering of sites</t>
    </r>
    <r>
      <rPr>
        <b/>
        <sz val="11"/>
        <rFont val="Calibri"/>
        <family val="2"/>
        <scheme val="minor"/>
      </rPr>
      <t>.</t>
    </r>
  </si>
  <si>
    <r>
      <t xml:space="preserve">Financial Support Commitment: </t>
    </r>
    <r>
      <rPr>
        <sz val="11"/>
        <rFont val="Calibri"/>
        <family val="2"/>
        <scheme val="minor"/>
      </rPr>
      <t xml:space="preserve">Fully executed firm commitment from local government and/or private institutions or foundations reflecting a minimum of 5% of total development costs in financial support. </t>
    </r>
  </si>
  <si>
    <r>
      <rPr>
        <b/>
        <sz val="11"/>
        <rFont val="Calibri"/>
        <family val="2"/>
        <scheme val="minor"/>
      </rPr>
      <t xml:space="preserve">Unit Set-Aside: </t>
    </r>
    <r>
      <rPr>
        <sz val="11"/>
        <rFont val="Calibri"/>
        <family val="2"/>
        <scheme val="minor"/>
      </rPr>
      <t>Three-bedroom units must be set-aside on Unit Mix tab as 50% CMI. If project based vouchers are attached to the units, must be set-aside on Unit Mix tab as 60% CMI.</t>
    </r>
  </si>
  <si>
    <r>
      <rPr>
        <b/>
        <sz val="11"/>
        <rFont val="Calibri"/>
        <family val="2"/>
        <scheme val="minor"/>
      </rPr>
      <t xml:space="preserve">Market Study: </t>
    </r>
    <r>
      <rPr>
        <sz val="11"/>
        <rFont val="Calibri"/>
        <family val="2"/>
        <scheme val="minor"/>
      </rPr>
      <t>Clearly identify the development as "Family" or "Senior/Age-Restricted" to claim points.</t>
    </r>
  </si>
  <si>
    <t>B.2. Serves Lowest-Income Residents</t>
  </si>
  <si>
    <r>
      <rPr>
        <b/>
        <sz val="11"/>
        <rFont val="Calibri"/>
        <family val="2"/>
        <scheme val="minor"/>
      </rPr>
      <t xml:space="preserve">Market Study: </t>
    </r>
    <r>
      <rPr>
        <sz val="11"/>
        <rFont val="Calibri"/>
        <family val="2"/>
        <scheme val="minor"/>
      </rPr>
      <t>Must show sufficient market for target population.</t>
    </r>
  </si>
  <si>
    <r>
      <t xml:space="preserve">Rental Assistance: </t>
    </r>
    <r>
      <rPr>
        <sz val="11"/>
        <rFont val="Calibri"/>
        <family val="2"/>
        <scheme val="minor"/>
      </rPr>
      <t>Provide evidence of type of rental assistance by providing a copy of the firm commitment.</t>
    </r>
  </si>
  <si>
    <r>
      <t xml:space="preserve">Appendix S Certification: </t>
    </r>
    <r>
      <rPr>
        <sz val="11"/>
        <rFont val="Calibri"/>
        <family val="2"/>
        <scheme val="minor"/>
      </rPr>
      <t xml:space="preserve">Provide a fully executed/completed Appendix S form and all required supporting documentation. </t>
    </r>
  </si>
  <si>
    <t>B.4. Veterans Housing</t>
  </si>
  <si>
    <r>
      <t xml:space="preserve">MOU: </t>
    </r>
    <r>
      <rPr>
        <sz val="11"/>
        <rFont val="Calibri"/>
        <family val="2"/>
        <scheme val="minor"/>
      </rPr>
      <t xml:space="preserve">Signed MOU with a County or Tribal Veterans Service Office or a Veteran-specific service provider. The MOU must describe a referral and outreach system to connect potential veteran residents with local or State Veteran-specific services and resources. </t>
    </r>
  </si>
  <si>
    <t xml:space="preserve">C.1. Energy Efficiency and Sustainability </t>
  </si>
  <si>
    <r>
      <rPr>
        <b/>
        <sz val="11"/>
        <color theme="1"/>
        <rFont val="Calibri"/>
        <family val="2"/>
        <scheme val="minor"/>
      </rPr>
      <t>Sustainable Design:</t>
    </r>
    <r>
      <rPr>
        <sz val="11"/>
        <color theme="1"/>
        <rFont val="Calibri"/>
        <family val="2"/>
        <scheme val="minor"/>
      </rPr>
      <t xml:space="preserve"> Provide architect certification identifying type of sustainability standards project will be constructed to achieve. </t>
    </r>
  </si>
  <si>
    <r>
      <rPr>
        <b/>
        <sz val="11"/>
        <color theme="1"/>
        <rFont val="Calibri"/>
        <family val="2"/>
        <scheme val="minor"/>
      </rPr>
      <t>Public Transportation:</t>
    </r>
    <r>
      <rPr>
        <sz val="11"/>
        <color theme="1"/>
        <rFont val="Calibri"/>
        <family val="2"/>
        <scheme val="minor"/>
      </rPr>
      <t xml:space="preserve"> Provide a map showing that the site is no more than one-half (0.5) mile from a regularly scheduled bus stop (measured as the crow flies). If available, please submit the bus schedule as well. For properties eligible for the rural set-aside, provide evidence of "on call" transportation programs that provide the users a choice of local destinations. </t>
    </r>
  </si>
  <si>
    <r>
      <t xml:space="preserve">Architect's certification: </t>
    </r>
    <r>
      <rPr>
        <sz val="11"/>
        <rFont val="Calibri"/>
        <family val="2"/>
        <scheme val="minor"/>
      </rPr>
      <t xml:space="preserve">Architect must certify that the items checked will be incorporated into the development. (Refer to Self-Scoring Exhibit). </t>
    </r>
  </si>
  <si>
    <r>
      <t xml:space="preserve">Floor Plan: </t>
    </r>
    <r>
      <rPr>
        <sz val="11"/>
        <rFont val="Calibri"/>
        <family val="2"/>
        <scheme val="minor"/>
      </rPr>
      <t xml:space="preserve">Multi-story units requesting roll-in shower points must submit sample floor plan to show the feature is located on an accessible floor level. </t>
    </r>
  </si>
  <si>
    <t xml:space="preserve">Submit Resident Homeownership Plan </t>
  </si>
  <si>
    <r>
      <t xml:space="preserve">Cost Outline: </t>
    </r>
    <r>
      <rPr>
        <sz val="11"/>
        <rFont val="Calibri"/>
        <family val="2"/>
        <scheme val="minor"/>
      </rPr>
      <t>Include attachment that clearly identifies the costs, basis, and LIHTC's attributable to the Community Service Facilities broken out from the other costs in the project budget</t>
    </r>
    <r>
      <rPr>
        <b/>
        <sz val="11"/>
        <rFont val="Calibri"/>
        <family val="2"/>
        <scheme val="minor"/>
      </rPr>
      <t>.</t>
    </r>
  </si>
  <si>
    <r>
      <rPr>
        <b/>
        <sz val="11"/>
        <color theme="1"/>
        <rFont val="Calibri"/>
        <family val="2"/>
        <scheme val="minor"/>
      </rPr>
      <t>MOU:</t>
    </r>
    <r>
      <rPr>
        <sz val="11"/>
        <color theme="1"/>
        <rFont val="Calibri"/>
        <family val="2"/>
        <scheme val="minor"/>
      </rPr>
      <t xml:space="preserve"> Include an executed Memorandum of Understanding between the property owner and the operator of the Community Service Facility including but not limited to a description of the use of the property, the services provided, a statement that the services are available throughout the year, and a statement that the facility was used primarily to provide services for individuals whose income is 60% or less than the area's median gross income. </t>
    </r>
  </si>
  <si>
    <r>
      <t xml:space="preserve">Fee Certification: </t>
    </r>
    <r>
      <rPr>
        <sz val="11"/>
        <rFont val="Calibri"/>
        <family val="2"/>
        <scheme val="minor"/>
      </rPr>
      <t>Provide a statement that any fees charged for the services provided in the facility must be affordable to persons at or below the 60% income level</t>
    </r>
    <r>
      <rPr>
        <b/>
        <sz val="11"/>
        <rFont val="Calibri"/>
        <family val="2"/>
        <scheme val="minor"/>
      </rPr>
      <t>.</t>
    </r>
  </si>
  <si>
    <r>
      <t xml:space="preserve">Permissive zoning: </t>
    </r>
    <r>
      <rPr>
        <sz val="11"/>
        <rFont val="Calibri"/>
        <family val="2"/>
        <scheme val="minor"/>
      </rPr>
      <t>Evidence that permissive zoning is in place for the proposed Community Service Facility</t>
    </r>
    <r>
      <rPr>
        <b/>
        <sz val="11"/>
        <rFont val="Calibri"/>
        <family val="2"/>
        <scheme val="minor"/>
      </rPr>
      <t>.</t>
    </r>
  </si>
  <si>
    <r>
      <t xml:space="preserve">Market study: </t>
    </r>
    <r>
      <rPr>
        <sz val="11"/>
        <rFont val="Calibri"/>
        <family val="2"/>
        <scheme val="minor"/>
      </rPr>
      <t>The need for services provided by the Community Service Facility must be clearly stipulated</t>
    </r>
    <r>
      <rPr>
        <b/>
        <sz val="11"/>
        <rFont val="Calibri"/>
        <family val="2"/>
        <scheme val="minor"/>
      </rPr>
      <t>.</t>
    </r>
  </si>
  <si>
    <r>
      <t xml:space="preserve">Summary of developer's relevant experience: </t>
    </r>
    <r>
      <rPr>
        <sz val="11"/>
        <rFont val="Calibri"/>
        <family val="2"/>
        <scheme val="minor"/>
      </rPr>
      <t>entire HTC portfolio performance (WHEDA reserves the right to verify), and release of information form and any other supporting documentation that the applicant believes is relevant to document the experience and performance of the Development Team. (Refer to Appendix P and Development Team Experience Form)</t>
    </r>
    <r>
      <rPr>
        <b/>
        <sz val="11"/>
        <rFont val="Calibri"/>
        <family val="2"/>
        <scheme val="minor"/>
      </rPr>
      <t>.</t>
    </r>
  </si>
  <si>
    <r>
      <t xml:space="preserve">Nonprofit Organization acting as Developer and Owner: </t>
    </r>
    <r>
      <rPr>
        <sz val="11"/>
        <rFont val="Calibri"/>
        <family val="2"/>
        <scheme val="minor"/>
      </rPr>
      <t xml:space="preserve">If requesting points, include materials required as noted in Appendix B. </t>
    </r>
  </si>
  <si>
    <r>
      <t xml:space="preserve">Development Agreement or Memorandum of Understanding: </t>
    </r>
    <r>
      <rPr>
        <sz val="11"/>
        <rFont val="Calibri"/>
        <family val="2"/>
        <scheme val="minor"/>
      </rPr>
      <t>Must identify the lead developer and co-developer and describe both the payment of developer fees and the development duties to be performed by each party.</t>
    </r>
  </si>
  <si>
    <r>
      <t xml:space="preserve">Controlling Emerging Developers Experience: </t>
    </r>
    <r>
      <rPr>
        <sz val="11"/>
        <rFont val="Calibri"/>
        <family val="2"/>
        <scheme val="minor"/>
      </rPr>
      <t xml:space="preserve">Must evidence acceptable previous experience in the development and/or operation of housing similar to that proposed in the application, or is  a recent graduate of Marquette University's Associates in Commercial Real Estate program (or an equivalent program at another educational institution). </t>
    </r>
  </si>
  <si>
    <r>
      <t>Appendix J - Emerging Developer Certification:</t>
    </r>
    <r>
      <rPr>
        <sz val="11"/>
        <rFont val="Calibri"/>
        <family val="2"/>
        <scheme val="minor"/>
      </rPr>
      <t xml:space="preserve"> Completed certification in Appendix J must be included.</t>
    </r>
  </si>
  <si>
    <r>
      <t xml:space="preserve">RFP/RFQ Recipient: </t>
    </r>
    <r>
      <rPr>
        <sz val="11"/>
        <rFont val="Calibri"/>
        <family val="2"/>
        <scheme val="minor"/>
      </rPr>
      <t xml:space="preserve">Provide a copy of the RFP/RFQ and a copy of the award notification
</t>
    </r>
    <r>
      <rPr>
        <b/>
        <sz val="11"/>
        <rFont val="Calibri"/>
        <family val="2"/>
        <scheme val="minor"/>
      </rPr>
      <t xml:space="preserve">Federally Designated Tribal Land: </t>
    </r>
    <r>
      <rPr>
        <sz val="11"/>
        <rFont val="Calibri"/>
        <family val="2"/>
        <scheme val="minor"/>
      </rPr>
      <t>Evidence that the site is within a federally designated tribal land.</t>
    </r>
  </si>
  <si>
    <t>WHEDA Loan Signature Page</t>
  </si>
  <si>
    <t>APPLICANT CERTIFICATION</t>
  </si>
  <si>
    <t>The Undersigned hereby acknowledges and certifies to the Wisconsin Housing and Economic Development Authority ( the "Authority"), individually and on behalf of the Applicant/Developer (the "Applicant")</t>
  </si>
  <si>
    <t>as part of this application for Authority mortgage loan financing in the</t>
  </si>
  <si>
    <t>amount of</t>
  </si>
  <si>
    <t>for the</t>
  </si>
  <si>
    <t xml:space="preserve">(the "Development")(the "Application") located at </t>
  </si>
  <si>
    <t>as follows:</t>
  </si>
  <si>
    <t>The information contained in the Application, including all statements and certifications attached hereto, is true and correct and has been prepared with due diligence. The Applicant has an affirmative duty to notify the Authority with regard to any changes to the information contained in the Application or to the Development. The Applicant knows of no facts or circumstances that would threaten or adversely affect the Development and cause the information in the Application to be incorrect or misleading. The Authority or its agents may make verification of information contained in the Application at any time.</t>
  </si>
  <si>
    <t>The Applicant agrees to indemnify and hold harmless the Authority, its members, officers, employees, and agents, from and against, any and all claims, suits, damages, costs and expenses arising out of the Authority's review of and decisions with regard to the Application. Authority analysis and review of the Application and related documentation is for its own purposes. The Applicant is not entitled to rely on such analysis and review. The Authority is not responsible for any actions taken by Applicant in reliance on a prospective financing commitment from the Authority. The Authority is not liable for damages resulting directly or indirectly from such actions. A financing commitment does not exist until the Authority has issued a Loan Approval Commitment Letter and the Applicant has accepted such Letter.</t>
  </si>
  <si>
    <t>Misleading information or misrepresentation contained in the Application may result in the termination of the underwriting/approval process, a revocation of loan approval and/or prohibition from participation in Authority programs.</t>
  </si>
  <si>
    <t>The Contract Documents when entered into by the Authority and the Applicant shall supersede all discussions, negotiations and agreements with regard to the Application.</t>
  </si>
  <si>
    <t>The execution and delivery of the Application and this document is duly authorized and binding on the Applicant.</t>
  </si>
  <si>
    <t>Your signature on the authorization below will permit WHEDA to make requests of any individual, firm, or other normal sources of debt or credit information. Without your express written consent, however, WHEDA will not unnecessarily release credit information to any individual or firm not affiliated with WHEDA, or not related to the transaction under consideration. Your authorization will also permit WHEDA and its commonly-controlled entities to exchange account and credit information from time to time with any of the banking or non-banking affiliates of WHEDA.</t>
  </si>
  <si>
    <t>The borrower, by initialing the line below, grants permission to WHEDA to issue a press release of the Multifamily Loan Approval.</t>
  </si>
  <si>
    <t>Borrowers Initials</t>
  </si>
  <si>
    <t>If requested by WHEDA, the applicant/owner agrees to provide accurate, good faith estimates of permanent and/or temporary (construction) jobs to be created or actually created as a result of the Development.</t>
  </si>
  <si>
    <t>Name of Applicant</t>
  </si>
  <si>
    <t>By</t>
  </si>
  <si>
    <t>Name and Title</t>
  </si>
  <si>
    <t>Housing Tax Credit Signature Page</t>
  </si>
  <si>
    <t>The Undersigned hereby acknowledges and certifies to Wisconsin Housing and Economic Development Authority (WHEDA), individually, and on behalf of the Applicant and the Development as part of this application for Low-Income Housing Tax Credit (the Credit) for the (the Development) (this Application) as follows:</t>
  </si>
  <si>
    <t>The Development Team is familiar with Section 42 of the Internal Revenue Code and the related rules and regulations there under (the Code) and the rules and requirements of WHEDA (the Requirements) with regard to the Credit, agrees to be bound by the Code and the Requirements and is in compliance with the Code and the Requirements.</t>
  </si>
  <si>
    <t>The information contained in this Application, including all statements and certifications attached hereto, is true and correct and has been prepared with due diligence. The Development Team has an affirmative duty to notify WHEDA with regard to any changes regarding this Application or the Development. The Development Team knows of no facts or circumstances that would threaten or adversely affect the Development and cause the information in this Application to be incorrect or misleading.</t>
  </si>
  <si>
    <t>WHEDA is subject to Chapter 19 of the Wisconsin Statutes (the Open Records Law). The Development Team hereby consents to disclosure of this Application and related documentation pursuant to the Open Records Law.</t>
  </si>
  <si>
    <t>The Development Team agrees to indemnify and hold harmless WHEDA, its members, officers, employees, and agents, from and against any and all claims, suits, damages, costs and expenses arising out of WHEDA's review of and decision with regard to this Application or WHEDA's disclosure of any information pursuant to the Open Records Law. WHEDA makes no representations regarding compliance with the Code or the effect of the Credit on a particular taxpayer. WHEDA review of this Application and related documentation is for its own purposes.</t>
  </si>
  <si>
    <t>Misleading information or representations contained in this Application may result in a revocation of Credit, notification to the Internal Revenue Service and prohibition from participation in the Credit program.</t>
  </si>
  <si>
    <t>The Development Team hereby certifies that the project will be (or has been) constructed in accordance with ADA and Fair Housing Standards.</t>
  </si>
  <si>
    <t>The execution and delivery of this Application and this document is duly authorized and binding on the Development Team.</t>
  </si>
  <si>
    <t>The applicant understands and agrees that all LIHTC application materials and submitted documents may be shared with representatives of HUD and USDA Rural Development under Requirements contained in any Memoranda of Understanding (MOU) executed by and between WHEDA and those agencies.</t>
  </si>
  <si>
    <t>If requested by WHEDA, the applicant/owner agrees to provide accurate, good faith estimates of permanent and/or temporary (construction) jobs to be created or actually created as a result of the Development</t>
  </si>
  <si>
    <t>Applicant Entity (Initial Application)</t>
  </si>
  <si>
    <t>Ownership Entity (Subsequent Applications)</t>
  </si>
  <si>
    <t xml:space="preserve">Name of Development </t>
  </si>
  <si>
    <t>Its</t>
  </si>
  <si>
    <t xml:space="preserve">Co-Developer (Initial Application) </t>
  </si>
  <si>
    <t>Median Income</t>
  </si>
  <si>
    <t>School Districts</t>
  </si>
  <si>
    <t>Rent Burden</t>
  </si>
  <si>
    <t>Net Job Growth</t>
  </si>
  <si>
    <t>Top Job Centers</t>
  </si>
  <si>
    <t>At or above 120% of County Median Income: ten points
100-119% of County Median Income: eight points</t>
  </si>
  <si>
    <t>Sites in school districts ranked as Significantly Exceeds Expectations by the Wisconsin Department of Public Instruction’s most recent Overall Accountability Score: 5 points
Sites in school districts ranked as Exceeds Expectations by the Wisconsin Department of Public Instruction’s most recent Overall Accountability Score: 3 points</t>
  </si>
  <si>
    <t>Five points will be awarded to properties located in census tracts listed below (50% or more of renters pay over 30% of income toward rent) or three points will be awarded to properties located in the census tracts listed below (40% - 49.99% of renters pay over 30% of income towards rent or one point for properties located in census tracts (30% - 39.99% of renters pay over 30% of income towards rent).
Note: Census tracts must have an average rent of $900 or more to be eligible for points in this category</t>
  </si>
  <si>
    <t>Properties located in a census tract with job growth of 10% or greater: 4 points
Properties located in a census tract with job growth of 7% - 9.99%: 3 points
Properties located in a census tract with job growth of 1% - 6.99%: 2 points
Properties located in a census tract with job growth of 0.1% - 0.99%: 1 point</t>
  </si>
  <si>
    <t>Properties located in a census tract with 2200 jobs: 4 points
Properties located in a census tract with 1800-2199 jobs: 3 points
Properties located in a census tract with 1000-1799 jobs: 2 points
Properties located in a census tract with 500-100 jobs: 1 points</t>
  </si>
  <si>
    <t>Points in this Tract</t>
  </si>
  <si>
    <t>District Name</t>
  </si>
  <si>
    <t>Points in this District</t>
  </si>
  <si>
    <r>
      <rPr>
        <b/>
        <sz val="10"/>
        <rFont val="Calibri"/>
        <family val="2"/>
      </rPr>
      <t>Points</t>
    </r>
  </si>
  <si>
    <t>Census Tract 9501, Adams County</t>
  </si>
  <si>
    <t>Alma</t>
  </si>
  <si>
    <t>Census Tract 9502.03, Adams County</t>
  </si>
  <si>
    <t>Census Tract 9507, Adams County</t>
  </si>
  <si>
    <t>Altoona</t>
  </si>
  <si>
    <t>Census Tract 9508, Ashland County</t>
  </si>
  <si>
    <t>Census Tract 9502.01, Adams County</t>
  </si>
  <si>
    <t>Census Tract 9504, Adams County</t>
  </si>
  <si>
    <t>Census Tract 9400, Ashland County</t>
  </si>
  <si>
    <t>Amery</t>
  </si>
  <si>
    <t>Census Tract 10.01, Barron County</t>
  </si>
  <si>
    <t>Census Tract 9505, Ashland County</t>
  </si>
  <si>
    <t>Argyle</t>
  </si>
  <si>
    <t>Census Tract 8, Barron County</t>
  </si>
  <si>
    <t>Census Tract 9502.04, Adams County</t>
  </si>
  <si>
    <t>Census Tract 9503, Ashland County</t>
  </si>
  <si>
    <t>Census Tract 9507, Ashland County</t>
  </si>
  <si>
    <t>Arrowhead UHS</t>
  </si>
  <si>
    <t>Census Tract 9602, Bayfield County</t>
  </si>
  <si>
    <t>Census Tract 9505.01, Adams County</t>
  </si>
  <si>
    <t>Census Tract 9504, Ashland County</t>
  </si>
  <si>
    <t>Barneveld</t>
  </si>
  <si>
    <t>Census Tract 9604.01, Bayfield County</t>
  </si>
  <si>
    <t>Census Tract 9506, Ashland County</t>
  </si>
  <si>
    <t>Census Tract 1, Barron County</t>
  </si>
  <si>
    <t>Belleville</t>
  </si>
  <si>
    <t>Census Tract 10, Brown County</t>
  </si>
  <si>
    <t>Benton</t>
  </si>
  <si>
    <t>Census Tract 101, Brown County</t>
  </si>
  <si>
    <t>Census Tract 10.03, Barron County</t>
  </si>
  <si>
    <t>Brighton #1</t>
  </si>
  <si>
    <t>Census Tract 102.01, Brown County</t>
  </si>
  <si>
    <t>Census Tract 10.04, Barron County</t>
  </si>
  <si>
    <t>Census Tract 3, Barron County</t>
  </si>
  <si>
    <t>Brillion</t>
  </si>
  <si>
    <t>Census Tract 102.02, Brown County</t>
  </si>
  <si>
    <t>Census Tract 2, Barron County</t>
  </si>
  <si>
    <t>Census Tract 4, Barron County</t>
  </si>
  <si>
    <t>Bristol #1</t>
  </si>
  <si>
    <t>Census Tract 103, Brown County</t>
  </si>
  <si>
    <t>Bruce</t>
  </si>
  <si>
    <t>Census Tract 14, Brown County</t>
  </si>
  <si>
    <t>Census Tract 9, Barron County</t>
  </si>
  <si>
    <t>Campbellsport</t>
  </si>
  <si>
    <t>Census Tract 18.01, Brown County</t>
  </si>
  <si>
    <t>Census Tract 6.02, Barron County</t>
  </si>
  <si>
    <t>Census Tract 5, Barron County</t>
  </si>
  <si>
    <t>Cedar Grove-Belgium Area</t>
  </si>
  <si>
    <t>Census Tract 20.01, Brown County</t>
  </si>
  <si>
    <t>Census Tract 6.01, Barron County</t>
  </si>
  <si>
    <t>Census Tract 9603, Bayfield County</t>
  </si>
  <si>
    <t>Cedarburg</t>
  </si>
  <si>
    <t>Census Tract 20.02, Brown County</t>
  </si>
  <si>
    <t>Census Tract 9604.02, Bayfield County</t>
  </si>
  <si>
    <t>Chequamegon</t>
  </si>
  <si>
    <t>Census Tract 20.03, Brown County</t>
  </si>
  <si>
    <t>Census Tract 9606, Bayfield County</t>
  </si>
  <si>
    <t>Chilton</t>
  </si>
  <si>
    <t>Census Tract 201, Brown County</t>
  </si>
  <si>
    <t>Coleman</t>
  </si>
  <si>
    <t>Census Tract 205.02, Brown County</t>
  </si>
  <si>
    <t>Census Tract 9601, Bayfield County</t>
  </si>
  <si>
    <t>Crivitz</t>
  </si>
  <si>
    <t>Census Tract 205.04, Brown County</t>
  </si>
  <si>
    <t>Cumberland</t>
  </si>
  <si>
    <t>Census Tract 205.05, Brown County</t>
  </si>
  <si>
    <t>Census Tract 18.02, Brown County</t>
  </si>
  <si>
    <t>D C Everest Area</t>
  </si>
  <si>
    <t>Census Tract 205.06, Brown County</t>
  </si>
  <si>
    <t>Census Tract 1, Brown County</t>
  </si>
  <si>
    <t>De Pere</t>
  </si>
  <si>
    <t>Census Tract 207.04, Brown County</t>
  </si>
  <si>
    <t>Census Tract 11, Brown County</t>
  </si>
  <si>
    <t>DeForest Area</t>
  </si>
  <si>
    <t>Census Tract 208, Brown County</t>
  </si>
  <si>
    <t>Census Tract 12, Brown County</t>
  </si>
  <si>
    <t>Census Tract 202.03, Brown County</t>
  </si>
  <si>
    <t>Denmark</t>
  </si>
  <si>
    <t>Census Tract 209, Brown County</t>
  </si>
  <si>
    <t>Census Tract 16, Brown County</t>
  </si>
  <si>
    <t>Census Tract 202.04, Brown County</t>
  </si>
  <si>
    <t>Dodgeland</t>
  </si>
  <si>
    <t>Census Tract 213.02, Brown County</t>
  </si>
  <si>
    <t>Census Tract 17.02, Brown County</t>
  </si>
  <si>
    <t>Dover #1</t>
  </si>
  <si>
    <t>Census Tract 213.04, Brown County</t>
  </si>
  <si>
    <t>East Troy Community</t>
  </si>
  <si>
    <t>Census Tract 215, Brown County</t>
  </si>
  <si>
    <t>Census Tract 206, Brown County</t>
  </si>
  <si>
    <t>Edgerton</t>
  </si>
  <si>
    <t>Census Tract 4.02, Brown County</t>
  </si>
  <si>
    <t>Census Tract 207.02, Brown County</t>
  </si>
  <si>
    <t>Elk Mound Area</t>
  </si>
  <si>
    <t>Census Tract 5, Brown County</t>
  </si>
  <si>
    <t>Census Tract 13, Brown County</t>
  </si>
  <si>
    <t>Census Tract 207.03, Brown County</t>
  </si>
  <si>
    <t>Elkhart Lake-Glenbeulah</t>
  </si>
  <si>
    <t>Census Tract 6, Brown County</t>
  </si>
  <si>
    <t>Elkhorn Area</t>
  </si>
  <si>
    <t>Census Tract 7, Brown County</t>
  </si>
  <si>
    <t>Census Tract 17.01, Brown County</t>
  </si>
  <si>
    <t>Census Tract 210, Brown County</t>
  </si>
  <si>
    <t>Ellsworth Community</t>
  </si>
  <si>
    <t>Census Tract 9400.04, Brown County</t>
  </si>
  <si>
    <t>Census Tract 212, Brown County</t>
  </si>
  <si>
    <t>Elmbrook</t>
  </si>
  <si>
    <t>Census Tract 9707, Burnett County</t>
  </si>
  <si>
    <t>Census Tract 213.01, Brown County</t>
  </si>
  <si>
    <t>Elmwood</t>
  </si>
  <si>
    <t>Census Tract 202, Calumet County</t>
  </si>
  <si>
    <t>Erin</t>
  </si>
  <si>
    <t>Census Tract 203.06, Calumet County</t>
  </si>
  <si>
    <t>Census Tract 214, Brown County</t>
  </si>
  <si>
    <t>Fall Creek</t>
  </si>
  <si>
    <t>Census Tract 203.08, Calumet County</t>
  </si>
  <si>
    <t>Fall River</t>
  </si>
  <si>
    <t>Census Tract 207, Calumet County</t>
  </si>
  <si>
    <t>Census Tract 216, Brown County</t>
  </si>
  <si>
    <t>Census Tract 102, Chippewa County</t>
  </si>
  <si>
    <t>Fontana J8</t>
  </si>
  <si>
    <t>Census Tract 105, Chippewa County</t>
  </si>
  <si>
    <t>Census Tract 9400.02, Brown County</t>
  </si>
  <si>
    <t>Fox Point J2</t>
  </si>
  <si>
    <t>Census Tract 107, Chippewa County</t>
  </si>
  <si>
    <t>Census Tract 9400.05, Brown County</t>
  </si>
  <si>
    <t>Franklin Public</t>
  </si>
  <si>
    <t>Census Tract 110.02, Chippewa County</t>
  </si>
  <si>
    <t>Census Tract 4.01, Brown County</t>
  </si>
  <si>
    <t>Census Tract 9400.06, Brown County</t>
  </si>
  <si>
    <t>Geneva J4</t>
  </si>
  <si>
    <t>Census Tract 9704.01, Columbia County</t>
  </si>
  <si>
    <t>Census Tract 9400.07, Brown County</t>
  </si>
  <si>
    <t>Germantown</t>
  </si>
  <si>
    <t>Census Tract 9705, Columbia County</t>
  </si>
  <si>
    <t>Census Tract 9400.08, Brown County</t>
  </si>
  <si>
    <t>Gibraltar Area</t>
  </si>
  <si>
    <t>Census Tract 9708, Columbia County</t>
  </si>
  <si>
    <t>Census Tract 9601, Buffalo County</t>
  </si>
  <si>
    <t>Grafton</t>
  </si>
  <si>
    <t>Census Tract 9711, Columbia County</t>
  </si>
  <si>
    <t>Census Tract 9603, Buffalo County</t>
  </si>
  <si>
    <t>Greendale</t>
  </si>
  <si>
    <t>Census Tract 101, Dane County</t>
  </si>
  <si>
    <t>Census Tract 9604, Buffalo County</t>
  </si>
  <si>
    <t>Hamilton</t>
  </si>
  <si>
    <t>Census Tract 102, Dane County</t>
  </si>
  <si>
    <t>Census Tract 9605, Buffalo County</t>
  </si>
  <si>
    <t>Hartland-Lakeside J3</t>
  </si>
  <si>
    <t>Census Tract 103, Dane County</t>
  </si>
  <si>
    <t>Census Tract 9704, Burnett County</t>
  </si>
  <si>
    <t>Herman-Neosho-Rubicon</t>
  </si>
  <si>
    <t>Census Tract 104, Dane County</t>
  </si>
  <si>
    <t>Census Tract 9706, Burnett County</t>
  </si>
  <si>
    <t>Hilbert</t>
  </si>
  <si>
    <t>Census Tract 105.03, Dane County</t>
  </si>
  <si>
    <t>Census Tract 9709, Burnett County</t>
  </si>
  <si>
    <t>Holmen</t>
  </si>
  <si>
    <t>Census Tract 107.01, Dane County</t>
  </si>
  <si>
    <t>Census Tract 9708, Burnett County</t>
  </si>
  <si>
    <t>Census Tract 9710, Burnett County</t>
  </si>
  <si>
    <t>Holy Hill Area</t>
  </si>
  <si>
    <t>Census Tract 107.02, Dane County</t>
  </si>
  <si>
    <t>Census Tract 213.03, Brown County</t>
  </si>
  <si>
    <t>Hortonville Area</t>
  </si>
  <si>
    <t>Census Tract 108.02, Dane County</t>
  </si>
  <si>
    <t>Howards Grove</t>
  </si>
  <si>
    <t>Census Tract 109.06, Dane County</t>
  </si>
  <si>
    <t>Census Tract 201, Calumet County</t>
  </si>
  <si>
    <t>Howard-Suamico</t>
  </si>
  <si>
    <t>Census Tract 109.07, Dane County</t>
  </si>
  <si>
    <t>Census Tract 208, Calumet County</t>
  </si>
  <si>
    <t>Hudson</t>
  </si>
  <si>
    <t>Census Tract 11.01, Dane County</t>
  </si>
  <si>
    <t>Census Tract 203.04, Calumet County</t>
  </si>
  <si>
    <t>Census Tract 101, Chippewa County</t>
  </si>
  <si>
    <t>Iowa-Grant</t>
  </si>
  <si>
    <t>Census Tract 111.01, Dane County</t>
  </si>
  <si>
    <t>Census Tract 3.02, Brown County</t>
  </si>
  <si>
    <t>Census Tract 104, Chippewa County</t>
  </si>
  <si>
    <t>Juda</t>
  </si>
  <si>
    <t>Census Tract 111.04, Dane County</t>
  </si>
  <si>
    <t>Census Tract 3.03, Brown County</t>
  </si>
  <si>
    <t>Kaukauna Area</t>
  </si>
  <si>
    <t>Census Tract 113.01, Dane County</t>
  </si>
  <si>
    <t>Census Tract 204, Calumet County</t>
  </si>
  <si>
    <t>Kettle Moraine</t>
  </si>
  <si>
    <t>Census Tract 113.02, Dane County</t>
  </si>
  <si>
    <t>Census Tract 206, Calumet County</t>
  </si>
  <si>
    <t>Census Tract 9502, Clark County</t>
  </si>
  <si>
    <t>Kewaskum</t>
  </si>
  <si>
    <t>Census Tract 114.03, Dane County</t>
  </si>
  <si>
    <t>Census Tract 9504, Clark County</t>
  </si>
  <si>
    <t>Kimberly Area</t>
  </si>
  <si>
    <t>Census Tract 114.04, Dane County</t>
  </si>
  <si>
    <t>Census Tract 9505, Clark County</t>
  </si>
  <si>
    <t>Kohler</t>
  </si>
  <si>
    <t>Census Tract 114.05, Dane County</t>
  </si>
  <si>
    <t>Census Tract 9506, Clark County</t>
  </si>
  <si>
    <t>Lake Country</t>
  </si>
  <si>
    <t>Census Tract 114.06, Dane County</t>
  </si>
  <si>
    <t>Census Tract 8, Brown County</t>
  </si>
  <si>
    <t>Census Tract 9508, Clark County</t>
  </si>
  <si>
    <t>Lake Mills Area</t>
  </si>
  <si>
    <t>Census Tract 115.04, Dane County</t>
  </si>
  <si>
    <t>Census Tract 103, Chippewa County</t>
  </si>
  <si>
    <t>Census Tract 9, Brown County</t>
  </si>
  <si>
    <t>Census Tract 9706, Columbia County</t>
  </si>
  <si>
    <t>Lancaster Community</t>
  </si>
  <si>
    <t>Census Tract 115.05, Dane County</t>
  </si>
  <si>
    <t>Census Tract 9707, Columbia County</t>
  </si>
  <si>
    <t>Linn J6</t>
  </si>
  <si>
    <t>Census Tract 115.06, Dane County</t>
  </si>
  <si>
    <t>Census Tract 9400.03, Brown County</t>
  </si>
  <si>
    <t>Little Chute Area</t>
  </si>
  <si>
    <t>Census Tract 115.07, Dane County</t>
  </si>
  <si>
    <t>Census Tract 108, Chippewa County</t>
  </si>
  <si>
    <t>Census Tract 9709, Columbia County</t>
  </si>
  <si>
    <t>Lodi</t>
  </si>
  <si>
    <t>Census Tract 116, Dane County</t>
  </si>
  <si>
    <t>Census Tract 109, Chippewa County</t>
  </si>
  <si>
    <t>Census Tract 9710, Columbia County</t>
  </si>
  <si>
    <t>Lomira</t>
  </si>
  <si>
    <t>Census Tract 118, Dane County</t>
  </si>
  <si>
    <t>Census Tract 110.01, Chippewa County</t>
  </si>
  <si>
    <t>Luxemburg-Casco</t>
  </si>
  <si>
    <t>Census Tract 119, Dane County</t>
  </si>
  <si>
    <t>Census Tract 9602, Crawford County</t>
  </si>
  <si>
    <t>Maple</t>
  </si>
  <si>
    <t>Census Tract 12, Dane County</t>
  </si>
  <si>
    <t>Census Tract 112, Chippewa County</t>
  </si>
  <si>
    <t>Census Tract 9603, Crawford County</t>
  </si>
  <si>
    <t>Maple Dale-Indian Hill</t>
  </si>
  <si>
    <t>Census Tract 120.03, Dane County</t>
  </si>
  <si>
    <t>Census Tract 9501, Clark County</t>
  </si>
  <si>
    <t>Census Tract 9602, Buffalo County</t>
  </si>
  <si>
    <t>Census Tract 9604, Crawford County</t>
  </si>
  <si>
    <t>Marathon City</t>
  </si>
  <si>
    <t>Census Tract 122.02, Dane County</t>
  </si>
  <si>
    <t>Census Tract 10, Dane County</t>
  </si>
  <si>
    <t>Mayville</t>
  </si>
  <si>
    <t>Census Tract 123, Dane County</t>
  </si>
  <si>
    <t>Mcfarland</t>
  </si>
  <si>
    <t>Census Tract 125.01, Dane County</t>
  </si>
  <si>
    <t>Census Tract 9701, Columbia County</t>
  </si>
  <si>
    <t>Menomonee Falls</t>
  </si>
  <si>
    <t>Census Tract 125.02, Dane County</t>
  </si>
  <si>
    <t>Census Tract 9702, Columbia County</t>
  </si>
  <si>
    <t>Mequon-Thiensville</t>
  </si>
  <si>
    <t>Census Tract 127, Dane County</t>
  </si>
  <si>
    <t>Census Tract 9703, Columbia County</t>
  </si>
  <si>
    <t>Census Tract 105.01, Dane County</t>
  </si>
  <si>
    <t>Merton Community</t>
  </si>
  <si>
    <t>Census Tract 129, Dane County</t>
  </si>
  <si>
    <t>Census Tract 9704.02, Columbia County</t>
  </si>
  <si>
    <t>Middleton-Cross Plains Area</t>
  </si>
  <si>
    <t>Census Tract 13, Dane County</t>
  </si>
  <si>
    <t>Census Tract 106, Dane County</t>
  </si>
  <si>
    <t>Mineral Point Unified</t>
  </si>
  <si>
    <t>Census Tract 130, Dane County</t>
  </si>
  <si>
    <t>Mount Horeb Area</t>
  </si>
  <si>
    <t>Census Tract 131, Dane County</t>
  </si>
  <si>
    <t>Mukwonago</t>
  </si>
  <si>
    <t>Census Tract 132.02, Dane County</t>
  </si>
  <si>
    <t>Census Tract 9601, Crawford County</t>
  </si>
  <si>
    <t>Census Tract 108.01, Dane County</t>
  </si>
  <si>
    <t>Muskego-Norway</t>
  </si>
  <si>
    <t>Census Tract 133.02, Dane County</t>
  </si>
  <si>
    <t>Neenah Joint</t>
  </si>
  <si>
    <t>Census Tract 137, Dane County</t>
  </si>
  <si>
    <t>Census Tract 205, Calumet County</t>
  </si>
  <si>
    <t>Census Tract 109.03, Dane County</t>
  </si>
  <si>
    <t>New Berlin</t>
  </si>
  <si>
    <t>Census Tract 14.01, Dane County</t>
  </si>
  <si>
    <t>Census Tract 9605, Crawford County</t>
  </si>
  <si>
    <t>Census Tract 109.05, Dane County</t>
  </si>
  <si>
    <t>New Glarus</t>
  </si>
  <si>
    <t>Census Tract 14.02, Dane County</t>
  </si>
  <si>
    <t>Census Tract 9606, Crawford County</t>
  </si>
  <si>
    <t>New Holstein</t>
  </si>
  <si>
    <t>Census Tract 14.04, Dane County</t>
  </si>
  <si>
    <t>Nicolet UHS</t>
  </si>
  <si>
    <t>Census Tract 14.05, Dane County</t>
  </si>
  <si>
    <t>Census Tract 109.08, Dane County</t>
  </si>
  <si>
    <t>North Cape</t>
  </si>
  <si>
    <t>Census Tract 15.01, Dane County</t>
  </si>
  <si>
    <t>Census Tract 110, Dane County</t>
  </si>
  <si>
    <t>North Lake</t>
  </si>
  <si>
    <t>Census Tract 15.02, Dane County</t>
  </si>
  <si>
    <t>Census Tract 105.04, Dane County</t>
  </si>
  <si>
    <t>North Lakeland</t>
  </si>
  <si>
    <t>Census Tract 16.03, Dane County</t>
  </si>
  <si>
    <t>Census Tract 112.01, Dane County</t>
  </si>
  <si>
    <t>Northern Ozaukee</t>
  </si>
  <si>
    <t>Census Tract 16.04, Dane County</t>
  </si>
  <si>
    <t>Census Tract 112.02, Dane County</t>
  </si>
  <si>
    <t>Norway J7</t>
  </si>
  <si>
    <t>Census Tract 16.05, Dane County</t>
  </si>
  <si>
    <t>Oak Creek-Franklin Joint</t>
  </si>
  <si>
    <t>Census Tract 16.06, Dane County</t>
  </si>
  <si>
    <t>Oakfield</t>
  </si>
  <si>
    <t>Census Tract 17.04, Dane County</t>
  </si>
  <si>
    <t>Oconomowoc Area</t>
  </si>
  <si>
    <t>Census Tract 17.06, Dane County</t>
  </si>
  <si>
    <t>Omro</t>
  </si>
  <si>
    <t>Census Tract 17.07, Dane County</t>
  </si>
  <si>
    <t>Oostburg</t>
  </si>
  <si>
    <t>Census Tract 18.02, Dane County</t>
  </si>
  <si>
    <t>Census Tract 11.02, Dane County</t>
  </si>
  <si>
    <t>Oregon</t>
  </si>
  <si>
    <t>Census Tract 18.04, Dane County</t>
  </si>
  <si>
    <t>Census Tract 111.03, Dane County</t>
  </si>
  <si>
    <t>Osceola</t>
  </si>
  <si>
    <t>Census Tract 19.01, Dane County</t>
  </si>
  <si>
    <t>Census Tract 9503, Clark County</t>
  </si>
  <si>
    <t>Census Tract 115.08, Dane County</t>
  </si>
  <si>
    <t>Paris J1</t>
  </si>
  <si>
    <t>Census Tract 19.02, Dane County</t>
  </si>
  <si>
    <t>Pewaukee</t>
  </si>
  <si>
    <t>Census Tract 2.01, Dane County</t>
  </si>
  <si>
    <t>Census Tract 117, Dane County</t>
  </si>
  <si>
    <t>Pittsville</t>
  </si>
  <si>
    <t>Census Tract 2.02, Dane County</t>
  </si>
  <si>
    <t>Port Washington-Saukville</t>
  </si>
  <si>
    <t>Census Tract 2.05, Dane County</t>
  </si>
  <si>
    <t>Census Tract 9507, Clark County</t>
  </si>
  <si>
    <t>Potosi</t>
  </si>
  <si>
    <t>Census Tract 20, Dane County</t>
  </si>
  <si>
    <t>Census Tract 120.02, Dane County</t>
  </si>
  <si>
    <t>Poynette</t>
  </si>
  <si>
    <t>Census Tract 21, Dane County</t>
  </si>
  <si>
    <t>Prairie Du Chien Area</t>
  </si>
  <si>
    <t>Census Tract 22, Dane County</t>
  </si>
  <si>
    <t>Census Tract 120.04, Dane County</t>
  </si>
  <si>
    <t>Prescott</t>
  </si>
  <si>
    <t>Census Tract 23.01, Dane County</t>
  </si>
  <si>
    <t>Census Tract 121, Dane County</t>
  </si>
  <si>
    <t>Pulaski Community</t>
  </si>
  <si>
    <t>Census Tract 23.02, Dane County</t>
  </si>
  <si>
    <t>Census Tract 122.01, Dane County</t>
  </si>
  <si>
    <t>Raymond #14</t>
  </si>
  <si>
    <t>Census Tract 24.01, Dane County</t>
  </si>
  <si>
    <t>Census Tract 124, Dane County</t>
  </si>
  <si>
    <t>Richmond</t>
  </si>
  <si>
    <t>Census Tract 24.02, Dane County</t>
  </si>
  <si>
    <t>River Falls</t>
  </si>
  <si>
    <t>Census Tract 25, Dane County</t>
  </si>
  <si>
    <t>Census Tract 126, Dane County</t>
  </si>
  <si>
    <t>River Valley</t>
  </si>
  <si>
    <t>Census Tract 26.01, Dane County</t>
  </si>
  <si>
    <t>Rosholt</t>
  </si>
  <si>
    <t>Census Tract 26.02, Dane County</t>
  </si>
  <si>
    <t>Census Tract 128, Dane County</t>
  </si>
  <si>
    <t>Saint Croix Central</t>
  </si>
  <si>
    <t>Census Tract 27, Dane County</t>
  </si>
  <si>
    <t>Seneca Area</t>
  </si>
  <si>
    <t>Census Tract 28, Dane County</t>
  </si>
  <si>
    <t>Sevastopol</t>
  </si>
  <si>
    <t>Census Tract 29, Dane County</t>
  </si>
  <si>
    <t>Sharon J11</t>
  </si>
  <si>
    <t>Census Tract 3.01, Dane County</t>
  </si>
  <si>
    <t>Census Tract 9712, Columbia County</t>
  </si>
  <si>
    <t>Census Tract 132.01, Dane County</t>
  </si>
  <si>
    <t>Shiocton</t>
  </si>
  <si>
    <t>Census Tract 30.01, Dane County</t>
  </si>
  <si>
    <t>Shorewood</t>
  </si>
  <si>
    <t>Census Tract 30.02, Dane County</t>
  </si>
  <si>
    <t>Shullsburg</t>
  </si>
  <si>
    <t>Census Tract 31, Dane County</t>
  </si>
  <si>
    <t>Silver Lake J1</t>
  </si>
  <si>
    <t>Census Tract 32, Dane County</t>
  </si>
  <si>
    <t>Slinger</t>
  </si>
  <si>
    <t>Census Tract 4.06, Dane County</t>
  </si>
  <si>
    <t>Census Tract 1, Dane County</t>
  </si>
  <si>
    <t>Somerset</t>
  </si>
  <si>
    <t>Census Tract 4.07, Dane County</t>
  </si>
  <si>
    <t>South Shore</t>
  </si>
  <si>
    <t>Census Tract 4.08, Dane County</t>
  </si>
  <si>
    <t>Census Tract 133.01, Dane County</t>
  </si>
  <si>
    <t>Southern Door County</t>
  </si>
  <si>
    <t>Census Tract 4.09, Dane County</t>
  </si>
  <si>
    <t>Census Tract 2.04, Dane County</t>
  </si>
  <si>
    <t>Spring Valley</t>
  </si>
  <si>
    <t>Census Tract 4.10, Dane County</t>
  </si>
  <si>
    <t>Stone Bank</t>
  </si>
  <si>
    <t>Census Tract 5.01, Dane County</t>
  </si>
  <si>
    <t>Stratford</t>
  </si>
  <si>
    <t>Census Tract 5.05, Dane County</t>
  </si>
  <si>
    <t>Swallow</t>
  </si>
  <si>
    <t>Census Tract 5.06, Dane County</t>
  </si>
  <si>
    <t>Thorp</t>
  </si>
  <si>
    <t>Census Tract 6, Dane County</t>
  </si>
  <si>
    <t>Census Tract 3.02, Dane County</t>
  </si>
  <si>
    <t>Three Lakes</t>
  </si>
  <si>
    <t>Census Tract 8, Dane County</t>
  </si>
  <si>
    <t>Tomahawk</t>
  </si>
  <si>
    <t>Census Tract 9.01, Dane County</t>
  </si>
  <si>
    <t>Tomorrow River</t>
  </si>
  <si>
    <t>Census Tract 9.02, Dane County</t>
  </si>
  <si>
    <t>Census Tract 4.01, Dane County</t>
  </si>
  <si>
    <t>Trevor-Wilmot Consolidated</t>
  </si>
  <si>
    <t>Census Tract 9601, Dodge County</t>
  </si>
  <si>
    <t>Census Tract 4.02, Dane County</t>
  </si>
  <si>
    <t>Union Grove J1</t>
  </si>
  <si>
    <t>Census Tract 9607, Dodge County</t>
  </si>
  <si>
    <t>Verona Area</t>
  </si>
  <si>
    <t>Census Tract 9608, Dodge County</t>
  </si>
  <si>
    <t>Washington Island</t>
  </si>
  <si>
    <t>Census Tract 9609, Dodge County</t>
  </si>
  <si>
    <t>Census Tract 5.04, Dane County</t>
  </si>
  <si>
    <t>Washington-Caldwell</t>
  </si>
  <si>
    <t>Census Tract 9616, Dodge County</t>
  </si>
  <si>
    <t>Waterford Graded J1</t>
  </si>
  <si>
    <t>Census Tract 9617, Dodge County</t>
  </si>
  <si>
    <t>Census Tract 7, Dane County</t>
  </si>
  <si>
    <t>Waunakee Community</t>
  </si>
  <si>
    <t>Census Tract 9619, Dodge County</t>
  </si>
  <si>
    <t>Wautoma Area</t>
  </si>
  <si>
    <t>Census Tract 9620, Dodge County</t>
  </si>
  <si>
    <t>Wauwatosa</t>
  </si>
  <si>
    <t>Census Tract 1003, Door County</t>
  </si>
  <si>
    <t>Wauzeka-Steuben</t>
  </si>
  <si>
    <t>Census Tract 1004, Door County</t>
  </si>
  <si>
    <t>Census Tract 9602, Dodge County</t>
  </si>
  <si>
    <t>West De Pere</t>
  </si>
  <si>
    <t>Census Tract 1005, Door County</t>
  </si>
  <si>
    <t>Census Tract 9604, Dodge County</t>
  </si>
  <si>
    <t>West Salem</t>
  </si>
  <si>
    <t>Census Tract 1008, Door County</t>
  </si>
  <si>
    <t>Census Tract 9605, Dodge County</t>
  </si>
  <si>
    <t>Weyauwega-Fremont</t>
  </si>
  <si>
    <t>Census Tract 203, Douglas County</t>
  </si>
  <si>
    <t>Census Tract 9606, Dodge County</t>
  </si>
  <si>
    <t>Wheatland J1</t>
  </si>
  <si>
    <t>Census Tract 205, Douglas County</t>
  </si>
  <si>
    <t>Census Tract 9611, Dodge County</t>
  </si>
  <si>
    <t>White Lake</t>
  </si>
  <si>
    <t>Census Tract 301.01, Douglas County</t>
  </si>
  <si>
    <t>Census Tract 9614, Dodge County</t>
  </si>
  <si>
    <t>Whitefish Bay</t>
  </si>
  <si>
    <t>Census Tract 302, Douglas County</t>
  </si>
  <si>
    <t>Census Tract 9615, Dodge County</t>
  </si>
  <si>
    <t>Whitnall</t>
  </si>
  <si>
    <t>Census Tract 9706, Dunn County</t>
  </si>
  <si>
    <t>Winneconne Community</t>
  </si>
  <si>
    <t>Census Tract 9707, Dunn County</t>
  </si>
  <si>
    <t>Census Tract 114.07, Dane County</t>
  </si>
  <si>
    <t>Census Tract 9618, Dodge County</t>
  </si>
  <si>
    <t>Wisconsin Heights</t>
  </si>
  <si>
    <t>Census Tract 14.01, Eau Claire County</t>
  </si>
  <si>
    <t>Woodruff J1</t>
  </si>
  <si>
    <t>Census Tract 14.02, Eau Claire County</t>
  </si>
  <si>
    <t>Wrightstown Community</t>
  </si>
  <si>
    <t>Census Tract 3.02, Eau Claire County</t>
  </si>
  <si>
    <t>Yorkville J2</t>
  </si>
  <si>
    <t>Census Tract 4.02, Eau Claire County</t>
  </si>
  <si>
    <t>Census Tract 1006, Door County</t>
  </si>
  <si>
    <t>Census Tract 8.02, Eau Claire County</t>
  </si>
  <si>
    <t>Census Tract 1009, Door County</t>
  </si>
  <si>
    <t>Census Tract 8.03, Eau Claire County</t>
  </si>
  <si>
    <t>Census Tract 1010, Door County</t>
  </si>
  <si>
    <t>Census Tract 401, Fond du Lac County</t>
  </si>
  <si>
    <t>Census Tract 204, Douglas County</t>
  </si>
  <si>
    <t>Census Tract 402, Fond du Lac County</t>
  </si>
  <si>
    <t>Census Tract 407, Fond du Lac County</t>
  </si>
  <si>
    <t>Census Tract 9610, Dodge County</t>
  </si>
  <si>
    <t>Census Tract 207, Douglas County</t>
  </si>
  <si>
    <t>Census Tract 409, Fond du Lac County</t>
  </si>
  <si>
    <t>Census Tract 208, Douglas County</t>
  </si>
  <si>
    <t>Census Tract 411.01, Fond du Lac County</t>
  </si>
  <si>
    <t>Census Tract 210, Douglas County</t>
  </si>
  <si>
    <t>Census Tract 413, Fond du Lac County</t>
  </si>
  <si>
    <t>Census Tract 420.01, Fond du Lac County</t>
  </si>
  <si>
    <t>Census Tract 9504, Iowa County</t>
  </si>
  <si>
    <t>Census Tract 1001, Door County</t>
  </si>
  <si>
    <t>Census Tract 303.01, Douglas County</t>
  </si>
  <si>
    <t>Census Tract 1001, Jefferson County</t>
  </si>
  <si>
    <t>Census Tract 303.02, Douglas County</t>
  </si>
  <si>
    <t>Census Tract 1003.02, Jefferson County</t>
  </si>
  <si>
    <t>Census Tract 9701, Dunn County</t>
  </si>
  <si>
    <t>Census Tract 1004, Jefferson County</t>
  </si>
  <si>
    <t>Census Tract 9703, Dunn County</t>
  </si>
  <si>
    <t>Census Tract 1005, Jefferson County</t>
  </si>
  <si>
    <t>Census Tract 1007, Door County</t>
  </si>
  <si>
    <t>Census Tract 9704, Dunn County</t>
  </si>
  <si>
    <t>Census Tract 1010, Jefferson County</t>
  </si>
  <si>
    <t>Census Tract 1011, Jefferson County</t>
  </si>
  <si>
    <t>Census Tract 13, Eau Claire County</t>
  </si>
  <si>
    <t>Census Tract 1012.01, Jefferson County</t>
  </si>
  <si>
    <t>Census Tract 206, Douglas County</t>
  </si>
  <si>
    <t>Census Tract 1014, Jefferson County</t>
  </si>
  <si>
    <t>Census Tract 15, Eau Claire County</t>
  </si>
  <si>
    <t>Census Tract 1017.01, Jefferson County</t>
  </si>
  <si>
    <t>Census Tract 209, Douglas County</t>
  </si>
  <si>
    <t>Census Tract 16, Eau Claire County</t>
  </si>
  <si>
    <t>Census Tract 1007, Juneau County</t>
  </si>
  <si>
    <t>Census Tract 2, Eau Claire County</t>
  </si>
  <si>
    <t>Census Tract 1.02, Kenosha County</t>
  </si>
  <si>
    <t>Census Tract 211, Douglas County</t>
  </si>
  <si>
    <t>Census Tract 3.01, Eau Claire County</t>
  </si>
  <si>
    <t>Census Tract 11, Kenosha County</t>
  </si>
  <si>
    <t>Census Tract 12, Kenosha County</t>
  </si>
  <si>
    <t>Census Tract 13, Kenosha County</t>
  </si>
  <si>
    <t>Census Tract 5.01, Eau Claire County</t>
  </si>
  <si>
    <t>Census Tract 16, Kenosha County</t>
  </si>
  <si>
    <t>Census Tract 5.02, Eau Claire County</t>
  </si>
  <si>
    <t>Census Tract 17, Kenosha County</t>
  </si>
  <si>
    <t>Census Tract 8.01, Eau Claire County</t>
  </si>
  <si>
    <t>Census Tract 18, Kenosha County</t>
  </si>
  <si>
    <t>Census Tract 9702, Dunn County</t>
  </si>
  <si>
    <t>Census Tract 20, Kenosha County</t>
  </si>
  <si>
    <t>Census Tract 1901.02, Florence County</t>
  </si>
  <si>
    <t>Census Tract 21, Kenosha County</t>
  </si>
  <si>
    <t>Census Tract 1902, Florence County</t>
  </si>
  <si>
    <t>Census Tract 26.03, Kenosha County</t>
  </si>
  <si>
    <t>Census Tract 9705, Dunn County</t>
  </si>
  <si>
    <t>Census Tract 26.04, Kenosha County</t>
  </si>
  <si>
    <t>Census Tract 26.05, Kenosha County</t>
  </si>
  <si>
    <t>Census Tract 411.02, Fond du Lac County</t>
  </si>
  <si>
    <t>Census Tract 28.01, Kenosha County</t>
  </si>
  <si>
    <t>Census Tract 9708.02, Dunn County</t>
  </si>
  <si>
    <t>Census Tract 414, Fond du Lac County</t>
  </si>
  <si>
    <t>Census Tract 29.03, Kenosha County</t>
  </si>
  <si>
    <t>Census Tract 1, Eau Claire County</t>
  </si>
  <si>
    <t>Census Tract 417, Fond du Lac County</t>
  </si>
  <si>
    <t>Census Tract 29.04, Kenosha County</t>
  </si>
  <si>
    <t>Census Tract 11.01, Eau Claire County</t>
  </si>
  <si>
    <t>Census Tract 418, Fond du Lac County</t>
  </si>
  <si>
    <t>Census Tract 29.06, Kenosha County</t>
  </si>
  <si>
    <t>Census Tract 419.01, Fond du Lac County</t>
  </si>
  <si>
    <t>Census Tract 3, Kenosha County</t>
  </si>
  <si>
    <t>Census Tract 419.02, Fond du Lac County</t>
  </si>
  <si>
    <t>Census Tract 30.02, Kenosha County</t>
  </si>
  <si>
    <t>Census Tract 17, Eau Claire County</t>
  </si>
  <si>
    <t>Census Tract 4, Kenosha County</t>
  </si>
  <si>
    <t>Census Tract 420.02, Fond du Lac County</t>
  </si>
  <si>
    <t>Census Tract 5.01, Kenosha County</t>
  </si>
  <si>
    <t>Census Tract 421, Fond du Lac County</t>
  </si>
  <si>
    <t>Census Tract 5.02, Kenosha County</t>
  </si>
  <si>
    <t>Census Tract 7, Eau Claire County</t>
  </si>
  <si>
    <t>Census Tract 422, Fond du Lac County</t>
  </si>
  <si>
    <t>Census Tract 6.01, Kenosha County</t>
  </si>
  <si>
    <t>Census Tract 9501, Forest County</t>
  </si>
  <si>
    <t>Census Tract 6.03, Kenosha County</t>
  </si>
  <si>
    <t>Census Tract 9504, Forest County</t>
  </si>
  <si>
    <t>Census Tract 6.04, Kenosha County</t>
  </si>
  <si>
    <t>Census Tract 1901.01, Florence County</t>
  </si>
  <si>
    <t>Census Tract 9601, Grant County</t>
  </si>
  <si>
    <t>Census Tract 7, Kenosha County</t>
  </si>
  <si>
    <t>Census Tract 9605, Grant County</t>
  </si>
  <si>
    <t>Census Tract 8, Kenosha County</t>
  </si>
  <si>
    <t>Census Tract 403, Fond du Lac County</t>
  </si>
  <si>
    <t>Census Tract 9606, Grant County</t>
  </si>
  <si>
    <t>Census Tract 9, Kenosha County</t>
  </si>
  <si>
    <t>Census Tract 405, Fond du Lac County</t>
  </si>
  <si>
    <t>Census Tract 9607, Grant County</t>
  </si>
  <si>
    <t>Census Tract 1, La Crosse County</t>
  </si>
  <si>
    <t>Census Tract 9608, Grant County</t>
  </si>
  <si>
    <t>Census Tract 10, La Crosse County</t>
  </si>
  <si>
    <t>Census Tract 408, Fond du Lac County</t>
  </si>
  <si>
    <t>Census Tract 9611, Grant County</t>
  </si>
  <si>
    <t>Census Tract 102.02, La Crosse County</t>
  </si>
  <si>
    <t>Census Tract 9612, Grant County</t>
  </si>
  <si>
    <t>Census Tract 102.03, La Crosse County</t>
  </si>
  <si>
    <t>Census Tract 9601, Green County</t>
  </si>
  <si>
    <t>Census Tract 102.04, La Crosse County</t>
  </si>
  <si>
    <t>Census Tract 416, Fond du Lac County</t>
  </si>
  <si>
    <t>Census Tract 9602, Green County</t>
  </si>
  <si>
    <t>Census Tract 104.01, La Crosse County</t>
  </si>
  <si>
    <t>Census Tract 26.03, Dane County</t>
  </si>
  <si>
    <t>Census Tract 9603, Green County</t>
  </si>
  <si>
    <t>Census Tract 104.04, La Crosse County</t>
  </si>
  <si>
    <t>Census Tract 1001, Green Lake County</t>
  </si>
  <si>
    <t>Census Tract 11.01, La Crosse County</t>
  </si>
  <si>
    <t>Census Tract 1004, Green Lake County</t>
  </si>
  <si>
    <t>Census Tract 4.01, La Crosse County</t>
  </si>
  <si>
    <t>Census Tract 1005, Green Lake County</t>
  </si>
  <si>
    <t>Census Tract 4.02, La Crosse County</t>
  </si>
  <si>
    <t>Census Tract 1006, Green Lake County</t>
  </si>
  <si>
    <t>Census Tract 5, La Crosse County</t>
  </si>
  <si>
    <t>Census Tract 9501, Iowa County</t>
  </si>
  <si>
    <t>Census Tract 6, La Crosse County</t>
  </si>
  <si>
    <t>Census Tract 9603, Grant County</t>
  </si>
  <si>
    <t>Census Tract 9505, Iowa County</t>
  </si>
  <si>
    <t>Census Tract 7, La Crosse County</t>
  </si>
  <si>
    <t>Census Tract 1802, Iron County</t>
  </si>
  <si>
    <t>Census Tract 8, La Crosse County</t>
  </si>
  <si>
    <t>Census Tract 1803, Iron County</t>
  </si>
  <si>
    <t>Census Tract 9, La Crosse County</t>
  </si>
  <si>
    <t>Census Tract 9602, Jackson County</t>
  </si>
  <si>
    <t>Census Tract 11.03, Marathon County</t>
  </si>
  <si>
    <t>Census Tract 9603, Jackson County</t>
  </si>
  <si>
    <t>Census Tract 11.06, Marathon County</t>
  </si>
  <si>
    <t>Census Tract 9609, Grant County</t>
  </si>
  <si>
    <t>Census Tract 9604, Jackson County</t>
  </si>
  <si>
    <t>Census Tract 12.03, Marathon County</t>
  </si>
  <si>
    <t>Census Tract 1003.01, Jefferson County</t>
  </si>
  <si>
    <t>Census Tract 12.04, Marathon County</t>
  </si>
  <si>
    <t>Census Tract 13, Marathon County</t>
  </si>
  <si>
    <t>Census Tract 9605, Green County</t>
  </si>
  <si>
    <t>Census Tract 14.01, Marathon County</t>
  </si>
  <si>
    <t>Census Tract 9606, Green County</t>
  </si>
  <si>
    <t>Census Tract 1006.01, Jefferson County</t>
  </si>
  <si>
    <t>Census Tract 21.02, Marathon County</t>
  </si>
  <si>
    <t>Census Tract 9607, Green County</t>
  </si>
  <si>
    <t>Census Tract 1006.02, Jefferson County</t>
  </si>
  <si>
    <t>Census Tract 3, Marathon County</t>
  </si>
  <si>
    <t>Census Tract 1003, Green Lake County</t>
  </si>
  <si>
    <t>Census Tract 1007, Jefferson County</t>
  </si>
  <si>
    <t>Census Tract 5, Marathon County</t>
  </si>
  <si>
    <t>Census Tract 9603, Dodge County</t>
  </si>
  <si>
    <t>Census Tract 1008, Jefferson County</t>
  </si>
  <si>
    <t>Census Tract 6.01, Marathon County</t>
  </si>
  <si>
    <t>Census Tract 9503, Iowa County</t>
  </si>
  <si>
    <t>Census Tract 1009, Jefferson County</t>
  </si>
  <si>
    <t>Census Tract 8, Marathon County</t>
  </si>
  <si>
    <t>Census Tract 9, Marathon County</t>
  </si>
  <si>
    <t>Census Tract 1801, Iron County</t>
  </si>
  <si>
    <t>Census Tract 1012.02, Jefferson County</t>
  </si>
  <si>
    <t>Census Tract 9612, Marinette County</t>
  </si>
  <si>
    <t>Census Tract 1013, Jefferson County</t>
  </si>
  <si>
    <t>Census Tract 1.02, Milwaukee County</t>
  </si>
  <si>
    <t>Census Tract 10, Milwaukee County</t>
  </si>
  <si>
    <t>Census Tract 1017.02, Jefferson County</t>
  </si>
  <si>
    <t>Census Tract 1001, Milwaukee County</t>
  </si>
  <si>
    <t>Census Tract 1002, Jefferson County</t>
  </si>
  <si>
    <t>Census Tract 1002, Juneau County</t>
  </si>
  <si>
    <t>Census Tract 1002, Milwaukee County</t>
  </si>
  <si>
    <t>Census Tract 1003.01, Juneau County</t>
  </si>
  <si>
    <t>Census Tract 1003, Milwaukee County</t>
  </si>
  <si>
    <t>Census Tract 9612, Dodge County</t>
  </si>
  <si>
    <t>Census Tract 1003.02, Juneau County</t>
  </si>
  <si>
    <t>Census Tract 1004, Milwaukee County</t>
  </si>
  <si>
    <t>Census Tract 9613, Dodge County</t>
  </si>
  <si>
    <t>Census Tract 1007, Milwaukee County</t>
  </si>
  <si>
    <t>Census Tract 14.01, Kenosha County</t>
  </si>
  <si>
    <t>Census Tract 1008, Milwaukee County</t>
  </si>
  <si>
    <t>Census Tract 14.02, Kenosha County</t>
  </si>
  <si>
    <t>Census Tract 1010, Milwaukee County</t>
  </si>
  <si>
    <t>Census Tract 15, Kenosha County</t>
  </si>
  <si>
    <t>Census Tract 1012, Milwaukee County</t>
  </si>
  <si>
    <t>Census Tract 19, Kenosha County</t>
  </si>
  <si>
    <t>Census Tract 1013, Milwaukee County</t>
  </si>
  <si>
    <t>Census Tract 1016, Milwaukee County</t>
  </si>
  <si>
    <t>Census Tract 23, Kenosha County</t>
  </si>
  <si>
    <t>Census Tract 106, Milwaukee County</t>
  </si>
  <si>
    <t>Census Tract 24, Kenosha County</t>
  </si>
  <si>
    <t>Census Tract 107, Milwaukee County</t>
  </si>
  <si>
    <t>Census Tract 25, Kenosha County</t>
  </si>
  <si>
    <t>Census Tract 108, Milwaukee County</t>
  </si>
  <si>
    <t>Census Tract 111, Milwaukee County</t>
  </si>
  <si>
    <t>Census Tract 1015, Jefferson County</t>
  </si>
  <si>
    <t>Census Tract 112, Milwaukee County</t>
  </si>
  <si>
    <t>Census Tract 1016, Jefferson County</t>
  </si>
  <si>
    <t>Census Tract 114, Milwaukee County</t>
  </si>
  <si>
    <t>Census Tract 26.06, Kenosha County</t>
  </si>
  <si>
    <t>Census Tract 12, Milwaukee County</t>
  </si>
  <si>
    <t>Census Tract 27, Kenosha County</t>
  </si>
  <si>
    <t>Census Tract 1201.01, Milwaukee County</t>
  </si>
  <si>
    <t>Census Tract 1001, Juneau County</t>
  </si>
  <si>
    <t>Census Tract 1201.02, Milwaukee County</t>
  </si>
  <si>
    <t>Census Tract 28.02, Kenosha County</t>
  </si>
  <si>
    <t>Census Tract 1202.01, Milwaukee County</t>
  </si>
  <si>
    <t>Census Tract 1203, Milwaukee County</t>
  </si>
  <si>
    <t>Census Tract 1006, Juneau County</t>
  </si>
  <si>
    <t>Census Tract 1204, Milwaukee County</t>
  </si>
  <si>
    <t>Census Tract 29.05, Kenosha County</t>
  </si>
  <si>
    <t>Census Tract 124, Milwaukee County</t>
  </si>
  <si>
    <t>Census Tract 1.01, Kenosha County</t>
  </si>
  <si>
    <t>Census Tract 125, Milwaukee County</t>
  </si>
  <si>
    <t>Census Tract 30.01, Kenosha County</t>
  </si>
  <si>
    <t>Census Tract 126, Milwaukee County</t>
  </si>
  <si>
    <t>Census Tract 10, Kenosha County</t>
  </si>
  <si>
    <t>Census Tract 128, Milwaukee County</t>
  </si>
  <si>
    <t>Census Tract 129, Milwaukee County</t>
  </si>
  <si>
    <t>Census Tract 13, Milwaukee County</t>
  </si>
  <si>
    <t>Census Tract 1301, Milwaukee County</t>
  </si>
  <si>
    <t>Census Tract 9604.02, Kewaunee County</t>
  </si>
  <si>
    <t>Census Tract 1302, Milwaukee County</t>
  </si>
  <si>
    <t>Census Tract 9605, Kewaunee County</t>
  </si>
  <si>
    <t>Census Tract 133, Milwaukee County</t>
  </si>
  <si>
    <t>Census Tract 9708.01, Dunn County</t>
  </si>
  <si>
    <t>Census Tract 101.01, La Crosse County</t>
  </si>
  <si>
    <t>Census Tract 134, Milwaukee County</t>
  </si>
  <si>
    <t>Census Tract 101.02, La Crosse County</t>
  </si>
  <si>
    <t>Census Tract 14, Milwaukee County</t>
  </si>
  <si>
    <t>Census Tract 1401, Milwaukee County</t>
  </si>
  <si>
    <t>Census Tract 22, Kenosha County</t>
  </si>
  <si>
    <t>Census Tract 1402.01, Milwaukee County</t>
  </si>
  <si>
    <t>Census Tract 12, Eau Claire County</t>
  </si>
  <si>
    <t>Census Tract 1402.02, Milwaukee County</t>
  </si>
  <si>
    <t>Census Tract 102.05, La Crosse County</t>
  </si>
  <si>
    <t>Census Tract 141, Milwaukee County</t>
  </si>
  <si>
    <t>Census Tract 143, Milwaukee County</t>
  </si>
  <si>
    <t>Census Tract 104.03, La Crosse County</t>
  </si>
  <si>
    <t>Census Tract 144, Milwaukee County</t>
  </si>
  <si>
    <t>Census Tract 15, Milwaukee County</t>
  </si>
  <si>
    <t>Census Tract 106, La Crosse County</t>
  </si>
  <si>
    <t>Census Tract 1501, Milwaukee County</t>
  </si>
  <si>
    <t>Census Tract 107, La Crosse County</t>
  </si>
  <si>
    <t>Census Tract 1503.01, Milwaukee County</t>
  </si>
  <si>
    <t>Census Tract 108, La Crosse County</t>
  </si>
  <si>
    <t>Census Tract 1503.03, Milwaukee County</t>
  </si>
  <si>
    <t>Census Tract 4.01, Eau Claire County</t>
  </si>
  <si>
    <t>Census Tract 12, La Crosse County</t>
  </si>
  <si>
    <t>Census Tract 1503.04, Milwaukee County</t>
  </si>
  <si>
    <t>Census Tract 16, Milwaukee County</t>
  </si>
  <si>
    <t>Census Tract 160, Milwaukee County</t>
  </si>
  <si>
    <t>Census Tract 6, Eau Claire County</t>
  </si>
  <si>
    <t>Census Tract 1602.02, Milwaukee County</t>
  </si>
  <si>
    <t>Census Tract 9703, Lafayette County</t>
  </si>
  <si>
    <t>Census Tract 1602.03, Milwaukee County</t>
  </si>
  <si>
    <t>Census Tract 9705, Lafayette County</t>
  </si>
  <si>
    <t>Census Tract 162, Milwaukee County</t>
  </si>
  <si>
    <t>Census Tract 9, Eau Claire County</t>
  </si>
  <si>
    <t>Census Tract 9601.01, Langlade County</t>
  </si>
  <si>
    <t>Census Tract 164, Milwaukee County</t>
  </si>
  <si>
    <t>Census Tract 9603, Langlade County</t>
  </si>
  <si>
    <t>Census Tract 166, Milwaukee County</t>
  </si>
  <si>
    <t>Census Tract 9604, Langlade County</t>
  </si>
  <si>
    <t>Census Tract 17, Milwaukee County</t>
  </si>
  <si>
    <t>Census Tract 9601, Lincoln County</t>
  </si>
  <si>
    <t>Census Tract 170, Milwaukee County</t>
  </si>
  <si>
    <t>Census Tract 404, Fond du Lac County</t>
  </si>
  <si>
    <t>Census Tract 9603, Lincoln County</t>
  </si>
  <si>
    <t>Census Tract 1702, Milwaukee County</t>
  </si>
  <si>
    <t>Census Tract 9604, Lincoln County</t>
  </si>
  <si>
    <t>Census Tract 1703, Milwaukee County</t>
  </si>
  <si>
    <t>Census Tract 9605, Lincoln County</t>
  </si>
  <si>
    <t>Census Tract 1705, Milwaukee County</t>
  </si>
  <si>
    <t>Census Tract 9606, Lincoln County</t>
  </si>
  <si>
    <t>Census Tract 1706, Milwaukee County</t>
  </si>
  <si>
    <t>Census Tract 9602, Kewaunee County</t>
  </si>
  <si>
    <t>Census Tract 9607, Lincoln County</t>
  </si>
  <si>
    <t>Census Tract 1707, Milwaukee County</t>
  </si>
  <si>
    <t>Census Tract 9604.01, Kewaunee County</t>
  </si>
  <si>
    <t>Census Tract 101, Manitowoc County</t>
  </si>
  <si>
    <t>Census Tract 172, Milwaukee County</t>
  </si>
  <si>
    <t>Census Tract 102, Manitowoc County</t>
  </si>
  <si>
    <t>Census Tract 173, Milwaukee County</t>
  </si>
  <si>
    <t>Census Tract 103, Manitowoc County</t>
  </si>
  <si>
    <t>Census Tract 176, Milwaukee County</t>
  </si>
  <si>
    <t>Census Tract 415, Fond du Lac County</t>
  </si>
  <si>
    <t>Census Tract 104, Manitowoc County</t>
  </si>
  <si>
    <t>Census Tract 1801, Milwaukee County</t>
  </si>
  <si>
    <t>Census Tract 105, Manitowoc County</t>
  </si>
  <si>
    <t>Census Tract 1802, Milwaukee County</t>
  </si>
  <si>
    <t>Census Tract 106, Manitowoc County</t>
  </si>
  <si>
    <t>Census Tract 1803, Milwaukee County</t>
  </si>
  <si>
    <t>Census Tract 107, Manitowoc County</t>
  </si>
  <si>
    <t>Census Tract 1805, Milwaukee County</t>
  </si>
  <si>
    <t>Census Tract 103, La Crosse County</t>
  </si>
  <si>
    <t>Census Tract 3, Manitowoc County</t>
  </si>
  <si>
    <t>Census Tract 183, Milwaukee County</t>
  </si>
  <si>
    <t>Census Tract 52, Manitowoc County</t>
  </si>
  <si>
    <t>Census Tract 185, Milwaukee County</t>
  </si>
  <si>
    <t>Census Tract 10, Marathon County</t>
  </si>
  <si>
    <t>Census Tract 1851, Milwaukee County</t>
  </si>
  <si>
    <t>Census Tract 11.05, Marathon County</t>
  </si>
  <si>
    <t>Census Tract 1853, Milwaukee County</t>
  </si>
  <si>
    <t>Census Tract 11.02, La Crosse County</t>
  </si>
  <si>
    <t>Census Tract 1854, Milwaukee County</t>
  </si>
  <si>
    <t>Census Tract 12.02, Marathon County</t>
  </si>
  <si>
    <t>Census Tract 1857, Milwaukee County</t>
  </si>
  <si>
    <t>Census Tract 3, La Crosse County</t>
  </si>
  <si>
    <t>Census Tract 9502, Forest County</t>
  </si>
  <si>
    <t>Census Tract 1863, Milwaukee County</t>
  </si>
  <si>
    <t>Census Tract 9503, Forest County</t>
  </si>
  <si>
    <t>Census Tract 1864, Milwaukee County</t>
  </si>
  <si>
    <t>Census Tract 1865, Milwaukee County</t>
  </si>
  <si>
    <t>Census Tract 1866, Milwaukee County</t>
  </si>
  <si>
    <t>Census Tract 9602, Grant County</t>
  </si>
  <si>
    <t>Census Tract 15, Marathon County</t>
  </si>
  <si>
    <t>Census Tract 1869, Milwaukee County</t>
  </si>
  <si>
    <t>Census Tract 9701, Lafayette County</t>
  </si>
  <si>
    <t>Census Tract 16, Marathon County</t>
  </si>
  <si>
    <t>Census Tract 1870, Milwaukee County</t>
  </si>
  <si>
    <t>Census Tract 9702, Lafayette County</t>
  </si>
  <si>
    <t>Census Tract 9604, Grant County</t>
  </si>
  <si>
    <t>Census Tract 18, Marathon County</t>
  </si>
  <si>
    <t>Census Tract 1872, Milwaukee County</t>
  </si>
  <si>
    <t>Census Tract 9704, Lafayette County</t>
  </si>
  <si>
    <t>Census Tract 19, Marathon County</t>
  </si>
  <si>
    <t>Census Tract 1873, Milwaukee County</t>
  </si>
  <si>
    <t>Census Tract 2, Marathon County</t>
  </si>
  <si>
    <t>Census Tract 1874, Milwaukee County</t>
  </si>
  <si>
    <t>Census Tract 21.01, Marathon County</t>
  </si>
  <si>
    <t>Census Tract 188, Milwaukee County</t>
  </si>
  <si>
    <t>Census Tract 9601.02, Langlade County</t>
  </si>
  <si>
    <t>Census Tract 19, Milwaukee County</t>
  </si>
  <si>
    <t>Census Tract 9610, Grant County</t>
  </si>
  <si>
    <t>Census Tract 23.02, Marathon County</t>
  </si>
  <si>
    <t>Census Tract 190, Milwaukee County</t>
  </si>
  <si>
    <t>Census Tract 9605, Langlade County</t>
  </si>
  <si>
    <t>Census Tract 191, Milwaukee County</t>
  </si>
  <si>
    <t>Census Tract 9606, Langlade County</t>
  </si>
  <si>
    <t>Census Tract 9608, Marinette County</t>
  </si>
  <si>
    <t>Census Tract 192, Milwaukee County</t>
  </si>
  <si>
    <t>Census Tract 9609, Marinette County</t>
  </si>
  <si>
    <t>Census Tract 194, Milwaukee County</t>
  </si>
  <si>
    <t>Census Tract 9610, Marinette County</t>
  </si>
  <si>
    <t>Census Tract 195, Milwaukee County</t>
  </si>
  <si>
    <t>Census Tract 9611, Marinette County</t>
  </si>
  <si>
    <t>Census Tract 197, Milwaukee County</t>
  </si>
  <si>
    <t>Census Tract 9608, Lincoln County</t>
  </si>
  <si>
    <t>Census Tract 9604, Green County</t>
  </si>
  <si>
    <t>Census Tract 198, Milwaukee County</t>
  </si>
  <si>
    <t>Census Tract 9609, Lincoln County</t>
  </si>
  <si>
    <t>Census Tract 9613, Marinette County</t>
  </si>
  <si>
    <t>Census Tract 2.01, Milwaukee County</t>
  </si>
  <si>
    <t>Census Tract 9610, Lincoln County</t>
  </si>
  <si>
    <t>Census Tract 9615, Marinette County</t>
  </si>
  <si>
    <t>Census Tract 2.02, Milwaukee County</t>
  </si>
  <si>
    <t>Census Tract 1, Manitowoc County</t>
  </si>
  <si>
    <t>Census Tract 9608, Green County</t>
  </si>
  <si>
    <t>Census Tract 9603, Marquette County</t>
  </si>
  <si>
    <t>Census Tract 20, Milwaukee County</t>
  </si>
  <si>
    <t>Census Tract 9604, Marquette County</t>
  </si>
  <si>
    <t>Census Tract 200, Milwaukee County</t>
  </si>
  <si>
    <t>Census Tract 1002, Green Lake County</t>
  </si>
  <si>
    <t>Census Tract 9605, Marquette County</t>
  </si>
  <si>
    <t>Census Tract 202, Milwaukee County</t>
  </si>
  <si>
    <t>Census Tract 9401.04, Menominee County</t>
  </si>
  <si>
    <t>Census Tract 203, Milwaukee County</t>
  </si>
  <si>
    <t>Census Tract 205, Milwaukee County</t>
  </si>
  <si>
    <t>Census Tract 1005, Milwaukee County</t>
  </si>
  <si>
    <t>Census Tract 206, Milwaukee County</t>
  </si>
  <si>
    <t>Census Tract 53, Manitowoc County</t>
  </si>
  <si>
    <t>Census Tract 1006, Milwaukee County</t>
  </si>
  <si>
    <t>Census Tract 207, Milwaukee County</t>
  </si>
  <si>
    <t>Census Tract 54, Manitowoc County</t>
  </si>
  <si>
    <t>Census Tract 211, Milwaukee County</t>
  </si>
  <si>
    <t>Census Tract 6, Manitowoc County</t>
  </si>
  <si>
    <t>Census Tract 213, Milwaukee County</t>
  </si>
  <si>
    <t>Census Tract 8, Manitowoc County</t>
  </si>
  <si>
    <t>Census Tract 1009, Milwaukee County</t>
  </si>
  <si>
    <t>Census Tract 214, Milwaukee County</t>
  </si>
  <si>
    <t>Census Tract 9506, Iowa County</t>
  </si>
  <si>
    <t>Census Tract 216, Milwaukee County</t>
  </si>
  <si>
    <t>Census Tract 22, Milwaukee County</t>
  </si>
  <si>
    <t>Census Tract 9601, Jackson County</t>
  </si>
  <si>
    <t>Census Tract 23, Milwaukee County</t>
  </si>
  <si>
    <t>Census Tract 14.02, Marathon County</t>
  </si>
  <si>
    <t>Census Tract 1014, Milwaukee County</t>
  </si>
  <si>
    <t>Census Tract 24, Milwaukee County</t>
  </si>
  <si>
    <t>Census Tract 9605, Jackson County</t>
  </si>
  <si>
    <t>Census Tract 25, Milwaukee County</t>
  </si>
  <si>
    <t>Census Tract 1017, Milwaukee County</t>
  </si>
  <si>
    <t>Census Tract 26, Milwaukee County</t>
  </si>
  <si>
    <t>Census Tract 1018, Milwaukee County</t>
  </si>
  <si>
    <t>Census Tract 27, Milwaukee County</t>
  </si>
  <si>
    <t>Census Tract 28, Milwaukee County</t>
  </si>
  <si>
    <t>Census Tract 20, Marathon County</t>
  </si>
  <si>
    <t>Census Tract 113, Milwaukee County</t>
  </si>
  <si>
    <t>Census Tract 29, Milwaukee County</t>
  </si>
  <si>
    <t>Census Tract 3.01, Milwaukee County</t>
  </si>
  <si>
    <t>Census Tract 22, Marathon County</t>
  </si>
  <si>
    <t>Census Tract 3.02, Milwaukee County</t>
  </si>
  <si>
    <t>Census Tract 23.01, Marathon County</t>
  </si>
  <si>
    <t>Census Tract 3.03, Milwaukee County</t>
  </si>
  <si>
    <t>Census Tract 1202.02, Milwaukee County</t>
  </si>
  <si>
    <t>Census Tract 3.04, Milwaukee County</t>
  </si>
  <si>
    <t>Census Tract 1202.03, Milwaukee County</t>
  </si>
  <si>
    <t>Census Tract 30, Milwaukee County</t>
  </si>
  <si>
    <t>Census Tract 301, Milwaukee County</t>
  </si>
  <si>
    <t>Census Tract 7, Marathon County</t>
  </si>
  <si>
    <t>Census Tract 1205.01, Milwaukee County</t>
  </si>
  <si>
    <t>Census Tract 31, Milwaukee County</t>
  </si>
  <si>
    <t>Census Tract 1205.02, Milwaukee County</t>
  </si>
  <si>
    <t>Census Tract 32, Milwaukee County</t>
  </si>
  <si>
    <t>Census Tract 9601, Marinette County</t>
  </si>
  <si>
    <t>Census Tract 33, Milwaukee County</t>
  </si>
  <si>
    <t>Census Tract 9602, Marinette County</t>
  </si>
  <si>
    <t>Census Tract 34, Milwaukee County</t>
  </si>
  <si>
    <t>Census Tract 9607, Marinette County</t>
  </si>
  <si>
    <t>Census Tract 35, Milwaukee County</t>
  </si>
  <si>
    <t>Census Tract 130, Milwaukee County</t>
  </si>
  <si>
    <t>Census Tract 36, Milwaukee County</t>
  </si>
  <si>
    <t>Census Tract 37, Milwaukee County</t>
  </si>
  <si>
    <t>Census Tract 1004, Juneau County</t>
  </si>
  <si>
    <t>Census Tract 38, Milwaukee County</t>
  </si>
  <si>
    <t>Census Tract 1005, Juneau County</t>
  </si>
  <si>
    <t>Census Tract 39, Milwaukee County</t>
  </si>
  <si>
    <t>Census Tract 9614, Marinette County</t>
  </si>
  <si>
    <t>Census Tract 4, Milwaukee County</t>
  </si>
  <si>
    <t>Census Tract 9602, Marquette County</t>
  </si>
  <si>
    <t>Census Tract 401, Milwaukee County</t>
  </si>
  <si>
    <t>Census Tract 41, Milwaukee County</t>
  </si>
  <si>
    <t>Census Tract 9401.01, Menominee County</t>
  </si>
  <si>
    <t>Census Tract 42, Milwaukee County</t>
  </si>
  <si>
    <t>Census Tract 43, Milwaukee County</t>
  </si>
  <si>
    <t>Census Tract 1.01, Milwaukee County</t>
  </si>
  <si>
    <t>Census Tract 44, Milwaukee County</t>
  </si>
  <si>
    <t>Census Tract 46, Milwaukee County</t>
  </si>
  <si>
    <t>Census Tract 47, Milwaukee County</t>
  </si>
  <si>
    <t>Census Tract 1601.01, Milwaukee County</t>
  </si>
  <si>
    <t>Census Tract 48, Milwaukee County</t>
  </si>
  <si>
    <t>Census Tract 1601.02, Milwaukee County</t>
  </si>
  <si>
    <t>Census Tract 49, Milwaukee County</t>
  </si>
  <si>
    <t>Census Tract 5.01, Milwaukee County</t>
  </si>
  <si>
    <t>Census Tract 5.02, Milwaukee County</t>
  </si>
  <si>
    <t>Census Tract 1602.05, Milwaukee County</t>
  </si>
  <si>
    <t>Census Tract 50, Milwaukee County</t>
  </si>
  <si>
    <t>Census Tract 1602.06, Milwaukee County</t>
  </si>
  <si>
    <t>Census Tract 501.01, Milwaukee County</t>
  </si>
  <si>
    <t>Census Tract 1603.01, Milwaukee County</t>
  </si>
  <si>
    <t>Census Tract 501.03, Milwaukee County</t>
  </si>
  <si>
    <t>Census Tract 110, Milwaukee County</t>
  </si>
  <si>
    <t>Census Tract 1603.02, Milwaukee County</t>
  </si>
  <si>
    <t>Census Tract 501.04, Milwaukee County</t>
  </si>
  <si>
    <t>Census Tract 1101, Milwaukee County</t>
  </si>
  <si>
    <t>Census Tract 1701, Milwaukee County</t>
  </si>
  <si>
    <t>Census Tract 52, Milwaukee County</t>
  </si>
  <si>
    <t>Census Tract 53, Milwaukee County</t>
  </si>
  <si>
    <t>Census Tract 54, Milwaukee County</t>
  </si>
  <si>
    <t>Census Tract 1704, Milwaukee County</t>
  </si>
  <si>
    <t>Census Tract 55, Milwaukee County</t>
  </si>
  <si>
    <t>Census Tract 58, Milwaukee County</t>
  </si>
  <si>
    <t>Census Tract 59, Milwaukee County</t>
  </si>
  <si>
    <t>Census Tract 171, Milwaukee County</t>
  </si>
  <si>
    <t>Census Tract 6, Milwaukee County</t>
  </si>
  <si>
    <t>Census Tract 60, Milwaukee County</t>
  </si>
  <si>
    <t>Census Tract 179, Milwaukee County</t>
  </si>
  <si>
    <t>Census Tract 601.01, Milwaukee County</t>
  </si>
  <si>
    <t>Census Tract 127, Milwaukee County</t>
  </si>
  <si>
    <t>Census Tract 180, Milwaukee County</t>
  </si>
  <si>
    <t>Census Tract 602, Milwaukee County</t>
  </si>
  <si>
    <t>Census Tract 61, Milwaukee County</t>
  </si>
  <si>
    <t>Census Tract 62, Milwaukee County</t>
  </si>
  <si>
    <t>Census Tract 64, Milwaukee County</t>
  </si>
  <si>
    <t>Census Tract 65, Milwaukee County</t>
  </si>
  <si>
    <t>Census Tract 9601, Kewaunee County</t>
  </si>
  <si>
    <t>Census Tract 181, Milwaukee County</t>
  </si>
  <si>
    <t>Census Tract 66, Milwaukee County</t>
  </si>
  <si>
    <t>Census Tract 182, Milwaukee County</t>
  </si>
  <si>
    <t>Census Tract 67, Milwaukee County</t>
  </si>
  <si>
    <t>Census Tract 69, Milwaukee County</t>
  </si>
  <si>
    <t>Census Tract 184, Milwaukee County</t>
  </si>
  <si>
    <t>Census Tract 7, Milwaukee County</t>
  </si>
  <si>
    <t>Census Tract 147, Milwaukee County</t>
  </si>
  <si>
    <t>Census Tract 70, Milwaukee County</t>
  </si>
  <si>
    <t>Census Tract 701, Milwaukee County</t>
  </si>
  <si>
    <t>Census Tract 703, Milwaukee County</t>
  </si>
  <si>
    <t>Census Tract 71, Milwaukee County</t>
  </si>
  <si>
    <t>Census Tract 72, Milwaukee County</t>
  </si>
  <si>
    <t>Census Tract 157, Milwaukee County</t>
  </si>
  <si>
    <t>Census Tract 73, Milwaukee County</t>
  </si>
  <si>
    <t>Census Tract 74, Milwaukee County</t>
  </si>
  <si>
    <t>Census Tract 75, Milwaukee County</t>
  </si>
  <si>
    <t>Census Tract 76, Milwaukee County</t>
  </si>
  <si>
    <t>Census Tract 77, Milwaukee County</t>
  </si>
  <si>
    <t>Census Tract 193, Milwaukee County</t>
  </si>
  <si>
    <t>Census Tract 78, Milwaukee County</t>
  </si>
  <si>
    <t>Census Tract 80, Milwaukee County</t>
  </si>
  <si>
    <t>Census Tract 105, La Crosse County</t>
  </si>
  <si>
    <t>Census Tract 802, Milwaukee County</t>
  </si>
  <si>
    <t>Census Tract 196, Milwaukee County</t>
  </si>
  <si>
    <t>Census Tract 804, Milwaukee County</t>
  </si>
  <si>
    <t>Census Tract 161, Milwaukee County</t>
  </si>
  <si>
    <t>Census Tract 81, Milwaukee County</t>
  </si>
  <si>
    <t>Census Tract 85, Milwaukee County</t>
  </si>
  <si>
    <t>Census Tract 163, Milwaukee County</t>
  </si>
  <si>
    <t>Census Tract 199, Milwaukee County</t>
  </si>
  <si>
    <t>Census Tract 86, Milwaukee County</t>
  </si>
  <si>
    <t>Census Tract 2, La Crosse County</t>
  </si>
  <si>
    <t>Census Tract 88, Milwaukee County</t>
  </si>
  <si>
    <t>Census Tract 167, Milwaukee County</t>
  </si>
  <si>
    <t>Census Tract 89, Milwaukee County</t>
  </si>
  <si>
    <t>Census Tract 90, Milwaukee County</t>
  </si>
  <si>
    <t>Census Tract 901, Milwaukee County</t>
  </si>
  <si>
    <t>Census Tract 208, Milwaukee County</t>
  </si>
  <si>
    <t>Census Tract 902, Milwaukee County</t>
  </si>
  <si>
    <t>Census Tract 209, Milwaukee County</t>
  </si>
  <si>
    <t>Census Tract 903, Milwaukee County</t>
  </si>
  <si>
    <t>Census Tract 210, Milwaukee County</t>
  </si>
  <si>
    <t>Census Tract 906, Milwaukee County</t>
  </si>
  <si>
    <t>Census Tract 907, Milwaukee County</t>
  </si>
  <si>
    <t>Census Tract 215, Milwaukee County</t>
  </si>
  <si>
    <t>Census Tract 908, Milwaukee County</t>
  </si>
  <si>
    <t>Census Tract 174, Milwaukee County</t>
  </si>
  <si>
    <t>Census Tract 217, Milwaukee County</t>
  </si>
  <si>
    <t>Census Tract 91, Milwaukee County</t>
  </si>
  <si>
    <t>Census Tract 910, Milwaukee County</t>
  </si>
  <si>
    <t>Census Tract 912, Milwaukee County</t>
  </si>
  <si>
    <t>Census Tract 18, Milwaukee County</t>
  </si>
  <si>
    <t>Census Tract 913, Milwaukee County</t>
  </si>
  <si>
    <t>Census Tract 92, Milwaukee County</t>
  </si>
  <si>
    <t>Census Tract 351, Milwaukee County</t>
  </si>
  <si>
    <t>Census Tract 93, Milwaukee County</t>
  </si>
  <si>
    <t>Census Tract 1804, Milwaukee County</t>
  </si>
  <si>
    <t>Census Tract 352, Milwaukee County</t>
  </si>
  <si>
    <t>Census Tract 94, Milwaukee County</t>
  </si>
  <si>
    <t>Census Tract 9607, Langlade County</t>
  </si>
  <si>
    <t>Census Tract 95, Milwaukee County</t>
  </si>
  <si>
    <t>Census Tract 9602, Lincoln County</t>
  </si>
  <si>
    <t>Census Tract 96, Milwaukee County</t>
  </si>
  <si>
    <t>Census Tract 99, Milwaukee County</t>
  </si>
  <si>
    <t>Census Tract 9502, Monroe County</t>
  </si>
  <si>
    <t>Census Tract 9505, Monroe County</t>
  </si>
  <si>
    <t>Census Tract 9506, Monroe County</t>
  </si>
  <si>
    <t>Census Tract 1852, Milwaukee County</t>
  </si>
  <si>
    <t>Census Tract 1013.01, Oconto County</t>
  </si>
  <si>
    <t>Census Tract 9713, Oneida County</t>
  </si>
  <si>
    <t>Census Tract 106.02, Outagamie County</t>
  </si>
  <si>
    <t>Census Tract 1859, Milwaukee County</t>
  </si>
  <si>
    <t>Census Tract 56, Milwaukee County</t>
  </si>
  <si>
    <t>Census Tract 107, Outagamie County</t>
  </si>
  <si>
    <t>Census Tract 186, Milwaukee County</t>
  </si>
  <si>
    <t>Census Tract 57, Milwaukee County</t>
  </si>
  <si>
    <t>Census Tract 108, Outagamie County</t>
  </si>
  <si>
    <t>Census Tract 1860, Milwaukee County</t>
  </si>
  <si>
    <t>Census Tract 109, Outagamie County</t>
  </si>
  <si>
    <t>Census Tract 1861, Milwaukee County</t>
  </si>
  <si>
    <t>Census Tract 111.04, Outagamie County</t>
  </si>
  <si>
    <t>Census Tract 1862, Milwaukee County</t>
  </si>
  <si>
    <t>Census Tract 601.02, Milwaukee County</t>
  </si>
  <si>
    <t>Census Tract 114, Outagamie County</t>
  </si>
  <si>
    <t>Census Tract 115.01, Outagamie County</t>
  </si>
  <si>
    <t>Census Tract 119.01, Outagamie County</t>
  </si>
  <si>
    <t>Census Tract 187, Milwaukee County</t>
  </si>
  <si>
    <t>Census Tract 2, Manitowoc County</t>
  </si>
  <si>
    <t>Census Tract 702, Milwaukee County</t>
  </si>
  <si>
    <t>Census Tract 121.01, Outagamie County</t>
  </si>
  <si>
    <t>Census Tract 125.06, Outagamie County</t>
  </si>
  <si>
    <t>Census Tract 189, Milwaukee County</t>
  </si>
  <si>
    <t>Census Tract 4, Manitowoc County</t>
  </si>
  <si>
    <t>Census Tract 126.04, Outagamie County</t>
  </si>
  <si>
    <t>Census Tract 5, Manitowoc County</t>
  </si>
  <si>
    <t>Census Tract 129.02, Outagamie County</t>
  </si>
  <si>
    <t>Census Tract 51, Manitowoc County</t>
  </si>
  <si>
    <t>Census Tract 79, Milwaukee County</t>
  </si>
  <si>
    <t>Census Tract 6101.02, Ozaukee County</t>
  </si>
  <si>
    <t>Census Tract 8, Milwaukee County</t>
  </si>
  <si>
    <t>Census Tract 6301, Ozaukee County</t>
  </si>
  <si>
    <t>Census Tract 801, Milwaukee County</t>
  </si>
  <si>
    <t>Census Tract 6302.01, Ozaukee County</t>
  </si>
  <si>
    <t>Census Tract 6302.02, Ozaukee County</t>
  </si>
  <si>
    <t>Census Tract 7, Manitowoc County</t>
  </si>
  <si>
    <t>Census Tract 803, Milwaukee County</t>
  </si>
  <si>
    <t>Census Tract 6401.01, Ozaukee County</t>
  </si>
  <si>
    <t>Census Tract 6501.02, Ozaukee County</t>
  </si>
  <si>
    <t>Census Tract 1, Marathon County</t>
  </si>
  <si>
    <t>Census Tract 6501.04, Ozaukee County</t>
  </si>
  <si>
    <t>Census Tract 6502, Ozaukee County</t>
  </si>
  <si>
    <t>Census Tract 6503, Ozaukee County</t>
  </si>
  <si>
    <t>Census Tract 11.04, Marathon County</t>
  </si>
  <si>
    <t>Census Tract 6601, Ozaukee County</t>
  </si>
  <si>
    <t>Census Tract 6602.02, Ozaukee County</t>
  </si>
  <si>
    <t>Census Tract 204, Milwaukee County</t>
  </si>
  <si>
    <t>Census Tract 909, Milwaukee County</t>
  </si>
  <si>
    <t>Census Tract 6603.01, Ozaukee County</t>
  </si>
  <si>
    <t>Census Tract 6603.03, Ozaukee County</t>
  </si>
  <si>
    <t>Census Tract 911, Milwaukee County</t>
  </si>
  <si>
    <t>Census Tract 6603.04, Ozaukee County</t>
  </si>
  <si>
    <t>Census Tract 9602, Pierce County</t>
  </si>
  <si>
    <t>Census Tract 212, Milwaukee County</t>
  </si>
  <si>
    <t>Census Tract 9603, Pierce County</t>
  </si>
  <si>
    <t>Census Tract 914, Milwaukee County</t>
  </si>
  <si>
    <t>Census Tract 9605, Pierce County</t>
  </si>
  <si>
    <t>Census Tract 9607, Pierce County</t>
  </si>
  <si>
    <t>Census Tract 9607.02, Polk County</t>
  </si>
  <si>
    <t>Census Tract 9608, Polk County</t>
  </si>
  <si>
    <t>Census Tract 9501, Monroe County</t>
  </si>
  <si>
    <t>Census Tract 9609.01, Polk County</t>
  </si>
  <si>
    <t>Census Tract 9610, Polk County</t>
  </si>
  <si>
    <t>Census Tract 9605, Portage County</t>
  </si>
  <si>
    <t>Census Tract 9507, Monroe County</t>
  </si>
  <si>
    <t>Census Tract 9607.02, Portage County</t>
  </si>
  <si>
    <t>Census Tract 9508, Monroe County</t>
  </si>
  <si>
    <t>Census Tract 9611.01, Portage County</t>
  </si>
  <si>
    <t>Census Tract 9509, Monroe County</t>
  </si>
  <si>
    <t>Census Tract 9611.02, Portage County</t>
  </si>
  <si>
    <t>Census Tract 4, Marathon County</t>
  </si>
  <si>
    <t>Census Tract 1008, Oconto County</t>
  </si>
  <si>
    <t>Census Tract 11.01, Racine County</t>
  </si>
  <si>
    <t>Census Tract 1010, Oconto County</t>
  </si>
  <si>
    <t>Census Tract 12.01, Racine County</t>
  </si>
  <si>
    <t>Census Tract 1011, Oconto County</t>
  </si>
  <si>
    <t>Census Tract 12.02, Racine County</t>
  </si>
  <si>
    <t>Census Tract 6.02, Marathon County</t>
  </si>
  <si>
    <t>Census Tract 13.02, Racine County</t>
  </si>
  <si>
    <t>Census Tract 1013.02, Oconto County</t>
  </si>
  <si>
    <t>Census Tract 14.02, Racine County</t>
  </si>
  <si>
    <t>Census Tract 9701.01, Oneida County</t>
  </si>
  <si>
    <t>Census Tract 15.04, Racine County</t>
  </si>
  <si>
    <t>Census Tract 9701.04, Oneida County</t>
  </si>
  <si>
    <t>Census Tract 15.05, Racine County</t>
  </si>
  <si>
    <t>Census Tract 9704, Oneida County</t>
  </si>
  <si>
    <t>Census Tract 15.07, Racine County</t>
  </si>
  <si>
    <t>Census Tract 9705, Oneida County</t>
  </si>
  <si>
    <t>Census Tract 16.02, Racine County</t>
  </si>
  <si>
    <t>Census Tract 9606, Marinette County</t>
  </si>
  <si>
    <t>Census Tract 9706.01, Oneida County</t>
  </si>
  <si>
    <t>Census Tract 17.02, Racine County</t>
  </si>
  <si>
    <t>Census Tract 9706.04, Oneida County</t>
  </si>
  <si>
    <t>Census Tract 17.03, Racine County</t>
  </si>
  <si>
    <t>Census Tract 9709, Oneida County</t>
  </si>
  <si>
    <t>Census Tract 17.06, Racine County</t>
  </si>
  <si>
    <t>Census Tract 9711, Oneida County</t>
  </si>
  <si>
    <t>Census Tract 2, Racine County</t>
  </si>
  <si>
    <t>Census Tract 20.02, Racine County</t>
  </si>
  <si>
    <t>Census Tract 21, Racine County</t>
  </si>
  <si>
    <t>Census Tract 27.01, Racine County</t>
  </si>
  <si>
    <t>Census Tract 111.03, Outagamie County</t>
  </si>
  <si>
    <t>Census Tract 27.02, Racine County</t>
  </si>
  <si>
    <t>Census Tract 120, Outagamie County</t>
  </si>
  <si>
    <t>Census Tract 29, Racine County</t>
  </si>
  <si>
    <t>Census Tract 6, Racine County</t>
  </si>
  <si>
    <t>Census Tract 9401.03, Menominee County</t>
  </si>
  <si>
    <t>Census Tract 125.03, Outagamie County</t>
  </si>
  <si>
    <t>Census Tract 7, Racine County</t>
  </si>
  <si>
    <t>Census Tract 51, Milwaukee County</t>
  </si>
  <si>
    <t>Census Tract 125.04, Outagamie County</t>
  </si>
  <si>
    <t>Census Tract 9.01, Racine County</t>
  </si>
  <si>
    <t>Census Tract 125.05, Outagamie County</t>
  </si>
  <si>
    <t>Census Tract 9.04, Racine County</t>
  </si>
  <si>
    <t>Census Tract 126.02, Outagamie County</t>
  </si>
  <si>
    <t>Census Tract 10, Rock County</t>
  </si>
  <si>
    <t>Census Tract 126.03, Outagamie County</t>
  </si>
  <si>
    <t>Census Tract 13.02, Rock County</t>
  </si>
  <si>
    <t>Census Tract 13.05, Rock County</t>
  </si>
  <si>
    <t>Census Tract 128, Outagamie County</t>
  </si>
  <si>
    <t>Census Tract 13.06, Rock County</t>
  </si>
  <si>
    <t>Census Tract 17, Rock County</t>
  </si>
  <si>
    <t>Census Tract 129.03, Outagamie County</t>
  </si>
  <si>
    <t>Census Tract 18, Rock County</t>
  </si>
  <si>
    <t>Census Tract 129.04, Outagamie County</t>
  </si>
  <si>
    <t>Census Tract 19, Rock County</t>
  </si>
  <si>
    <t>Census Tract 133, Outagamie County</t>
  </si>
  <si>
    <t>Census Tract 21, Rock County</t>
  </si>
  <si>
    <t>Census Tract 6402.02, Ozaukee County</t>
  </si>
  <si>
    <t>Census Tract 22, Rock County</t>
  </si>
  <si>
    <t>Census Tract 68, Milwaukee County</t>
  </si>
  <si>
    <t>Census Tract 23, Rock County</t>
  </si>
  <si>
    <t>Census Tract 1011, Milwaukee County</t>
  </si>
  <si>
    <t>Census Tract 24, Rock County</t>
  </si>
  <si>
    <t>Census Tract 6602.01, Ozaukee County</t>
  </si>
  <si>
    <t>Census Tract 25, Rock County</t>
  </si>
  <si>
    <t>Census Tract 26.01, Rock County</t>
  </si>
  <si>
    <t>Census Tract 26.02, Rock County</t>
  </si>
  <si>
    <t>Census Tract 1015, Milwaukee County</t>
  </si>
  <si>
    <t>Census Tract 30.02, Rock County</t>
  </si>
  <si>
    <t>Census Tract 32, Rock County</t>
  </si>
  <si>
    <t>Census Tract 9502, Pepin County</t>
  </si>
  <si>
    <t>Census Tract 4, Rock County</t>
  </si>
  <si>
    <t>Census Tract 11, Milwaukee County</t>
  </si>
  <si>
    <t>Census Tract 5, Rock County</t>
  </si>
  <si>
    <t>Census Tract 6, Rock County</t>
  </si>
  <si>
    <t>Census Tract 9606, Pierce County</t>
  </si>
  <si>
    <t>Census Tract 7, Rock County</t>
  </si>
  <si>
    <t>Census Tract 9603.01, Polk County</t>
  </si>
  <si>
    <t>Census Tract 8, Rock County</t>
  </si>
  <si>
    <t>Census Tract 87, Milwaukee County</t>
  </si>
  <si>
    <t>Census Tract 9605, Polk County</t>
  </si>
  <si>
    <t>Census Tract 1.01, Sauk County</t>
  </si>
  <si>
    <t>Census Tract 1.04, Sauk County</t>
  </si>
  <si>
    <t>Census Tract 10.02, Sauk County</t>
  </si>
  <si>
    <t>Census Tract 9, Milwaukee County</t>
  </si>
  <si>
    <t>Census Tract 9609.02, Polk County</t>
  </si>
  <si>
    <t>Census Tract 3.01, Sauk County</t>
  </si>
  <si>
    <t>Census Tract 3.03, Sauk County</t>
  </si>
  <si>
    <t>Census Tract 9611, Polk County</t>
  </si>
  <si>
    <t>Census Tract 4.01, Sauk County</t>
  </si>
  <si>
    <t>Census Tract 9601, Portage County</t>
  </si>
  <si>
    <t>Census Tract 5, Sauk County</t>
  </si>
  <si>
    <t>Census Tract 9602, Portage County</t>
  </si>
  <si>
    <t>Census Tract 6.03, Sauk County</t>
  </si>
  <si>
    <t>Census Tract 7, Sauk County</t>
  </si>
  <si>
    <t>Census Tract 9606, Portage County</t>
  </si>
  <si>
    <t>Census Tract 8, Sauk County</t>
  </si>
  <si>
    <t>Census Tract 123, Milwaukee County</t>
  </si>
  <si>
    <t>Census Tract 9607.01, Portage County</t>
  </si>
  <si>
    <t>Census Tract 9.01, Sauk County</t>
  </si>
  <si>
    <t>Census Tract 1009, Shawano County</t>
  </si>
  <si>
    <t>Census Tract 9608, Portage County</t>
  </si>
  <si>
    <t>Census Tract 1, Sheboygan County</t>
  </si>
  <si>
    <t>Census Tract 105.04, Sheboygan County</t>
  </si>
  <si>
    <t>Census Tract 9613, Portage County</t>
  </si>
  <si>
    <t>Census Tract 108, Sheboygan County</t>
  </si>
  <si>
    <t>Census Tract 9701, Price County</t>
  </si>
  <si>
    <t>Census Tract 113.01, Sheboygan County</t>
  </si>
  <si>
    <t>Census Tract 98, Milwaukee County</t>
  </si>
  <si>
    <t>Census Tract 9704, Price County</t>
  </si>
  <si>
    <t>Census Tract 1201, St. Croix County</t>
  </si>
  <si>
    <t>Census Tract 9503, Monroe County</t>
  </si>
  <si>
    <t>Census Tract 9706, Price County</t>
  </si>
  <si>
    <t>Census Tract 1202.02, St. Croix County</t>
  </si>
  <si>
    <t>Census Tract 11.02, Racine County</t>
  </si>
  <si>
    <t>Census Tract 1203, St. Croix County</t>
  </si>
  <si>
    <t>Census Tract 15.01, Racine County</t>
  </si>
  <si>
    <t>Census Tract 1204.01, St. Croix County</t>
  </si>
  <si>
    <t>Census Tract 1003, Oconto County</t>
  </si>
  <si>
    <t>Census Tract 1208.01, St. Croix County</t>
  </si>
  <si>
    <t>Census Tract 1005, Oconto County</t>
  </si>
  <si>
    <t>Census Tract 1209.01, St. Croix County</t>
  </si>
  <si>
    <t>Census Tract 1006, Oconto County</t>
  </si>
  <si>
    <t>Census Tract 137, Milwaukee County</t>
  </si>
  <si>
    <t>Census Tract 15.06, Racine County</t>
  </si>
  <si>
    <t>Census Tract 1209.04, St. Croix County</t>
  </si>
  <si>
    <t>Census Tract 1007, Oconto County</t>
  </si>
  <si>
    <t>Census Tract 16.01, Racine County</t>
  </si>
  <si>
    <t>Census Tract 1209.05, St. Croix County</t>
  </si>
  <si>
    <t>Census Tract 1210, St. Croix County</t>
  </si>
  <si>
    <t>Census Tract 1009, Oconto County</t>
  </si>
  <si>
    <t>Census Tract 1006, Trempealeau County</t>
  </si>
  <si>
    <t>Census Tract 1007, Trempealeau County</t>
  </si>
  <si>
    <t>Census Tract 17.05, Racine County</t>
  </si>
  <si>
    <t>Census Tract 1008, Trempealeau County</t>
  </si>
  <si>
    <t>Census Tract 9603, Vernon County</t>
  </si>
  <si>
    <t>Census Tract 148, Milwaukee County</t>
  </si>
  <si>
    <t>Census Tract 18.01, Racine County</t>
  </si>
  <si>
    <t>Census Tract 9606, Vernon County</t>
  </si>
  <si>
    <t>Census Tract 149, Milwaukee County</t>
  </si>
  <si>
    <t>Census Tract 18.02, Racine County</t>
  </si>
  <si>
    <t>Census Tract 9506.02, Vilas County</t>
  </si>
  <si>
    <t>Census Tract 19, Racine County</t>
  </si>
  <si>
    <t>Census Tract 15.01, Walworth County</t>
  </si>
  <si>
    <t>Census Tract 9708, Oneida County</t>
  </si>
  <si>
    <t>Census Tract 20.01, Racine County</t>
  </si>
  <si>
    <t>Census Tract 15.04, Walworth County</t>
  </si>
  <si>
    <t>Census Tract 16.05, Walworth County</t>
  </si>
  <si>
    <t>Census Tract 9710.01, Oneida County</t>
  </si>
  <si>
    <t>Census Tract 16.07, Walworth County</t>
  </si>
  <si>
    <t>Census Tract 9710.02, Oneida County</t>
  </si>
  <si>
    <t>Census Tract 24.01, Racine County</t>
  </si>
  <si>
    <t>Census Tract 16.08, Walworth County</t>
  </si>
  <si>
    <t>Census Tract 9714, Oneida County</t>
  </si>
  <si>
    <t>Census Tract 24.02, Racine County</t>
  </si>
  <si>
    <t>Census Tract 17.02, Walworth County</t>
  </si>
  <si>
    <t>Census Tract 9715, Oneida County</t>
  </si>
  <si>
    <t>Census Tract 26, Racine County</t>
  </si>
  <si>
    <t>Census Tract 2.02, Walworth County</t>
  </si>
  <si>
    <t>Census Tract 105.01, Outagamie County</t>
  </si>
  <si>
    <t>Census Tract 3.04, Walworth County</t>
  </si>
  <si>
    <t>Census Tract 106.01, Outagamie County</t>
  </si>
  <si>
    <t>Census Tract 4, Walworth County</t>
  </si>
  <si>
    <t>Census Tract 28, Racine County</t>
  </si>
  <si>
    <t>Census Tract 7.01, Walworth County</t>
  </si>
  <si>
    <t>Census Tract 8, Racine County</t>
  </si>
  <si>
    <t>Census Tract 8.01, Walworth County</t>
  </si>
  <si>
    <t>Census Tract 9.03, Racine County</t>
  </si>
  <si>
    <t>Census Tract 9.01, Walworth County</t>
  </si>
  <si>
    <t>Census Tract 9800, Racine County</t>
  </si>
  <si>
    <t>Census Tract 9.02, Walworth County</t>
  </si>
  <si>
    <t>Census Tract 110.01, Outagamie County</t>
  </si>
  <si>
    <t>Census Tract 9702, Richland County</t>
  </si>
  <si>
    <t>Census Tract 4001.04, Washington County</t>
  </si>
  <si>
    <t>Census Tract 112, Outagamie County</t>
  </si>
  <si>
    <t>Census Tract 9703, Richland County</t>
  </si>
  <si>
    <t>Census Tract 4201.04, Washington County</t>
  </si>
  <si>
    <t>Census Tract 9705, Richland County</t>
  </si>
  <si>
    <t>Census Tract 4201.05, Washington County</t>
  </si>
  <si>
    <t>Census Tract 115.02, Outagamie County</t>
  </si>
  <si>
    <t>Census Tract 12.01, Rock County</t>
  </si>
  <si>
    <t>Census Tract 4201.06, Washington County</t>
  </si>
  <si>
    <t>Census Tract 116, Outagamie County</t>
  </si>
  <si>
    <t>Census Tract 165, Milwaukee County</t>
  </si>
  <si>
    <t>Census Tract 12.02, Rock County</t>
  </si>
  <si>
    <t>Census Tract 4201.07, Washington County</t>
  </si>
  <si>
    <t>Census Tract 117, Outagamie County</t>
  </si>
  <si>
    <t>Census Tract 4201.08, Washington County</t>
  </si>
  <si>
    <t>Census Tract 13.03, Rock County</t>
  </si>
  <si>
    <t>Census Tract 4204.01, Washington County</t>
  </si>
  <si>
    <t>Census Tract 119.02, Outagamie County</t>
  </si>
  <si>
    <t>Census Tract 168, Milwaukee County</t>
  </si>
  <si>
    <t>Census Tract 4301, Washington County</t>
  </si>
  <si>
    <t>Census Tract 4401.03, Washington County</t>
  </si>
  <si>
    <t>Census Tract 122, Outagamie County</t>
  </si>
  <si>
    <t>Census Tract 4401.04, Washington County</t>
  </si>
  <si>
    <t>Census Tract 123, Outagamie County</t>
  </si>
  <si>
    <t>Census Tract 4402, Washington County</t>
  </si>
  <si>
    <t>Census Tract 4501.03, Washington County</t>
  </si>
  <si>
    <t>Census Tract 175, Milwaukee County</t>
  </si>
  <si>
    <t>Census Tract 4501.06, Washington County</t>
  </si>
  <si>
    <t>Census Tract 4501.08, Washington County</t>
  </si>
  <si>
    <t>Census Tract 127, Outagamie County</t>
  </si>
  <si>
    <t>Census Tract 27, Rock County</t>
  </si>
  <si>
    <t>Census Tract 4702.02, Washington County</t>
  </si>
  <si>
    <t>Census Tract 28, Rock County</t>
  </si>
  <si>
    <t>Census Tract 4702.03, Washington County</t>
  </si>
  <si>
    <t>Census Tract 29.01, Rock County</t>
  </si>
  <si>
    <t>Census Tract 4702.04, Washington County</t>
  </si>
  <si>
    <t>Census Tract 29.02, Rock County</t>
  </si>
  <si>
    <t>Census Tract 2001.02, Waukesha County</t>
  </si>
  <si>
    <t>Census Tract 30.01, Rock County</t>
  </si>
  <si>
    <t>Census Tract 2001.03, Waukesha County</t>
  </si>
  <si>
    <t>Census Tract 2002.01, Waukesha County</t>
  </si>
  <si>
    <t>Census Tract 6101.01, Ozaukee County</t>
  </si>
  <si>
    <t>Census Tract 31.01, Rock County</t>
  </si>
  <si>
    <t>Census Tract 2004, Waukesha County</t>
  </si>
  <si>
    <t>Census Tract 31.02, Rock County</t>
  </si>
  <si>
    <t>Census Tract 2005, Waukesha County</t>
  </si>
  <si>
    <t>Census Tract 2006, Waukesha County</t>
  </si>
  <si>
    <t>Census Tract 33, Rock County</t>
  </si>
  <si>
    <t>Census Tract 2007, Waukesha County</t>
  </si>
  <si>
    <t>Census Tract 6402.01, Ozaukee County</t>
  </si>
  <si>
    <t>Census Tract 2008.03, Waukesha County</t>
  </si>
  <si>
    <t>Census Tract 1856, Milwaukee County</t>
  </si>
  <si>
    <t>Census Tract 9, Rock County</t>
  </si>
  <si>
    <t>Census Tract 2008.04, Waukesha County</t>
  </si>
  <si>
    <t>Census Tract 9601, Rusk County</t>
  </si>
  <si>
    <t>Census Tract 2009.01, Waukesha County</t>
  </si>
  <si>
    <t>Census Tract 6501.03, Ozaukee County</t>
  </si>
  <si>
    <t>Census Tract 9602, Rusk County</t>
  </si>
  <si>
    <t>Census Tract 2011.02, Waukesha County</t>
  </si>
  <si>
    <t>Census Tract 9604, Rusk County</t>
  </si>
  <si>
    <t>Census Tract 2012.03, Waukesha County</t>
  </si>
  <si>
    <t>Census Tract 2012.04, Waukesha County</t>
  </si>
  <si>
    <t>Census Tract 1.03, Sauk County</t>
  </si>
  <si>
    <t>Census Tract 2012.05, Waukesha County</t>
  </si>
  <si>
    <t>Census Tract 10.03, Sauk County</t>
  </si>
  <si>
    <t>Census Tract 2014.02, Waukesha County</t>
  </si>
  <si>
    <t>Census Tract 1868, Milwaukee County</t>
  </si>
  <si>
    <t>Census Tract 10.05, Sauk County</t>
  </si>
  <si>
    <t>Census Tract 2014.03, Waukesha County</t>
  </si>
  <si>
    <t>Census Tract 11, Sauk County</t>
  </si>
  <si>
    <t>Census Tract 2014.04, Waukesha County</t>
  </si>
  <si>
    <t>Census Tract 2, Sauk County</t>
  </si>
  <si>
    <t>Census Tract 2015.06, Waukesha County</t>
  </si>
  <si>
    <t>Census Tract 3.02, Sauk County</t>
  </si>
  <si>
    <t>Census Tract 2015.08, Waukesha County</t>
  </si>
  <si>
    <t>Census Tract 9501, Pepin County</t>
  </si>
  <si>
    <t>Census Tract 2017.01, Waukesha County</t>
  </si>
  <si>
    <t>Census Tract 9601, Pierce County</t>
  </si>
  <si>
    <t>Census Tract 2017.03, Waukesha County</t>
  </si>
  <si>
    <t>Census Tract 6.01, Sauk County</t>
  </si>
  <si>
    <t>Census Tract 2020.02, Waukesha County</t>
  </si>
  <si>
    <t>Census Tract 9604, Pierce County</t>
  </si>
  <si>
    <t>Census Tract 6.02, Sauk County</t>
  </si>
  <si>
    <t>Census Tract 2022.01, Waukesha County</t>
  </si>
  <si>
    <t>Census Tract 2022.03, Waukesha County</t>
  </si>
  <si>
    <t>Census Tract 2022.04, Waukesha County</t>
  </si>
  <si>
    <t>Census Tract 2023.01, Waukesha County</t>
  </si>
  <si>
    <t>Census Tract 9601, Polk County</t>
  </si>
  <si>
    <t>Census Tract 9.02, Sauk County</t>
  </si>
  <si>
    <t>Census Tract 2024, Waukesha County</t>
  </si>
  <si>
    <t>Census Tract 9.03, Sauk County</t>
  </si>
  <si>
    <t>Census Tract 2027, Waukesha County</t>
  </si>
  <si>
    <t>Census Tract 9603.02, Polk County</t>
  </si>
  <si>
    <t>Census Tract 201, Milwaukee County</t>
  </si>
  <si>
    <t>Census Tract 1004, Sawyer County</t>
  </si>
  <si>
    <t>Census Tract 2028, Waukesha County</t>
  </si>
  <si>
    <t>Census Tract 9603.03, Polk County</t>
  </si>
  <si>
    <t>Census Tract 1005.01, Sawyer County</t>
  </si>
  <si>
    <t>Census Tract 2029.01, Waukesha County</t>
  </si>
  <si>
    <t>Census Tract 1005.02, Sawyer County</t>
  </si>
  <si>
    <t>Census Tract 2029.02, Waukesha County</t>
  </si>
  <si>
    <t>Census Tract 21, Milwaukee County</t>
  </si>
  <si>
    <t>Census Tract 1001, Shawano County</t>
  </si>
  <si>
    <t>Census Tract 2031.03, Waukesha County</t>
  </si>
  <si>
    <t>Census Tract 1003, Shawano County</t>
  </si>
  <si>
    <t>Census Tract 2031.04, Waukesha County</t>
  </si>
  <si>
    <t>Census Tract 2031.05, Waukesha County</t>
  </si>
  <si>
    <t>Census Tract 1010, Shawano County</t>
  </si>
  <si>
    <t>Census Tract 2031.06, Waukesha County</t>
  </si>
  <si>
    <t>Census Tract 9603, Portage County</t>
  </si>
  <si>
    <t>Census Tract 1011, Shawano County</t>
  </si>
  <si>
    <t>Census Tract 2031.07, Waukesha County</t>
  </si>
  <si>
    <t>Census Tract 2032, Waukesha County</t>
  </si>
  <si>
    <t>Census Tract 101, Sheboygan County</t>
  </si>
  <si>
    <t>Census Tract 2033.03, Waukesha County</t>
  </si>
  <si>
    <t>Census Tract 102, Sheboygan County</t>
  </si>
  <si>
    <t>Census Tract 2033.04, Waukesha County</t>
  </si>
  <si>
    <t>Census Tract 9609, Portage County</t>
  </si>
  <si>
    <t>Census Tract 103, Sheboygan County</t>
  </si>
  <si>
    <t>Census Tract 2033.08, Waukesha County</t>
  </si>
  <si>
    <t>Census Tract 9610, Portage County</t>
  </si>
  <si>
    <t>Census Tract 104, Sheboygan County</t>
  </si>
  <si>
    <t>Census Tract 2034.02, Waukesha County</t>
  </si>
  <si>
    <t>Census Tract 2034.04, Waukesha County</t>
  </si>
  <si>
    <t>Census Tract 9612, Portage County</t>
  </si>
  <si>
    <t>Census Tract 107, Sheboygan County</t>
  </si>
  <si>
    <t>Census Tract 2035.02, Waukesha County</t>
  </si>
  <si>
    <t>Census Tract 2036.01, Waukesha County</t>
  </si>
  <si>
    <t>Census Tract 109, Sheboygan County</t>
  </si>
  <si>
    <t>Census Tract 2036.02, Waukesha County</t>
  </si>
  <si>
    <t>Census Tract 110, Sheboygan County</t>
  </si>
  <si>
    <t>Census Tract 2037.02, Waukesha County</t>
  </si>
  <si>
    <t>Census Tract 111, Sheboygan County</t>
  </si>
  <si>
    <t>Census Tract 2037.04, Waukesha County</t>
  </si>
  <si>
    <t>Census Tract 10.02, Racine County</t>
  </si>
  <si>
    <t>Census Tract 112, Sheboygan County</t>
  </si>
  <si>
    <t>Census Tract 2038.05, Waukesha County</t>
  </si>
  <si>
    <t>Census Tract 10.03, Racine County</t>
  </si>
  <si>
    <t>Census Tract 2039.01, Waukesha County</t>
  </si>
  <si>
    <t>Census Tract 113.02, Sheboygan County</t>
  </si>
  <si>
    <t>Census Tract 2039.02, Waukesha County</t>
  </si>
  <si>
    <t>Census Tract 1202.01, St. Croix County</t>
  </si>
  <si>
    <t>Census Tract 2040.03, Waukesha County</t>
  </si>
  <si>
    <t>Census Tract 14.01, Racine County</t>
  </si>
  <si>
    <t>Census Tract 2041, Waukesha County</t>
  </si>
  <si>
    <t>Census Tract 2042.01, Waukesha County</t>
  </si>
  <si>
    <t>Census Tract 2042.02, Waukesha County</t>
  </si>
  <si>
    <t>Census Tract 1204.02, St. Croix County</t>
  </si>
  <si>
    <t>Census Tract 2043.01, Waukesha County</t>
  </si>
  <si>
    <t>Census Tract 1206.01, St. Croix County</t>
  </si>
  <si>
    <t>Census Tract 2043.02, Waukesha County</t>
  </si>
  <si>
    <t>Census Tract 17.01, Racine County</t>
  </si>
  <si>
    <t>Census Tract 2044, Waukesha County</t>
  </si>
  <si>
    <t>Census Tract 1209.06, St. Croix County</t>
  </si>
  <si>
    <t>Census Tract 1002, Waupaca County</t>
  </si>
  <si>
    <t>Census Tract 1009, Waupaca County</t>
  </si>
  <si>
    <t>Census Tract 9601, Taylor County</t>
  </si>
  <si>
    <t>Census Tract 9606, Waushara County</t>
  </si>
  <si>
    <t>Census Tract 9602, Taylor County</t>
  </si>
  <si>
    <t>Census Tract 12, Winnebago County</t>
  </si>
  <si>
    <t>Census Tract 9603, Taylor County</t>
  </si>
  <si>
    <t>Census Tract 17, Winnebago County</t>
  </si>
  <si>
    <t>Census Tract 9604, Taylor County</t>
  </si>
  <si>
    <t>Census Tract 18.03, Winnebago County</t>
  </si>
  <si>
    <t>Census Tract 9606, Taylor County</t>
  </si>
  <si>
    <t>Census Tract 18.04, Winnebago County</t>
  </si>
  <si>
    <t>Census Tract 1002, Trempealeau County</t>
  </si>
  <si>
    <t>Census Tract 19, Winnebago County</t>
  </si>
  <si>
    <t>Census Tract 1005, Trempealeau County</t>
  </si>
  <si>
    <t>Census Tract 20.01, Winnebago County</t>
  </si>
  <si>
    <t>Census Tract 63, Milwaukee County</t>
  </si>
  <si>
    <t>Census Tract 34, Winnebago County</t>
  </si>
  <si>
    <t>Census Tract 37.03, Winnebago County</t>
  </si>
  <si>
    <t>Census Tract 37.04, Winnebago County</t>
  </si>
  <si>
    <t>Census Tract 5, Racine County</t>
  </si>
  <si>
    <t>Census Tract 9605, Vernon County</t>
  </si>
  <si>
    <t>Census Tract 4, Winnebago County</t>
  </si>
  <si>
    <t>Census Tract 8, Winnebago County</t>
  </si>
  <si>
    <t>Census Tract 9607, Vernon County</t>
  </si>
  <si>
    <t>Census Tract 107, Wood County</t>
  </si>
  <si>
    <t>Census Tract 9701, Richland County</t>
  </si>
  <si>
    <t>Census Tract 9502.02, Vilas County</t>
  </si>
  <si>
    <t>Census Tract 114, Wood County</t>
  </si>
  <si>
    <t>Census Tract 9505.02, Vilas County</t>
  </si>
  <si>
    <t>Census Tract 9506.01, Vilas County</t>
  </si>
  <si>
    <t>Census Tract 1, Rock County</t>
  </si>
  <si>
    <t>Census Tract 9507, Vilas County</t>
  </si>
  <si>
    <t>Census Tract 11, Rock County</t>
  </si>
  <si>
    <t>Census Tract 1.02, Walworth County</t>
  </si>
  <si>
    <t>Census Tract 1.04, Walworth County</t>
  </si>
  <si>
    <t>Census Tract 10, Walworth County</t>
  </si>
  <si>
    <t>Census Tract 15, Rock County</t>
  </si>
  <si>
    <t>Census Tract 2, Rock County</t>
  </si>
  <si>
    <t>Census Tract 16.06, Walworth County</t>
  </si>
  <si>
    <t>Census Tract 17.01, Walworth County</t>
  </si>
  <si>
    <t>Census Tract 2.01, Walworth County</t>
  </si>
  <si>
    <t>Census Tract 3.01, Walworth County</t>
  </si>
  <si>
    <t>Census Tract 3.03, Walworth County</t>
  </si>
  <si>
    <t>Census Tract 9504, Monroe County</t>
  </si>
  <si>
    <t>Census Tract 9502, Washburn County</t>
  </si>
  <si>
    <t>Census Tract 9503, Washburn County</t>
  </si>
  <si>
    <t>Census Tract 9505.02, Washburn County</t>
  </si>
  <si>
    <t>Census Tract 9506, Washburn County</t>
  </si>
  <si>
    <t>Census Tract 4001.02, Washington County</t>
  </si>
  <si>
    <t>Census Tract 9603, Rusk County</t>
  </si>
  <si>
    <t>Census Tract 4001.03, Washington County</t>
  </si>
  <si>
    <t>Census Tract 4101, Washington County</t>
  </si>
  <si>
    <t>Census Tract 9605, Rusk County</t>
  </si>
  <si>
    <t>Census Tract 4401.05, Washington County</t>
  </si>
  <si>
    <t>Census Tract 4401.06, Washington County</t>
  </si>
  <si>
    <t>Census Tract 1012, Oconto County</t>
  </si>
  <si>
    <t>Census Tract 4501.05, Washington County</t>
  </si>
  <si>
    <t>Census Tract 4501.07, Washington County</t>
  </si>
  <si>
    <t>Census Tract 4601.01, Washington County</t>
  </si>
  <si>
    <t>Census Tract 4601.02, Washington County</t>
  </si>
  <si>
    <t>Census Tract 1003, Sawyer County</t>
  </si>
  <si>
    <t>Census Tract 4701, Washington County</t>
  </si>
  <si>
    <t>Census Tract 1007, Sawyer County</t>
  </si>
  <si>
    <t>Census Tract 1008, Sawyer County</t>
  </si>
  <si>
    <t>Census Tract 101, Outagamie County</t>
  </si>
  <si>
    <t>Census Tract 9400.02, Sawyer County</t>
  </si>
  <si>
    <t>Census Tract 102, Outagamie County</t>
  </si>
  <si>
    <t>Census Tract 2001.01, Waukesha County</t>
  </si>
  <si>
    <t>Census Tract 103, Outagamie County</t>
  </si>
  <si>
    <t>Census Tract 2003, Waukesha County</t>
  </si>
  <si>
    <t>Census Tract 1007, Shawano County</t>
  </si>
  <si>
    <t>Census Tract 2008.01, Waukesha County</t>
  </si>
  <si>
    <t>Census Tract 110.02, Outagamie County</t>
  </si>
  <si>
    <t>Census Tract 111.01, Outagamie County</t>
  </si>
  <si>
    <t>Census Tract 2009.02, Waukesha County</t>
  </si>
  <si>
    <t>Census Tract 105.02, Sheboygan County</t>
  </si>
  <si>
    <t>Census Tract 2010.01, Waukesha County</t>
  </si>
  <si>
    <t>Census Tract 2010.02, Waukesha County</t>
  </si>
  <si>
    <t>Census Tract 106.02, Sheboygan County</t>
  </si>
  <si>
    <t>Census Tract 113, Outagamie County</t>
  </si>
  <si>
    <t>Census Tract 2011.01, Waukesha County</t>
  </si>
  <si>
    <t>Census Tract 11, Sheboygan County</t>
  </si>
  <si>
    <t>Census Tract 2015.04, Waukesha County</t>
  </si>
  <si>
    <t>Census Tract 2015.05, Waukesha County</t>
  </si>
  <si>
    <t>Census Tract 114, Sheboygan County</t>
  </si>
  <si>
    <t>Census Tract 2015.07, Waukesha County</t>
  </si>
  <si>
    <t>Census Tract 2.02, Sheboygan County</t>
  </si>
  <si>
    <t>Census Tract 2016, Waukesha County</t>
  </si>
  <si>
    <t>Census Tract 4, Sheboygan County</t>
  </si>
  <si>
    <t>Census Tract 2017.04, Waukesha County</t>
  </si>
  <si>
    <t>Census Tract 2018, Waukesha County</t>
  </si>
  <si>
    <t>Census Tract 124, Outagamie County</t>
  </si>
  <si>
    <t>Census Tract 2019, Waukesha County</t>
  </si>
  <si>
    <t>Census Tract 2020.01, Waukesha County</t>
  </si>
  <si>
    <t>Census Tract 1205.01, St. Croix County</t>
  </si>
  <si>
    <t>Census Tract 2021.01, Waukesha County</t>
  </si>
  <si>
    <t>Census Tract 1205.02, St. Croix County</t>
  </si>
  <si>
    <t>Census Tract 2021.02, Waukesha County</t>
  </si>
  <si>
    <t>Census Tract 2021.03, Waukesha County</t>
  </si>
  <si>
    <t>Census Tract 2034.03, Waukesha County</t>
  </si>
  <si>
    <t>Census Tract 2034.05, Waukesha County</t>
  </si>
  <si>
    <t>Census Tract 131, Outagamie County</t>
  </si>
  <si>
    <t>Census Tract 2034.06, Waukesha County</t>
  </si>
  <si>
    <t>Census Tract 132, Outagamie County</t>
  </si>
  <si>
    <t>Census Tract 2035.01, Waukesha County</t>
  </si>
  <si>
    <t>Census Tract 9400, Outagamie County</t>
  </si>
  <si>
    <t>Census Tract 2037.03, Waukesha County</t>
  </si>
  <si>
    <t>Census Tract 1004, Trempealeau County</t>
  </si>
  <si>
    <t>Census Tract 6201, Ozaukee County</t>
  </si>
  <si>
    <t>Census Tract 2038.02, Waukesha County</t>
  </si>
  <si>
    <t>Census Tract 2038.03, Waukesha County</t>
  </si>
  <si>
    <t>Census Tract 2038.06, Waukesha County</t>
  </si>
  <si>
    <t>Census Tract 9400, Vilas County</t>
  </si>
  <si>
    <t>Census Tract 9505.01, Vilas County</t>
  </si>
  <si>
    <t>Census Tract 6401.02, Ozaukee County</t>
  </si>
  <si>
    <t>Census Tract 2040.02, Waukesha County</t>
  </si>
  <si>
    <t>Census Tract 2040.04, Waukesha County</t>
  </si>
  <si>
    <t>Census Tract 15.03, Walworth County</t>
  </si>
  <si>
    <t>Census Tract 2045.01, Waukesha County</t>
  </si>
  <si>
    <t>Census Tract 16.03, Walworth County</t>
  </si>
  <si>
    <t>Census Tract 2045.03, Waukesha County</t>
  </si>
  <si>
    <t>Census Tract 2045.04, Waukesha County</t>
  </si>
  <si>
    <t>Census Tract 1004, Waupaca County</t>
  </si>
  <si>
    <t>Census Tract 1005, Waupaca County</t>
  </si>
  <si>
    <t>Census Tract 1006, Waupaca County</t>
  </si>
  <si>
    <t>Census Tract 1008, Waupaca County</t>
  </si>
  <si>
    <t>Census Tract 1012, Waupaca County</t>
  </si>
  <si>
    <t>Census Tract 9601, Waushara County</t>
  </si>
  <si>
    <t>Census Tract 9602.01, Waushara County</t>
  </si>
  <si>
    <t>Census Tract 5.02, Walworth County</t>
  </si>
  <si>
    <t>Census Tract 9602.02, Waushara County</t>
  </si>
  <si>
    <t>Census Tract 6, Walworth County</t>
  </si>
  <si>
    <t>Census Tract 9604, Waushara County</t>
  </si>
  <si>
    <t>Census Tract 7.02, Walworth County</t>
  </si>
  <si>
    <t>Census Tract 9608, Pierce County</t>
  </si>
  <si>
    <t>Census Tract 9607, Waushara County</t>
  </si>
  <si>
    <t>Census Tract 13, Winnebago County</t>
  </si>
  <si>
    <t>Census Tract 8.02, Walworth County</t>
  </si>
  <si>
    <t>Census Tract 9602, Polk County</t>
  </si>
  <si>
    <t>Census Tract 15, Winnebago County</t>
  </si>
  <si>
    <t>Census Tract 16, Winnebago County</t>
  </si>
  <si>
    <t>Census Tract 9606, Polk County</t>
  </si>
  <si>
    <t>Census Tract 9607.01, Polk County</t>
  </si>
  <si>
    <t>Census Tract 18.01, Winnebago County</t>
  </si>
  <si>
    <t>Census Tract 9505.01, Washburn County</t>
  </si>
  <si>
    <t>Census Tract 20.02, Winnebago County</t>
  </si>
  <si>
    <t>Census Tract 21, Winnebago County</t>
  </si>
  <si>
    <t>Census Tract 9604, Portage County</t>
  </si>
  <si>
    <t>Census Tract 22.01, Winnebago County</t>
  </si>
  <si>
    <t>Census Tract 22.02, Winnebago County</t>
  </si>
  <si>
    <t>Census Tract 23, Winnebago County</t>
  </si>
  <si>
    <t>Census Tract 24.01, Winnebago County</t>
  </si>
  <si>
    <t>Census Tract 24.02, Winnebago County</t>
  </si>
  <si>
    <t>Census Tract 3, Winnebago County</t>
  </si>
  <si>
    <t>Census Tract 30, Winnebago County</t>
  </si>
  <si>
    <t>Census Tract 4202, Washington County</t>
  </si>
  <si>
    <t>Census Tract 31, Winnebago County</t>
  </si>
  <si>
    <t>Census Tract 4203, Washington County</t>
  </si>
  <si>
    <t>Census Tract 32, Winnebago County</t>
  </si>
  <si>
    <t>Census Tract 4204.02, Washington County</t>
  </si>
  <si>
    <t>Census Tract 36, Winnebago County</t>
  </si>
  <si>
    <t>Census Tract 101, Wood County</t>
  </si>
  <si>
    <t>Census Tract 9702, Price County</t>
  </si>
  <si>
    <t>Census Tract 102, Wood County</t>
  </si>
  <si>
    <t>Census Tract 9705, Price County</t>
  </si>
  <si>
    <t>Census Tract 104, Wood County</t>
  </si>
  <si>
    <t>Census Tract 9707, Price County</t>
  </si>
  <si>
    <t>Census Tract 105, Wood County</t>
  </si>
  <si>
    <t>Census Tract 10.01, Racine County</t>
  </si>
  <si>
    <t>Census Tract 108, Wood County</t>
  </si>
  <si>
    <t>Census Tract 109, Wood County</t>
  </si>
  <si>
    <t>Census Tract 115, Wood County</t>
  </si>
  <si>
    <t>Census Tract 116, Wood County</t>
  </si>
  <si>
    <t>Census Tract 2012.01, Waukesha County</t>
  </si>
  <si>
    <t>Census Tract 2023.03, Waukesha County</t>
  </si>
  <si>
    <t>Census Tract 4, Racine County</t>
  </si>
  <si>
    <t>Census Tract 2023.04, Waukesha County</t>
  </si>
  <si>
    <t>Census Tract 2026, Waukesha County</t>
  </si>
  <si>
    <t>Census Tract 2030, Waukesha County</t>
  </si>
  <si>
    <t>Census Tract 2033.07, Waukesha County</t>
  </si>
  <si>
    <t>Census Tract 9704, Richland County</t>
  </si>
  <si>
    <t>Census Tract 14, Rock County</t>
  </si>
  <si>
    <t>Census Tract 3, Rock County</t>
  </si>
  <si>
    <t>Census Tract 1001, Waupaca County</t>
  </si>
  <si>
    <t>Census Tract 1003, Waupaca County</t>
  </si>
  <si>
    <t>Census Tract 1010, Waupaca County</t>
  </si>
  <si>
    <t>Census Tract 9603, Waushara County</t>
  </si>
  <si>
    <t>Census Tract 1.02, Sauk County</t>
  </si>
  <si>
    <t>Census Tract 9608, Waushara County</t>
  </si>
  <si>
    <t>Census Tract 10, Winnebago County</t>
  </si>
  <si>
    <t>Census Tract 11, Winnebago County</t>
  </si>
  <si>
    <t>Census Tract 10.04, Sauk County</t>
  </si>
  <si>
    <t>Census Tract 4.02, Sauk County</t>
  </si>
  <si>
    <t>Census Tract 26.01, Winnebago County</t>
  </si>
  <si>
    <t>Census Tract 26.02, Winnebago County</t>
  </si>
  <si>
    <t>Census Tract 28, Winnebago County</t>
  </si>
  <si>
    <t>Census Tract 29, Winnebago County</t>
  </si>
  <si>
    <t>Census Tract 9400.01, Sawyer County</t>
  </si>
  <si>
    <t>Census Tract 1004, Shawano County</t>
  </si>
  <si>
    <t>Census Tract 1005, Shawano County</t>
  </si>
  <si>
    <t>Census Tract 37.01, Winnebago County</t>
  </si>
  <si>
    <t>Census Tract 1006, Shawano County</t>
  </si>
  <si>
    <t>Census Tract 1008, Shawano County</t>
  </si>
  <si>
    <t>Census Tract 103, Wood County</t>
  </si>
  <si>
    <t>Census Tract 106, Wood County</t>
  </si>
  <si>
    <t>Census Tract 10, Sheboygan County</t>
  </si>
  <si>
    <t>Census Tract 117, Wood County</t>
  </si>
  <si>
    <t>Census Tract 105.03, Sheboygan County</t>
  </si>
  <si>
    <t>Census Tract 106.01, Sheboygan County</t>
  </si>
  <si>
    <t>Census Tract 3, Sheboygan County</t>
  </si>
  <si>
    <t>Census Tract 5, Sheboygan County</t>
  </si>
  <si>
    <t>Census Tract 8, Sheboygan County</t>
  </si>
  <si>
    <t>Census Tract 9, Sheboygan County</t>
  </si>
  <si>
    <t>Census Tract 1207, St. Croix County</t>
  </si>
  <si>
    <t>Census Tract 1208.02, St. Croix County</t>
  </si>
  <si>
    <t>Census Tract 9605, Taylor County</t>
  </si>
  <si>
    <t>Census Tract 1001, Trempealeau County</t>
  </si>
  <si>
    <t>Census Tract 9601, Vernon County</t>
  </si>
  <si>
    <t>Census Tract 9602, Vernon County</t>
  </si>
  <si>
    <t>Census Tract 9604, Vernon County</t>
  </si>
  <si>
    <t>Census Tract 9502.01, Vilas County</t>
  </si>
  <si>
    <t>Census Tract 1.03, Walworth County</t>
  </si>
  <si>
    <t>Census Tract 5.01, Walworth County</t>
  </si>
  <si>
    <t>Census Tract 9501, Washburn County</t>
  </si>
  <si>
    <t>Census Tract 2002.02, Waukesha County</t>
  </si>
  <si>
    <t>Census Tract 2013, Waukesha County</t>
  </si>
  <si>
    <t>Census Tract 2025, Waukesha County</t>
  </si>
  <si>
    <t>Census Tract 2033.05, Waukesha County</t>
  </si>
  <si>
    <t>Census Tract 1007, Waupaca County</t>
  </si>
  <si>
    <t>Census Tract 1011, Waupaca County</t>
  </si>
  <si>
    <t>Census Tract 14, Winnebago County</t>
  </si>
  <si>
    <t>Census Tract 25, Winnebago County</t>
  </si>
  <si>
    <t>Census Tract 33, Winnebago County</t>
  </si>
  <si>
    <t>Census Tract 35, Winnebago County</t>
  </si>
  <si>
    <t>Census Tract 5.01, Winnebago County</t>
  </si>
  <si>
    <t>Census Tract 7, Winnebago County</t>
  </si>
  <si>
    <t>Census Tract 9, Winnebago County</t>
  </si>
  <si>
    <t>Census Tract 110, Wood County</t>
  </si>
  <si>
    <t>Census Tract 111, Wood County</t>
  </si>
  <si>
    <t>Census Tract 112, Wood County</t>
  </si>
  <si>
    <t>Census Tract 113, Wood County</t>
  </si>
  <si>
    <t>Adams County</t>
  </si>
  <si>
    <t>14</t>
  </si>
  <si>
    <t>Building Based</t>
  </si>
  <si>
    <t>20%</t>
  </si>
  <si>
    <t>Infrastructure Access Loan</t>
  </si>
  <si>
    <t>Mortgage Loan</t>
  </si>
  <si>
    <t>Company</t>
  </si>
  <si>
    <t>Applicant</t>
  </si>
  <si>
    <t>20/50</t>
  </si>
  <si>
    <t>Ashland County</t>
  </si>
  <si>
    <t>16</t>
  </si>
  <si>
    <t>30%</t>
  </si>
  <si>
    <t>Restore Main Street Loan</t>
  </si>
  <si>
    <t>Participating Loan</t>
  </si>
  <si>
    <t>Individual</t>
  </si>
  <si>
    <t>Parent Company</t>
  </si>
  <si>
    <t>40/60</t>
  </si>
  <si>
    <t>Barron County</t>
  </si>
  <si>
    <t>17</t>
  </si>
  <si>
    <t>40%</t>
  </si>
  <si>
    <t>Vacancy-to-Vitality Loan</t>
  </si>
  <si>
    <t>Subsidy Loan</t>
  </si>
  <si>
    <t>Consultant/Application Preparer</t>
  </si>
  <si>
    <t>Innovative Housing Set-Aside</t>
  </si>
  <si>
    <t>Bayfield County</t>
  </si>
  <si>
    <t>18</t>
  </si>
  <si>
    <t>50%</t>
  </si>
  <si>
    <t>Third Party Loan</t>
  </si>
  <si>
    <t>Brown County</t>
  </si>
  <si>
    <t>19</t>
  </si>
  <si>
    <t>Equity Take Out</t>
  </si>
  <si>
    <t>60%</t>
  </si>
  <si>
    <t>Permanent Immediate</t>
  </si>
  <si>
    <t>Rehabilitation Units</t>
  </si>
  <si>
    <t>Preservation Set-Aside</t>
  </si>
  <si>
    <t>Buffalo County</t>
  </si>
  <si>
    <t>20</t>
  </si>
  <si>
    <t>70%</t>
  </si>
  <si>
    <t>Permanent Forward</t>
  </si>
  <si>
    <t>Burnett County</t>
  </si>
  <si>
    <t>25</t>
  </si>
  <si>
    <t>Refinance</t>
  </si>
  <si>
    <t>80%</t>
  </si>
  <si>
    <t>Construction/Permanent</t>
  </si>
  <si>
    <t>Calumet County</t>
  </si>
  <si>
    <t>29</t>
  </si>
  <si>
    <t>NONE</t>
  </si>
  <si>
    <t>Gap Financing</t>
  </si>
  <si>
    <t>100%</t>
  </si>
  <si>
    <t>Supportive Housing Set-Aside</t>
  </si>
  <si>
    <t>Chippewa County</t>
  </si>
  <si>
    <t>3</t>
  </si>
  <si>
    <t>Standby</t>
  </si>
  <si>
    <t>140%</t>
  </si>
  <si>
    <t>Clark County</t>
  </si>
  <si>
    <t>Construction Only</t>
  </si>
  <si>
    <t>Columbia County</t>
  </si>
  <si>
    <t>30</t>
  </si>
  <si>
    <t>Title Company</t>
  </si>
  <si>
    <t>Crawford County</t>
  </si>
  <si>
    <t>40</t>
  </si>
  <si>
    <t>Service Bureau</t>
  </si>
  <si>
    <t>Dane County</t>
  </si>
  <si>
    <t>45</t>
  </si>
  <si>
    <t>Insurance Broker</t>
  </si>
  <si>
    <t>Dodge County</t>
  </si>
  <si>
    <t>50</t>
  </si>
  <si>
    <t>Insurance Carrier</t>
  </si>
  <si>
    <t>Door County</t>
  </si>
  <si>
    <t>Douglas County</t>
  </si>
  <si>
    <t>Dunn County</t>
  </si>
  <si>
    <t>Lender</t>
  </si>
  <si>
    <t>Eau Claire County</t>
  </si>
  <si>
    <t>Management Entity</t>
  </si>
  <si>
    <t>Florence County</t>
  </si>
  <si>
    <t>Mortgage Banker</t>
  </si>
  <si>
    <t>Fond du Lac County</t>
  </si>
  <si>
    <t>Partnership</t>
  </si>
  <si>
    <t>Forest County</t>
  </si>
  <si>
    <t>Grant County</t>
  </si>
  <si>
    <t>Green County</t>
  </si>
  <si>
    <t>Green Lake County</t>
  </si>
  <si>
    <t>Iowa County</t>
  </si>
  <si>
    <t>Iron County</t>
  </si>
  <si>
    <t>Jackson County</t>
  </si>
  <si>
    <t>Jefferson County</t>
  </si>
  <si>
    <t>Juneau County</t>
  </si>
  <si>
    <t>Kenosha County</t>
  </si>
  <si>
    <t>Kewaunee County</t>
  </si>
  <si>
    <t>La Crosse County</t>
  </si>
  <si>
    <t>Lafayette County</t>
  </si>
  <si>
    <t>Langlade County</t>
  </si>
  <si>
    <t>Lincoln County</t>
  </si>
  <si>
    <t>Manitowoc County</t>
  </si>
  <si>
    <t>Marathon County</t>
  </si>
  <si>
    <t>Marinette County</t>
  </si>
  <si>
    <t>Marquette County</t>
  </si>
  <si>
    <t>Menominee County</t>
  </si>
  <si>
    <t>Milwaukee County</t>
  </si>
  <si>
    <t>Monroe County</t>
  </si>
  <si>
    <t>Oconto County</t>
  </si>
  <si>
    <t>Oneida County</t>
  </si>
  <si>
    <t>Outagamie County</t>
  </si>
  <si>
    <t>Ozaukee County</t>
  </si>
  <si>
    <t>Pepin County</t>
  </si>
  <si>
    <t>Pierce County</t>
  </si>
  <si>
    <t>Polk County</t>
  </si>
  <si>
    <t>Portage County</t>
  </si>
  <si>
    <t>Price County</t>
  </si>
  <si>
    <t>Racine County</t>
  </si>
  <si>
    <t>Richland County</t>
  </si>
  <si>
    <t>Rock County</t>
  </si>
  <si>
    <t>Rusk County</t>
  </si>
  <si>
    <t>Sauk County</t>
  </si>
  <si>
    <t>Sawyer County</t>
  </si>
  <si>
    <t>Shawano County</t>
  </si>
  <si>
    <t>Sheboygan County</t>
  </si>
  <si>
    <t>St. Croix County</t>
  </si>
  <si>
    <t>Taylor County</t>
  </si>
  <si>
    <t>Trempealeau County</t>
  </si>
  <si>
    <t>Vernon County</t>
  </si>
  <si>
    <t>Vilas County</t>
  </si>
  <si>
    <t>Walworth County</t>
  </si>
  <si>
    <t>Washburn County</t>
  </si>
  <si>
    <t>Washington County</t>
  </si>
  <si>
    <t>Waukesha County</t>
  </si>
  <si>
    <t>Waupaca County</t>
  </si>
  <si>
    <t>Waushara County</t>
  </si>
  <si>
    <t>Winnebago County</t>
  </si>
  <si>
    <t>Wood County</t>
  </si>
  <si>
    <t>Input Year of Rent Limits Below:</t>
  </si>
  <si>
    <t>Year 2024</t>
  </si>
  <si>
    <t>Studio</t>
  </si>
  <si>
    <t>Effective: April 1, 2024</t>
  </si>
  <si>
    <t>1 Person</t>
  </si>
  <si>
    <t>1.5 Person</t>
  </si>
  <si>
    <t>3 Person</t>
  </si>
  <si>
    <t>4.5 Person</t>
  </si>
  <si>
    <t>6 Person</t>
  </si>
  <si>
    <t>7.5 Person</t>
  </si>
  <si>
    <t>COUNTY:</t>
  </si>
  <si>
    <t>National Non-Metropolitan</t>
  </si>
  <si>
    <t xml:space="preserve">Rent limits for the counties listed below are based on the 2024 Median Family Income for the </t>
  </si>
  <si>
    <t>Nonmetropolitan portions of the state.</t>
  </si>
  <si>
    <t>Adams   Ashland   Barron   Bayfield   Buffalo   Burnett   Clark   Crawford   Florence   Forest   Iron</t>
  </si>
  <si>
    <t>Jackson   Juneau  Lafayette  Langlade   Marinette   Marquette   Menominee   Oneida   Price</t>
  </si>
  <si>
    <t>Richland   Rusk   Sawyer   Shawano   Taylor   Vernon   Vilas   Washburn   Waushara</t>
  </si>
  <si>
    <t>Reserved for List of counties</t>
  </si>
  <si>
    <t>20% CMI</t>
  </si>
  <si>
    <t>ONE</t>
  </si>
  <si>
    <t xml:space="preserve"> TWO</t>
  </si>
  <si>
    <t xml:space="preserve">       THREE</t>
  </si>
  <si>
    <t>FOUR</t>
  </si>
  <si>
    <t xml:space="preserve">   FIVE</t>
  </si>
  <si>
    <t xml:space="preserve"> SIX</t>
  </si>
  <si>
    <t xml:space="preserve">    SEVEN</t>
  </si>
  <si>
    <t xml:space="preserve">   EIGHT</t>
  </si>
  <si>
    <t>NINE</t>
  </si>
  <si>
    <t xml:space="preserve">Rent limits for the counties listed below are based on the 2020 Median Family Income for the </t>
  </si>
  <si>
    <t>Jackson   Juneau   Lafayette Langlade   Marinette   Marquette   Menominee   Oneida   Price</t>
  </si>
  <si>
    <t>Instructions:</t>
  </si>
  <si>
    <t>Use rent limits from https://www.wheda.com/developers-and-property-managers/tax-credits/htc/monitoring/</t>
  </si>
  <si>
    <t>Copy into 50% CMI section</t>
  </si>
  <si>
    <t>https://www.wheda.com/globalassets/documents/tax-credits/htc/2023/2023-standard-mtsp.pdf</t>
  </si>
  <si>
    <t>Allocation Certificate Request (ACR) Form</t>
  </si>
  <si>
    <t>To Request IRS Tax Form 8609</t>
  </si>
  <si>
    <t>HOUSING TAX CREDIT TYPE:</t>
  </si>
  <si>
    <t>OWNER FEDERAL TAXPAYER ID:</t>
  </si>
  <si>
    <t>-</t>
  </si>
  <si>
    <t>01</t>
  </si>
  <si>
    <t>ALLOCATION SUBJECT TO NON-PROFIT SET-ASIDE (Select):</t>
  </si>
  <si>
    <t>02</t>
  </si>
  <si>
    <t>PROJECT NUMBER:</t>
  </si>
  <si>
    <t>MINIMUM SET-ASIDE (Select):</t>
  </si>
  <si>
    <t>03</t>
  </si>
  <si>
    <t>*TOTAL NUMBER OF PROJECT BUILDINGS:</t>
  </si>
  <si>
    <t>LOCKED-IN CREDIT PERCENTAGE DATE (MM/YYYY or N/A):</t>
  </si>
  <si>
    <t>04</t>
  </si>
  <si>
    <t>ACQUISITION AND REHAB CREDIT(Select):</t>
  </si>
  <si>
    <t>05</t>
  </si>
  <si>
    <t xml:space="preserve">*If the total number of project buildings exceeds 50, </t>
  </si>
  <si>
    <t>REQUESTING BASIS BOOST (Select):</t>
  </si>
  <si>
    <t>06</t>
  </si>
  <si>
    <t>07</t>
  </si>
  <si>
    <t>08</t>
  </si>
  <si>
    <t>09</t>
  </si>
  <si>
    <t>Building Identification Number (B.I.N.)</t>
  </si>
  <si>
    <t>Date Building Placed In Service</t>
  </si>
  <si>
    <t>Building Street Address</t>
  </si>
  <si>
    <t>Basis Boost</t>
  </si>
  <si>
    <t>Bulding Applicable Fraction</t>
  </si>
  <si>
    <t>Credit %</t>
  </si>
  <si>
    <t>10</t>
  </si>
  <si>
    <t>11</t>
  </si>
  <si>
    <t>12</t>
  </si>
  <si>
    <t>13</t>
  </si>
  <si>
    <t>21</t>
  </si>
  <si>
    <t>22</t>
  </si>
  <si>
    <t>23</t>
  </si>
  <si>
    <t>24</t>
  </si>
  <si>
    <t>26</t>
  </si>
  <si>
    <t>27</t>
  </si>
  <si>
    <t>28</t>
  </si>
  <si>
    <t>31</t>
  </si>
  <si>
    <t>32</t>
  </si>
  <si>
    <t>33</t>
  </si>
  <si>
    <t>34</t>
  </si>
  <si>
    <t>35</t>
  </si>
  <si>
    <t>36</t>
  </si>
  <si>
    <t>37</t>
  </si>
  <si>
    <t>38</t>
  </si>
  <si>
    <t>39</t>
  </si>
  <si>
    <t>41</t>
  </si>
  <si>
    <t>42</t>
  </si>
  <si>
    <t>43</t>
  </si>
  <si>
    <t>44</t>
  </si>
  <si>
    <t>46</t>
  </si>
  <si>
    <t>47</t>
  </si>
  <si>
    <t>48</t>
  </si>
  <si>
    <t>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</si>
</sst>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0"/>
    <numFmt numFmtId="166" formatCode="0.000%"/>
    <numFmt numFmtId="167" formatCode="&quot;$&quot;#,##0.00"/>
    <numFmt numFmtId="168" formatCode="0.000"/>
    <numFmt numFmtId="169" formatCode="0.0%"/>
    <numFmt numFmtId="170" formatCode="_(&quot;$&quot;* #,##0_);_(&quot;$&quot;* \(#,##0\);_(&quot;$&quot;* &quot;-&quot;??_);_(@_)"/>
    <numFmt numFmtId="171" formatCode="_(* #,##0_);_(* \(#,##0\);_(* &quot;-&quot;??_);_(@_)"/>
    <numFmt numFmtId="172" formatCode="&quot;$&quot;#,##0"/>
    <numFmt numFmtId="173" formatCode="&quot;$&quot;#,##0.0000"/>
    <numFmt numFmtId="174" formatCode="#,##0.000_);[Red]\(#,##0.000\)"/>
    <numFmt numFmtId="175" formatCode="m/d/yy;@"/>
    <numFmt numFmtId="176" formatCode="#,##0.0_);[Red]\(#,##0.0\)"/>
    <numFmt numFmtId="177" formatCode="\(###\)\ ###\-####"/>
    <numFmt numFmtId="178" formatCode="##\-#######"/>
    <numFmt numFmtId="179" formatCode="_([$$-409]* #,##0_);_([$$-409]* \(#,##0\);_([$$-409]* &quot;-&quot;??_);_(@_)"/>
    <numFmt numFmtId="180" formatCode="&quot;$&quot;#,##0.000"/>
    <numFmt numFmtId="181" formatCode="0.0000"/>
    <numFmt numFmtId="182" formatCode="_([$$-409]* #,##0.000_);_([$$-409]* \(#,##0.000\);_([$$-409]* &quot;-&quot;??_);_(@_)"/>
    <numFmt numFmtId="183" formatCode="0.00000%"/>
    <numFmt numFmtId="184" formatCode="_([$$-409]* #,##0.000_);_([$$-409]* \(#,##0.000\);_([$$-409]* &quot;-&quot;???_);_(@_)"/>
    <numFmt numFmtId="185" formatCode="0.00000"/>
    <numFmt numFmtId="186" formatCode="#,##0.0000"/>
    <numFmt numFmtId="187" formatCode="#,##0.00000"/>
    <numFmt numFmtId="188" formatCode="m/d/yyyy;@"/>
    <numFmt numFmtId="189" formatCode="#,##0.000_);\(#,##0.000\)"/>
    <numFmt numFmtId="190" formatCode="_(&quot;$&quot;* #,##0.0_);_(&quot;$&quot;* \(#,##0.0\);_(&quot;$&quot;* &quot;-&quot;??_);_(@_)"/>
  </numFmts>
  <fonts count="222">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2"/>
      <color rgb="FF005774"/>
      <name val="Calibri"/>
      <family val="2"/>
      <scheme val="minor"/>
    </font>
    <font>
      <sz val="12"/>
      <color rgb="FF005774"/>
      <name val="Calibri"/>
      <family val="2"/>
      <scheme val="minor"/>
    </font>
    <font>
      <u/>
      <sz val="12"/>
      <color rgb="FF02A69C"/>
      <name val="Calibri"/>
      <family val="2"/>
      <scheme val="minor"/>
    </font>
    <font>
      <sz val="8"/>
      <name val="Calibri"/>
      <family val="2"/>
      <scheme val="minor"/>
    </font>
    <font>
      <u/>
      <sz val="11"/>
      <color theme="10"/>
      <name val="Calibri"/>
      <family val="2"/>
      <scheme val="minor"/>
    </font>
    <font>
      <sz val="11"/>
      <color rgb="FF000000"/>
      <name val="Calibri"/>
      <family val="2"/>
      <scheme val="minor"/>
    </font>
    <font>
      <b/>
      <sz val="14"/>
      <color theme="1"/>
      <name val="Calibri"/>
      <family val="2"/>
      <scheme val="minor"/>
    </font>
    <font>
      <sz val="12"/>
      <color rgb="FF000000"/>
      <name val="Calibri"/>
      <family val="2"/>
      <scheme val="minor"/>
    </font>
    <font>
      <u/>
      <sz val="11"/>
      <color rgb="FF02A69C"/>
      <name val="Calibri"/>
      <family val="2"/>
      <scheme val="minor"/>
    </font>
    <font>
      <b/>
      <sz val="14"/>
      <color rgb="FF07A54E"/>
      <name val="Calibri"/>
      <family val="2"/>
      <scheme val="minor"/>
    </font>
    <font>
      <b/>
      <sz val="11"/>
      <color rgb="FFFF0000"/>
      <name val="Calibri"/>
      <family val="2"/>
      <scheme val="minor"/>
    </font>
    <font>
      <sz val="11"/>
      <color rgb="FFFF0000"/>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1"/>
      <color theme="1"/>
      <name val="Calibri"/>
      <family val="2"/>
      <scheme val="minor"/>
    </font>
    <font>
      <b/>
      <sz val="9"/>
      <color indexed="81"/>
      <name val="Tahoma"/>
      <family val="2"/>
    </font>
    <font>
      <sz val="9"/>
      <color indexed="81"/>
      <name val="Tahoma"/>
      <family val="2"/>
    </font>
    <font>
      <sz val="11"/>
      <color rgb="FF444444"/>
      <name val="Calibri"/>
      <family val="2"/>
    </font>
    <font>
      <sz val="11"/>
      <color theme="1"/>
      <name val="Calibri"/>
      <family val="2"/>
    </font>
    <font>
      <b/>
      <sz val="11"/>
      <color theme="1"/>
      <name val="Calibri"/>
      <family val="2"/>
    </font>
    <font>
      <b/>
      <sz val="11"/>
      <color rgb="FF444444"/>
      <name val="Calibri"/>
      <family val="2"/>
    </font>
    <font>
      <b/>
      <sz val="11"/>
      <color rgb="FF07A54E"/>
      <name val="Calibri"/>
      <family val="2"/>
      <scheme val="minor"/>
    </font>
    <font>
      <sz val="11"/>
      <name val="Calibri"/>
      <family val="2"/>
      <scheme val="minor"/>
    </font>
    <font>
      <b/>
      <sz val="11"/>
      <color rgb="FFFF0000"/>
      <name val="Calibri"/>
      <family val="2"/>
    </font>
    <font>
      <sz val="10"/>
      <name val="Arial"/>
      <family val="2"/>
    </font>
    <font>
      <sz val="8"/>
      <color indexed="81"/>
      <name val="Tahoma"/>
      <family val="2"/>
    </font>
    <font>
      <b/>
      <sz val="11"/>
      <name val="Calibri"/>
      <family val="2"/>
      <scheme val="minor"/>
    </font>
    <font>
      <b/>
      <sz val="12"/>
      <color rgb="FF07A54E"/>
      <name val="Calibri"/>
      <family val="2"/>
      <scheme val="minor"/>
    </font>
    <font>
      <sz val="12"/>
      <name val="Calibri"/>
      <family val="2"/>
      <scheme val="minor"/>
    </font>
    <font>
      <b/>
      <i/>
      <sz val="11"/>
      <name val="Calibri"/>
      <family val="2"/>
      <scheme val="minor"/>
    </font>
    <font>
      <b/>
      <i/>
      <sz val="10"/>
      <name val="Calibri"/>
      <family val="2"/>
      <scheme val="minor"/>
    </font>
    <font>
      <i/>
      <sz val="11"/>
      <color rgb="FF3131E7"/>
      <name val="Calibri"/>
      <family val="2"/>
      <scheme val="minor"/>
    </font>
    <font>
      <b/>
      <sz val="14"/>
      <name val="Calibri"/>
      <family val="2"/>
      <scheme val="minor"/>
    </font>
    <font>
      <sz val="10"/>
      <name val="Calibri"/>
      <family val="2"/>
      <scheme val="minor"/>
    </font>
    <font>
      <b/>
      <sz val="12"/>
      <color indexed="9"/>
      <name val="Calibri"/>
      <family val="2"/>
      <scheme val="minor"/>
    </font>
    <font>
      <b/>
      <sz val="10"/>
      <color indexed="9"/>
      <name val="Calibri"/>
      <family val="2"/>
      <scheme val="minor"/>
    </font>
    <font>
      <sz val="10"/>
      <color indexed="8"/>
      <name val="Calibri"/>
      <family val="2"/>
      <scheme val="minor"/>
    </font>
    <font>
      <b/>
      <sz val="9"/>
      <color indexed="8"/>
      <name val="Calibri"/>
      <family val="2"/>
      <scheme val="minor"/>
    </font>
    <font>
      <sz val="9"/>
      <color theme="1"/>
      <name val="Calibri"/>
      <family val="2"/>
      <scheme val="minor"/>
    </font>
    <font>
      <sz val="11"/>
      <color indexed="9"/>
      <name val="Calibri"/>
      <family val="2"/>
      <scheme val="minor"/>
    </font>
    <font>
      <b/>
      <sz val="10"/>
      <color indexed="8"/>
      <name val="Calibri"/>
      <family val="2"/>
      <scheme val="minor"/>
    </font>
    <font>
      <sz val="10"/>
      <color indexed="9"/>
      <name val="Calibri"/>
      <family val="2"/>
      <scheme val="minor"/>
    </font>
    <font>
      <sz val="9"/>
      <color indexed="8"/>
      <name val="Calibri"/>
      <family val="2"/>
      <scheme val="minor"/>
    </font>
    <font>
      <sz val="8"/>
      <color indexed="8"/>
      <name val="Tahoma"/>
      <family val="2"/>
    </font>
    <font>
      <b/>
      <sz val="22"/>
      <color rgb="FF005774"/>
      <name val="Calibri"/>
      <family val="2"/>
    </font>
    <font>
      <sz val="12"/>
      <color rgb="FF005774"/>
      <name val="Calibri"/>
      <family val="2"/>
    </font>
    <font>
      <b/>
      <sz val="14"/>
      <color rgb="FF000000"/>
      <name val="Calibri"/>
      <family val="2"/>
    </font>
    <font>
      <b/>
      <sz val="14"/>
      <color rgb="FF07A54E"/>
      <name val="Calibri"/>
      <family val="2"/>
    </font>
    <font>
      <sz val="12"/>
      <color rgb="FF000000"/>
      <name val="Calibri"/>
      <family val="2"/>
    </font>
    <font>
      <b/>
      <sz val="11"/>
      <color rgb="FF000000"/>
      <name val="Calibri"/>
      <family val="2"/>
    </font>
    <font>
      <b/>
      <sz val="12"/>
      <color rgb="FF07A54E"/>
      <name val="Calibri"/>
      <family val="2"/>
    </font>
    <font>
      <b/>
      <i/>
      <sz val="11"/>
      <color rgb="FF000000"/>
      <name val="Calibri"/>
      <family val="2"/>
    </font>
    <font>
      <sz val="10"/>
      <color rgb="FF000000"/>
      <name val="Calibri"/>
      <family val="2"/>
    </font>
    <font>
      <b/>
      <sz val="10"/>
      <color rgb="FF000000"/>
      <name val="Calibri"/>
      <family val="2"/>
    </font>
    <font>
      <b/>
      <sz val="10"/>
      <name val="Calibri"/>
      <family val="2"/>
    </font>
    <font>
      <b/>
      <sz val="11"/>
      <color rgb="FF3C40E8"/>
      <name val="Calibri"/>
      <family val="2"/>
    </font>
    <font>
      <i/>
      <sz val="11"/>
      <color rgb="FF000000"/>
      <name val="Calibri"/>
      <family val="2"/>
    </font>
    <font>
      <b/>
      <sz val="11"/>
      <name val="Calibri"/>
      <family val="2"/>
    </font>
    <font>
      <sz val="11"/>
      <name val="Calibri"/>
      <family val="2"/>
    </font>
    <font>
      <sz val="11"/>
      <name val="Calibri  "/>
    </font>
    <font>
      <sz val="11"/>
      <color rgb="FFFF0000"/>
      <name val="Calibri"/>
      <family val="2"/>
    </font>
    <font>
      <sz val="11"/>
      <color rgb="FF000000"/>
      <name val="Calibri"/>
      <family val="2"/>
    </font>
    <font>
      <b/>
      <sz val="12"/>
      <color rgb="FFFFFFFF"/>
      <name val="Calibri"/>
      <family val="2"/>
    </font>
    <font>
      <b/>
      <sz val="11"/>
      <color rgb="FFFFFFFF"/>
      <name val="Calibri"/>
      <family val="2"/>
    </font>
    <font>
      <b/>
      <sz val="9"/>
      <color rgb="FF000000"/>
      <name val="Calibri"/>
      <family val="2"/>
    </font>
    <font>
      <b/>
      <sz val="9"/>
      <name val="Calibri"/>
      <family val="2"/>
    </font>
    <font>
      <sz val="10"/>
      <name val="Calibri"/>
      <family val="2"/>
    </font>
    <font>
      <sz val="9"/>
      <color rgb="FF000000"/>
      <name val="Calibri"/>
      <family val="2"/>
    </font>
    <font>
      <b/>
      <sz val="14"/>
      <name val="Calibri"/>
      <family val="2"/>
    </font>
    <font>
      <b/>
      <sz val="12"/>
      <color rgb="FF000000"/>
      <name val="Calibri"/>
      <family val="2"/>
    </font>
    <font>
      <b/>
      <i/>
      <sz val="10"/>
      <name val="Calibri"/>
      <family val="2"/>
    </font>
    <font>
      <b/>
      <i/>
      <sz val="11"/>
      <name val="Calibri"/>
      <family val="2"/>
    </font>
    <font>
      <i/>
      <sz val="11"/>
      <name val="Calibri"/>
      <family val="2"/>
    </font>
    <font>
      <sz val="11"/>
      <color rgb="FFFFFFFF"/>
      <name val="Calibri"/>
      <family val="2"/>
    </font>
    <font>
      <sz val="11"/>
      <color rgb="FFEDEDED"/>
      <name val="Calibri"/>
      <family val="2"/>
    </font>
    <font>
      <sz val="11"/>
      <color theme="1"/>
      <name val="Calibri"/>
      <family val="2"/>
      <scheme val="minor"/>
    </font>
    <font>
      <sz val="11"/>
      <color theme="0"/>
      <name val="Calibri"/>
      <family val="2"/>
    </font>
    <font>
      <sz val="9"/>
      <color rgb="FF000000"/>
      <name val="Tahoma"/>
      <family val="2"/>
    </font>
    <font>
      <sz val="11"/>
      <color rgb="FFF2EDDC"/>
      <name val="Calibri"/>
      <family val="2"/>
      <scheme val="minor"/>
    </font>
    <font>
      <sz val="11"/>
      <color rgb="FFF2EDDC"/>
      <name val="Calibri"/>
      <family val="2"/>
    </font>
    <font>
      <b/>
      <sz val="11"/>
      <color theme="0"/>
      <name val="Calibri"/>
      <family val="2"/>
    </font>
    <font>
      <b/>
      <i/>
      <sz val="11"/>
      <color theme="0"/>
      <name val="Calibri"/>
      <family val="2"/>
    </font>
    <font>
      <b/>
      <sz val="12"/>
      <color theme="0"/>
      <name val="Arial"/>
      <family val="2"/>
    </font>
    <font>
      <b/>
      <sz val="10"/>
      <color theme="0"/>
      <name val="Calibri"/>
      <family val="2"/>
    </font>
    <font>
      <b/>
      <i/>
      <sz val="10"/>
      <color theme="0"/>
      <name val="Arial"/>
      <family val="2"/>
    </font>
    <font>
      <sz val="10"/>
      <color theme="0"/>
      <name val="Calibri"/>
      <family val="2"/>
    </font>
    <font>
      <b/>
      <sz val="10"/>
      <color theme="0"/>
      <name val="Calibri"/>
      <family val="2"/>
      <scheme val="minor"/>
    </font>
    <font>
      <sz val="10"/>
      <color theme="1"/>
      <name val="Arial"/>
      <family val="2"/>
    </font>
    <font>
      <strike/>
      <sz val="11"/>
      <name val="Calibri"/>
      <family val="2"/>
    </font>
    <font>
      <sz val="11"/>
      <color theme="0"/>
      <name val="Calibri (Body)"/>
    </font>
    <font>
      <b/>
      <sz val="11"/>
      <color theme="0"/>
      <name val="Calibri"/>
      <family val="2"/>
      <scheme val="minor"/>
    </font>
    <font>
      <b/>
      <sz val="9"/>
      <color rgb="FF000000"/>
      <name val="Tahoma"/>
      <family val="2"/>
    </font>
    <font>
      <u/>
      <sz val="11"/>
      <color theme="1"/>
      <name val="Calibri"/>
      <family val="2"/>
      <scheme val="minor"/>
    </font>
    <font>
      <b/>
      <u/>
      <sz val="11"/>
      <color theme="1"/>
      <name val="Calibri"/>
      <family val="2"/>
      <scheme val="minor"/>
    </font>
    <font>
      <sz val="10"/>
      <color rgb="FFF2EDDC"/>
      <name val="Calibri"/>
      <family val="2"/>
      <scheme val="minor"/>
    </font>
    <font>
      <sz val="10"/>
      <color rgb="FFF2EDDC"/>
      <name val="Calibri"/>
      <family val="2"/>
    </font>
    <font>
      <b/>
      <sz val="10"/>
      <color rgb="FF000000"/>
      <name val="Calibri"/>
      <family val="2"/>
      <scheme val="minor"/>
    </font>
    <font>
      <sz val="9"/>
      <color rgb="FFF2EDDC"/>
      <name val="Calibri"/>
      <family val="2"/>
    </font>
    <font>
      <i/>
      <sz val="12"/>
      <color theme="1"/>
      <name val="Calibri"/>
      <family val="2"/>
      <scheme val="minor"/>
    </font>
    <font>
      <u/>
      <sz val="11"/>
      <color theme="1"/>
      <name val="Calibri"/>
      <family val="2"/>
    </font>
    <font>
      <b/>
      <sz val="14"/>
      <color rgb="FFFF0000"/>
      <name val="Calibri"/>
      <family val="2"/>
      <scheme val="minor"/>
    </font>
    <font>
      <b/>
      <sz val="11"/>
      <color rgb="FFF2EDDC"/>
      <name val="Calibri"/>
      <family val="2"/>
      <scheme val="minor"/>
    </font>
    <font>
      <u/>
      <sz val="11"/>
      <color rgb="FFF2EDDC"/>
      <name val="Calibri"/>
      <family val="2"/>
      <scheme val="minor"/>
    </font>
    <font>
      <u/>
      <sz val="11"/>
      <color theme="0"/>
      <name val="Calibri"/>
      <family val="2"/>
      <scheme val="minor"/>
    </font>
    <font>
      <i/>
      <sz val="11"/>
      <color rgb="FFFF0000"/>
      <name val="Calibri"/>
      <family val="2"/>
      <scheme val="minor"/>
    </font>
    <font>
      <sz val="11"/>
      <color rgb="FF24B6CA"/>
      <name val="Calibri"/>
      <family val="2"/>
      <scheme val="minor"/>
    </font>
    <font>
      <b/>
      <sz val="12"/>
      <color theme="4"/>
      <name val="Century Gothic"/>
      <family val="2"/>
    </font>
    <font>
      <i/>
      <sz val="11"/>
      <color theme="3"/>
      <name val="Calibri"/>
      <family val="2"/>
      <scheme val="minor"/>
    </font>
    <font>
      <b/>
      <sz val="12"/>
      <name val="Calibri"/>
      <family val="2"/>
      <scheme val="minor"/>
    </font>
    <font>
      <i/>
      <sz val="10"/>
      <name val="Calibri"/>
      <family val="2"/>
      <scheme val="minor"/>
    </font>
    <font>
      <b/>
      <sz val="11"/>
      <color theme="0" tint="-0.14999847407452621"/>
      <name val="Calibri"/>
      <family val="2"/>
      <scheme val="minor"/>
    </font>
    <font>
      <sz val="10"/>
      <color rgb="FFFF0000"/>
      <name val="Calibri"/>
      <family val="2"/>
      <scheme val="minor"/>
    </font>
    <font>
      <sz val="11"/>
      <color rgb="FF07A54E"/>
      <name val="Calibri"/>
      <family val="2"/>
      <scheme val="minor"/>
    </font>
    <font>
      <b/>
      <i/>
      <sz val="11"/>
      <color rgb="FFFF0000"/>
      <name val="Calibri"/>
      <family val="2"/>
      <scheme val="minor"/>
    </font>
    <font>
      <sz val="11"/>
      <color rgb="FFFF0000"/>
      <name val="Calibri (Body)"/>
    </font>
    <font>
      <b/>
      <i/>
      <sz val="11"/>
      <color rgb="FFC00000"/>
      <name val="Calibri"/>
      <family val="2"/>
      <scheme val="minor"/>
    </font>
    <font>
      <b/>
      <sz val="11"/>
      <color rgb="FF000000"/>
      <name val="Calibri"/>
      <family val="2"/>
      <scheme val="minor"/>
    </font>
    <font>
      <sz val="11"/>
      <color theme="1"/>
      <name val="Century Gothic"/>
      <family val="2"/>
    </font>
    <font>
      <b/>
      <sz val="11"/>
      <color theme="1"/>
      <name val="Century Gothic"/>
      <family val="2"/>
    </font>
    <font>
      <sz val="11"/>
      <color indexed="8"/>
      <name val="Calibri"/>
      <family val="2"/>
      <scheme val="minor"/>
    </font>
    <font>
      <i/>
      <sz val="10"/>
      <color theme="1"/>
      <name val="Calibri"/>
      <family val="2"/>
      <scheme val="minor"/>
    </font>
    <font>
      <b/>
      <u/>
      <sz val="11"/>
      <color rgb="FF444444"/>
      <name val="Calibri"/>
      <family val="2"/>
    </font>
    <font>
      <b/>
      <u/>
      <sz val="12"/>
      <name val="Calibri"/>
      <family val="2"/>
      <scheme val="minor"/>
    </font>
    <font>
      <b/>
      <i/>
      <sz val="10"/>
      <color theme="0"/>
      <name val="Calibri"/>
      <family val="2"/>
      <scheme val="minor"/>
    </font>
    <font>
      <sz val="10"/>
      <color theme="1"/>
      <name val="Calibri"/>
      <family val="2"/>
    </font>
    <font>
      <b/>
      <sz val="10"/>
      <color rgb="FF07A54E"/>
      <name val="Calibri"/>
      <family val="2"/>
    </font>
    <font>
      <sz val="14"/>
      <name val="Lato"/>
      <family val="2"/>
    </font>
    <font>
      <b/>
      <sz val="12"/>
      <color theme="1"/>
      <name val="Calibri"/>
      <family val="2"/>
    </font>
    <font>
      <sz val="14"/>
      <color rgb="FF056A38"/>
      <name val="Webdings"/>
      <family val="1"/>
      <charset val="2"/>
    </font>
    <font>
      <sz val="14"/>
      <color rgb="FF056A38"/>
      <name val="Calibri"/>
      <family val="2"/>
      <scheme val="minor"/>
    </font>
    <font>
      <sz val="14"/>
      <color rgb="FF056A38"/>
      <name val="Wingdings"/>
      <charset val="2"/>
    </font>
    <font>
      <b/>
      <sz val="11"/>
      <color theme="0" tint="-4.9989318521683403E-2"/>
      <name val="Calibri"/>
      <family val="2"/>
      <scheme val="minor"/>
    </font>
    <font>
      <b/>
      <sz val="12"/>
      <color rgb="FF005774"/>
      <name val="Calibri"/>
      <family val="2"/>
      <scheme val="minor"/>
    </font>
    <font>
      <u/>
      <sz val="11"/>
      <name val="Calibri"/>
      <family val="2"/>
      <scheme val="minor"/>
    </font>
    <font>
      <u/>
      <sz val="12"/>
      <color rgb="FF000000"/>
      <name val="Calibri"/>
      <family val="2"/>
      <scheme val="minor"/>
    </font>
    <font>
      <b/>
      <sz val="14"/>
      <color rgb="FF00B050"/>
      <name val="Calibri"/>
      <family val="2"/>
      <scheme val="minor"/>
    </font>
    <font>
      <sz val="12"/>
      <color theme="0" tint="-4.9989318521683403E-2"/>
      <name val="Calibri"/>
      <family val="2"/>
      <scheme val="minor"/>
    </font>
    <font>
      <b/>
      <u/>
      <sz val="12"/>
      <color theme="1"/>
      <name val="Calibri"/>
      <family val="2"/>
      <scheme val="minor"/>
    </font>
    <font>
      <b/>
      <sz val="11"/>
      <color theme="0"/>
      <name val="Arial"/>
      <family val="2"/>
    </font>
    <font>
      <b/>
      <sz val="18"/>
      <color theme="0"/>
      <name val="Calibri"/>
      <family val="2"/>
      <scheme val="minor"/>
    </font>
    <font>
      <b/>
      <sz val="24"/>
      <color rgb="FF07A54E"/>
      <name val="Calibri"/>
      <family val="2"/>
      <scheme val="minor"/>
    </font>
    <font>
      <b/>
      <sz val="14"/>
      <color rgb="FF00B050"/>
      <name val="Calibri"/>
      <family val="2"/>
    </font>
    <font>
      <b/>
      <sz val="22"/>
      <color rgb="FF07A54E"/>
      <name val="Calibri"/>
      <family val="2"/>
      <scheme val="minor"/>
    </font>
    <font>
      <b/>
      <sz val="14"/>
      <color theme="1"/>
      <name val="Calibri"/>
      <family val="2"/>
    </font>
    <font>
      <sz val="11"/>
      <color theme="0" tint="-4.9989318521683403E-2"/>
      <name val="Calibri"/>
      <family val="2"/>
    </font>
    <font>
      <sz val="11"/>
      <color theme="0" tint="-4.9989318521683403E-2"/>
      <name val="Calibri"/>
      <family val="2"/>
      <scheme val="minor"/>
    </font>
    <font>
      <b/>
      <sz val="16"/>
      <color rgb="FF005774"/>
      <name val="Calibri"/>
      <family val="2"/>
      <scheme val="minor"/>
    </font>
    <font>
      <b/>
      <sz val="14"/>
      <color rgb="FF005774"/>
      <name val="Calibri"/>
      <family val="2"/>
      <scheme val="minor"/>
    </font>
    <font>
      <u/>
      <sz val="14"/>
      <color rgb="FF02A69C"/>
      <name val="Calibri"/>
      <family val="2"/>
      <scheme val="minor"/>
    </font>
    <font>
      <sz val="14"/>
      <color theme="1"/>
      <name val="Calibri"/>
      <family val="2"/>
      <scheme val="minor"/>
    </font>
    <font>
      <b/>
      <sz val="11"/>
      <color rgb="FF07A54E"/>
      <name val="Calibri"/>
      <family val="2"/>
    </font>
    <font>
      <sz val="14"/>
      <color theme="0"/>
      <name val="Calibri"/>
      <family val="2"/>
      <scheme val="minor"/>
    </font>
    <font>
      <i/>
      <sz val="12"/>
      <color rgb="FF000000"/>
      <name val="Calibri"/>
      <family val="2"/>
      <scheme val="minor"/>
    </font>
    <font>
      <sz val="12"/>
      <color rgb="FFFF0000"/>
      <name val="Calibri"/>
      <family val="2"/>
      <scheme val="minor"/>
    </font>
    <font>
      <sz val="14"/>
      <name val="Calibri"/>
      <family val="2"/>
      <scheme val="minor"/>
    </font>
    <font>
      <b/>
      <u/>
      <sz val="11"/>
      <color rgb="FF000000"/>
      <name val="Calibri"/>
      <family val="2"/>
      <scheme val="minor"/>
    </font>
    <font>
      <u/>
      <sz val="11"/>
      <color rgb="FF000000"/>
      <name val="Calibri"/>
      <family val="2"/>
      <scheme val="minor"/>
    </font>
    <font>
      <i/>
      <sz val="11"/>
      <color rgb="FF000000"/>
      <name val="Calibri"/>
      <family val="2"/>
      <scheme val="minor"/>
    </font>
    <font>
      <sz val="12"/>
      <name val="Calibri"/>
      <family val="2"/>
    </font>
    <font>
      <b/>
      <sz val="16"/>
      <color rgb="FF07A54E"/>
      <name val="Calibri"/>
      <family val="2"/>
      <scheme val="minor"/>
    </font>
    <font>
      <sz val="16"/>
      <color theme="1"/>
      <name val="Calibri"/>
      <family val="2"/>
      <scheme val="minor"/>
    </font>
    <font>
      <sz val="16"/>
      <color theme="0"/>
      <name val="Calibri (Body)"/>
    </font>
    <font>
      <sz val="16"/>
      <color theme="0"/>
      <name val="Calibri"/>
      <family val="2"/>
      <scheme val="minor"/>
    </font>
    <font>
      <sz val="16"/>
      <color rgb="FFFF0000"/>
      <name val="Calibri"/>
      <family val="2"/>
      <scheme val="minor"/>
    </font>
    <font>
      <sz val="16"/>
      <color rgb="FFFF0000"/>
      <name val="Calibri (Body)"/>
    </font>
    <font>
      <b/>
      <u/>
      <sz val="12"/>
      <color theme="1"/>
      <name val="Calibri"/>
      <family val="2"/>
    </font>
    <font>
      <b/>
      <sz val="11"/>
      <color rgb="FF005774"/>
      <name val="Calibri"/>
      <family val="2"/>
      <scheme val="minor"/>
    </font>
    <font>
      <sz val="22"/>
      <color theme="0"/>
      <name val="Calibri"/>
      <family val="2"/>
      <scheme val="minor"/>
    </font>
    <font>
      <sz val="22"/>
      <color theme="1"/>
      <name val="Calibri"/>
      <family val="2"/>
      <scheme val="minor"/>
    </font>
    <font>
      <b/>
      <sz val="22"/>
      <color theme="1"/>
      <name val="Calibri"/>
      <family val="2"/>
      <scheme val="minor"/>
    </font>
    <font>
      <sz val="22"/>
      <color rgb="FFFF0000"/>
      <name val="Calibri"/>
      <family val="2"/>
      <scheme val="minor"/>
    </font>
    <font>
      <b/>
      <sz val="22"/>
      <color rgb="FFFF0000"/>
      <name val="Calibri"/>
      <family val="2"/>
      <scheme val="minor"/>
    </font>
    <font>
      <sz val="12"/>
      <color theme="1"/>
      <name val="Calibri"/>
      <family val="2"/>
    </font>
    <font>
      <sz val="12"/>
      <color rgb="FFFF0000"/>
      <name val="Calibri"/>
      <family val="2"/>
    </font>
    <font>
      <sz val="12"/>
      <color theme="0"/>
      <name val="Calibri"/>
      <family val="2"/>
    </font>
    <font>
      <b/>
      <sz val="12"/>
      <color rgb="FFFFFFFF"/>
      <name val="Calibri"/>
      <family val="2"/>
      <scheme val="minor"/>
    </font>
    <font>
      <b/>
      <i/>
      <sz val="10"/>
      <color rgb="FFFFFFFF"/>
      <name val="Calibri"/>
      <family val="2"/>
      <scheme val="minor"/>
    </font>
    <font>
      <b/>
      <u/>
      <sz val="11"/>
      <color rgb="FF000000"/>
      <name val="Calibri"/>
      <family val="2"/>
    </font>
    <font>
      <b/>
      <strike/>
      <sz val="11"/>
      <name val="Calibri"/>
      <family val="2"/>
      <scheme val="minor"/>
    </font>
    <font>
      <strike/>
      <sz val="11"/>
      <name val="Calibri"/>
      <family val="2"/>
      <scheme val="minor"/>
    </font>
    <font>
      <sz val="16"/>
      <color rgb="FF005774"/>
      <name val="Calibri"/>
      <family val="2"/>
    </font>
    <font>
      <sz val="16"/>
      <color theme="1"/>
      <name val="Calibri"/>
      <family val="2"/>
    </font>
    <font>
      <b/>
      <sz val="11"/>
      <color theme="0"/>
      <name val="Calibri (Body)"/>
    </font>
    <font>
      <sz val="16"/>
      <name val="Calibri"/>
      <family val="2"/>
      <scheme val="minor"/>
    </font>
    <font>
      <u/>
      <sz val="11"/>
      <name val="Calibri"/>
      <family val="2"/>
    </font>
    <font>
      <u/>
      <sz val="12"/>
      <name val="Calibri"/>
      <family val="2"/>
    </font>
    <font>
      <b/>
      <sz val="12"/>
      <name val="Calibri"/>
      <family val="2"/>
    </font>
    <font>
      <b/>
      <sz val="11"/>
      <color rgb="FF91262E"/>
      <name val="Calibri"/>
      <family val="2"/>
      <scheme val="minor"/>
    </font>
    <font>
      <b/>
      <sz val="12"/>
      <color rgb="FF000000"/>
      <name val="Calibri"/>
      <family val="2"/>
      <scheme val="minor"/>
    </font>
    <font>
      <sz val="14"/>
      <color rgb="FFFF0000"/>
      <name val="Calibri"/>
      <family val="2"/>
      <scheme val="minor"/>
    </font>
    <font>
      <sz val="11"/>
      <color theme="1"/>
      <name val="Calibri"/>
      <family val="2"/>
      <scheme val="minor"/>
    </font>
    <font>
      <sz val="11"/>
      <color theme="0"/>
      <name val="Calibri"/>
      <family val="2"/>
      <scheme val="minor"/>
    </font>
    <font>
      <sz val="11"/>
      <name val="Calibri"/>
      <family val="2"/>
      <scheme val="minor"/>
    </font>
    <font>
      <sz val="11"/>
      <color rgb="FFF2EDDC"/>
      <name val="Calibri"/>
      <family val="2"/>
      <scheme val="minor"/>
    </font>
    <font>
      <b/>
      <sz val="9"/>
      <color theme="0"/>
      <name val="Calibri"/>
      <family val="2"/>
      <scheme val="minor"/>
    </font>
    <font>
      <sz val="10"/>
      <color rgb="FFFFFFFF"/>
      <name val="Calibri"/>
      <family val="2"/>
      <scheme val="minor"/>
    </font>
    <font>
      <b/>
      <sz val="10"/>
      <color theme="2"/>
      <name val="Calibri"/>
      <family val="2"/>
      <scheme val="minor"/>
    </font>
    <font>
      <sz val="11"/>
      <color theme="2"/>
      <name val="Calibri"/>
      <family val="2"/>
      <scheme val="minor"/>
    </font>
    <font>
      <sz val="14"/>
      <color rgb="FFF2EDDC"/>
      <name val="Calibri"/>
      <family val="2"/>
      <scheme val="minor"/>
    </font>
    <font>
      <sz val="11"/>
      <color rgb="FFC00000"/>
      <name val="Calibri"/>
      <family val="2"/>
      <scheme val="minor"/>
    </font>
    <font>
      <sz val="11"/>
      <name val="Calibri (Body)"/>
    </font>
    <font>
      <sz val="11"/>
      <color theme="2"/>
      <name val="Calibri"/>
      <family val="2"/>
    </font>
    <font>
      <sz val="12"/>
      <color theme="2"/>
      <name val="Calibri"/>
      <family val="2"/>
      <scheme val="minor"/>
    </font>
    <font>
      <u/>
      <sz val="11"/>
      <color theme="0"/>
      <name val="Calibri"/>
      <family val="2"/>
    </font>
    <font>
      <sz val="10"/>
      <color theme="0"/>
      <name val="Calibri"/>
      <family val="2"/>
      <scheme val="minor"/>
    </font>
    <font>
      <b/>
      <u/>
      <sz val="11"/>
      <color theme="0"/>
      <name val="Calibri"/>
      <family val="2"/>
      <scheme val="minor"/>
    </font>
    <font>
      <b/>
      <sz val="10"/>
      <color rgb="FFFFFFFF"/>
      <name val="Calibri"/>
      <family val="2"/>
      <scheme val="minor"/>
    </font>
    <font>
      <b/>
      <u/>
      <sz val="10"/>
      <color rgb="FFFFFFFF"/>
      <name val="Calibri"/>
      <family val="2"/>
      <scheme val="minor"/>
    </font>
    <font>
      <u/>
      <sz val="10"/>
      <color rgb="FFFFFFFF"/>
      <name val="Calibri"/>
      <family val="2"/>
      <scheme val="minor"/>
    </font>
    <font>
      <sz val="10"/>
      <color theme="0"/>
      <name val="Arial"/>
      <family val="2"/>
    </font>
    <font>
      <b/>
      <sz val="10"/>
      <color theme="0"/>
      <name val="Arial"/>
      <family val="2"/>
    </font>
    <font>
      <sz val="22"/>
      <color rgb="FF000000"/>
      <name val="Calibri"/>
      <family val="2"/>
      <scheme val="minor"/>
    </font>
  </fonts>
  <fills count="56">
    <fill>
      <patternFill patternType="none"/>
    </fill>
    <fill>
      <patternFill patternType="gray125"/>
    </fill>
    <fill>
      <patternFill patternType="solid">
        <fgColor theme="0"/>
        <bgColor indexed="64"/>
      </patternFill>
    </fill>
    <fill>
      <patternFill patternType="solid">
        <fgColor rgb="FFF2EDDC"/>
        <bgColor indexed="64"/>
      </patternFill>
    </fill>
    <fill>
      <patternFill patternType="solid">
        <fgColor rgb="FFFFFFFF"/>
        <bgColor rgb="FF000000"/>
      </patternFill>
    </fill>
    <fill>
      <patternFill patternType="solid">
        <fgColor rgb="FF056A38"/>
        <bgColor indexed="64"/>
      </patternFill>
    </fill>
    <fill>
      <patternFill patternType="solid">
        <fgColor rgb="FFFFFF00"/>
        <bgColor indexed="64"/>
      </patternFill>
    </fill>
    <fill>
      <patternFill patternType="solid">
        <fgColor rgb="FFF2EDDC"/>
        <bgColor rgb="FF000000"/>
      </patternFill>
    </fill>
    <fill>
      <patternFill patternType="solid">
        <fgColor rgb="FFFFFFFF"/>
        <bgColor indexed="64"/>
      </patternFill>
    </fill>
    <fill>
      <patternFill patternType="solid">
        <fgColor rgb="FFFFFF99"/>
        <bgColor indexed="64"/>
      </patternFill>
    </fill>
    <fill>
      <patternFill patternType="solid">
        <fgColor rgb="FF07A54E"/>
        <bgColor indexed="64"/>
      </patternFill>
    </fill>
    <fill>
      <patternFill patternType="solid">
        <fgColor theme="4" tint="0.79998168889431442"/>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79998168889431442"/>
        <bgColor indexed="64"/>
      </patternFill>
    </fill>
    <fill>
      <patternFill patternType="mediumGray">
        <bgColor theme="0"/>
      </patternFill>
    </fill>
    <fill>
      <patternFill patternType="solid">
        <fgColor rgb="FF9BC2E6"/>
        <bgColor rgb="FF000000"/>
      </patternFill>
    </fill>
    <fill>
      <patternFill patternType="solid">
        <fgColor rgb="FFFFFF99"/>
        <bgColor rgb="FF000000"/>
      </patternFill>
    </fill>
    <fill>
      <patternFill patternType="solid">
        <fgColor rgb="FFD9E1F2"/>
        <bgColor rgb="FF000000"/>
      </patternFill>
    </fill>
    <fill>
      <patternFill patternType="solid">
        <fgColor rgb="FFBDD7EE"/>
        <bgColor rgb="FF000000"/>
      </patternFill>
    </fill>
    <fill>
      <patternFill patternType="solid">
        <fgColor rgb="FF000000"/>
        <bgColor rgb="FF000000"/>
      </patternFill>
    </fill>
    <fill>
      <patternFill patternType="solid">
        <fgColor rgb="FFFCE4D6"/>
        <bgColor rgb="FF000000"/>
      </patternFill>
    </fill>
    <fill>
      <patternFill patternType="solid">
        <fgColor rgb="FFE2EFDA"/>
        <bgColor rgb="FF000000"/>
      </patternFill>
    </fill>
    <fill>
      <patternFill patternType="solid">
        <fgColor rgb="FFB4C6E7"/>
        <bgColor rgb="FF000000"/>
      </patternFill>
    </fill>
    <fill>
      <patternFill patternType="solid">
        <fgColor theme="0"/>
        <bgColor rgb="FF000000"/>
      </patternFill>
    </fill>
    <fill>
      <patternFill patternType="solid">
        <fgColor rgb="FF056A38"/>
        <bgColor rgb="FF000000"/>
      </patternFill>
    </fill>
    <fill>
      <patternFill patternType="gray125">
        <fgColor rgb="FF000000"/>
        <bgColor rgb="FF056A38"/>
      </patternFill>
    </fill>
    <fill>
      <patternFill patternType="solid">
        <fgColor theme="0" tint="-0.14999847407452621"/>
        <bgColor indexed="64"/>
      </patternFill>
    </fill>
    <fill>
      <patternFill patternType="solid">
        <fgColor rgb="FFFFD597"/>
        <bgColor indexed="64"/>
      </patternFill>
    </fill>
    <fill>
      <patternFill patternType="solid">
        <fgColor rgb="FFFFCC66"/>
        <bgColor indexed="64"/>
      </patternFill>
    </fill>
    <fill>
      <patternFill patternType="solid">
        <fgColor theme="1"/>
        <bgColor indexed="64"/>
      </patternFill>
    </fill>
    <fill>
      <patternFill patternType="solid">
        <fgColor rgb="FF92D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rgb="FFBDD7EE"/>
        <bgColor indexed="64"/>
      </patternFill>
    </fill>
    <fill>
      <patternFill patternType="solid">
        <fgColor rgb="FFFCE4D6"/>
        <bgColor indexed="64"/>
      </patternFill>
    </fill>
    <fill>
      <patternFill patternType="solid">
        <fgColor theme="7" tint="0.39997558519241921"/>
        <bgColor indexed="65"/>
      </patternFill>
    </fill>
    <fill>
      <patternFill patternType="solid">
        <fgColor rgb="FFD9E1F2"/>
        <bgColor indexed="64"/>
      </patternFill>
    </fill>
    <fill>
      <patternFill patternType="solid">
        <fgColor theme="6" tint="0.59999389629810485"/>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FF0000"/>
        <bgColor indexed="64"/>
      </patternFill>
    </fill>
    <fill>
      <patternFill patternType="solid">
        <fgColor rgb="FF00B0F0"/>
        <bgColor indexed="64"/>
      </patternFill>
    </fill>
    <fill>
      <patternFill patternType="solid">
        <fgColor rgb="FFF2F2F2"/>
        <bgColor indexed="64"/>
      </patternFill>
    </fill>
    <fill>
      <patternFill patternType="solid">
        <fgColor rgb="FFF2F2F2"/>
        <bgColor rgb="FF000000"/>
      </patternFill>
    </fill>
    <fill>
      <patternFill patternType="solid">
        <fgColor theme="1"/>
        <bgColor rgb="FF000000"/>
      </patternFill>
    </fill>
    <fill>
      <patternFill patternType="solid">
        <fgColor rgb="FFD9D9D9"/>
        <bgColor rgb="FF000000"/>
      </patternFill>
    </fill>
    <fill>
      <patternFill patternType="solid">
        <fgColor theme="2"/>
        <bgColor rgb="FF000000"/>
      </patternFill>
    </fill>
  </fills>
  <borders count="10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indexed="64"/>
      </bottom>
      <diagonal/>
    </border>
    <border>
      <left/>
      <right/>
      <top style="thin">
        <color rgb="FF000000"/>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top style="medium">
        <color indexed="64"/>
      </top>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thin">
        <color indexed="64"/>
      </right>
      <top style="medium">
        <color auto="1"/>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rgb="FF000000"/>
      </right>
      <top style="thin">
        <color indexed="64"/>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rgb="FF808184"/>
      </right>
      <top style="thin">
        <color auto="1"/>
      </top>
      <bottom style="thin">
        <color auto="1"/>
      </bottom>
      <diagonal/>
    </border>
    <border>
      <left style="thin">
        <color rgb="FF808184"/>
      </left>
      <right style="thin">
        <color rgb="FF808184"/>
      </right>
      <top style="thin">
        <color auto="1"/>
      </top>
      <bottom style="thin">
        <color auto="1"/>
      </bottom>
      <diagonal/>
    </border>
    <border>
      <left style="thin">
        <color rgb="FF808184"/>
      </left>
      <right style="thin">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medium">
        <color auto="1"/>
      </top>
      <bottom style="thin">
        <color auto="1"/>
      </bottom>
      <diagonal/>
    </border>
    <border>
      <left/>
      <right/>
      <top/>
      <bottom style="double">
        <color indexed="64"/>
      </bottom>
      <diagonal/>
    </border>
    <border>
      <left style="thin">
        <color theme="9" tint="-0.249977111117893"/>
      </left>
      <right style="thin">
        <color theme="9" tint="-0.24994659260841701"/>
      </right>
      <top style="thin">
        <color theme="9" tint="-0.249977111117893"/>
      </top>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theme="9" tint="-0.249977111117893"/>
      </left>
      <right style="thin">
        <color theme="9" tint="-0.24994659260841701"/>
      </right>
      <top/>
      <bottom/>
      <diagonal/>
    </border>
    <border>
      <left style="thin">
        <color theme="9" tint="-0.249977111117893"/>
      </left>
      <right style="thin">
        <color theme="9" tint="-0.24994659260841701"/>
      </right>
      <top/>
      <bottom style="thin">
        <color theme="9" tint="-0.249977111117893"/>
      </bottom>
      <diagonal/>
    </border>
    <border>
      <left style="thin">
        <color theme="9" tint="-0.24994659260841701"/>
      </left>
      <right style="thin">
        <color indexed="64"/>
      </right>
      <top style="thin">
        <color theme="9" tint="-0.24994659260841701"/>
      </top>
      <bottom/>
      <diagonal/>
    </border>
    <border>
      <left style="thin">
        <color theme="9" tint="-0.24994659260841701"/>
      </left>
      <right style="thin">
        <color indexed="64"/>
      </right>
      <top/>
      <bottom style="thin">
        <color theme="9" tint="-0.24994659260841701"/>
      </bottom>
      <diagonal/>
    </border>
    <border>
      <left style="thin">
        <color theme="9" tint="-0.24994659260841701"/>
      </left>
      <right style="thin">
        <color indexed="64"/>
      </right>
      <top/>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rgb="FF000000"/>
      </left>
      <right style="thin">
        <color auto="1"/>
      </right>
      <top style="thin">
        <color rgb="FF000000"/>
      </top>
      <bottom style="thin">
        <color indexed="64"/>
      </bottom>
      <diagonal/>
    </border>
    <border>
      <left/>
      <right/>
      <top/>
      <bottom style="thin">
        <color rgb="FFD0CECE"/>
      </bottom>
      <diagonal/>
    </border>
    <border>
      <left style="thin">
        <color rgb="FFE7E6E6"/>
      </left>
      <right/>
      <top/>
      <bottom/>
      <diagonal/>
    </border>
    <border>
      <left style="thin">
        <color rgb="FFE7E6E6"/>
      </left>
      <right/>
      <top/>
      <bottom style="thin">
        <color rgb="FFD0CECE"/>
      </bottom>
      <diagonal/>
    </border>
    <border>
      <left style="thin">
        <color rgb="FFE7E6E6"/>
      </left>
      <right/>
      <top style="thin">
        <color auto="1"/>
      </top>
      <bottom style="thin">
        <color rgb="FFE7E6E6"/>
      </bottom>
      <diagonal/>
    </border>
    <border>
      <left/>
      <right/>
      <top style="thin">
        <color auto="1"/>
      </top>
      <bottom style="thin">
        <color rgb="FFE7E6E6"/>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thick">
        <color auto="1"/>
      </left>
      <right style="thick">
        <color auto="1"/>
      </right>
      <top style="thin">
        <color auto="1"/>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indexed="64"/>
      </right>
      <top/>
      <bottom style="hair">
        <color indexed="64"/>
      </bottom>
      <diagonal/>
    </border>
    <border>
      <left/>
      <right/>
      <top/>
      <bottom style="hair">
        <color indexed="64"/>
      </bottom>
      <diagonal/>
    </border>
    <border>
      <left/>
      <right style="thin">
        <color rgb="FF000000"/>
      </right>
      <top style="thin">
        <color auto="1"/>
      </top>
      <bottom style="thin">
        <color auto="1"/>
      </bottom>
      <diagonal/>
    </border>
    <border>
      <left style="thin">
        <color rgb="FF000000"/>
      </left>
      <right/>
      <top style="thin">
        <color rgb="FF000000"/>
      </top>
      <bottom style="thin">
        <color indexed="64"/>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indexed="64"/>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s>
  <cellStyleXfs count="11">
    <xf numFmtId="0" fontId="0" fillId="0" borderId="0"/>
    <xf numFmtId="0" fontId="13" fillId="0" borderId="0" applyNumberForma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85" fillId="0" borderId="0"/>
    <xf numFmtId="0" fontId="5" fillId="44" borderId="0" applyNumberFormat="0" applyBorder="0" applyAlignment="0" applyProtection="0"/>
  </cellStyleXfs>
  <cellXfs count="2696">
    <xf numFmtId="0" fontId="0" fillId="0" borderId="0" xfId="0"/>
    <xf numFmtId="0" fontId="14" fillId="0" borderId="0" xfId="0" applyFont="1"/>
    <xf numFmtId="0" fontId="16" fillId="0" borderId="0" xfId="0" applyFont="1"/>
    <xf numFmtId="0" fontId="0" fillId="2" borderId="0" xfId="0" applyFill="1"/>
    <xf numFmtId="0" fontId="9" fillId="2" borderId="0" xfId="0" applyFont="1" applyFill="1"/>
    <xf numFmtId="0" fontId="10" fillId="2" borderId="0" xfId="0" applyFont="1" applyFill="1"/>
    <xf numFmtId="0" fontId="0" fillId="3" borderId="0" xfId="0" applyFill="1"/>
    <xf numFmtId="0" fontId="0" fillId="2" borderId="2" xfId="0" applyFill="1" applyBorder="1"/>
    <xf numFmtId="0" fontId="18" fillId="2" borderId="0" xfId="0" applyFont="1" applyFill="1"/>
    <xf numFmtId="0" fontId="5" fillId="2" borderId="0" xfId="0" applyFont="1" applyFill="1"/>
    <xf numFmtId="0" fontId="4" fillId="3" borderId="0" xfId="0" applyFont="1" applyFill="1"/>
    <xf numFmtId="0" fontId="8" fillId="2" borderId="0" xfId="0" applyFont="1" applyFill="1"/>
    <xf numFmtId="0" fontId="18" fillId="3" borderId="0" xfId="0" applyFont="1" applyFill="1"/>
    <xf numFmtId="0" fontId="18" fillId="2" borderId="2" xfId="0" applyFont="1" applyFill="1" applyBorder="1"/>
    <xf numFmtId="0" fontId="6" fillId="2" borderId="0" xfId="0" applyFont="1" applyFill="1" applyAlignment="1">
      <alignment vertical="center" wrapText="1"/>
    </xf>
    <xf numFmtId="0" fontId="7" fillId="2" borderId="0" xfId="0" applyFont="1" applyFill="1" applyAlignment="1">
      <alignment wrapText="1"/>
    </xf>
    <xf numFmtId="0" fontId="19" fillId="2" borderId="2" xfId="0" applyFont="1" applyFill="1" applyBorder="1"/>
    <xf numFmtId="0" fontId="4" fillId="2" borderId="0" xfId="0" applyFont="1" applyFill="1"/>
    <xf numFmtId="0" fontId="0" fillId="2" borderId="0" xfId="0" applyFill="1" applyAlignment="1">
      <alignment wrapText="1"/>
    </xf>
    <xf numFmtId="0" fontId="0" fillId="2" borderId="0" xfId="0" quotePrefix="1" applyFill="1"/>
    <xf numFmtId="0" fontId="0" fillId="2" borderId="2" xfId="0" quotePrefix="1" applyFill="1" applyBorder="1"/>
    <xf numFmtId="0" fontId="7" fillId="3" borderId="0" xfId="0" applyFont="1" applyFill="1"/>
    <xf numFmtId="0" fontId="0" fillId="9" borderId="1" xfId="0" applyFill="1" applyBorder="1"/>
    <xf numFmtId="0" fontId="22" fillId="2" borderId="0" xfId="0" applyFont="1" applyFill="1" applyAlignment="1">
      <alignment horizontal="left" vertical="top"/>
    </xf>
    <xf numFmtId="0" fontId="22" fillId="2" borderId="0" xfId="0" applyFont="1" applyFill="1" applyAlignment="1">
      <alignment horizontal="right" vertical="top"/>
    </xf>
    <xf numFmtId="0" fontId="20" fillId="3" borderId="0" xfId="0" applyFont="1" applyFill="1"/>
    <xf numFmtId="0" fontId="28" fillId="0" borderId="0" xfId="0" applyFont="1"/>
    <xf numFmtId="0" fontId="0" fillId="3" borderId="18" xfId="0" applyFill="1" applyBorder="1"/>
    <xf numFmtId="0" fontId="4" fillId="9" borderId="1" xfId="0" applyFont="1" applyFill="1" applyBorder="1"/>
    <xf numFmtId="0" fontId="28" fillId="4" borderId="0" xfId="0" applyFont="1" applyFill="1"/>
    <xf numFmtId="0" fontId="54" fillId="4" borderId="0" xfId="0" applyFont="1" applyFill="1"/>
    <xf numFmtId="0" fontId="55" fillId="4" borderId="0" xfId="0" applyFont="1" applyFill="1"/>
    <xf numFmtId="0" fontId="57" fillId="4" borderId="2" xfId="0" applyFont="1" applyFill="1" applyBorder="1"/>
    <xf numFmtId="0" fontId="28" fillId="4" borderId="2" xfId="0" applyFont="1" applyFill="1" applyBorder="1"/>
    <xf numFmtId="0" fontId="57" fillId="4" borderId="0" xfId="0" applyFont="1" applyFill="1"/>
    <xf numFmtId="6" fontId="28" fillId="4" borderId="1" xfId="0" applyNumberFormat="1" applyFont="1" applyFill="1" applyBorder="1" applyProtection="1">
      <protection locked="0"/>
    </xf>
    <xf numFmtId="172" fontId="28" fillId="4" borderId="1" xfId="0" applyNumberFormat="1" applyFont="1" applyFill="1" applyBorder="1" applyAlignment="1" applyProtection="1">
      <alignment horizontal="center"/>
      <protection locked="0"/>
    </xf>
    <xf numFmtId="6" fontId="28" fillId="4" borderId="1" xfId="2" applyNumberFormat="1" applyFont="1" applyFill="1" applyBorder="1" applyProtection="1">
      <protection locked="0"/>
    </xf>
    <xf numFmtId="38" fontId="28" fillId="0" borderId="1" xfId="0" applyNumberFormat="1" applyFont="1" applyBorder="1" applyAlignment="1" applyProtection="1">
      <alignment horizontal="center"/>
      <protection locked="0"/>
    </xf>
    <xf numFmtId="0" fontId="59" fillId="4" borderId="0" xfId="0" applyFont="1" applyFill="1"/>
    <xf numFmtId="5" fontId="28" fillId="17" borderId="1" xfId="0" applyNumberFormat="1" applyFont="1" applyFill="1" applyBorder="1"/>
    <xf numFmtId="0" fontId="28" fillId="4" borderId="0" xfId="0" applyFont="1" applyFill="1" applyAlignment="1">
      <alignment horizontal="left" wrapText="1"/>
    </xf>
    <xf numFmtId="0" fontId="33" fillId="4" borderId="2" xfId="0" applyFont="1" applyFill="1" applyBorder="1"/>
    <xf numFmtId="0" fontId="58" fillId="4" borderId="0" xfId="0" applyFont="1" applyFill="1" applyAlignment="1">
      <alignment vertical="top" wrapText="1"/>
    </xf>
    <xf numFmtId="0" fontId="58" fillId="4" borderId="0" xfId="0" applyFont="1" applyFill="1"/>
    <xf numFmtId="0" fontId="32" fillId="3" borderId="0" xfId="0" applyFont="1" applyFill="1"/>
    <xf numFmtId="0" fontId="32" fillId="0" borderId="0" xfId="0" applyFont="1"/>
    <xf numFmtId="0" fontId="44" fillId="0" borderId="0" xfId="0" applyFont="1" applyAlignment="1">
      <alignment vertical="center"/>
    </xf>
    <xf numFmtId="0" fontId="4" fillId="0" borderId="0" xfId="0" applyFont="1"/>
    <xf numFmtId="0" fontId="36" fillId="0" borderId="0" xfId="0" applyFont="1"/>
    <xf numFmtId="0" fontId="32" fillId="0" borderId="0" xfId="0" applyFont="1" applyAlignment="1">
      <alignment horizontal="center"/>
    </xf>
    <xf numFmtId="0" fontId="32" fillId="0" borderId="0" xfId="0" applyFont="1" applyAlignment="1">
      <alignment horizontal="left" vertical="top"/>
    </xf>
    <xf numFmtId="0" fontId="32" fillId="0" borderId="0" xfId="0" applyFont="1" applyAlignment="1">
      <alignment horizontal="left" indent="25"/>
    </xf>
    <xf numFmtId="0" fontId="36" fillId="0" borderId="0" xfId="0" applyFont="1" applyAlignment="1">
      <alignment horizontal="left"/>
    </xf>
    <xf numFmtId="0" fontId="32" fillId="0" borderId="0" xfId="0" applyFont="1" applyAlignment="1">
      <alignment wrapText="1"/>
    </xf>
    <xf numFmtId="0" fontId="32" fillId="0" borderId="0" xfId="0" applyFont="1" applyAlignment="1">
      <alignment horizontal="left" wrapText="1"/>
    </xf>
    <xf numFmtId="0" fontId="0" fillId="0" borderId="0" xfId="0" applyAlignment="1">
      <alignment vertical="center"/>
    </xf>
    <xf numFmtId="0" fontId="0" fillId="0" borderId="0" xfId="0" applyAlignment="1">
      <alignment horizontal="left"/>
    </xf>
    <xf numFmtId="167" fontId="0" fillId="0" borderId="0" xfId="0" applyNumberFormat="1" applyAlignment="1">
      <alignment horizontal="center"/>
    </xf>
    <xf numFmtId="49" fontId="0" fillId="0" borderId="0" xfId="0" applyNumberFormat="1"/>
    <xf numFmtId="49" fontId="28" fillId="24" borderId="1" xfId="0" applyNumberFormat="1" applyFont="1" applyFill="1" applyBorder="1" applyAlignment="1" applyProtection="1">
      <alignment horizontal="right"/>
      <protection locked="0"/>
    </xf>
    <xf numFmtId="38" fontId="28" fillId="24" borderId="1" xfId="0" applyNumberFormat="1" applyFont="1" applyFill="1" applyBorder="1" applyAlignment="1" applyProtection="1">
      <alignment horizontal="center"/>
      <protection locked="0"/>
    </xf>
    <xf numFmtId="176" fontId="28" fillId="24" borderId="1" xfId="0" applyNumberFormat="1" applyFont="1" applyFill="1" applyBorder="1" applyAlignment="1" applyProtection="1">
      <alignment horizontal="center"/>
      <protection locked="0"/>
    </xf>
    <xf numFmtId="6" fontId="28" fillId="24" borderId="1" xfId="0" applyNumberFormat="1" applyFont="1" applyFill="1" applyBorder="1" applyProtection="1">
      <protection locked="0"/>
    </xf>
    <xf numFmtId="49" fontId="0" fillId="0" borderId="0" xfId="0" applyNumberFormat="1" applyAlignment="1">
      <alignment horizontal="left"/>
    </xf>
    <xf numFmtId="14" fontId="0" fillId="0" borderId="0" xfId="0" applyNumberFormat="1"/>
    <xf numFmtId="0" fontId="0" fillId="0" borderId="0" xfId="0" applyAlignment="1">
      <alignment wrapText="1"/>
    </xf>
    <xf numFmtId="167" fontId="0" fillId="0" borderId="0" xfId="0" applyNumberFormat="1"/>
    <xf numFmtId="49" fontId="0" fillId="0" borderId="0" xfId="0" applyNumberFormat="1" applyAlignment="1">
      <alignment vertical="center"/>
    </xf>
    <xf numFmtId="9" fontId="0" fillId="0" borderId="0" xfId="0" applyNumberFormat="1"/>
    <xf numFmtId="10" fontId="0" fillId="0" borderId="0" xfId="0" applyNumberFormat="1"/>
    <xf numFmtId="0" fontId="0" fillId="0" borderId="0" xfId="0" applyAlignment="1">
      <alignment horizontal="center"/>
    </xf>
    <xf numFmtId="0" fontId="46" fillId="0" borderId="0" xfId="0" applyFont="1" applyAlignment="1">
      <alignment horizontal="left" vertical="center"/>
    </xf>
    <xf numFmtId="0" fontId="46" fillId="0" borderId="0" xfId="0" applyFont="1" applyAlignment="1">
      <alignment horizontal="center" vertical="center"/>
    </xf>
    <xf numFmtId="0" fontId="0" fillId="2" borderId="18" xfId="0" applyFill="1" applyBorder="1"/>
    <xf numFmtId="0" fontId="3" fillId="0" borderId="1" xfId="0" applyFont="1" applyBorder="1" applyProtection="1">
      <protection locked="0"/>
    </xf>
    <xf numFmtId="0" fontId="28" fillId="2" borderId="0" xfId="0" applyFont="1" applyFill="1"/>
    <xf numFmtId="0" fontId="28" fillId="4" borderId="18" xfId="0" applyFont="1" applyFill="1" applyBorder="1"/>
    <xf numFmtId="0" fontId="0" fillId="3" borderId="22" xfId="0" applyFill="1" applyBorder="1"/>
    <xf numFmtId="0" fontId="0" fillId="3" borderId="21" xfId="0" applyFill="1" applyBorder="1"/>
    <xf numFmtId="0" fontId="90" fillId="25" borderId="1" xfId="0" applyFont="1" applyFill="1" applyBorder="1" applyAlignment="1">
      <alignment horizontal="center" vertical="center" wrapText="1"/>
    </xf>
    <xf numFmtId="0" fontId="90" fillId="25" borderId="5" xfId="0" applyFont="1" applyFill="1" applyBorder="1" applyAlignment="1">
      <alignment horizontal="center" vertical="center" wrapText="1"/>
    </xf>
    <xf numFmtId="0" fontId="90" fillId="25" borderId="11" xfId="0" applyFont="1" applyFill="1" applyBorder="1" applyAlignment="1">
      <alignment horizontal="center" vertical="center"/>
    </xf>
    <xf numFmtId="9" fontId="4" fillId="3" borderId="36" xfId="0" applyNumberFormat="1" applyFont="1" applyFill="1" applyBorder="1"/>
    <xf numFmtId="9" fontId="4" fillId="3" borderId="34" xfId="0" applyNumberFormat="1" applyFont="1" applyFill="1" applyBorder="1"/>
    <xf numFmtId="9" fontId="4" fillId="3" borderId="37" xfId="0" applyNumberFormat="1" applyFont="1" applyFill="1" applyBorder="1"/>
    <xf numFmtId="9" fontId="4" fillId="3" borderId="38" xfId="0" applyNumberFormat="1" applyFont="1" applyFill="1" applyBorder="1"/>
    <xf numFmtId="9" fontId="4" fillId="3" borderId="39" xfId="0" applyNumberFormat="1" applyFont="1" applyFill="1" applyBorder="1"/>
    <xf numFmtId="0" fontId="0" fillId="3" borderId="40" xfId="0" applyFill="1" applyBorder="1"/>
    <xf numFmtId="0" fontId="0" fillId="3" borderId="41" xfId="0" applyFill="1" applyBorder="1"/>
    <xf numFmtId="0" fontId="0" fillId="3" borderId="42" xfId="0" applyFill="1" applyBorder="1"/>
    <xf numFmtId="0" fontId="0" fillId="3" borderId="43" xfId="0" applyFill="1" applyBorder="1"/>
    <xf numFmtId="0" fontId="0" fillId="3" borderId="45" xfId="0" applyFill="1" applyBorder="1"/>
    <xf numFmtId="172" fontId="28" fillId="17" borderId="24" xfId="0" applyNumberFormat="1" applyFont="1" applyFill="1" applyBorder="1"/>
    <xf numFmtId="0" fontId="5" fillId="2" borderId="0" xfId="0" applyFont="1" applyFill="1" applyAlignment="1">
      <alignment horizontal="right"/>
    </xf>
    <xf numFmtId="0" fontId="100" fillId="10" borderId="1" xfId="0" applyFont="1" applyFill="1" applyBorder="1" applyAlignment="1">
      <alignment horizontal="center" vertical="center"/>
    </xf>
    <xf numFmtId="0" fontId="0" fillId="2" borderId="1" xfId="0" applyFill="1" applyBorder="1" applyAlignment="1" applyProtection="1">
      <alignment wrapText="1"/>
      <protection locked="0"/>
    </xf>
    <xf numFmtId="0" fontId="28" fillId="24" borderId="0" xfId="0" applyFont="1" applyFill="1"/>
    <xf numFmtId="0" fontId="86" fillId="2" borderId="0" xfId="0" applyFont="1" applyFill="1"/>
    <xf numFmtId="0" fontId="28" fillId="24" borderId="2" xfId="0" applyFont="1" applyFill="1" applyBorder="1"/>
    <xf numFmtId="0" fontId="28" fillId="2" borderId="2" xfId="0" applyFont="1" applyFill="1" applyBorder="1"/>
    <xf numFmtId="0" fontId="86" fillId="24" borderId="0" xfId="0" applyFont="1" applyFill="1"/>
    <xf numFmtId="0" fontId="57" fillId="24" borderId="0" xfId="0" applyFont="1" applyFill="1"/>
    <xf numFmtId="167" fontId="28" fillId="17" borderId="1" xfId="0" applyNumberFormat="1" applyFont="1" applyFill="1" applyBorder="1"/>
    <xf numFmtId="6" fontId="28" fillId="17" borderId="1" xfId="0" applyNumberFormat="1" applyFont="1" applyFill="1" applyBorder="1"/>
    <xf numFmtId="10" fontId="28" fillId="17" borderId="1" xfId="0" applyNumberFormat="1" applyFont="1" applyFill="1" applyBorder="1"/>
    <xf numFmtId="9" fontId="28" fillId="17" borderId="1" xfId="2" applyFont="1" applyFill="1" applyBorder="1" applyProtection="1"/>
    <xf numFmtId="0" fontId="28" fillId="17" borderId="1" xfId="0" applyFont="1" applyFill="1" applyBorder="1"/>
    <xf numFmtId="0" fontId="86" fillId="25" borderId="0" xfId="0" applyFont="1" applyFill="1"/>
    <xf numFmtId="0" fontId="91" fillId="25" borderId="0" xfId="0" applyFont="1" applyFill="1" applyAlignment="1">
      <alignment horizontal="center"/>
    </xf>
    <xf numFmtId="0" fontId="91" fillId="26" borderId="21" xfId="0" applyFont="1" applyFill="1" applyBorder="1" applyAlignment="1">
      <alignment horizontal="center"/>
    </xf>
    <xf numFmtId="0" fontId="91" fillId="26" borderId="30" xfId="0" applyFont="1" applyFill="1" applyBorder="1" applyAlignment="1">
      <alignment horizontal="center"/>
    </xf>
    <xf numFmtId="0" fontId="86" fillId="26" borderId="30" xfId="0" applyFont="1" applyFill="1" applyBorder="1"/>
    <xf numFmtId="0" fontId="86" fillId="26" borderId="22" xfId="0" applyFont="1" applyFill="1" applyBorder="1"/>
    <xf numFmtId="0" fontId="93" fillId="25" borderId="1" xfId="0" applyFont="1" applyFill="1" applyBorder="1" applyAlignment="1">
      <alignment horizontal="center"/>
    </xf>
    <xf numFmtId="0" fontId="91" fillId="25" borderId="1" xfId="0" applyFont="1" applyFill="1" applyBorder="1" applyAlignment="1">
      <alignment horizontal="center" vertical="center"/>
    </xf>
    <xf numFmtId="38" fontId="28" fillId="17" borderId="1" xfId="0" applyNumberFormat="1" applyFont="1" applyFill="1" applyBorder="1"/>
    <xf numFmtId="0" fontId="33" fillId="24" borderId="2" xfId="0" applyFont="1" applyFill="1" applyBorder="1"/>
    <xf numFmtId="0" fontId="28" fillId="24" borderId="0" xfId="0" applyFont="1" applyFill="1" applyAlignment="1">
      <alignment horizontal="left" wrapText="1"/>
    </xf>
    <xf numFmtId="0" fontId="28" fillId="4" borderId="1" xfId="0" applyFont="1" applyFill="1" applyBorder="1" applyProtection="1">
      <protection locked="0"/>
    </xf>
    <xf numFmtId="167" fontId="28" fillId="17" borderId="30" xfId="0" applyNumberFormat="1" applyFont="1" applyFill="1" applyBorder="1"/>
    <xf numFmtId="10" fontId="28" fillId="17" borderId="30" xfId="0" applyNumberFormat="1" applyFont="1" applyFill="1" applyBorder="1"/>
    <xf numFmtId="9" fontId="28" fillId="17" borderId="22" xfId="2" applyFont="1" applyFill="1" applyBorder="1" applyProtection="1"/>
    <xf numFmtId="167" fontId="28" fillId="17" borderId="22" xfId="0" applyNumberFormat="1" applyFont="1" applyFill="1" applyBorder="1"/>
    <xf numFmtId="0" fontId="66" fillId="4" borderId="1" xfId="0" applyFont="1" applyFill="1" applyBorder="1" applyProtection="1">
      <protection locked="0"/>
    </xf>
    <xf numFmtId="1" fontId="28" fillId="4" borderId="1" xfId="0" applyNumberFormat="1" applyFont="1" applyFill="1" applyBorder="1" applyProtection="1">
      <protection locked="0"/>
    </xf>
    <xf numFmtId="0" fontId="66" fillId="4" borderId="11" xfId="0" applyFont="1" applyFill="1" applyBorder="1" applyProtection="1">
      <protection locked="0"/>
    </xf>
    <xf numFmtId="0" fontId="28" fillId="4" borderId="35" xfId="0" applyFont="1" applyFill="1" applyBorder="1" applyProtection="1">
      <protection locked="0"/>
    </xf>
    <xf numFmtId="172" fontId="28" fillId="4" borderId="24" xfId="0" applyNumberFormat="1" applyFont="1" applyFill="1" applyBorder="1" applyProtection="1">
      <protection locked="0"/>
    </xf>
    <xf numFmtId="1" fontId="28" fillId="0" borderId="1" xfId="0" applyNumberFormat="1" applyFont="1" applyBorder="1" applyProtection="1">
      <protection locked="0"/>
    </xf>
    <xf numFmtId="166" fontId="28" fillId="4" borderId="1" xfId="0" applyNumberFormat="1" applyFont="1" applyFill="1" applyBorder="1" applyProtection="1">
      <protection locked="0"/>
    </xf>
    <xf numFmtId="0" fontId="32" fillId="2" borderId="0" xfId="0" applyFont="1" applyFill="1"/>
    <xf numFmtId="0" fontId="15" fillId="2" borderId="0" xfId="0" applyFont="1" applyFill="1" applyAlignment="1">
      <alignment horizontal="center" vertical="center"/>
    </xf>
    <xf numFmtId="0" fontId="88" fillId="3" borderId="0" xfId="0" applyFont="1" applyFill="1"/>
    <xf numFmtId="3" fontId="32" fillId="12" borderId="1" xfId="0" applyNumberFormat="1" applyFont="1" applyFill="1" applyBorder="1" applyAlignment="1">
      <alignment vertical="center"/>
    </xf>
    <xf numFmtId="0" fontId="32" fillId="12" borderId="1" xfId="0" applyFont="1" applyFill="1" applyBorder="1" applyAlignment="1">
      <alignment vertical="center"/>
    </xf>
    <xf numFmtId="0" fontId="32" fillId="12" borderId="21" xfId="0" applyFont="1" applyFill="1" applyBorder="1" applyAlignment="1">
      <alignment vertical="center"/>
    </xf>
    <xf numFmtId="0" fontId="47" fillId="14" borderId="21" xfId="0" applyFont="1" applyFill="1" applyBorder="1" applyAlignment="1">
      <alignment vertical="center"/>
    </xf>
    <xf numFmtId="0" fontId="49" fillId="12" borderId="1" xfId="0" applyFont="1" applyFill="1" applyBorder="1" applyAlignment="1">
      <alignment vertical="center"/>
    </xf>
    <xf numFmtId="0" fontId="0" fillId="12" borderId="1" xfId="0" applyFill="1" applyBorder="1" applyAlignment="1">
      <alignment vertical="center"/>
    </xf>
    <xf numFmtId="0" fontId="0" fillId="12" borderId="21" xfId="0" applyFill="1" applyBorder="1" applyAlignment="1">
      <alignment vertical="center"/>
    </xf>
    <xf numFmtId="0" fontId="0" fillId="12" borderId="1" xfId="0" applyFill="1" applyBorder="1" applyAlignment="1">
      <alignment horizontal="center" vertical="center"/>
    </xf>
    <xf numFmtId="0" fontId="0" fillId="12" borderId="21" xfId="0" applyFill="1" applyBorder="1" applyAlignment="1">
      <alignment horizontal="center" vertical="center"/>
    </xf>
    <xf numFmtId="0" fontId="44" fillId="12" borderId="1" xfId="0" applyFont="1" applyFill="1" applyBorder="1" applyAlignment="1">
      <alignment vertical="center"/>
    </xf>
    <xf numFmtId="6" fontId="0" fillId="12" borderId="1" xfId="0" applyNumberFormat="1" applyFill="1" applyBorder="1" applyAlignment="1">
      <alignment horizontal="center" vertical="center"/>
    </xf>
    <xf numFmtId="6" fontId="0" fillId="12" borderId="21" xfId="0" applyNumberFormat="1" applyFill="1" applyBorder="1" applyAlignment="1">
      <alignment horizontal="center" vertical="center"/>
    </xf>
    <xf numFmtId="6" fontId="0" fillId="12" borderId="1" xfId="0" applyNumberFormat="1" applyFill="1" applyBorder="1" applyAlignment="1">
      <alignment vertical="center"/>
    </xf>
    <xf numFmtId="6" fontId="0" fillId="12" borderId="21" xfId="0" applyNumberFormat="1" applyFill="1" applyBorder="1" applyAlignment="1">
      <alignment vertical="center"/>
    </xf>
    <xf numFmtId="9" fontId="88" fillId="3" borderId="0" xfId="0" applyNumberFormat="1" applyFont="1" applyFill="1"/>
    <xf numFmtId="0" fontId="20" fillId="2" borderId="0" xfId="0" applyFont="1" applyFill="1"/>
    <xf numFmtId="0" fontId="0" fillId="2" borderId="8" xfId="0" applyFill="1" applyBorder="1"/>
    <xf numFmtId="0" fontId="0" fillId="2" borderId="9" xfId="0" applyFill="1" applyBorder="1"/>
    <xf numFmtId="0" fontId="28" fillId="24" borderId="11" xfId="0" applyFont="1" applyFill="1" applyBorder="1" applyProtection="1">
      <protection locked="0"/>
    </xf>
    <xf numFmtId="0" fontId="28" fillId="2" borderId="18" xfId="0" applyFont="1" applyFill="1" applyBorder="1"/>
    <xf numFmtId="0" fontId="59" fillId="24" borderId="0" xfId="0" applyFont="1" applyFill="1"/>
    <xf numFmtId="0" fontId="59" fillId="2" borderId="0" xfId="0" applyFont="1" applyFill="1"/>
    <xf numFmtId="2" fontId="28" fillId="17" borderId="1" xfId="0" applyNumberFormat="1" applyFont="1" applyFill="1" applyBorder="1"/>
    <xf numFmtId="0" fontId="34" fillId="7" borderId="1" xfId="0" applyFont="1" applyFill="1" applyBorder="1"/>
    <xf numFmtId="0" fontId="71" fillId="2" borderId="0" xfId="0" applyFont="1" applyFill="1"/>
    <xf numFmtId="0" fontId="59" fillId="16" borderId="1" xfId="0" applyFont="1" applyFill="1" applyBorder="1" applyAlignment="1">
      <alignment horizontal="center" vertical="center" wrapText="1"/>
    </xf>
    <xf numFmtId="0" fontId="28" fillId="19" borderId="1" xfId="0" applyFont="1" applyFill="1" applyBorder="1" applyAlignment="1">
      <alignment horizontal="right"/>
    </xf>
    <xf numFmtId="17" fontId="28" fillId="19" borderId="1" xfId="0" applyNumberFormat="1" applyFont="1" applyFill="1" applyBorder="1" applyAlignment="1">
      <alignment horizontal="right"/>
    </xf>
    <xf numFmtId="9" fontId="28" fillId="17" borderId="1" xfId="0" applyNumberFormat="1" applyFont="1" applyFill="1" applyBorder="1"/>
    <xf numFmtId="0" fontId="72" fillId="20" borderId="1" xfId="8" applyFont="1" applyFill="1" applyBorder="1" applyAlignment="1">
      <alignment horizontal="left" vertical="center"/>
    </xf>
    <xf numFmtId="38" fontId="28" fillId="20" borderId="1" xfId="3" applyNumberFormat="1" applyFont="1" applyFill="1" applyBorder="1" applyProtection="1"/>
    <xf numFmtId="0" fontId="62" fillId="7" borderId="1" xfId="0" applyFont="1" applyFill="1" applyBorder="1" applyAlignment="1">
      <alignment horizontal="left" vertical="center"/>
    </xf>
    <xf numFmtId="38" fontId="28" fillId="17" borderId="1" xfId="3" applyNumberFormat="1" applyFont="1" applyFill="1" applyBorder="1" applyProtection="1"/>
    <xf numFmtId="0" fontId="62" fillId="7" borderId="1" xfId="0" applyFont="1" applyFill="1" applyBorder="1" applyAlignment="1">
      <alignment horizontal="left"/>
    </xf>
    <xf numFmtId="0" fontId="64" fillId="21" borderId="1" xfId="0" applyFont="1" applyFill="1" applyBorder="1" applyAlignment="1">
      <alignment horizontal="left" vertical="center"/>
    </xf>
    <xf numFmtId="0" fontId="72" fillId="20" borderId="1" xfId="0" applyFont="1" applyFill="1" applyBorder="1" applyAlignment="1">
      <alignment horizontal="left" vertical="center"/>
    </xf>
    <xf numFmtId="0" fontId="73" fillId="20" borderId="1" xfId="0" applyFont="1" applyFill="1" applyBorder="1" applyAlignment="1">
      <alignment horizontal="right" vertical="center"/>
    </xf>
    <xf numFmtId="0" fontId="74" fillId="22" borderId="1" xfId="0" applyFont="1" applyFill="1" applyBorder="1" applyAlignment="1">
      <alignment horizontal="left" vertical="center"/>
    </xf>
    <xf numFmtId="0" fontId="59" fillId="22" borderId="1" xfId="0" applyFont="1" applyFill="1" applyBorder="1" applyAlignment="1">
      <alignment horizontal="right" vertical="center"/>
    </xf>
    <xf numFmtId="0" fontId="64" fillId="18" borderId="1" xfId="0" applyFont="1" applyFill="1" applyBorder="1" applyAlignment="1">
      <alignment horizontal="right" vertical="center"/>
    </xf>
    <xf numFmtId="0" fontId="75" fillId="22" borderId="1" xfId="0" applyFont="1" applyFill="1" applyBorder="1" applyAlignment="1">
      <alignment horizontal="left" vertical="center"/>
    </xf>
    <xf numFmtId="0" fontId="76" fillId="7" borderId="1" xfId="0" applyFont="1" applyFill="1" applyBorder="1" applyAlignment="1">
      <alignment horizontal="left" vertical="center"/>
    </xf>
    <xf numFmtId="0" fontId="64" fillId="22" borderId="1" xfId="0" applyFont="1" applyFill="1" applyBorder="1" applyAlignment="1">
      <alignment horizontal="left" vertical="center"/>
    </xf>
    <xf numFmtId="0" fontId="74" fillId="22" borderId="1" xfId="0" applyFont="1" applyFill="1" applyBorder="1" applyAlignment="1">
      <alignment horizontal="left" vertical="center" shrinkToFit="1"/>
    </xf>
    <xf numFmtId="38" fontId="33" fillId="17" borderId="1" xfId="3" applyNumberFormat="1" applyFont="1" applyFill="1" applyBorder="1" applyProtection="1"/>
    <xf numFmtId="0" fontId="72" fillId="20" borderId="1" xfId="0" applyFont="1" applyFill="1" applyBorder="1" applyAlignment="1">
      <alignment vertical="center"/>
    </xf>
    <xf numFmtId="0" fontId="77" fillId="7" borderId="1" xfId="0" applyFont="1" applyFill="1" applyBorder="1" applyAlignment="1">
      <alignment horizontal="left"/>
    </xf>
    <xf numFmtId="38" fontId="71" fillId="17" borderId="1" xfId="3" applyNumberFormat="1" applyFont="1" applyFill="1" applyBorder="1" applyProtection="1"/>
    <xf numFmtId="0" fontId="80" fillId="23" borderId="1" xfId="0" applyFont="1" applyFill="1" applyBorder="1" applyAlignment="1">
      <alignment horizontal="left" vertical="center"/>
    </xf>
    <xf numFmtId="38" fontId="81" fillId="23" borderId="1" xfId="3" applyNumberFormat="1" applyFont="1" applyFill="1" applyBorder="1" applyProtection="1"/>
    <xf numFmtId="38" fontId="82" fillId="23" borderId="1" xfId="3" applyNumberFormat="1" applyFont="1" applyFill="1" applyBorder="1" applyProtection="1"/>
    <xf numFmtId="0" fontId="73" fillId="20" borderId="1" xfId="0" applyFont="1" applyFill="1" applyBorder="1"/>
    <xf numFmtId="38" fontId="83" fillId="20" borderId="1" xfId="3" applyNumberFormat="1" applyFont="1" applyFill="1" applyBorder="1" applyProtection="1"/>
    <xf numFmtId="0" fontId="59" fillId="16" borderId="1" xfId="0" applyFont="1" applyFill="1" applyBorder="1"/>
    <xf numFmtId="38" fontId="59" fillId="16" borderId="1" xfId="3" applyNumberFormat="1" applyFont="1" applyFill="1" applyBorder="1" applyAlignment="1" applyProtection="1">
      <alignment horizontal="center" vertical="center" wrapText="1"/>
    </xf>
    <xf numFmtId="49" fontId="59" fillId="16" borderId="1" xfId="3" applyNumberFormat="1" applyFont="1" applyFill="1" applyBorder="1" applyAlignment="1" applyProtection="1">
      <alignment horizontal="center" vertical="center" wrapText="1"/>
    </xf>
    <xf numFmtId="0" fontId="71" fillId="17" borderId="1" xfId="0" applyFont="1" applyFill="1" applyBorder="1"/>
    <xf numFmtId="0" fontId="66" fillId="17" borderId="1" xfId="0" applyFont="1" applyFill="1" applyBorder="1"/>
    <xf numFmtId="0" fontId="59" fillId="17" borderId="1" xfId="0" applyFont="1" applyFill="1" applyBorder="1"/>
    <xf numFmtId="38" fontId="66" fillId="17" borderId="1" xfId="3" applyNumberFormat="1" applyFont="1" applyFill="1" applyBorder="1" applyProtection="1"/>
    <xf numFmtId="10" fontId="28" fillId="17" borderId="1" xfId="2" applyNumberFormat="1" applyFont="1" applyFill="1" applyBorder="1" applyProtection="1"/>
    <xf numFmtId="38" fontId="59" fillId="16" borderId="1" xfId="3" applyNumberFormat="1" applyFont="1" applyFill="1" applyBorder="1" applyAlignment="1" applyProtection="1">
      <alignment horizontal="left" vertical="center"/>
    </xf>
    <xf numFmtId="38" fontId="59" fillId="16" borderId="1" xfId="3" applyNumberFormat="1" applyFont="1" applyFill="1" applyBorder="1" applyAlignment="1" applyProtection="1">
      <alignment horizontal="center" vertical="center"/>
    </xf>
    <xf numFmtId="171" fontId="28" fillId="17" borderId="1" xfId="3" quotePrefix="1" applyNumberFormat="1" applyFont="1" applyFill="1" applyBorder="1" applyProtection="1"/>
    <xf numFmtId="171" fontId="28" fillId="17" borderId="1" xfId="3" applyNumberFormat="1" applyFont="1" applyFill="1" applyBorder="1" applyProtection="1"/>
    <xf numFmtId="38" fontId="28" fillId="2" borderId="0" xfId="3" applyNumberFormat="1" applyFont="1" applyFill="1" applyBorder="1" applyProtection="1"/>
    <xf numFmtId="0" fontId="58" fillId="24" borderId="0" xfId="0" applyFont="1" applyFill="1" applyAlignment="1">
      <alignment wrapText="1"/>
    </xf>
    <xf numFmtId="38" fontId="28" fillId="0" borderId="1" xfId="3" applyNumberFormat="1" applyFont="1" applyFill="1" applyBorder="1" applyProtection="1">
      <protection locked="0"/>
    </xf>
    <xf numFmtId="0" fontId="3" fillId="3" borderId="0" xfId="0" applyFont="1" applyFill="1" applyAlignment="1">
      <alignment horizontal="center" vertical="center"/>
    </xf>
    <xf numFmtId="0" fontId="3" fillId="2" borderId="0" xfId="0" applyFont="1" applyFill="1" applyAlignment="1">
      <alignment wrapText="1"/>
    </xf>
    <xf numFmtId="0" fontId="99" fillId="2" borderId="0" xfId="0" applyFont="1" applyFill="1"/>
    <xf numFmtId="3" fontId="0" fillId="9" borderId="1" xfId="0" applyNumberFormat="1" applyFill="1" applyBorder="1"/>
    <xf numFmtId="0" fontId="0" fillId="2" borderId="21" xfId="0" applyFill="1" applyBorder="1" applyAlignment="1" applyProtection="1">
      <alignment horizontal="center" vertical="center"/>
      <protection locked="0"/>
    </xf>
    <xf numFmtId="0" fontId="28" fillId="24" borderId="1" xfId="0" applyFont="1" applyFill="1" applyBorder="1" applyProtection="1">
      <protection locked="0"/>
    </xf>
    <xf numFmtId="49" fontId="28" fillId="24" borderId="1" xfId="0" applyNumberFormat="1" applyFont="1" applyFill="1" applyBorder="1" applyAlignment="1" applyProtection="1">
      <alignment horizontal="center"/>
      <protection locked="0"/>
    </xf>
    <xf numFmtId="40" fontId="28" fillId="24" borderId="1" xfId="0" applyNumberFormat="1" applyFont="1" applyFill="1" applyBorder="1" applyAlignment="1" applyProtection="1">
      <alignment horizontal="center"/>
      <protection locked="0"/>
    </xf>
    <xf numFmtId="9" fontId="28" fillId="24" borderId="1" xfId="2" applyFont="1" applyFill="1" applyBorder="1" applyAlignment="1" applyProtection="1">
      <alignment horizontal="center"/>
      <protection locked="0"/>
    </xf>
    <xf numFmtId="0" fontId="47" fillId="14" borderId="22" xfId="0" applyFont="1" applyFill="1" applyBorder="1" applyAlignment="1">
      <alignment vertical="center"/>
    </xf>
    <xf numFmtId="0" fontId="44" fillId="12" borderId="21" xfId="0" applyFont="1" applyFill="1" applyBorder="1" applyAlignment="1">
      <alignment vertical="center"/>
    </xf>
    <xf numFmtId="0" fontId="50" fillId="13" borderId="22" xfId="0" applyFont="1" applyFill="1" applyBorder="1" applyAlignment="1">
      <alignment horizontal="right" vertical="center"/>
    </xf>
    <xf numFmtId="0" fontId="51" fillId="12" borderId="22" xfId="0" applyFont="1" applyFill="1" applyBorder="1" applyAlignment="1">
      <alignment vertical="center"/>
    </xf>
    <xf numFmtId="0" fontId="3" fillId="0" borderId="1" xfId="0" applyFont="1" applyBorder="1" applyAlignment="1" applyProtection="1">
      <alignment horizontal="left"/>
      <protection locked="0"/>
    </xf>
    <xf numFmtId="0" fontId="3" fillId="2" borderId="1" xfId="0" applyFont="1" applyFill="1" applyBorder="1" applyProtection="1">
      <protection locked="0"/>
    </xf>
    <xf numFmtId="0" fontId="3" fillId="2" borderId="0" xfId="0" applyFont="1" applyFill="1"/>
    <xf numFmtId="0" fontId="3" fillId="2" borderId="0" xfId="0" applyFont="1" applyFill="1" applyAlignment="1">
      <alignment horizontal="right" vertical="center"/>
    </xf>
    <xf numFmtId="0" fontId="3" fillId="2" borderId="0" xfId="0" applyFont="1" applyFill="1" applyAlignment="1">
      <alignment horizontal="right"/>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vertical="center"/>
      <protection locked="0"/>
    </xf>
    <xf numFmtId="167" fontId="3" fillId="2" borderId="1" xfId="0" applyNumberFormat="1" applyFont="1" applyFill="1" applyBorder="1" applyAlignment="1" applyProtection="1">
      <alignment vertical="center" wrapText="1"/>
      <protection locked="0"/>
    </xf>
    <xf numFmtId="14" fontId="3" fillId="2" borderId="1" xfId="0" applyNumberFormat="1" applyFont="1" applyFill="1" applyBorder="1" applyAlignment="1" applyProtection="1">
      <alignment vertical="center" wrapText="1"/>
      <protection locked="0"/>
    </xf>
    <xf numFmtId="0" fontId="3" fillId="2" borderId="0" xfId="0" applyFont="1" applyFill="1" applyAlignment="1">
      <alignment vertical="top" wrapText="1"/>
    </xf>
    <xf numFmtId="165" fontId="3" fillId="2" borderId="1" xfId="0" applyNumberFormat="1" applyFont="1" applyFill="1" applyBorder="1" applyProtection="1">
      <protection locked="0"/>
    </xf>
    <xf numFmtId="0" fontId="3" fillId="0" borderId="0" xfId="0" applyFont="1"/>
    <xf numFmtId="0" fontId="3" fillId="0" borderId="0" xfId="0" applyFont="1" applyAlignment="1">
      <alignment wrapText="1" shrinkToFit="1"/>
    </xf>
    <xf numFmtId="0" fontId="3" fillId="0" borderId="0" xfId="0" applyFont="1" applyAlignment="1">
      <alignment horizontal="left"/>
    </xf>
    <xf numFmtId="9" fontId="3" fillId="0" borderId="0" xfId="0" applyNumberFormat="1" applyFont="1"/>
    <xf numFmtId="0" fontId="3" fillId="0" borderId="0" xfId="0" applyFont="1" applyAlignment="1">
      <alignment horizontal="left" vertical="center"/>
    </xf>
    <xf numFmtId="0" fontId="3" fillId="0" borderId="0" xfId="0" applyFont="1" applyAlignment="1">
      <alignment horizontal="left" vertical="top"/>
    </xf>
    <xf numFmtId="0" fontId="0" fillId="27" borderId="0" xfId="0" applyFill="1"/>
    <xf numFmtId="0" fontId="0" fillId="6" borderId="0" xfId="0" applyFill="1"/>
    <xf numFmtId="172" fontId="28" fillId="17" borderId="1" xfId="0" applyNumberFormat="1" applyFont="1" applyFill="1" applyBorder="1"/>
    <xf numFmtId="172" fontId="28" fillId="17" borderId="1" xfId="3" applyNumberFormat="1" applyFont="1" applyFill="1" applyBorder="1" applyProtection="1"/>
    <xf numFmtId="172" fontId="71" fillId="17" borderId="1" xfId="3" applyNumberFormat="1" applyFont="1" applyFill="1" applyBorder="1" applyProtection="1"/>
    <xf numFmtId="172" fontId="71" fillId="17" borderId="1" xfId="3" applyNumberFormat="1" applyFont="1" applyFill="1" applyBorder="1" applyAlignment="1" applyProtection="1">
      <alignment horizontal="right"/>
    </xf>
    <xf numFmtId="172" fontId="59" fillId="21" borderId="1" xfId="3" applyNumberFormat="1" applyFont="1" applyFill="1" applyBorder="1" applyAlignment="1" applyProtection="1">
      <alignment horizontal="right"/>
    </xf>
    <xf numFmtId="172" fontId="59" fillId="21" borderId="1" xfId="3" applyNumberFormat="1" applyFont="1" applyFill="1" applyBorder="1" applyProtection="1"/>
    <xf numFmtId="172" fontId="79" fillId="17" borderId="1" xfId="3" applyNumberFormat="1" applyFont="1" applyFill="1" applyBorder="1" applyProtection="1"/>
    <xf numFmtId="172" fontId="28" fillId="0" borderId="1" xfId="3" applyNumberFormat="1" applyFont="1" applyFill="1" applyBorder="1" applyProtection="1">
      <protection locked="0"/>
    </xf>
    <xf numFmtId="172" fontId="67" fillId="18" borderId="1" xfId="0" applyNumberFormat="1" applyFont="1" applyFill="1" applyBorder="1" applyAlignment="1">
      <alignment horizontal="right" vertical="center"/>
    </xf>
    <xf numFmtId="172" fontId="71" fillId="18" borderId="1" xfId="3" applyNumberFormat="1" applyFont="1" applyFill="1" applyBorder="1" applyProtection="1"/>
    <xf numFmtId="172" fontId="59" fillId="22" borderId="1" xfId="0" applyNumberFormat="1" applyFont="1" applyFill="1" applyBorder="1" applyAlignment="1">
      <alignment horizontal="right" vertical="center" shrinkToFit="1"/>
    </xf>
    <xf numFmtId="172" fontId="28" fillId="18" borderId="1" xfId="3" applyNumberFormat="1" applyFont="1" applyFill="1" applyBorder="1" applyProtection="1"/>
    <xf numFmtId="172" fontId="28" fillId="22" borderId="1" xfId="3" applyNumberFormat="1" applyFont="1" applyFill="1" applyBorder="1" applyProtection="1"/>
    <xf numFmtId="172" fontId="68" fillId="17" borderId="1" xfId="3" applyNumberFormat="1" applyFont="1" applyFill="1" applyBorder="1" applyAlignment="1" applyProtection="1">
      <alignment horizontal="right"/>
    </xf>
    <xf numFmtId="172" fontId="68" fillId="17" borderId="1" xfId="3" applyNumberFormat="1" applyFont="1" applyFill="1" applyBorder="1" applyProtection="1"/>
    <xf numFmtId="172" fontId="68" fillId="0" borderId="1" xfId="3" applyNumberFormat="1" applyFont="1" applyFill="1" applyBorder="1" applyProtection="1">
      <protection locked="0"/>
    </xf>
    <xf numFmtId="172" fontId="33" fillId="0" borderId="1" xfId="3" applyNumberFormat="1" applyFont="1" applyFill="1" applyBorder="1" applyProtection="1">
      <protection locked="0"/>
    </xf>
    <xf numFmtId="172" fontId="33" fillId="17" borderId="1" xfId="3" applyNumberFormat="1" applyFont="1" applyFill="1" applyBorder="1" applyProtection="1"/>
    <xf numFmtId="172" fontId="70" fillId="0" borderId="1" xfId="3" applyNumberFormat="1" applyFont="1" applyFill="1" applyBorder="1" applyProtection="1">
      <protection locked="0"/>
    </xf>
    <xf numFmtId="172" fontId="28" fillId="17" borderId="1" xfId="3" applyNumberFormat="1" applyFont="1" applyFill="1" applyBorder="1" applyAlignment="1" applyProtection="1">
      <alignment horizontal="right"/>
    </xf>
    <xf numFmtId="172" fontId="59" fillId="22" borderId="1" xfId="0" applyNumberFormat="1" applyFont="1" applyFill="1" applyBorder="1" applyAlignment="1">
      <alignment horizontal="right" vertical="center"/>
    </xf>
    <xf numFmtId="172" fontId="33" fillId="22" borderId="1" xfId="3" applyNumberFormat="1" applyFont="1" applyFill="1" applyBorder="1" applyProtection="1"/>
    <xf numFmtId="172" fontId="67" fillId="21" borderId="1" xfId="0" applyNumberFormat="1" applyFont="1" applyFill="1" applyBorder="1" applyAlignment="1">
      <alignment horizontal="right" vertical="center"/>
    </xf>
    <xf numFmtId="172" fontId="73" fillId="20" borderId="1" xfId="0" applyNumberFormat="1" applyFont="1" applyFill="1" applyBorder="1" applyAlignment="1">
      <alignment horizontal="right" vertical="center"/>
    </xf>
    <xf numFmtId="172" fontId="28" fillId="20" borderId="1" xfId="3" applyNumberFormat="1" applyFont="1" applyFill="1" applyBorder="1" applyProtection="1"/>
    <xf numFmtId="172" fontId="67" fillId="22" borderId="1" xfId="0" applyNumberFormat="1" applyFont="1" applyFill="1" applyBorder="1" applyAlignment="1">
      <alignment horizontal="right" vertical="center"/>
    </xf>
    <xf numFmtId="172" fontId="71" fillId="20" borderId="1" xfId="3" applyNumberFormat="1" applyFont="1" applyFill="1" applyBorder="1" applyAlignment="1" applyProtection="1">
      <alignment horizontal="right"/>
    </xf>
    <xf numFmtId="172" fontId="59" fillId="17" borderId="1" xfId="3" applyNumberFormat="1" applyFont="1" applyFill="1" applyBorder="1" applyAlignment="1" applyProtection="1">
      <alignment horizontal="right"/>
    </xf>
    <xf numFmtId="172" fontId="59" fillId="0" borderId="1" xfId="3" applyNumberFormat="1" applyFont="1" applyFill="1" applyBorder="1" applyProtection="1">
      <protection locked="0"/>
    </xf>
    <xf numFmtId="172" fontId="59" fillId="17" borderId="1" xfId="3" applyNumberFormat="1" applyFont="1" applyFill="1" applyBorder="1" applyProtection="1"/>
    <xf numFmtId="172" fontId="71" fillId="0" borderId="1" xfId="3" applyNumberFormat="1" applyFont="1" applyFill="1" applyBorder="1" applyProtection="1">
      <protection locked="0"/>
    </xf>
    <xf numFmtId="172" fontId="81" fillId="23" borderId="1" xfId="3" applyNumberFormat="1" applyFont="1" applyFill="1" applyBorder="1" applyProtection="1"/>
    <xf numFmtId="172" fontId="82" fillId="23" borderId="1" xfId="3" applyNumberFormat="1" applyFont="1" applyFill="1" applyBorder="1" applyProtection="1"/>
    <xf numFmtId="177" fontId="3" fillId="2" borderId="1" xfId="0" applyNumberFormat="1" applyFont="1" applyFill="1" applyBorder="1" applyAlignment="1" applyProtection="1">
      <alignment vertical="center" wrapText="1"/>
      <protection locked="0"/>
    </xf>
    <xf numFmtId="178" fontId="3" fillId="2" borderId="1" xfId="0" applyNumberFormat="1" applyFont="1" applyFill="1" applyBorder="1" applyAlignment="1" applyProtection="1">
      <alignment vertical="center" wrapText="1"/>
      <protection locked="0"/>
    </xf>
    <xf numFmtId="0" fontId="3" fillId="2" borderId="5" xfId="0" applyFont="1" applyFill="1" applyBorder="1" applyProtection="1">
      <protection locked="0"/>
    </xf>
    <xf numFmtId="172" fontId="28" fillId="24" borderId="1" xfId="0" applyNumberFormat="1" applyFont="1" applyFill="1" applyBorder="1" applyProtection="1">
      <protection locked="0"/>
    </xf>
    <xf numFmtId="166" fontId="28" fillId="24" borderId="1" xfId="0" applyNumberFormat="1" applyFont="1" applyFill="1" applyBorder="1" applyProtection="1">
      <protection locked="0"/>
    </xf>
    <xf numFmtId="1" fontId="28" fillId="24" borderId="1" xfId="0" applyNumberFormat="1" applyFont="1" applyFill="1" applyBorder="1" applyProtection="1">
      <protection locked="0"/>
    </xf>
    <xf numFmtId="172" fontId="28" fillId="24" borderId="11" xfId="0" applyNumberFormat="1" applyFont="1" applyFill="1" applyBorder="1" applyProtection="1">
      <protection locked="0"/>
    </xf>
    <xf numFmtId="172" fontId="28" fillId="24" borderId="27" xfId="0" applyNumberFormat="1" applyFont="1" applyFill="1" applyBorder="1" applyProtection="1">
      <protection locked="0"/>
    </xf>
    <xf numFmtId="4" fontId="28" fillId="24" borderId="23" xfId="0" applyNumberFormat="1" applyFont="1" applyFill="1" applyBorder="1" applyProtection="1">
      <protection locked="0"/>
    </xf>
    <xf numFmtId="1" fontId="28" fillId="24" borderId="23" xfId="0" applyNumberFormat="1" applyFont="1" applyFill="1" applyBorder="1" applyProtection="1">
      <protection locked="0"/>
    </xf>
    <xf numFmtId="1" fontId="28" fillId="24" borderId="11" xfId="0" applyNumberFormat="1" applyFont="1" applyFill="1" applyBorder="1" applyProtection="1">
      <protection locked="0"/>
    </xf>
    <xf numFmtId="166" fontId="28" fillId="24" borderId="11" xfId="0" applyNumberFormat="1" applyFont="1" applyFill="1" applyBorder="1" applyProtection="1">
      <protection locked="0"/>
    </xf>
    <xf numFmtId="166" fontId="28" fillId="24" borderId="23" xfId="0" applyNumberFormat="1" applyFont="1" applyFill="1" applyBorder="1" applyProtection="1">
      <protection locked="0"/>
    </xf>
    <xf numFmtId="6" fontId="32" fillId="2" borderId="1" xfId="0" applyNumberFormat="1" applyFont="1" applyFill="1" applyBorder="1" applyAlignment="1" applyProtection="1">
      <alignment horizontal="right" vertical="center" shrinkToFit="1"/>
      <protection locked="0"/>
    </xf>
    <xf numFmtId="6" fontId="0" fillId="8" borderId="1" xfId="0" applyNumberFormat="1" applyFill="1" applyBorder="1" applyAlignment="1" applyProtection="1">
      <alignment horizontal="right" vertical="center" shrinkToFit="1"/>
      <protection locked="0"/>
    </xf>
    <xf numFmtId="6" fontId="32" fillId="8" borderId="1" xfId="0" applyNumberFormat="1" applyFont="1" applyFill="1" applyBorder="1" applyAlignment="1" applyProtection="1">
      <alignment horizontal="right" vertical="center" shrinkToFit="1"/>
      <protection locked="0"/>
    </xf>
    <xf numFmtId="6" fontId="36" fillId="13" borderId="1" xfId="0" applyNumberFormat="1" applyFont="1" applyFill="1" applyBorder="1" applyAlignment="1">
      <alignment horizontal="right" vertical="center" shrinkToFit="1"/>
    </xf>
    <xf numFmtId="6" fontId="36" fillId="13" borderId="21" xfId="0" applyNumberFormat="1" applyFont="1" applyFill="1" applyBorder="1" applyAlignment="1">
      <alignment horizontal="right" vertical="center" shrinkToFit="1"/>
    </xf>
    <xf numFmtId="6" fontId="36" fillId="9" borderId="1" xfId="0" applyNumberFormat="1" applyFont="1" applyFill="1" applyBorder="1" applyAlignment="1">
      <alignment horizontal="right" vertical="center" shrinkToFit="1"/>
    </xf>
    <xf numFmtId="6" fontId="32" fillId="15" borderId="1" xfId="0" applyNumberFormat="1" applyFont="1" applyFill="1" applyBorder="1" applyAlignment="1">
      <alignment horizontal="right" vertical="center" shrinkToFit="1"/>
    </xf>
    <xf numFmtId="6" fontId="36" fillId="9" borderId="21" xfId="0" applyNumberFormat="1" applyFont="1" applyFill="1" applyBorder="1" applyAlignment="1">
      <alignment horizontal="right" vertical="center" shrinkToFit="1"/>
    </xf>
    <xf numFmtId="0" fontId="47" fillId="14" borderId="1" xfId="0" applyFont="1" applyFill="1" applyBorder="1" applyAlignment="1">
      <alignment horizontal="right" vertical="center"/>
    </xf>
    <xf numFmtId="6" fontId="47" fillId="14" borderId="1" xfId="0" applyNumberFormat="1" applyFont="1" applyFill="1" applyBorder="1" applyAlignment="1">
      <alignment horizontal="right" vertical="center"/>
    </xf>
    <xf numFmtId="6" fontId="47" fillId="14" borderId="21" xfId="0" applyNumberFormat="1" applyFont="1" applyFill="1" applyBorder="1" applyAlignment="1">
      <alignment horizontal="right" vertical="center"/>
    </xf>
    <xf numFmtId="6" fontId="36" fillId="11" borderId="1" xfId="0" applyNumberFormat="1" applyFont="1" applyFill="1" applyBorder="1" applyAlignment="1">
      <alignment horizontal="right" vertical="center" shrinkToFit="1"/>
    </xf>
    <xf numFmtId="6" fontId="36" fillId="11" borderId="21" xfId="0" applyNumberFormat="1" applyFont="1" applyFill="1" applyBorder="1" applyAlignment="1">
      <alignment horizontal="right" vertical="center" shrinkToFit="1"/>
    </xf>
    <xf numFmtId="0" fontId="47" fillId="14" borderId="21" xfId="0" applyFont="1" applyFill="1" applyBorder="1" applyAlignment="1">
      <alignment horizontal="right" vertical="center"/>
    </xf>
    <xf numFmtId="0" fontId="32" fillId="3" borderId="1" xfId="0" applyFont="1" applyFill="1" applyBorder="1" applyAlignment="1">
      <alignment horizontal="right"/>
    </xf>
    <xf numFmtId="17" fontId="0" fillId="2" borderId="1" xfId="0" applyNumberFormat="1" applyFill="1" applyBorder="1" applyAlignment="1" applyProtection="1">
      <alignment horizontal="right"/>
      <protection locked="0"/>
    </xf>
    <xf numFmtId="172" fontId="0" fillId="9" borderId="1" xfId="0" applyNumberFormat="1" applyFill="1" applyBorder="1" applyAlignment="1">
      <alignment horizontal="right"/>
    </xf>
    <xf numFmtId="6" fontId="32" fillId="9" borderId="21" xfId="0" applyNumberFormat="1" applyFont="1" applyFill="1" applyBorder="1" applyAlignment="1">
      <alignment horizontal="right" vertical="center" shrinkToFit="1"/>
    </xf>
    <xf numFmtId="6" fontId="0" fillId="9" borderId="21" xfId="0" applyNumberFormat="1" applyFill="1" applyBorder="1" applyAlignment="1">
      <alignment horizontal="right" vertical="center" shrinkToFit="1"/>
    </xf>
    <xf numFmtId="6" fontId="32" fillId="15" borderId="1" xfId="0" applyNumberFormat="1" applyFont="1" applyFill="1" applyBorder="1" applyAlignment="1">
      <alignment horizontal="center" vertical="center" shrinkToFit="1"/>
    </xf>
    <xf numFmtId="6" fontId="0" fillId="15" borderId="1" xfId="0" applyNumberFormat="1" applyFill="1" applyBorder="1" applyAlignment="1">
      <alignment horizontal="center" vertical="center" shrinkToFit="1"/>
    </xf>
    <xf numFmtId="6" fontId="32" fillId="15" borderId="21" xfId="0" applyNumberFormat="1" applyFont="1" applyFill="1" applyBorder="1" applyAlignment="1">
      <alignment horizontal="right" vertical="center" shrinkToFit="1"/>
    </xf>
    <xf numFmtId="172" fontId="0" fillId="2" borderId="1" xfId="0" applyNumberFormat="1" applyFill="1" applyBorder="1" applyAlignment="1" applyProtection="1">
      <alignment horizontal="right"/>
      <protection locked="0"/>
    </xf>
    <xf numFmtId="172" fontId="0" fillId="8" borderId="1" xfId="0" applyNumberFormat="1" applyFill="1" applyBorder="1" applyAlignment="1" applyProtection="1">
      <alignment horizontal="right"/>
      <protection locked="0"/>
    </xf>
    <xf numFmtId="1" fontId="0" fillId="9" borderId="1" xfId="0" applyNumberFormat="1" applyFill="1" applyBorder="1" applyAlignment="1">
      <alignment horizontal="right"/>
    </xf>
    <xf numFmtId="172" fontId="28" fillId="24" borderId="11" xfId="0" applyNumberFormat="1" applyFont="1" applyFill="1" applyBorder="1" applyAlignment="1" applyProtection="1">
      <alignment horizontal="right"/>
      <protection locked="0"/>
    </xf>
    <xf numFmtId="172" fontId="28" fillId="24" borderId="27" xfId="0" applyNumberFormat="1" applyFont="1" applyFill="1" applyBorder="1" applyAlignment="1" applyProtection="1">
      <alignment horizontal="right"/>
      <protection locked="0"/>
    </xf>
    <xf numFmtId="0" fontId="5" fillId="0" borderId="0" xfId="0" applyFont="1"/>
    <xf numFmtId="0" fontId="11" fillId="2" borderId="0" xfId="1" applyFont="1" applyFill="1" applyBorder="1" applyProtection="1">
      <protection locked="0"/>
    </xf>
    <xf numFmtId="0" fontId="17" fillId="2" borderId="0" xfId="1" applyFont="1" applyFill="1" applyBorder="1" applyProtection="1">
      <protection locked="0"/>
    </xf>
    <xf numFmtId="6" fontId="0" fillId="9" borderId="1" xfId="0" applyNumberFormat="1" applyFill="1" applyBorder="1" applyAlignment="1">
      <alignment horizontal="right" vertical="center" shrinkToFit="1"/>
    </xf>
    <xf numFmtId="172" fontId="0" fillId="2" borderId="1" xfId="0" applyNumberFormat="1" applyFill="1" applyBorder="1" applyProtection="1">
      <protection locked="0"/>
    </xf>
    <xf numFmtId="0" fontId="0" fillId="3" borderId="0" xfId="0" applyFill="1" applyProtection="1">
      <protection locked="0"/>
    </xf>
    <xf numFmtId="172" fontId="32" fillId="9" borderId="1" xfId="0" applyNumberFormat="1" applyFont="1" applyFill="1" applyBorder="1" applyAlignment="1">
      <alignment horizontal="right"/>
    </xf>
    <xf numFmtId="172" fontId="71" fillId="24" borderId="11" xfId="0" applyNumberFormat="1" applyFont="1" applyFill="1" applyBorder="1" applyAlignment="1" applyProtection="1">
      <alignment horizontal="right"/>
      <protection locked="0"/>
    </xf>
    <xf numFmtId="179" fontId="28" fillId="17" borderId="1" xfId="0" applyNumberFormat="1" applyFont="1" applyFill="1" applyBorder="1"/>
    <xf numFmtId="180" fontId="0" fillId="9" borderId="1" xfId="0" applyNumberFormat="1" applyFill="1" applyBorder="1" applyAlignment="1">
      <alignment horizontal="right"/>
    </xf>
    <xf numFmtId="0" fontId="6" fillId="30" borderId="1" xfId="0" applyFont="1" applyFill="1" applyBorder="1" applyAlignment="1">
      <alignment vertical="center"/>
    </xf>
    <xf numFmtId="172" fontId="0" fillId="14" borderId="1" xfId="0" applyNumberFormat="1" applyFill="1" applyBorder="1" applyAlignment="1" applyProtection="1">
      <alignment horizontal="right"/>
      <protection locked="0"/>
    </xf>
    <xf numFmtId="169" fontId="28" fillId="0" borderId="1" xfId="0" applyNumberFormat="1" applyFont="1" applyBorder="1" applyProtection="1">
      <protection locked="0"/>
    </xf>
    <xf numFmtId="0" fontId="105" fillId="7" borderId="1" xfId="0" applyFont="1" applyFill="1" applyBorder="1" applyAlignment="1">
      <alignment horizontal="left" vertical="center"/>
    </xf>
    <xf numFmtId="172" fontId="89" fillId="7" borderId="1" xfId="3" applyNumberFormat="1" applyFont="1" applyFill="1" applyBorder="1" applyAlignment="1" applyProtection="1">
      <alignment horizontal="right"/>
    </xf>
    <xf numFmtId="172" fontId="89" fillId="7" borderId="1" xfId="3" applyNumberFormat="1" applyFont="1" applyFill="1" applyBorder="1" applyProtection="1"/>
    <xf numFmtId="0" fontId="105" fillId="7" borderId="1" xfId="0" applyFont="1" applyFill="1" applyBorder="1" applyAlignment="1">
      <alignment horizontal="left"/>
    </xf>
    <xf numFmtId="172" fontId="89" fillId="3" borderId="1" xfId="3" applyNumberFormat="1" applyFont="1" applyFill="1" applyBorder="1" applyProtection="1"/>
    <xf numFmtId="0" fontId="13" fillId="2" borderId="1" xfId="1" applyFill="1" applyBorder="1" applyAlignment="1" applyProtection="1">
      <alignment vertical="center" wrapText="1"/>
      <protection locked="0"/>
    </xf>
    <xf numFmtId="165" fontId="3" fillId="2" borderId="1" xfId="0" applyNumberFormat="1" applyFont="1" applyFill="1" applyBorder="1" applyAlignment="1" applyProtection="1">
      <alignment horizontal="left"/>
      <protection locked="0"/>
    </xf>
    <xf numFmtId="182" fontId="28" fillId="4" borderId="1" xfId="0" applyNumberFormat="1" applyFont="1" applyFill="1" applyBorder="1" applyProtection="1">
      <protection locked="0"/>
    </xf>
    <xf numFmtId="166" fontId="0" fillId="9" borderId="1" xfId="0" applyNumberFormat="1" applyFill="1" applyBorder="1" applyAlignment="1">
      <alignment horizontal="right"/>
    </xf>
    <xf numFmtId="177" fontId="3" fillId="2" borderId="1" xfId="0" applyNumberFormat="1" applyFont="1" applyFill="1" applyBorder="1" applyAlignment="1" applyProtection="1">
      <alignment horizontal="left" vertical="center" wrapText="1"/>
      <protection locked="0"/>
    </xf>
    <xf numFmtId="172" fontId="0" fillId="9" borderId="1" xfId="0" applyNumberFormat="1" applyFill="1" applyBorder="1"/>
    <xf numFmtId="0" fontId="0" fillId="2" borderId="1" xfId="0" applyFill="1" applyBorder="1" applyAlignment="1" applyProtection="1">
      <alignment vertical="top"/>
      <protection locked="0"/>
    </xf>
    <xf numFmtId="0" fontId="0" fillId="3" borderId="47" xfId="0" applyFill="1" applyBorder="1"/>
    <xf numFmtId="0" fontId="0" fillId="3" borderId="44" xfId="0" applyFill="1" applyBorder="1"/>
    <xf numFmtId="0" fontId="0" fillId="3" borderId="48" xfId="0" applyFill="1" applyBorder="1"/>
    <xf numFmtId="0" fontId="0" fillId="3" borderId="46" xfId="0" applyFill="1" applyBorder="1"/>
    <xf numFmtId="0" fontId="4" fillId="0" borderId="1" xfId="0" applyFont="1" applyBorder="1"/>
    <xf numFmtId="49" fontId="3" fillId="31" borderId="1" xfId="0" applyNumberFormat="1" applyFont="1" applyFill="1" applyBorder="1" applyAlignment="1" applyProtection="1">
      <alignment horizontal="left"/>
      <protection locked="0"/>
    </xf>
    <xf numFmtId="0" fontId="3" fillId="31" borderId="1" xfId="0" applyFont="1" applyFill="1" applyBorder="1" applyProtection="1">
      <protection locked="0"/>
    </xf>
    <xf numFmtId="165" fontId="0" fillId="31" borderId="1" xfId="0" applyNumberFormat="1" applyFill="1" applyBorder="1" applyProtection="1">
      <protection locked="0"/>
    </xf>
    <xf numFmtId="0" fontId="3" fillId="31" borderId="1" xfId="0" applyFont="1" applyFill="1" applyBorder="1" applyAlignment="1" applyProtection="1">
      <alignment vertical="center" wrapText="1"/>
      <protection locked="0"/>
    </xf>
    <xf numFmtId="165" fontId="3" fillId="31" borderId="1" xfId="0" applyNumberFormat="1" applyFont="1" applyFill="1" applyBorder="1" applyAlignment="1" applyProtection="1">
      <alignment vertical="center" wrapText="1"/>
      <protection locked="0"/>
    </xf>
    <xf numFmtId="177" fontId="3" fillId="31" borderId="1" xfId="0" applyNumberFormat="1" applyFont="1" applyFill="1" applyBorder="1" applyAlignment="1" applyProtection="1">
      <alignment vertical="center" wrapText="1"/>
      <protection locked="0"/>
    </xf>
    <xf numFmtId="165" fontId="3" fillId="31" borderId="1" xfId="0" applyNumberFormat="1" applyFont="1" applyFill="1" applyBorder="1" applyProtection="1">
      <protection locked="0"/>
    </xf>
    <xf numFmtId="38" fontId="28" fillId="31" borderId="1" xfId="0" applyNumberFormat="1" applyFont="1" applyFill="1" applyBorder="1" applyAlignment="1" applyProtection="1">
      <alignment horizontal="center"/>
      <protection locked="0"/>
    </xf>
    <xf numFmtId="38" fontId="0" fillId="0" borderId="0" xfId="0" applyNumberFormat="1"/>
    <xf numFmtId="0" fontId="0" fillId="0" borderId="0" xfId="0" applyAlignment="1">
      <alignment horizontal="right"/>
    </xf>
    <xf numFmtId="0" fontId="28" fillId="32" borderId="1" xfId="0" applyFont="1" applyFill="1" applyBorder="1" applyProtection="1">
      <protection locked="0"/>
    </xf>
    <xf numFmtId="172" fontId="3" fillId="2" borderId="1" xfId="0" applyNumberFormat="1" applyFont="1" applyFill="1" applyBorder="1" applyAlignment="1" applyProtection="1">
      <alignment vertical="center" wrapText="1"/>
      <protection locked="0"/>
    </xf>
    <xf numFmtId="166" fontId="88" fillId="3" borderId="0" xfId="2" applyNumberFormat="1" applyFont="1" applyFill="1" applyBorder="1" applyProtection="1"/>
    <xf numFmtId="183" fontId="0" fillId="9" borderId="1" xfId="0" applyNumberFormat="1" applyFill="1" applyBorder="1" applyAlignment="1">
      <alignment horizontal="right"/>
    </xf>
    <xf numFmtId="0" fontId="19" fillId="2" borderId="0" xfId="0" applyFont="1" applyFill="1"/>
    <xf numFmtId="0" fontId="33" fillId="4" borderId="0" xfId="0" applyFont="1" applyFill="1"/>
    <xf numFmtId="166" fontId="32" fillId="2" borderId="1" xfId="0" applyNumberFormat="1" applyFont="1" applyFill="1" applyBorder="1" applyAlignment="1" applyProtection="1">
      <alignment horizontal="right"/>
      <protection locked="0"/>
    </xf>
    <xf numFmtId="10" fontId="32" fillId="2" borderId="1" xfId="0" applyNumberFormat="1" applyFont="1" applyFill="1" applyBorder="1" applyAlignment="1" applyProtection="1">
      <alignment horizontal="right"/>
      <protection locked="0"/>
    </xf>
    <xf numFmtId="0" fontId="38" fillId="0" borderId="0" xfId="0" applyFont="1" applyAlignment="1">
      <alignment vertical="center"/>
    </xf>
    <xf numFmtId="167" fontId="0" fillId="31" borderId="0" xfId="0" applyNumberFormat="1" applyFill="1" applyAlignment="1">
      <alignment horizontal="center"/>
    </xf>
    <xf numFmtId="167" fontId="0" fillId="6" borderId="0" xfId="0" applyNumberFormat="1" applyFill="1" applyAlignment="1">
      <alignment horizontal="center"/>
    </xf>
    <xf numFmtId="6" fontId="0" fillId="0" borderId="0" xfId="0" applyNumberFormat="1"/>
    <xf numFmtId="0" fontId="0" fillId="31" borderId="0" xfId="0" applyFill="1"/>
    <xf numFmtId="6" fontId="0" fillId="31" borderId="0" xfId="0" applyNumberFormat="1" applyFill="1"/>
    <xf numFmtId="0" fontId="99" fillId="24" borderId="0" xfId="0" applyFont="1" applyFill="1"/>
    <xf numFmtId="0" fontId="3" fillId="2" borderId="28" xfId="0" applyFont="1" applyFill="1" applyBorder="1" applyAlignment="1" applyProtection="1">
      <alignment vertical="center"/>
      <protection locked="0"/>
    </xf>
    <xf numFmtId="172" fontId="28" fillId="17" borderId="11" xfId="0" applyNumberFormat="1" applyFont="1" applyFill="1" applyBorder="1" applyAlignment="1">
      <alignment horizontal="right"/>
    </xf>
    <xf numFmtId="1" fontId="28" fillId="17" borderId="11" xfId="0" applyNumberFormat="1" applyFont="1" applyFill="1" applyBorder="1" applyAlignment="1">
      <alignment horizontal="right"/>
    </xf>
    <xf numFmtId="6" fontId="28" fillId="2" borderId="1" xfId="0" applyNumberFormat="1" applyFont="1" applyFill="1" applyBorder="1" applyProtection="1">
      <protection locked="0"/>
    </xf>
    <xf numFmtId="0" fontId="68" fillId="2" borderId="0" xfId="0" applyFont="1" applyFill="1"/>
    <xf numFmtId="0" fontId="68" fillId="24" borderId="0" xfId="0" applyFont="1" applyFill="1"/>
    <xf numFmtId="0" fontId="68" fillId="4" borderId="0" xfId="0" applyFont="1" applyFill="1"/>
    <xf numFmtId="0" fontId="32" fillId="6" borderId="0" xfId="0" applyFont="1" applyFill="1"/>
    <xf numFmtId="0" fontId="28" fillId="3" borderId="0" xfId="0" applyFont="1" applyFill="1" applyAlignment="1">
      <alignment horizontal="left" vertical="top"/>
    </xf>
    <xf numFmtId="172" fontId="71" fillId="17" borderId="1" xfId="3" applyNumberFormat="1" applyFont="1" applyFill="1" applyBorder="1"/>
    <xf numFmtId="0" fontId="0" fillId="6" borderId="1" xfId="0" applyFill="1" applyBorder="1"/>
    <xf numFmtId="0" fontId="0" fillId="33" borderId="1" xfId="0" applyFill="1" applyBorder="1"/>
    <xf numFmtId="0" fontId="103" fillId="0" borderId="1" xfId="0" applyFont="1" applyBorder="1"/>
    <xf numFmtId="0" fontId="102" fillId="0" borderId="1" xfId="0" applyFont="1" applyBorder="1"/>
    <xf numFmtId="0" fontId="4" fillId="0" borderId="1" xfId="0" applyFont="1" applyBorder="1" applyAlignment="1">
      <alignment horizontal="left" vertical="center"/>
    </xf>
    <xf numFmtId="0" fontId="4" fillId="0" borderId="1" xfId="0" applyFont="1" applyBorder="1" applyAlignment="1">
      <alignment vertical="center"/>
    </xf>
    <xf numFmtId="6" fontId="0" fillId="0" borderId="1" xfId="0" applyNumberFormat="1" applyBorder="1"/>
    <xf numFmtId="0" fontId="70" fillId="4" borderId="0" xfId="0" applyFont="1" applyFill="1"/>
    <xf numFmtId="0" fontId="0" fillId="2" borderId="21" xfId="0" applyFill="1" applyBorder="1" applyProtection="1">
      <protection locked="0"/>
    </xf>
    <xf numFmtId="0" fontId="0" fillId="34" borderId="0" xfId="0" applyFill="1"/>
    <xf numFmtId="0" fontId="0" fillId="35" borderId="58" xfId="0" applyFill="1" applyBorder="1"/>
    <xf numFmtId="0" fontId="0" fillId="35" borderId="1" xfId="0" applyFill="1" applyBorder="1"/>
    <xf numFmtId="0" fontId="0" fillId="35" borderId="59" xfId="0" applyFill="1" applyBorder="1"/>
    <xf numFmtId="0" fontId="4" fillId="35" borderId="0" xfId="0" applyFont="1" applyFill="1"/>
    <xf numFmtId="0" fontId="4" fillId="0" borderId="0" xfId="0" applyFont="1" applyAlignment="1">
      <alignment vertical="top"/>
    </xf>
    <xf numFmtId="14" fontId="4" fillId="0" borderId="0" xfId="0" applyNumberFormat="1" applyFont="1" applyAlignment="1">
      <alignment vertical="top"/>
    </xf>
    <xf numFmtId="0" fontId="4" fillId="0" borderId="0" xfId="0" applyFont="1" applyAlignment="1">
      <alignment vertical="top" wrapText="1"/>
    </xf>
    <xf numFmtId="0" fontId="0" fillId="0" borderId="0" xfId="0" applyAlignment="1">
      <alignment vertical="top"/>
    </xf>
    <xf numFmtId="14" fontId="0" fillId="0" borderId="0" xfId="0" applyNumberFormat="1" applyAlignment="1">
      <alignment vertical="top"/>
    </xf>
    <xf numFmtId="0" fontId="0" fillId="0" borderId="0" xfId="0" applyAlignment="1">
      <alignment vertical="top" wrapText="1"/>
    </xf>
    <xf numFmtId="0" fontId="14" fillId="0" borderId="0" xfId="0" applyFont="1" applyAlignment="1">
      <alignment horizontal="left" vertical="top" wrapText="1"/>
    </xf>
    <xf numFmtId="14" fontId="0" fillId="0" borderId="0" xfId="0" applyNumberFormat="1" applyAlignment="1">
      <alignment vertical="top" wrapText="1"/>
    </xf>
    <xf numFmtId="1" fontId="4" fillId="0" borderId="0" xfId="0" applyNumberFormat="1" applyFont="1" applyAlignment="1">
      <alignment horizontal="right" vertical="top" wrapText="1"/>
    </xf>
    <xf numFmtId="1" fontId="0" fillId="0" borderId="0" xfId="0" applyNumberFormat="1" applyAlignment="1">
      <alignment horizontal="right" vertical="top"/>
    </xf>
    <xf numFmtId="0" fontId="0" fillId="0" borderId="0" xfId="0" quotePrefix="1" applyAlignment="1">
      <alignment vertical="top" wrapText="1"/>
    </xf>
    <xf numFmtId="0" fontId="110" fillId="3" borderId="0" xfId="0" applyFont="1" applyFill="1" applyAlignment="1">
      <alignment vertical="top"/>
    </xf>
    <xf numFmtId="0" fontId="110" fillId="3" borderId="0" xfId="0" applyFont="1" applyFill="1" applyAlignment="1">
      <alignment vertical="top" wrapText="1"/>
    </xf>
    <xf numFmtId="0" fontId="15" fillId="3" borderId="0" xfId="0" applyFont="1" applyFill="1" applyAlignment="1">
      <alignment vertical="top" wrapText="1"/>
    </xf>
    <xf numFmtId="0" fontId="42" fillId="3" borderId="0" xfId="0" applyFont="1" applyFill="1" applyAlignment="1">
      <alignment vertical="top" wrapText="1"/>
    </xf>
    <xf numFmtId="0" fontId="15" fillId="3" borderId="0" xfId="0" applyFont="1" applyFill="1" applyAlignment="1">
      <alignment vertical="top"/>
    </xf>
    <xf numFmtId="14" fontId="4" fillId="0" borderId="0" xfId="0" applyNumberFormat="1" applyFont="1" applyAlignment="1">
      <alignment vertical="top" wrapText="1"/>
    </xf>
    <xf numFmtId="1" fontId="0" fillId="0" borderId="0" xfId="0" applyNumberFormat="1" applyAlignment="1">
      <alignment horizontal="right" vertical="top" wrapText="1"/>
    </xf>
    <xf numFmtId="0" fontId="32" fillId="2" borderId="0" xfId="0" applyFont="1" applyFill="1" applyAlignment="1">
      <alignment horizontal="left" wrapText="1"/>
    </xf>
    <xf numFmtId="0" fontId="0" fillId="3" borderId="4" xfId="0" applyFill="1" applyBorder="1" applyAlignment="1">
      <alignment horizontal="right"/>
    </xf>
    <xf numFmtId="173" fontId="4" fillId="9" borderId="1" xfId="0" applyNumberFormat="1" applyFont="1" applyFill="1" applyBorder="1"/>
    <xf numFmtId="185" fontId="4" fillId="9" borderId="1" xfId="0" applyNumberFormat="1" applyFont="1" applyFill="1" applyBorder="1"/>
    <xf numFmtId="172" fontId="0" fillId="3" borderId="4" xfId="0" applyNumberFormat="1" applyFill="1" applyBorder="1" applyAlignment="1">
      <alignment horizontal="right"/>
    </xf>
    <xf numFmtId="172" fontId="0" fillId="3" borderId="0" xfId="0" applyNumberFormat="1" applyFill="1"/>
    <xf numFmtId="173" fontId="0" fillId="3" borderId="0" xfId="0" applyNumberFormat="1" applyFill="1"/>
    <xf numFmtId="0" fontId="28" fillId="7" borderId="1" xfId="0" applyFont="1" applyFill="1" applyBorder="1" applyProtection="1">
      <protection locked="0"/>
    </xf>
    <xf numFmtId="0" fontId="28" fillId="7" borderId="0" xfId="0" applyFont="1" applyFill="1" applyProtection="1">
      <protection locked="0"/>
    </xf>
    <xf numFmtId="0" fontId="28" fillId="7" borderId="11" xfId="0" applyFont="1" applyFill="1" applyBorder="1" applyProtection="1">
      <protection locked="0"/>
    </xf>
    <xf numFmtId="0" fontId="29" fillId="7" borderId="0" xfId="0" applyFont="1" applyFill="1" applyProtection="1">
      <protection locked="0"/>
    </xf>
    <xf numFmtId="0" fontId="28" fillId="7" borderId="35" xfId="0" applyFont="1" applyFill="1" applyBorder="1" applyProtection="1">
      <protection locked="0"/>
    </xf>
    <xf numFmtId="172" fontId="0" fillId="3" borderId="0" xfId="0" applyNumberFormat="1" applyFill="1" applyProtection="1">
      <protection locked="0"/>
    </xf>
    <xf numFmtId="172" fontId="68" fillId="9" borderId="11" xfId="0" applyNumberFormat="1" applyFont="1" applyFill="1" applyBorder="1"/>
    <xf numFmtId="185" fontId="0" fillId="9" borderId="1" xfId="0" applyNumberFormat="1" applyFill="1" applyBorder="1"/>
    <xf numFmtId="172" fontId="4" fillId="9" borderId="1" xfId="0" applyNumberFormat="1" applyFont="1" applyFill="1" applyBorder="1"/>
    <xf numFmtId="181" fontId="88" fillId="3" borderId="0" xfId="0" applyNumberFormat="1" applyFont="1" applyFill="1"/>
    <xf numFmtId="185" fontId="88" fillId="3" borderId="0" xfId="0" applyNumberFormat="1" applyFont="1" applyFill="1"/>
    <xf numFmtId="172" fontId="4" fillId="3" borderId="0" xfId="0" applyNumberFormat="1" applyFont="1" applyFill="1"/>
    <xf numFmtId="172" fontId="111" fillId="3" borderId="0" xfId="0" applyNumberFormat="1" applyFont="1" applyFill="1"/>
    <xf numFmtId="172" fontId="111" fillId="3" borderId="0" xfId="0" applyNumberFormat="1" applyFont="1" applyFill="1" applyAlignment="1">
      <alignment horizontal="left" vertical="top"/>
    </xf>
    <xf numFmtId="181" fontId="4" fillId="9" borderId="1" xfId="0" applyNumberFormat="1" applyFont="1" applyFill="1" applyBorder="1" applyProtection="1">
      <protection locked="0"/>
    </xf>
    <xf numFmtId="1" fontId="0" fillId="9" borderId="1" xfId="0" applyNumberFormat="1" applyFill="1" applyBorder="1" applyAlignment="1">
      <alignment horizontal="center"/>
    </xf>
    <xf numFmtId="14" fontId="0" fillId="0" borderId="2" xfId="0" applyNumberFormat="1" applyBorder="1" applyAlignment="1">
      <alignment vertical="top"/>
    </xf>
    <xf numFmtId="1" fontId="0" fillId="0" borderId="2" xfId="0" applyNumberFormat="1" applyBorder="1" applyAlignment="1">
      <alignment horizontal="right" vertical="top"/>
    </xf>
    <xf numFmtId="14" fontId="0" fillId="0" borderId="2" xfId="0" applyNumberFormat="1" applyBorder="1" applyAlignment="1">
      <alignment vertical="top" wrapText="1"/>
    </xf>
    <xf numFmtId="0" fontId="0" fillId="0" borderId="2" xfId="0" applyBorder="1" applyAlignment="1">
      <alignment vertical="top" wrapText="1"/>
    </xf>
    <xf numFmtId="0" fontId="0" fillId="0" borderId="2" xfId="0" applyBorder="1" applyAlignment="1">
      <alignment vertical="top"/>
    </xf>
    <xf numFmtId="0" fontId="32" fillId="0" borderId="0" xfId="0" applyFont="1" applyAlignment="1">
      <alignment vertical="top" wrapText="1"/>
    </xf>
    <xf numFmtId="187" fontId="0" fillId="9" borderId="1" xfId="0" applyNumberFormat="1" applyFill="1" applyBorder="1"/>
    <xf numFmtId="4" fontId="0" fillId="9" borderId="1" xfId="0" applyNumberFormat="1" applyFill="1" applyBorder="1"/>
    <xf numFmtId="0" fontId="113" fillId="2" borderId="0" xfId="1" applyFont="1" applyFill="1" applyBorder="1" applyProtection="1">
      <protection locked="0"/>
    </xf>
    <xf numFmtId="6" fontId="0" fillId="9" borderId="1" xfId="0" applyNumberFormat="1" applyFill="1" applyBorder="1" applyAlignment="1">
      <alignment horizontal="right"/>
    </xf>
    <xf numFmtId="0" fontId="36" fillId="0" borderId="53" xfId="0" applyFont="1" applyBorder="1" applyAlignment="1">
      <alignment horizontal="center"/>
    </xf>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0" xfId="0" applyFont="1" applyFill="1"/>
    <xf numFmtId="0" fontId="32" fillId="37" borderId="18" xfId="0" applyFont="1" applyFill="1" applyBorder="1" applyAlignment="1">
      <alignment vertical="center"/>
    </xf>
    <xf numFmtId="0" fontId="32" fillId="37" borderId="18" xfId="0" applyFont="1" applyFill="1" applyBorder="1" applyAlignment="1">
      <alignment horizontal="left" vertical="center"/>
    </xf>
    <xf numFmtId="0" fontId="32" fillId="37" borderId="18" xfId="0" applyFont="1" applyFill="1" applyBorder="1"/>
    <xf numFmtId="0" fontId="32" fillId="37" borderId="0" xfId="0" applyFont="1" applyFill="1" applyAlignment="1">
      <alignment horizontal="left"/>
    </xf>
    <xf numFmtId="0" fontId="36" fillId="39" borderId="30" xfId="0" applyFont="1" applyFill="1" applyBorder="1"/>
    <xf numFmtId="0" fontId="36" fillId="38" borderId="30" xfId="0" applyFont="1" applyFill="1" applyBorder="1"/>
    <xf numFmtId="0" fontId="36" fillId="0" borderId="53" xfId="0" applyFont="1" applyBorder="1" applyAlignment="1">
      <alignment horizontal="left"/>
    </xf>
    <xf numFmtId="0" fontId="36" fillId="0" borderId="53" xfId="0" applyFont="1" applyBorder="1" applyAlignment="1">
      <alignment horizontal="center" vertical="top"/>
    </xf>
    <xf numFmtId="0" fontId="0" fillId="0" borderId="0" xfId="0" applyAlignment="1">
      <alignment horizontal="center" vertical="top"/>
    </xf>
    <xf numFmtId="0" fontId="36" fillId="39" borderId="30" xfId="0" applyFont="1" applyFill="1" applyBorder="1" applyAlignment="1">
      <alignment horizontal="center" vertical="top"/>
    </xf>
    <xf numFmtId="0" fontId="32" fillId="9" borderId="1" xfId="0" applyFont="1" applyFill="1" applyBorder="1" applyAlignment="1">
      <alignment horizontal="center" vertical="top"/>
    </xf>
    <xf numFmtId="0" fontId="36" fillId="38" borderId="30" xfId="0" applyFont="1" applyFill="1" applyBorder="1" applyAlignment="1">
      <alignment horizontal="center" vertical="top"/>
    </xf>
    <xf numFmtId="0" fontId="32" fillId="37" borderId="0" xfId="0" applyFont="1" applyFill="1" applyAlignment="1">
      <alignment horizontal="left" vertical="top"/>
    </xf>
    <xf numFmtId="0" fontId="36" fillId="0" borderId="53" xfId="0" applyFont="1" applyBorder="1" applyAlignment="1">
      <alignment horizontal="left" vertical="top"/>
    </xf>
    <xf numFmtId="9" fontId="32" fillId="37" borderId="0" xfId="2" applyFont="1" applyFill="1" applyAlignment="1">
      <alignment horizontal="left" vertical="top"/>
    </xf>
    <xf numFmtId="0" fontId="32" fillId="37" borderId="0" xfId="2" applyNumberFormat="1" applyFont="1" applyFill="1" applyAlignment="1">
      <alignment horizontal="left" vertical="top"/>
    </xf>
    <xf numFmtId="0" fontId="0" fillId="0" borderId="0" xfId="0" applyAlignment="1">
      <alignment horizontal="left" vertical="top"/>
    </xf>
    <xf numFmtId="49" fontId="0" fillId="9" borderId="1" xfId="0" applyNumberFormat="1" applyFill="1" applyBorder="1"/>
    <xf numFmtId="0" fontId="32" fillId="36" borderId="1" xfId="0" applyFont="1" applyFill="1" applyBorder="1"/>
    <xf numFmtId="0" fontId="32" fillId="36" borderId="1" xfId="0" applyFont="1" applyFill="1" applyBorder="1" applyAlignment="1">
      <alignment horizontal="left" vertical="top"/>
    </xf>
    <xf numFmtId="0" fontId="32" fillId="36" borderId="1" xfId="0" applyFont="1" applyFill="1" applyBorder="1" applyAlignment="1">
      <alignment horizontal="center" vertical="top"/>
    </xf>
    <xf numFmtId="0" fontId="70" fillId="2" borderId="0" xfId="0" applyFont="1" applyFill="1"/>
    <xf numFmtId="0" fontId="20" fillId="2" borderId="2" xfId="0" applyFont="1" applyFill="1" applyBorder="1"/>
    <xf numFmtId="0" fontId="20" fillId="2" borderId="0" xfId="0" applyFont="1" applyFill="1" applyAlignment="1">
      <alignment horizontal="left" wrapText="1"/>
    </xf>
    <xf numFmtId="9" fontId="20" fillId="2" borderId="0" xfId="0" applyNumberFormat="1" applyFont="1" applyFill="1"/>
    <xf numFmtId="0" fontId="20" fillId="0" borderId="0" xfId="0" applyFont="1"/>
    <xf numFmtId="0" fontId="32" fillId="37" borderId="0" xfId="0" applyFont="1" applyFill="1" applyAlignment="1">
      <alignment horizontal="right" vertical="top"/>
    </xf>
    <xf numFmtId="0" fontId="0" fillId="9" borderId="5" xfId="0" applyFill="1" applyBorder="1"/>
    <xf numFmtId="0" fontId="0" fillId="2" borderId="30" xfId="0" applyFill="1" applyBorder="1" applyProtection="1">
      <protection locked="0"/>
    </xf>
    <xf numFmtId="0" fontId="0" fillId="2" borderId="22" xfId="0" applyFill="1" applyBorder="1" applyProtection="1">
      <protection locked="0"/>
    </xf>
    <xf numFmtId="6" fontId="0" fillId="9" borderId="21" xfId="0" applyNumberFormat="1" applyFill="1" applyBorder="1"/>
    <xf numFmtId="6" fontId="0" fillId="9" borderId="30" xfId="0" applyNumberFormat="1" applyFill="1" applyBorder="1"/>
    <xf numFmtId="6" fontId="0" fillId="9" borderId="22" xfId="0" applyNumberFormat="1" applyFill="1" applyBorder="1"/>
    <xf numFmtId="0" fontId="23" fillId="13" borderId="22" xfId="0" applyFont="1" applyFill="1" applyBorder="1" applyAlignment="1">
      <alignment horizontal="left" vertical="center"/>
    </xf>
    <xf numFmtId="0" fontId="44" fillId="12" borderId="22" xfId="0" applyFont="1" applyFill="1" applyBorder="1" applyAlignment="1">
      <alignment horizontal="left" vertical="center"/>
    </xf>
    <xf numFmtId="0" fontId="23" fillId="11" borderId="30" xfId="0" applyFont="1" applyFill="1" applyBorder="1" applyAlignment="1">
      <alignment horizontal="right" vertical="center"/>
    </xf>
    <xf numFmtId="0" fontId="23" fillId="11" borderId="22" xfId="0" applyFont="1" applyFill="1" applyBorder="1" applyAlignment="1">
      <alignment horizontal="right" vertical="center"/>
    </xf>
    <xf numFmtId="0" fontId="50" fillId="13" borderId="22" xfId="0" applyFont="1" applyFill="1" applyBorder="1" applyAlignment="1">
      <alignment horizontal="left" vertical="center"/>
    </xf>
    <xf numFmtId="0" fontId="44" fillId="12" borderId="30" xfId="0" applyFont="1" applyFill="1" applyBorder="1" applyAlignment="1">
      <alignment horizontal="left" vertical="center"/>
    </xf>
    <xf numFmtId="0" fontId="47" fillId="14" borderId="30" xfId="0" applyFont="1" applyFill="1" applyBorder="1" applyAlignment="1">
      <alignment vertical="center"/>
    </xf>
    <xf numFmtId="0" fontId="50" fillId="13" borderId="30" xfId="0" applyFont="1" applyFill="1" applyBorder="1" applyAlignment="1">
      <alignment horizontal="right" vertical="center"/>
    </xf>
    <xf numFmtId="0" fontId="44" fillId="12" borderId="22" xfId="0" applyFont="1" applyFill="1" applyBorder="1" applyAlignment="1">
      <alignment vertical="center"/>
    </xf>
    <xf numFmtId="0" fontId="0" fillId="2" borderId="0" xfId="0" applyFill="1" applyAlignment="1">
      <alignment horizontal="left" vertical="center"/>
    </xf>
    <xf numFmtId="0" fontId="32" fillId="2" borderId="0" xfId="0" applyFont="1" applyFill="1" applyAlignment="1">
      <alignment horizontal="left" vertical="center"/>
    </xf>
    <xf numFmtId="0" fontId="32" fillId="2" borderId="0" xfId="0" applyFont="1" applyFill="1" applyAlignment="1">
      <alignment vertical="center"/>
    </xf>
    <xf numFmtId="0" fontId="115" fillId="2" borderId="0" xfId="0" applyFont="1" applyFill="1" applyAlignment="1">
      <alignment vertical="center"/>
    </xf>
    <xf numFmtId="0" fontId="7" fillId="2" borderId="0" xfId="0" applyFont="1" applyFill="1"/>
    <xf numFmtId="0" fontId="22" fillId="2" borderId="0" xfId="0" applyFont="1" applyFill="1"/>
    <xf numFmtId="0" fontId="0" fillId="2" borderId="0" xfId="0" applyFill="1" applyProtection="1">
      <protection locked="0"/>
    </xf>
    <xf numFmtId="0" fontId="36" fillId="40" borderId="5" xfId="0" applyFont="1" applyFill="1" applyBorder="1" applyAlignment="1">
      <alignment horizontal="center" vertical="center" wrapText="1"/>
    </xf>
    <xf numFmtId="0" fontId="36" fillId="40" borderId="1" xfId="0" applyFont="1" applyFill="1" applyBorder="1" applyAlignment="1">
      <alignment horizontal="center" vertical="center" wrapText="1"/>
    </xf>
    <xf numFmtId="0" fontId="0" fillId="2" borderId="0" xfId="0" applyFill="1" applyAlignment="1" applyProtection="1">
      <alignment wrapText="1"/>
      <protection locked="0"/>
    </xf>
    <xf numFmtId="0" fontId="32" fillId="9" borderId="1" xfId="0" applyFont="1" applyFill="1" applyBorder="1" applyAlignment="1">
      <alignment horizontal="left" vertical="center"/>
    </xf>
    <xf numFmtId="0" fontId="32" fillId="0" borderId="21" xfId="0" applyFont="1" applyBorder="1" applyAlignment="1" applyProtection="1">
      <alignment horizontal="left"/>
      <protection locked="0"/>
    </xf>
    <xf numFmtId="0" fontId="32" fillId="2" borderId="0" xfId="0" applyFont="1" applyFill="1" applyAlignment="1">
      <alignment horizontal="center"/>
    </xf>
    <xf numFmtId="0" fontId="32" fillId="0" borderId="1" xfId="0" applyFont="1" applyBorder="1" applyAlignment="1" applyProtection="1">
      <alignment horizontal="left"/>
      <protection locked="0"/>
    </xf>
    <xf numFmtId="0" fontId="20" fillId="0" borderId="1" xfId="0" applyFont="1" applyBorder="1" applyAlignment="1" applyProtection="1">
      <alignment horizontal="left"/>
      <protection locked="0"/>
    </xf>
    <xf numFmtId="0" fontId="32" fillId="9" borderId="3" xfId="0" applyFont="1" applyFill="1" applyBorder="1" applyAlignment="1">
      <alignment horizontal="left" vertical="center"/>
    </xf>
    <xf numFmtId="0" fontId="32" fillId="0" borderId="9" xfId="0" applyFont="1" applyBorder="1" applyAlignment="1" applyProtection="1">
      <alignment horizontal="left"/>
      <protection locked="0"/>
    </xf>
    <xf numFmtId="0" fontId="118" fillId="40" borderId="9" xfId="0" applyFont="1" applyFill="1" applyBorder="1" applyAlignment="1">
      <alignment horizontal="left" vertical="center"/>
    </xf>
    <xf numFmtId="0" fontId="118" fillId="40" borderId="18" xfId="0" applyFont="1" applyFill="1" applyBorder="1" applyAlignment="1">
      <alignment horizontal="left" vertical="center"/>
    </xf>
    <xf numFmtId="0" fontId="36" fillId="40" borderId="21" xfId="0" applyFont="1" applyFill="1" applyBorder="1" applyAlignment="1">
      <alignment horizontal="left" vertical="center"/>
    </xf>
    <xf numFmtId="6" fontId="32" fillId="9" borderId="1" xfId="0" applyNumberFormat="1" applyFont="1" applyFill="1" applyBorder="1" applyAlignment="1">
      <alignment horizontal="right" vertical="center" shrinkToFit="1"/>
    </xf>
    <xf numFmtId="42" fontId="32" fillId="2" borderId="1" xfId="0" applyNumberFormat="1" applyFont="1" applyFill="1" applyBorder="1" applyAlignment="1" applyProtection="1">
      <alignment horizontal="right" vertical="center" shrinkToFit="1"/>
      <protection locked="0"/>
    </xf>
    <xf numFmtId="42" fontId="32" fillId="9" borderId="1" xfId="0" applyNumberFormat="1" applyFont="1" applyFill="1" applyBorder="1" applyAlignment="1">
      <alignment horizontal="right" vertical="center" shrinkToFit="1"/>
    </xf>
    <xf numFmtId="42" fontId="32" fillId="9" borderId="1" xfId="0" applyNumberFormat="1" applyFont="1" applyFill="1" applyBorder="1" applyAlignment="1" applyProtection="1">
      <alignment horizontal="right" vertical="center" shrinkToFit="1"/>
      <protection locked="0"/>
    </xf>
    <xf numFmtId="0" fontId="20" fillId="2" borderId="0" xfId="0" applyFont="1" applyFill="1" applyAlignment="1">
      <alignment vertical="center"/>
    </xf>
    <xf numFmtId="0" fontId="32" fillId="37" borderId="21" xfId="0" applyFont="1" applyFill="1" applyBorder="1" applyAlignment="1">
      <alignment vertical="center"/>
    </xf>
    <xf numFmtId="0" fontId="32" fillId="37" borderId="30" xfId="0" applyFont="1" applyFill="1" applyBorder="1" applyAlignment="1">
      <alignment horizontal="left" vertical="center"/>
    </xf>
    <xf numFmtId="0" fontId="32" fillId="37" borderId="30" xfId="0" applyFont="1" applyFill="1" applyBorder="1" applyAlignment="1">
      <alignment horizontal="left" vertical="top"/>
    </xf>
    <xf numFmtId="0" fontId="32" fillId="37" borderId="21" xfId="0" applyFont="1" applyFill="1" applyBorder="1"/>
    <xf numFmtId="0" fontId="32" fillId="37" borderId="30" xfId="0" applyFont="1" applyFill="1" applyBorder="1"/>
    <xf numFmtId="49" fontId="0" fillId="9" borderId="5" xfId="0" applyNumberFormat="1" applyFill="1" applyBorder="1"/>
    <xf numFmtId="0" fontId="0" fillId="9" borderId="3" xfId="0" applyFill="1" applyBorder="1"/>
    <xf numFmtId="0" fontId="32" fillId="0" borderId="0" xfId="0" applyFont="1" applyAlignment="1">
      <alignment horizontal="right" vertical="center"/>
    </xf>
    <xf numFmtId="0" fontId="20" fillId="0" borderId="0" xfId="0" applyFont="1" applyAlignment="1">
      <alignment horizontal="center" vertical="top"/>
    </xf>
    <xf numFmtId="0" fontId="32" fillId="0" borderId="0" xfId="0" applyFont="1" applyAlignment="1">
      <alignment horizontal="right" vertical="top"/>
    </xf>
    <xf numFmtId="0" fontId="32" fillId="0" borderId="0" xfId="0" applyFont="1" applyAlignment="1">
      <alignment horizontal="center" vertical="top"/>
    </xf>
    <xf numFmtId="42" fontId="32" fillId="9" borderId="1" xfId="4" applyNumberFormat="1" applyFont="1" applyFill="1" applyBorder="1"/>
    <xf numFmtId="42" fontId="32" fillId="0" borderId="1" xfId="4" applyNumberFormat="1" applyFont="1" applyBorder="1" applyProtection="1">
      <protection locked="0"/>
    </xf>
    <xf numFmtId="44" fontId="32" fillId="9" borderId="1" xfId="4" applyFont="1" applyFill="1" applyBorder="1"/>
    <xf numFmtId="42" fontId="36" fillId="40" borderId="1" xfId="4" applyNumberFormat="1" applyFont="1" applyFill="1" applyBorder="1"/>
    <xf numFmtId="42" fontId="36" fillId="2" borderId="0" xfId="4" applyNumberFormat="1" applyFont="1" applyFill="1"/>
    <xf numFmtId="42" fontId="118" fillId="40" borderId="1" xfId="4" applyNumberFormat="1" applyFont="1" applyFill="1" applyBorder="1" applyAlignment="1">
      <alignment vertical="center"/>
    </xf>
    <xf numFmtId="9" fontId="32" fillId="0" borderId="1" xfId="2" applyFont="1" applyBorder="1" applyAlignment="1" applyProtection="1">
      <alignment horizontal="center"/>
      <protection locked="0"/>
    </xf>
    <xf numFmtId="0" fontId="0" fillId="0" borderId="2" xfId="0" applyBorder="1"/>
    <xf numFmtId="0" fontId="0" fillId="0" borderId="7" xfId="0" applyBorder="1"/>
    <xf numFmtId="0" fontId="0" fillId="0" borderId="8" xfId="0" applyBorder="1"/>
    <xf numFmtId="0" fontId="0" fillId="0" borderId="4" xfId="0" applyBorder="1"/>
    <xf numFmtId="0" fontId="0" fillId="0" borderId="9" xfId="0" applyBorder="1"/>
    <xf numFmtId="0" fontId="0" fillId="0" borderId="18" xfId="0" applyBorder="1"/>
    <xf numFmtId="0" fontId="32" fillId="0" borderId="10" xfId="0" applyFont="1" applyBorder="1"/>
    <xf numFmtId="0" fontId="0" fillId="6" borderId="6" xfId="0" applyFill="1" applyBorder="1"/>
    <xf numFmtId="42" fontId="36" fillId="11" borderId="1" xfId="0" applyNumberFormat="1" applyFont="1" applyFill="1" applyBorder="1" applyAlignment="1">
      <alignment horizontal="right" vertical="center" shrinkToFit="1"/>
    </xf>
    <xf numFmtId="42" fontId="36" fillId="13" borderId="1" xfId="0" applyNumberFormat="1" applyFont="1" applyFill="1" applyBorder="1" applyAlignment="1">
      <alignment horizontal="right" vertical="center" shrinkToFit="1"/>
    </xf>
    <xf numFmtId="6" fontId="32" fillId="2" borderId="1" xfId="0" applyNumberFormat="1" applyFont="1" applyFill="1" applyBorder="1" applyAlignment="1">
      <alignment horizontal="right" vertical="center" shrinkToFit="1"/>
    </xf>
    <xf numFmtId="0" fontId="50" fillId="13" borderId="21" xfId="0" applyFont="1" applyFill="1" applyBorder="1" applyAlignment="1">
      <alignment vertical="center"/>
    </xf>
    <xf numFmtId="0" fontId="42" fillId="11" borderId="18" xfId="0" applyFont="1" applyFill="1" applyBorder="1" applyAlignment="1">
      <alignment horizontal="left" vertical="center"/>
    </xf>
    <xf numFmtId="0" fontId="50" fillId="13" borderId="30" xfId="0" applyFont="1" applyFill="1" applyBorder="1" applyAlignment="1">
      <alignment vertical="center"/>
    </xf>
    <xf numFmtId="0" fontId="70" fillId="24" borderId="0" xfId="0" applyFont="1" applyFill="1"/>
    <xf numFmtId="0" fontId="20" fillId="2" borderId="18" xfId="0" applyFont="1" applyFill="1" applyBorder="1"/>
    <xf numFmtId="0" fontId="0" fillId="42" borderId="0" xfId="0" applyFill="1"/>
    <xf numFmtId="171" fontId="0" fillId="9" borderId="0" xfId="3" applyNumberFormat="1" applyFont="1" applyFill="1"/>
    <xf numFmtId="10" fontId="0" fillId="9" borderId="0" xfId="2" applyNumberFormat="1" applyFont="1" applyFill="1"/>
    <xf numFmtId="171" fontId="0" fillId="9" borderId="2" xfId="3" applyNumberFormat="1" applyFont="1" applyFill="1" applyBorder="1"/>
    <xf numFmtId="9" fontId="0" fillId="9" borderId="0" xfId="0" applyNumberFormat="1" applyFill="1"/>
    <xf numFmtId="0" fontId="0" fillId="9" borderId="0" xfId="0" applyFill="1"/>
    <xf numFmtId="10" fontId="0" fillId="9" borderId="0" xfId="0" applyNumberFormat="1" applyFill="1"/>
    <xf numFmtId="170" fontId="0" fillId="9" borderId="0" xfId="4" applyNumberFormat="1" applyFont="1" applyFill="1"/>
    <xf numFmtId="170" fontId="0" fillId="9" borderId="30" xfId="4" applyNumberFormat="1" applyFont="1" applyFill="1" applyBorder="1"/>
    <xf numFmtId="44" fontId="0" fillId="9" borderId="0" xfId="4" applyFont="1" applyFill="1"/>
    <xf numFmtId="170" fontId="0" fillId="9" borderId="0" xfId="4" applyNumberFormat="1" applyFont="1" applyFill="1" applyBorder="1"/>
    <xf numFmtId="0" fontId="46" fillId="43" borderId="22" xfId="0" applyFont="1" applyFill="1" applyBorder="1" applyAlignment="1">
      <alignment horizontal="left" vertical="center"/>
    </xf>
    <xf numFmtId="0" fontId="22" fillId="0" borderId="0" xfId="0" applyFont="1" applyAlignment="1">
      <alignment vertical="center"/>
    </xf>
    <xf numFmtId="0" fontId="22" fillId="0" borderId="0" xfId="0" applyFont="1"/>
    <xf numFmtId="0" fontId="22" fillId="0" borderId="0" xfId="0" applyFont="1" applyAlignment="1">
      <alignment horizontal="center"/>
    </xf>
    <xf numFmtId="0" fontId="21" fillId="0" borderId="18" xfId="0" applyFont="1" applyBorder="1"/>
    <xf numFmtId="0" fontId="21" fillId="0" borderId="18" xfId="0" applyFont="1" applyBorder="1" applyAlignment="1">
      <alignment horizontal="center" wrapText="1"/>
    </xf>
    <xf numFmtId="0" fontId="22" fillId="0" borderId="0" xfId="0" applyFont="1" applyAlignment="1">
      <alignment horizontal="center" wrapText="1"/>
    </xf>
    <xf numFmtId="0" fontId="28" fillId="24" borderId="72" xfId="0" applyFont="1" applyFill="1" applyBorder="1" applyProtection="1">
      <protection locked="0"/>
    </xf>
    <xf numFmtId="0" fontId="38" fillId="2" borderId="0" xfId="0" applyFont="1" applyFill="1" applyAlignment="1">
      <alignment vertical="top" wrapText="1"/>
    </xf>
    <xf numFmtId="0" fontId="38" fillId="2" borderId="0" xfId="0" applyFont="1" applyFill="1"/>
    <xf numFmtId="3" fontId="32" fillId="2" borderId="0" xfId="0" applyNumberFormat="1" applyFont="1" applyFill="1"/>
    <xf numFmtId="0" fontId="67" fillId="24" borderId="0" xfId="0" applyFont="1" applyFill="1"/>
    <xf numFmtId="166" fontId="68" fillId="24" borderId="0" xfId="0" applyNumberFormat="1" applyFont="1" applyFill="1"/>
    <xf numFmtId="182" fontId="68" fillId="24" borderId="0" xfId="0" applyNumberFormat="1" applyFont="1" applyFill="1"/>
    <xf numFmtId="1" fontId="68" fillId="24" borderId="0" xfId="0" applyNumberFormat="1" applyFont="1" applyFill="1"/>
    <xf numFmtId="173" fontId="32" fillId="2" borderId="0" xfId="0" applyNumberFormat="1" applyFont="1" applyFill="1"/>
    <xf numFmtId="6" fontId="68" fillId="24" borderId="0" xfId="0" applyNumberFormat="1" applyFont="1" applyFill="1"/>
    <xf numFmtId="184" fontId="68" fillId="24" borderId="0" xfId="0" applyNumberFormat="1" applyFont="1" applyFill="1"/>
    <xf numFmtId="167" fontId="32" fillId="2" borderId="0" xfId="0" applyNumberFormat="1" applyFont="1" applyFill="1"/>
    <xf numFmtId="0" fontId="36" fillId="2" borderId="0" xfId="0" applyFont="1" applyFill="1"/>
    <xf numFmtId="184" fontId="32" fillId="2" borderId="0" xfId="0" applyNumberFormat="1" applyFont="1" applyFill="1"/>
    <xf numFmtId="0" fontId="32" fillId="2" borderId="0" xfId="0" applyFont="1" applyFill="1" applyAlignment="1">
      <alignment wrapText="1"/>
    </xf>
    <xf numFmtId="10" fontId="28" fillId="17" borderId="1" xfId="2" applyNumberFormat="1" applyFont="1" applyFill="1" applyBorder="1" applyAlignment="1">
      <alignment horizontal="right"/>
    </xf>
    <xf numFmtId="0" fontId="70" fillId="4" borderId="0" xfId="0" applyFont="1" applyFill="1" applyAlignment="1">
      <alignment horizontal="center" vertical="center" wrapText="1"/>
    </xf>
    <xf numFmtId="0" fontId="70" fillId="24" borderId="2" xfId="0" applyFont="1" applyFill="1" applyBorder="1"/>
    <xf numFmtId="0" fontId="70" fillId="2" borderId="18" xfId="0" applyFont="1" applyFill="1" applyBorder="1"/>
    <xf numFmtId="0" fontId="124" fillId="2" borderId="0" xfId="0" applyFont="1" applyFill="1"/>
    <xf numFmtId="170" fontId="0" fillId="9" borderId="18" xfId="4" applyNumberFormat="1" applyFont="1" applyFill="1" applyBorder="1"/>
    <xf numFmtId="0" fontId="32" fillId="8" borderId="11" xfId="0" applyFont="1" applyFill="1" applyBorder="1" applyAlignment="1">
      <alignment vertical="center"/>
    </xf>
    <xf numFmtId="0" fontId="32" fillId="37" borderId="73" xfId="0" applyFont="1" applyFill="1" applyBorder="1" applyAlignment="1">
      <alignment vertical="center"/>
    </xf>
    <xf numFmtId="0" fontId="32" fillId="37" borderId="74" xfId="0" applyFont="1" applyFill="1" applyBorder="1" applyAlignment="1">
      <alignment vertical="center"/>
    </xf>
    <xf numFmtId="0" fontId="32" fillId="37" borderId="75" xfId="0" applyFont="1" applyFill="1" applyBorder="1" applyAlignment="1">
      <alignment vertical="center"/>
    </xf>
    <xf numFmtId="0" fontId="36" fillId="39" borderId="11" xfId="0" applyFont="1" applyFill="1" applyBorder="1" applyAlignment="1">
      <alignment horizontal="center" vertical="center"/>
    </xf>
    <xf numFmtId="0" fontId="0" fillId="36" borderId="18" xfId="0" applyFill="1" applyBorder="1"/>
    <xf numFmtId="0" fontId="32" fillId="2" borderId="30" xfId="0" applyFont="1" applyFill="1" applyBorder="1"/>
    <xf numFmtId="1" fontId="0" fillId="0" borderId="0" xfId="0" applyNumberFormat="1"/>
    <xf numFmtId="0" fontId="0" fillId="0" borderId="0" xfId="0" applyAlignment="1">
      <alignment horizontal="right" vertical="top"/>
    </xf>
    <xf numFmtId="0" fontId="0" fillId="0" borderId="0" xfId="0" quotePrefix="1"/>
    <xf numFmtId="0" fontId="32" fillId="37" borderId="0" xfId="0" quotePrefix="1" applyFont="1" applyFill="1" applyAlignment="1">
      <alignment vertical="center"/>
    </xf>
    <xf numFmtId="2" fontId="0" fillId="0" borderId="0" xfId="0" applyNumberFormat="1" applyAlignment="1">
      <alignment horizontal="right" vertical="top"/>
    </xf>
    <xf numFmtId="0" fontId="32" fillId="0" borderId="8" xfId="0" applyFont="1" applyBorder="1"/>
    <xf numFmtId="0" fontId="36" fillId="0" borderId="8" xfId="0" applyFont="1" applyBorder="1"/>
    <xf numFmtId="0" fontId="32" fillId="0" borderId="8" xfId="0" applyFont="1" applyBorder="1" applyAlignment="1">
      <alignment vertical="center"/>
    </xf>
    <xf numFmtId="0" fontId="36" fillId="39" borderId="24" xfId="0" applyFont="1" applyFill="1" applyBorder="1" applyAlignment="1">
      <alignment horizontal="center" vertical="center"/>
    </xf>
    <xf numFmtId="0" fontId="36"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36" fillId="0" borderId="8" xfId="0" applyFont="1" applyBorder="1" applyAlignment="1">
      <alignment horizontal="center" vertical="center"/>
    </xf>
    <xf numFmtId="0" fontId="32" fillId="0" borderId="8" xfId="0" applyFont="1" applyBorder="1" applyAlignment="1">
      <alignment horizontal="center" vertical="center"/>
    </xf>
    <xf numFmtId="0" fontId="0" fillId="0" borderId="18" xfId="0" applyBorder="1" applyAlignment="1">
      <alignment horizontal="center" vertical="top"/>
    </xf>
    <xf numFmtId="0" fontId="0" fillId="0" borderId="10" xfId="0" applyBorder="1"/>
    <xf numFmtId="0" fontId="36" fillId="8" borderId="0" xfId="0" applyFont="1" applyFill="1" applyAlignment="1">
      <alignment horizontal="center" vertical="center"/>
    </xf>
    <xf numFmtId="0" fontId="0" fillId="8" borderId="8" xfId="0" applyFill="1" applyBorder="1"/>
    <xf numFmtId="0" fontId="0" fillId="8" borderId="0" xfId="0" applyFill="1"/>
    <xf numFmtId="0" fontId="32" fillId="8" borderId="0" xfId="0" applyFont="1" applyFill="1" applyAlignment="1">
      <alignment vertical="center"/>
    </xf>
    <xf numFmtId="6" fontId="32" fillId="8" borderId="0" xfId="0" applyNumberFormat="1" applyFont="1" applyFill="1" applyAlignment="1">
      <alignment vertical="center"/>
    </xf>
    <xf numFmtId="0" fontId="5" fillId="2" borderId="30" xfId="0" applyFont="1" applyFill="1" applyBorder="1"/>
    <xf numFmtId="6" fontId="36" fillId="13" borderId="1" xfId="3" applyNumberFormat="1" applyFont="1" applyFill="1" applyBorder="1" applyAlignment="1" applyProtection="1">
      <alignment horizontal="right" vertical="center" shrinkToFit="1"/>
    </xf>
    <xf numFmtId="0" fontId="32" fillId="2" borderId="0" xfId="0" applyFont="1" applyFill="1" applyAlignment="1">
      <alignment horizontal="right"/>
    </xf>
    <xf numFmtId="9" fontId="40" fillId="0" borderId="1" xfId="0" applyNumberFormat="1" applyFont="1" applyBorder="1" applyAlignment="1">
      <alignment horizontal="right" vertical="center"/>
    </xf>
    <xf numFmtId="0" fontId="116" fillId="2" borderId="0" xfId="0" applyFont="1" applyFill="1"/>
    <xf numFmtId="0" fontId="22" fillId="3" borderId="0" xfId="0" applyFont="1" applyFill="1"/>
    <xf numFmtId="0" fontId="123" fillId="3" borderId="0" xfId="0" applyFont="1" applyFill="1" applyAlignment="1">
      <alignment horizontal="right"/>
    </xf>
    <xf numFmtId="0" fontId="117" fillId="3" borderId="0" xfId="0" applyFont="1" applyFill="1" applyAlignment="1">
      <alignment horizontal="right"/>
    </xf>
    <xf numFmtId="0" fontId="114" fillId="3" borderId="0" xfId="0" applyFont="1" applyFill="1" applyAlignment="1">
      <alignment horizontal="left"/>
    </xf>
    <xf numFmtId="0" fontId="118" fillId="3" borderId="0" xfId="0" applyFont="1" applyFill="1" applyAlignment="1">
      <alignment wrapText="1"/>
    </xf>
    <xf numFmtId="0" fontId="43" fillId="3" borderId="0" xfId="0" applyFont="1" applyFill="1" applyAlignment="1">
      <alignment wrapText="1"/>
    </xf>
    <xf numFmtId="0" fontId="32" fillId="3" borderId="0" xfId="0" applyFont="1" applyFill="1" applyAlignment="1">
      <alignment horizontal="left" vertical="center" wrapText="1"/>
    </xf>
    <xf numFmtId="0" fontId="118" fillId="3" borderId="0" xfId="0" applyFont="1" applyFill="1"/>
    <xf numFmtId="0" fontId="43" fillId="3" borderId="0" xfId="0" applyFont="1" applyFill="1"/>
    <xf numFmtId="0" fontId="32" fillId="3" borderId="0" xfId="0" applyFont="1" applyFill="1" applyAlignment="1">
      <alignment horizontal="left" vertical="center"/>
    </xf>
    <xf numFmtId="0" fontId="32" fillId="3" borderId="0" xfId="0" applyFont="1" applyFill="1" applyAlignment="1">
      <alignment horizontal="left"/>
    </xf>
    <xf numFmtId="42" fontId="32" fillId="3" borderId="0" xfId="4" applyNumberFormat="1" applyFont="1" applyFill="1"/>
    <xf numFmtId="44" fontId="32" fillId="3" borderId="0" xfId="4" applyFont="1" applyFill="1"/>
    <xf numFmtId="44" fontId="36" fillId="3" borderId="0" xfId="4" applyFont="1" applyFill="1"/>
    <xf numFmtId="42" fontId="36" fillId="3" borderId="0" xfId="4" applyNumberFormat="1" applyFont="1" applyFill="1"/>
    <xf numFmtId="0" fontId="121" fillId="3" borderId="0" xfId="0" applyFont="1" applyFill="1"/>
    <xf numFmtId="0" fontId="20" fillId="3" borderId="0" xfId="0" applyFont="1" applyFill="1" applyProtection="1">
      <protection locked="0"/>
    </xf>
    <xf numFmtId="44" fontId="120" fillId="3" borderId="0" xfId="4" applyFont="1" applyFill="1"/>
    <xf numFmtId="0" fontId="20" fillId="3" borderId="0" xfId="0" applyFont="1" applyFill="1" applyAlignment="1">
      <alignment horizontal="left" vertical="center"/>
    </xf>
    <xf numFmtId="0" fontId="20" fillId="3" borderId="0" xfId="0" applyFont="1" applyFill="1" applyAlignment="1">
      <alignment horizontal="left"/>
    </xf>
    <xf numFmtId="0" fontId="0" fillId="0" borderId="10" xfId="0" quotePrefix="1" applyBorder="1"/>
    <xf numFmtId="0" fontId="5" fillId="2" borderId="0" xfId="0" applyFont="1" applyFill="1" applyAlignment="1">
      <alignment horizontal="left" indent="1"/>
    </xf>
    <xf numFmtId="168" fontId="5" fillId="2" borderId="0" xfId="0" applyNumberFormat="1" applyFont="1" applyFill="1" applyAlignment="1">
      <alignment horizontal="left" indent="1"/>
    </xf>
    <xf numFmtId="172" fontId="70" fillId="0" borderId="1" xfId="3" applyNumberFormat="1" applyFont="1" applyBorder="1" applyProtection="1">
      <protection locked="0"/>
    </xf>
    <xf numFmtId="0" fontId="88" fillId="2" borderId="0" xfId="0" applyFont="1" applyFill="1"/>
    <xf numFmtId="0" fontId="0" fillId="31" borderId="1" xfId="0" applyFill="1" applyBorder="1" applyAlignment="1" applyProtection="1">
      <alignment vertical="center" wrapText="1"/>
      <protection locked="0"/>
    </xf>
    <xf numFmtId="0" fontId="14" fillId="2" borderId="0" xfId="0" applyFont="1" applyFill="1"/>
    <xf numFmtId="171" fontId="0" fillId="9" borderId="0" xfId="0" applyNumberFormat="1" applyFill="1"/>
    <xf numFmtId="0" fontId="127" fillId="0" borderId="0" xfId="0" applyFont="1" applyAlignment="1">
      <alignment vertical="center"/>
    </xf>
    <xf numFmtId="0" fontId="4" fillId="45" borderId="21" xfId="0" applyFont="1" applyFill="1" applyBorder="1" applyAlignment="1">
      <alignment vertical="center"/>
    </xf>
    <xf numFmtId="0" fontId="4" fillId="45" borderId="30" xfId="0" applyFont="1" applyFill="1" applyBorder="1" applyAlignment="1">
      <alignment vertical="center"/>
    </xf>
    <xf numFmtId="0" fontId="0" fillId="9" borderId="21" xfId="0" applyFill="1" applyBorder="1" applyAlignment="1">
      <alignment vertical="center"/>
    </xf>
    <xf numFmtId="0" fontId="0" fillId="9" borderId="30" xfId="0" applyFill="1" applyBorder="1" applyAlignment="1">
      <alignment vertical="center"/>
    </xf>
    <xf numFmtId="44" fontId="129" fillId="9" borderId="1" xfId="4" applyFont="1" applyFill="1" applyBorder="1"/>
    <xf numFmtId="42" fontId="4" fillId="45" borderId="21" xfId="4" applyNumberFormat="1" applyFont="1" applyFill="1" applyBorder="1" applyAlignment="1" applyProtection="1">
      <alignment horizontal="left" vertical="center"/>
    </xf>
    <xf numFmtId="42" fontId="4" fillId="45" borderId="22" xfId="4" applyNumberFormat="1" applyFont="1" applyFill="1" applyBorder="1" applyAlignment="1" applyProtection="1">
      <alignment horizontal="left" vertical="center"/>
    </xf>
    <xf numFmtId="0" fontId="4" fillId="45" borderId="22" xfId="0" applyFont="1" applyFill="1" applyBorder="1" applyAlignment="1">
      <alignment vertical="center"/>
    </xf>
    <xf numFmtId="0" fontId="100" fillId="5" borderId="61" xfId="0" applyFont="1" applyFill="1" applyBorder="1"/>
    <xf numFmtId="170" fontId="100" fillId="5" borderId="61" xfId="0" applyNumberFormat="1" applyFont="1" applyFill="1" applyBorder="1"/>
    <xf numFmtId="10" fontId="0" fillId="6" borderId="0" xfId="0" applyNumberFormat="1" applyFill="1"/>
    <xf numFmtId="0" fontId="3" fillId="2" borderId="1" xfId="0" applyFont="1" applyFill="1" applyBorder="1" applyAlignment="1" applyProtection="1">
      <alignment horizontal="right"/>
      <protection locked="0"/>
    </xf>
    <xf numFmtId="42" fontId="0" fillId="45" borderId="1" xfId="4" applyNumberFormat="1" applyFont="1" applyFill="1" applyBorder="1" applyAlignment="1">
      <alignment horizontal="center" vertical="center"/>
    </xf>
    <xf numFmtId="8" fontId="32" fillId="12" borderId="1" xfId="4" applyNumberFormat="1" applyFont="1" applyFill="1" applyBorder="1" applyAlignment="1" applyProtection="1">
      <alignment vertical="center"/>
    </xf>
    <xf numFmtId="8" fontId="47" fillId="14" borderId="1" xfId="4" applyNumberFormat="1" applyFont="1" applyFill="1" applyBorder="1" applyAlignment="1" applyProtection="1">
      <alignment horizontal="right" vertical="center"/>
    </xf>
    <xf numFmtId="8" fontId="36" fillId="9" borderId="1" xfId="4" applyNumberFormat="1" applyFont="1" applyFill="1" applyBorder="1" applyAlignment="1" applyProtection="1">
      <alignment horizontal="right" vertical="center" shrinkToFit="1"/>
    </xf>
    <xf numFmtId="0" fontId="0" fillId="0" borderId="0" xfId="0" applyAlignment="1">
      <alignment horizontal="left" vertical="center" wrapText="1"/>
    </xf>
    <xf numFmtId="0" fontId="0" fillId="0" borderId="20" xfId="0" applyBorder="1" applyAlignment="1">
      <alignment horizontal="left" vertical="center" wrapText="1"/>
    </xf>
    <xf numFmtId="0" fontId="21" fillId="0" borderId="0" xfId="0" applyFont="1" applyAlignment="1">
      <alignment horizontal="center" wrapText="1"/>
    </xf>
    <xf numFmtId="1" fontId="62" fillId="0" borderId="0" xfId="0" applyNumberFormat="1" applyFont="1" applyAlignment="1">
      <alignment vertical="top" shrinkToFit="1"/>
    </xf>
    <xf numFmtId="1" fontId="62" fillId="0" borderId="19" xfId="0" applyNumberFormat="1" applyFont="1" applyBorder="1" applyAlignment="1">
      <alignment vertical="top" shrinkToFit="1"/>
    </xf>
    <xf numFmtId="0" fontId="64" fillId="0" borderId="20" xfId="0" applyFont="1" applyBorder="1" applyAlignment="1">
      <alignment vertical="top" wrapText="1"/>
    </xf>
    <xf numFmtId="10" fontId="0" fillId="9" borderId="0" xfId="0" applyNumberFormat="1" applyFill="1" applyAlignment="1">
      <alignment horizontal="right"/>
    </xf>
    <xf numFmtId="2" fontId="3" fillId="31" borderId="1" xfId="0" applyNumberFormat="1" applyFont="1" applyFill="1" applyBorder="1" applyAlignment="1" applyProtection="1">
      <alignment horizontal="left"/>
      <protection locked="0"/>
    </xf>
    <xf numFmtId="172" fontId="28" fillId="0" borderId="1" xfId="3" applyNumberFormat="1" applyFont="1" applyBorder="1" applyProtection="1">
      <protection locked="0"/>
    </xf>
    <xf numFmtId="14" fontId="66" fillId="9" borderId="5" xfId="0" applyNumberFormat="1" applyFont="1" applyFill="1" applyBorder="1"/>
    <xf numFmtId="0" fontId="66" fillId="9" borderId="5" xfId="0" applyFont="1" applyFill="1" applyBorder="1"/>
    <xf numFmtId="6" fontId="5" fillId="2" borderId="0" xfId="0" applyNumberFormat="1" applyFont="1" applyFill="1"/>
    <xf numFmtId="9" fontId="5" fillId="2" borderId="0" xfId="2" applyFont="1" applyFill="1" applyProtection="1"/>
    <xf numFmtId="172" fontId="5" fillId="2" borderId="0" xfId="0" applyNumberFormat="1" applyFont="1" applyFill="1"/>
    <xf numFmtId="8" fontId="5" fillId="2" borderId="0" xfId="0" applyNumberFormat="1" applyFont="1" applyFill="1"/>
    <xf numFmtId="0" fontId="5" fillId="2" borderId="0" xfId="0" applyFont="1" applyFill="1" applyAlignment="1">
      <alignment horizontal="left" vertical="top" wrapText="1"/>
    </xf>
    <xf numFmtId="0" fontId="5" fillId="2" borderId="0" xfId="0" applyFont="1" applyFill="1" applyAlignment="1">
      <alignment horizontal="left"/>
    </xf>
    <xf numFmtId="0" fontId="15" fillId="3" borderId="0" xfId="0" applyFont="1" applyFill="1" applyAlignment="1">
      <alignment horizontal="left" vertical="top"/>
    </xf>
    <xf numFmtId="44" fontId="3" fillId="0" borderId="0" xfId="4" applyFont="1" applyAlignment="1">
      <alignment horizontal="left"/>
    </xf>
    <xf numFmtId="8" fontId="32" fillId="9" borderId="1" xfId="0" applyNumberFormat="1" applyFont="1" applyFill="1" applyBorder="1" applyAlignment="1">
      <alignment horizontal="right" vertical="center" shrinkToFit="1"/>
    </xf>
    <xf numFmtId="0" fontId="68" fillId="0" borderId="0" xfId="0" applyFont="1"/>
    <xf numFmtId="42" fontId="36" fillId="9" borderId="1" xfId="0" applyNumberFormat="1" applyFont="1" applyFill="1" applyBorder="1" applyAlignment="1">
      <alignment horizontal="right" vertical="center" shrinkToFit="1"/>
    </xf>
    <xf numFmtId="0" fontId="100" fillId="5" borderId="30" xfId="0" applyFont="1" applyFill="1" applyBorder="1"/>
    <xf numFmtId="170" fontId="100" fillId="5" borderId="30" xfId="4" applyNumberFormat="1" applyFont="1" applyFill="1" applyBorder="1"/>
    <xf numFmtId="171" fontId="100" fillId="5" borderId="1" xfId="0" applyNumberFormat="1" applyFont="1" applyFill="1" applyBorder="1"/>
    <xf numFmtId="8" fontId="36" fillId="13" borderId="1" xfId="4" applyNumberFormat="1" applyFont="1" applyFill="1" applyBorder="1" applyAlignment="1" applyProtection="1">
      <alignment horizontal="right" vertical="center" shrinkToFit="1"/>
    </xf>
    <xf numFmtId="167" fontId="47" fillId="14" borderId="1" xfId="4" applyNumberFormat="1" applyFont="1" applyFill="1" applyBorder="1" applyAlignment="1" applyProtection="1">
      <alignment horizontal="right" vertical="center"/>
    </xf>
    <xf numFmtId="8" fontId="32" fillId="2" borderId="1" xfId="0" applyNumberFormat="1" applyFont="1" applyFill="1" applyBorder="1" applyAlignment="1">
      <alignment horizontal="right" vertical="center" shrinkToFit="1"/>
    </xf>
    <xf numFmtId="8" fontId="36" fillId="11" borderId="1" xfId="0" applyNumberFormat="1" applyFont="1" applyFill="1" applyBorder="1" applyAlignment="1">
      <alignment horizontal="right" vertical="center" shrinkToFit="1"/>
    </xf>
    <xf numFmtId="8" fontId="47" fillId="14" borderId="1" xfId="0" applyNumberFormat="1" applyFont="1" applyFill="1" applyBorder="1" applyAlignment="1">
      <alignment horizontal="right" vertical="center"/>
    </xf>
    <xf numFmtId="8" fontId="36" fillId="13" borderId="1" xfId="0" applyNumberFormat="1" applyFont="1" applyFill="1" applyBorder="1" applyAlignment="1">
      <alignment horizontal="right" vertical="center" shrinkToFit="1"/>
    </xf>
    <xf numFmtId="8" fontId="0" fillId="12" borderId="1" xfId="0" applyNumberFormat="1" applyFill="1" applyBorder="1" applyAlignment="1">
      <alignment vertical="center"/>
    </xf>
    <xf numFmtId="8" fontId="49" fillId="12" borderId="1" xfId="0" applyNumberFormat="1" applyFont="1" applyFill="1" applyBorder="1" applyAlignment="1">
      <alignment vertical="center"/>
    </xf>
    <xf numFmtId="6" fontId="49" fillId="12" borderId="1" xfId="0" applyNumberFormat="1" applyFont="1" applyFill="1" applyBorder="1" applyAlignment="1">
      <alignment vertical="center"/>
    </xf>
    <xf numFmtId="8" fontId="44" fillId="12" borderId="1" xfId="0" applyNumberFormat="1" applyFont="1" applyFill="1" applyBorder="1" applyAlignment="1">
      <alignment vertical="center"/>
    </xf>
    <xf numFmtId="8" fontId="32" fillId="12" borderId="1" xfId="0" applyNumberFormat="1" applyFont="1" applyFill="1" applyBorder="1" applyAlignment="1">
      <alignment vertical="center"/>
    </xf>
    <xf numFmtId="6" fontId="32" fillId="12" borderId="1" xfId="0" applyNumberFormat="1" applyFont="1" applyFill="1" applyBorder="1" applyAlignment="1">
      <alignment vertical="center"/>
    </xf>
    <xf numFmtId="8" fontId="36" fillId="9" borderId="1" xfId="0" applyNumberFormat="1" applyFont="1" applyFill="1" applyBorder="1" applyAlignment="1">
      <alignment horizontal="right" vertical="center" shrinkToFit="1"/>
    </xf>
    <xf numFmtId="0" fontId="0" fillId="0" borderId="0" xfId="0" applyAlignment="1">
      <alignment horizontal="left" wrapText="1"/>
    </xf>
    <xf numFmtId="0" fontId="100" fillId="5" borderId="21" xfId="0" applyFont="1" applyFill="1" applyBorder="1"/>
    <xf numFmtId="0" fontId="100" fillId="5" borderId="22" xfId="0" applyFont="1" applyFill="1" applyBorder="1"/>
    <xf numFmtId="1" fontId="4" fillId="2" borderId="1" xfId="0" applyNumberFormat="1" applyFont="1" applyFill="1" applyBorder="1" applyAlignment="1">
      <alignment horizontal="center" vertical="center"/>
    </xf>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horizontal="left" vertical="center"/>
    </xf>
    <xf numFmtId="170" fontId="0" fillId="2" borderId="36" xfId="4" applyNumberFormat="1" applyFont="1" applyFill="1" applyBorder="1" applyAlignment="1">
      <alignment horizontal="left" vertical="center"/>
    </xf>
    <xf numFmtId="1" fontId="4" fillId="2" borderId="34" xfId="4" applyNumberFormat="1" applyFont="1" applyFill="1" applyBorder="1" applyAlignment="1">
      <alignment horizontal="center" vertical="center"/>
    </xf>
    <xf numFmtId="1" fontId="4" fillId="2" borderId="34" xfId="4" applyNumberFormat="1" applyFont="1" applyFill="1" applyBorder="1" applyAlignment="1">
      <alignment horizontal="left" vertical="center" wrapText="1"/>
    </xf>
    <xf numFmtId="0" fontId="4" fillId="0" borderId="1" xfId="0" applyFont="1" applyBorder="1" applyAlignment="1">
      <alignment horizontal="left" vertical="center" wrapText="1"/>
    </xf>
    <xf numFmtId="1" fontId="4" fillId="0" borderId="1" xfId="0" applyNumberFormat="1" applyFont="1" applyBorder="1" applyAlignment="1">
      <alignment horizontal="left" vertical="center"/>
    </xf>
    <xf numFmtId="42" fontId="32" fillId="9" borderId="22" xfId="0" applyNumberFormat="1" applyFont="1" applyFill="1" applyBorder="1" applyAlignment="1">
      <alignment horizontal="right" vertical="center" shrinkToFit="1"/>
    </xf>
    <xf numFmtId="0" fontId="36" fillId="2" borderId="0" xfId="0" applyFont="1" applyFill="1" applyAlignment="1">
      <alignment horizontal="center"/>
    </xf>
    <xf numFmtId="0" fontId="32" fillId="2" borderId="0" xfId="0" applyFont="1" applyFill="1" applyAlignment="1" applyProtection="1">
      <alignment horizontal="right" vertical="center"/>
      <protection locked="0"/>
    </xf>
    <xf numFmtId="6" fontId="32" fillId="2" borderId="0" xfId="0" applyNumberFormat="1" applyFont="1" applyFill="1" applyAlignment="1">
      <alignment horizontal="center" vertical="center"/>
    </xf>
    <xf numFmtId="1" fontId="4" fillId="0" borderId="45" xfId="0" applyNumberFormat="1" applyFont="1" applyBorder="1" applyAlignment="1">
      <alignment horizontal="center" vertical="center"/>
    </xf>
    <xf numFmtId="1" fontId="4" fillId="0" borderId="45" xfId="0" applyNumberFormat="1" applyFont="1" applyBorder="1" applyAlignment="1">
      <alignment horizontal="left" vertical="center"/>
    </xf>
    <xf numFmtId="1" fontId="0" fillId="2" borderId="40" xfId="0" applyNumberFormat="1" applyFill="1" applyBorder="1" applyAlignment="1" applyProtection="1">
      <alignment horizontal="left" vertical="center"/>
      <protection locked="0"/>
    </xf>
    <xf numFmtId="0" fontId="0" fillId="0" borderId="40" xfId="0" applyBorder="1" applyAlignment="1" applyProtection="1">
      <alignment horizontal="left" vertical="center"/>
      <protection locked="0"/>
    </xf>
    <xf numFmtId="1" fontId="0" fillId="0" borderId="40" xfId="0" applyNumberFormat="1" applyBorder="1" applyAlignment="1" applyProtection="1">
      <alignment horizontal="left" vertical="center"/>
      <protection locked="0"/>
    </xf>
    <xf numFmtId="1" fontId="0" fillId="0" borderId="44" xfId="0" applyNumberFormat="1" applyBorder="1" applyAlignment="1" applyProtection="1">
      <alignment horizontal="left" vertical="center"/>
      <protection locked="0"/>
    </xf>
    <xf numFmtId="172" fontId="28" fillId="24" borderId="1" xfId="3" applyNumberFormat="1" applyFont="1" applyFill="1" applyBorder="1" applyProtection="1">
      <protection locked="0"/>
    </xf>
    <xf numFmtId="0" fontId="28" fillId="0" borderId="1" xfId="0" applyFont="1" applyBorder="1" applyAlignment="1">
      <alignment horizontal="center"/>
    </xf>
    <xf numFmtId="167" fontId="0" fillId="0" borderId="0" xfId="0" applyNumberFormat="1" applyAlignment="1">
      <alignment horizontal="left"/>
    </xf>
    <xf numFmtId="0" fontId="32" fillId="3" borderId="0" xfId="0" applyFont="1" applyFill="1" applyAlignment="1">
      <alignment horizontal="left" wrapText="1"/>
    </xf>
    <xf numFmtId="0" fontId="0" fillId="3" borderId="0" xfId="0" applyFill="1" applyAlignment="1">
      <alignment horizontal="right"/>
    </xf>
    <xf numFmtId="0" fontId="3" fillId="0" borderId="0" xfId="0" applyFont="1" applyAlignment="1">
      <alignment wrapText="1"/>
    </xf>
    <xf numFmtId="0" fontId="76" fillId="24" borderId="0" xfId="0" applyFont="1" applyFill="1"/>
    <xf numFmtId="0" fontId="134" fillId="2" borderId="0" xfId="0" applyFont="1" applyFill="1"/>
    <xf numFmtId="0" fontId="136" fillId="2" borderId="0" xfId="0" applyFont="1" applyFill="1"/>
    <xf numFmtId="0" fontId="136" fillId="0" borderId="0" xfId="0" applyFont="1"/>
    <xf numFmtId="0" fontId="3" fillId="9" borderId="1" xfId="0" applyFont="1" applyFill="1" applyBorder="1"/>
    <xf numFmtId="44" fontId="5" fillId="2" borderId="0" xfId="4" applyFont="1" applyFill="1" applyBorder="1" applyAlignment="1">
      <alignment horizontal="center"/>
    </xf>
    <xf numFmtId="1" fontId="4" fillId="0" borderId="1" xfId="0" applyNumberFormat="1" applyFont="1" applyBorder="1" applyAlignment="1">
      <alignment horizontal="center" vertical="center" wrapText="1"/>
    </xf>
    <xf numFmtId="49" fontId="32" fillId="37" borderId="0" xfId="0" applyNumberFormat="1" applyFont="1" applyFill="1" applyAlignment="1">
      <alignment horizontal="left" vertical="center"/>
    </xf>
    <xf numFmtId="172" fontId="0" fillId="0" borderId="0" xfId="0" applyNumberFormat="1"/>
    <xf numFmtId="44" fontId="0" fillId="0" borderId="0" xfId="0" applyNumberFormat="1"/>
    <xf numFmtId="0" fontId="32" fillId="2" borderId="18" xfId="0" applyFont="1" applyFill="1" applyBorder="1"/>
    <xf numFmtId="2" fontId="0" fillId="0" borderId="0" xfId="0" applyNumberFormat="1"/>
    <xf numFmtId="0" fontId="36" fillId="37" borderId="0" xfId="0" applyFont="1" applyFill="1" applyAlignment="1">
      <alignment horizontal="left"/>
    </xf>
    <xf numFmtId="0" fontId="3" fillId="9" borderId="1" xfId="0" applyFont="1" applyFill="1" applyBorder="1" applyAlignment="1">
      <alignment horizontal="left"/>
    </xf>
    <xf numFmtId="0" fontId="0" fillId="0" borderId="1" xfId="0" applyBorder="1"/>
    <xf numFmtId="0" fontId="0" fillId="36" borderId="0" xfId="0" applyFill="1"/>
    <xf numFmtId="0" fontId="19" fillId="36" borderId="0" xfId="0" applyFont="1" applyFill="1"/>
    <xf numFmtId="0" fontId="138" fillId="2" borderId="4" xfId="0" applyFont="1" applyFill="1" applyBorder="1" applyAlignment="1">
      <alignment horizontal="center"/>
    </xf>
    <xf numFmtId="0" fontId="139" fillId="2" borderId="4" xfId="0" applyFont="1" applyFill="1" applyBorder="1" applyAlignment="1">
      <alignment horizontal="center"/>
    </xf>
    <xf numFmtId="0" fontId="139" fillId="2" borderId="10" xfId="0" applyFont="1" applyFill="1" applyBorder="1" applyAlignment="1">
      <alignment horizontal="center"/>
    </xf>
    <xf numFmtId="0" fontId="140" fillId="2" borderId="4" xfId="0" applyFont="1" applyFill="1" applyBorder="1" applyAlignment="1">
      <alignment horizontal="center"/>
    </xf>
    <xf numFmtId="0" fontId="140" fillId="2" borderId="28" xfId="0" applyFont="1" applyFill="1" applyBorder="1" applyAlignment="1">
      <alignment horizontal="center"/>
    </xf>
    <xf numFmtId="0" fontId="140" fillId="2" borderId="3" xfId="0" applyFont="1" applyFill="1" applyBorder="1" applyAlignment="1">
      <alignment horizontal="center"/>
    </xf>
    <xf numFmtId="0" fontId="4" fillId="2" borderId="28" xfId="0" applyFont="1" applyFill="1" applyBorder="1" applyAlignment="1">
      <alignment horizontal="center"/>
    </xf>
    <xf numFmtId="0" fontId="4" fillId="2" borderId="3" xfId="0" applyFont="1" applyFill="1" applyBorder="1" applyAlignment="1">
      <alignment horizontal="center"/>
    </xf>
    <xf numFmtId="0" fontId="4" fillId="2" borderId="1" xfId="0" applyFont="1" applyFill="1" applyBorder="1" applyAlignment="1">
      <alignment horizontal="center"/>
    </xf>
    <xf numFmtId="0" fontId="32" fillId="36" borderId="0" xfId="0" applyFont="1" applyFill="1"/>
    <xf numFmtId="0" fontId="20" fillId="36" borderId="0" xfId="0" applyFont="1" applyFill="1"/>
    <xf numFmtId="41" fontId="36" fillId="27" borderId="1" xfId="4" applyNumberFormat="1" applyFont="1" applyFill="1" applyBorder="1" applyAlignment="1">
      <alignment horizontal="center"/>
    </xf>
    <xf numFmtId="0" fontId="14" fillId="2" borderId="1" xfId="10" applyFont="1" applyFill="1" applyBorder="1" applyAlignment="1" applyProtection="1">
      <alignment horizontal="center"/>
    </xf>
    <xf numFmtId="0" fontId="14" fillId="2" borderId="1" xfId="10" applyFont="1" applyFill="1" applyBorder="1" applyAlignment="1">
      <alignment horizontal="center"/>
    </xf>
    <xf numFmtId="9" fontId="4" fillId="2" borderId="1" xfId="0" applyNumberFormat="1" applyFont="1" applyFill="1" applyBorder="1" applyAlignment="1">
      <alignment horizontal="center"/>
    </xf>
    <xf numFmtId="41" fontId="14" fillId="2" borderId="22" xfId="10" applyNumberFormat="1" applyFont="1" applyFill="1" applyBorder="1" applyAlignment="1">
      <alignment horizontal="center"/>
    </xf>
    <xf numFmtId="41" fontId="14" fillId="2" borderId="1" xfId="10" applyNumberFormat="1" applyFont="1" applyFill="1" applyBorder="1" applyAlignment="1">
      <alignment horizontal="center"/>
    </xf>
    <xf numFmtId="41" fontId="14" fillId="2" borderId="7" xfId="10" applyNumberFormat="1" applyFont="1" applyFill="1" applyBorder="1" applyAlignment="1">
      <alignment horizontal="center"/>
    </xf>
    <xf numFmtId="9" fontId="14" fillId="2" borderId="22" xfId="2" applyFont="1" applyFill="1" applyBorder="1" applyAlignment="1" applyProtection="1">
      <alignment horizontal="center"/>
    </xf>
    <xf numFmtId="9" fontId="14" fillId="2" borderId="22" xfId="2" applyFont="1" applyFill="1" applyBorder="1" applyAlignment="1">
      <alignment horizontal="center"/>
    </xf>
    <xf numFmtId="0" fontId="0" fillId="27" borderId="1" xfId="0" applyFill="1" applyBorder="1" applyAlignment="1">
      <alignment horizontal="center"/>
    </xf>
    <xf numFmtId="9" fontId="32" fillId="27" borderId="1" xfId="2" applyFont="1" applyFill="1" applyBorder="1" applyAlignment="1" applyProtection="1">
      <alignment horizontal="center"/>
    </xf>
    <xf numFmtId="9" fontId="32" fillId="27" borderId="1" xfId="2" applyFont="1" applyFill="1" applyBorder="1" applyAlignment="1">
      <alignment horizontal="center"/>
    </xf>
    <xf numFmtId="44" fontId="5" fillId="2" borderId="0" xfId="4" applyFont="1" applyFill="1" applyAlignment="1">
      <alignment horizontal="center"/>
    </xf>
    <xf numFmtId="49" fontId="32" fillId="9" borderId="1" xfId="0" applyNumberFormat="1" applyFont="1" applyFill="1" applyBorder="1" applyAlignment="1">
      <alignment horizontal="left"/>
    </xf>
    <xf numFmtId="0" fontId="32" fillId="37" borderId="4" xfId="0" applyFont="1" applyFill="1" applyBorder="1"/>
    <xf numFmtId="0" fontId="3" fillId="36" borderId="0" xfId="0" applyFont="1" applyFill="1"/>
    <xf numFmtId="0" fontId="28" fillId="47" borderId="0" xfId="0" applyFont="1" applyFill="1"/>
    <xf numFmtId="0" fontId="28" fillId="7" borderId="1" xfId="0" applyFont="1" applyFill="1" applyBorder="1"/>
    <xf numFmtId="0" fontId="29" fillId="47" borderId="0" xfId="0" applyFont="1" applyFill="1" applyAlignment="1">
      <alignment horizontal="center" vertical="center" wrapText="1"/>
    </xf>
    <xf numFmtId="0" fontId="28" fillId="47" borderId="1" xfId="0" applyFont="1" applyFill="1" applyBorder="1"/>
    <xf numFmtId="171" fontId="28" fillId="47" borderId="1" xfId="3" applyNumberFormat="1" applyFont="1" applyFill="1" applyBorder="1" applyProtection="1"/>
    <xf numFmtId="0" fontId="62" fillId="47" borderId="1" xfId="0" applyFont="1" applyFill="1" applyBorder="1" applyAlignment="1">
      <alignment horizontal="left" vertical="center"/>
    </xf>
    <xf numFmtId="0" fontId="105" fillId="47" borderId="1" xfId="0" applyFont="1" applyFill="1" applyBorder="1" applyAlignment="1">
      <alignment horizontal="left" vertical="center"/>
    </xf>
    <xf numFmtId="0" fontId="62" fillId="47" borderId="1" xfId="0" applyFont="1" applyFill="1" applyBorder="1" applyAlignment="1">
      <alignment horizontal="left"/>
    </xf>
    <xf numFmtId="0" fontId="105" fillId="47" borderId="1" xfId="0" applyFont="1" applyFill="1" applyBorder="1" applyAlignment="1">
      <alignment horizontal="left"/>
    </xf>
    <xf numFmtId="172" fontId="71" fillId="47" borderId="1" xfId="3" applyNumberFormat="1" applyFont="1" applyFill="1" applyBorder="1" applyAlignment="1" applyProtection="1">
      <alignment horizontal="right"/>
    </xf>
    <xf numFmtId="172" fontId="28" fillId="47" borderId="1" xfId="3" applyNumberFormat="1" applyFont="1" applyFill="1" applyBorder="1" applyProtection="1"/>
    <xf numFmtId="0" fontId="76" fillId="47" borderId="1" xfId="0" applyFont="1" applyFill="1" applyBorder="1" applyAlignment="1">
      <alignment horizontal="left" vertical="center"/>
    </xf>
    <xf numFmtId="0" fontId="77" fillId="47" borderId="1" xfId="0" applyFont="1" applyFill="1" applyBorder="1" applyAlignment="1">
      <alignment horizontal="left" vertical="center"/>
    </xf>
    <xf numFmtId="0" fontId="107" fillId="47" borderId="1" xfId="0" applyFont="1" applyFill="1" applyBorder="1" applyAlignment="1">
      <alignment horizontal="left" vertical="center"/>
    </xf>
    <xf numFmtId="0" fontId="77" fillId="47" borderId="1" xfId="0" applyFont="1" applyFill="1" applyBorder="1" applyAlignment="1">
      <alignment horizontal="left"/>
    </xf>
    <xf numFmtId="0" fontId="107" fillId="47" borderId="1" xfId="0" applyFont="1" applyFill="1" applyBorder="1" applyAlignment="1">
      <alignment horizontal="left"/>
    </xf>
    <xf numFmtId="0" fontId="67" fillId="47" borderId="1" xfId="0" applyFont="1" applyFill="1" applyBorder="1" applyAlignment="1">
      <alignment horizontal="right" vertical="center" indent="1"/>
    </xf>
    <xf numFmtId="0" fontId="78" fillId="47" borderId="1" xfId="0" applyFont="1" applyFill="1" applyBorder="1" applyAlignment="1">
      <alignment horizontal="left" vertical="center"/>
    </xf>
    <xf numFmtId="38" fontId="28" fillId="47" borderId="1" xfId="3" applyNumberFormat="1" applyFont="1" applyFill="1" applyBorder="1" applyProtection="1"/>
    <xf numFmtId="38" fontId="66" fillId="47" borderId="1" xfId="3" applyNumberFormat="1" applyFont="1" applyFill="1" applyBorder="1" applyProtection="1"/>
    <xf numFmtId="0" fontId="86" fillId="47" borderId="0" xfId="0" applyFont="1" applyFill="1"/>
    <xf numFmtId="0" fontId="28" fillId="48" borderId="1" xfId="0" applyFont="1" applyFill="1" applyBorder="1"/>
    <xf numFmtId="0" fontId="66" fillId="48" borderId="1" xfId="0" applyFont="1" applyFill="1" applyBorder="1" applyProtection="1">
      <protection locked="0"/>
    </xf>
    <xf numFmtId="0" fontId="0" fillId="0" borderId="1" xfId="0" applyBorder="1" applyProtection="1">
      <protection locked="0"/>
    </xf>
    <xf numFmtId="0" fontId="0" fillId="36" borderId="0" xfId="0" applyFill="1" applyProtection="1">
      <protection locked="0"/>
    </xf>
    <xf numFmtId="0" fontId="0" fillId="36" borderId="9" xfId="0" applyFill="1" applyBorder="1"/>
    <xf numFmtId="167" fontId="0" fillId="6" borderId="0" xfId="0" applyNumberFormat="1" applyFill="1" applyAlignment="1">
      <alignment horizontal="left"/>
    </xf>
    <xf numFmtId="0" fontId="4" fillId="6" borderId="0" xfId="0" applyFont="1" applyFill="1" applyAlignment="1">
      <alignment horizontal="center"/>
    </xf>
    <xf numFmtId="10" fontId="3" fillId="31" borderId="1" xfId="0" applyNumberFormat="1" applyFont="1" applyFill="1" applyBorder="1" applyAlignment="1" applyProtection="1">
      <alignment vertical="center" wrapText="1"/>
      <protection locked="0"/>
    </xf>
    <xf numFmtId="10" fontId="3" fillId="2" borderId="1" xfId="0" applyNumberFormat="1" applyFont="1" applyFill="1" applyBorder="1" applyAlignment="1" applyProtection="1">
      <alignment vertical="center" wrapText="1"/>
      <protection locked="0"/>
    </xf>
    <xf numFmtId="0" fontId="4" fillId="0" borderId="0" xfId="0" applyFont="1" applyAlignment="1">
      <alignment horizontal="left"/>
    </xf>
    <xf numFmtId="0" fontId="28" fillId="3" borderId="0" xfId="0" applyFont="1" applyFill="1"/>
    <xf numFmtId="0" fontId="0" fillId="3" borderId="0" xfId="0" applyFill="1" applyAlignment="1">
      <alignment horizontal="left" vertical="center"/>
    </xf>
    <xf numFmtId="0" fontId="103" fillId="49" borderId="0" xfId="0" applyFont="1" applyFill="1" applyAlignment="1">
      <alignment vertical="top"/>
    </xf>
    <xf numFmtId="0" fontId="46" fillId="36" borderId="22" xfId="0" applyFont="1" applyFill="1" applyBorder="1" applyAlignment="1">
      <alignment horizontal="left" vertical="center"/>
    </xf>
    <xf numFmtId="0" fontId="104" fillId="36" borderId="22" xfId="0" applyFont="1" applyFill="1" applyBorder="1" applyAlignment="1">
      <alignment horizontal="left"/>
    </xf>
    <xf numFmtId="6" fontId="32" fillId="36" borderId="1" xfId="0" applyNumberFormat="1" applyFont="1" applyFill="1" applyBorder="1" applyAlignment="1">
      <alignment horizontal="right" vertical="center" shrinkToFit="1"/>
    </xf>
    <xf numFmtId="6" fontId="32" fillId="36" borderId="21" xfId="0" applyNumberFormat="1" applyFont="1" applyFill="1" applyBorder="1" applyAlignment="1">
      <alignment horizontal="right" vertical="center" shrinkToFit="1"/>
    </xf>
    <xf numFmtId="8" fontId="32" fillId="36" borderId="1" xfId="4" applyNumberFormat="1" applyFont="1" applyFill="1" applyBorder="1" applyAlignment="1" applyProtection="1">
      <alignment horizontal="right" vertical="center" shrinkToFit="1"/>
    </xf>
    <xf numFmtId="6" fontId="32" fillId="36" borderId="1" xfId="3" applyNumberFormat="1" applyFont="1" applyFill="1" applyBorder="1" applyAlignment="1" applyProtection="1">
      <alignment horizontal="right" vertical="center" shrinkToFit="1"/>
    </xf>
    <xf numFmtId="0" fontId="43" fillId="36" borderId="30" xfId="0" applyFont="1" applyFill="1" applyBorder="1" applyAlignment="1">
      <alignment horizontal="left" vertical="center"/>
    </xf>
    <xf numFmtId="0" fontId="104" fillId="36" borderId="30" xfId="0" applyFont="1" applyFill="1" applyBorder="1" applyAlignment="1">
      <alignment horizontal="left" vertical="center"/>
    </xf>
    <xf numFmtId="0" fontId="104" fillId="36" borderId="22" xfId="0" applyFont="1" applyFill="1" applyBorder="1" applyAlignment="1">
      <alignment horizontal="left" vertical="center"/>
    </xf>
    <xf numFmtId="6" fontId="88" fillId="36" borderId="1" xfId="0" applyNumberFormat="1" applyFont="1" applyFill="1" applyBorder="1" applyAlignment="1">
      <alignment horizontal="right" vertical="center" shrinkToFit="1"/>
    </xf>
    <xf numFmtId="6" fontId="88" fillId="36" borderId="21" xfId="0" applyNumberFormat="1" applyFont="1" applyFill="1" applyBorder="1" applyAlignment="1">
      <alignment horizontal="right" vertical="center" shrinkToFit="1"/>
    </xf>
    <xf numFmtId="8" fontId="88" fillId="36" borderId="1" xfId="0" applyNumberFormat="1" applyFont="1" applyFill="1" applyBorder="1" applyAlignment="1">
      <alignment horizontal="right" vertical="center" shrinkToFit="1"/>
    </xf>
    <xf numFmtId="0" fontId="22" fillId="36" borderId="30" xfId="0" applyFont="1" applyFill="1" applyBorder="1" applyAlignment="1">
      <alignment horizontal="left"/>
    </xf>
    <xf numFmtId="6" fontId="88" fillId="36" borderId="1" xfId="0" applyNumberFormat="1" applyFont="1" applyFill="1" applyBorder="1" applyAlignment="1" applyProtection="1">
      <alignment horizontal="right" vertical="center" shrinkToFit="1"/>
      <protection locked="0"/>
    </xf>
    <xf numFmtId="9" fontId="43" fillId="36" borderId="22" xfId="2" applyFont="1" applyFill="1" applyBorder="1" applyAlignment="1">
      <alignment horizontal="center" vertical="center"/>
    </xf>
    <xf numFmtId="0" fontId="43" fillId="36" borderId="22" xfId="0" applyFont="1" applyFill="1" applyBorder="1" applyAlignment="1">
      <alignment horizontal="left" vertical="center"/>
    </xf>
    <xf numFmtId="9" fontId="46" fillId="36" borderId="1" xfId="2" applyFont="1" applyFill="1" applyBorder="1" applyAlignment="1">
      <alignment horizontal="center" vertical="center"/>
    </xf>
    <xf numFmtId="0" fontId="46" fillId="36" borderId="21" xfId="0" applyFont="1" applyFill="1" applyBorder="1" applyAlignment="1">
      <alignment vertical="center"/>
    </xf>
    <xf numFmtId="0" fontId="46" fillId="36" borderId="30" xfId="0" applyFont="1" applyFill="1" applyBorder="1" applyAlignment="1">
      <alignment horizontal="right" vertical="center"/>
    </xf>
    <xf numFmtId="44" fontId="46" fillId="36" borderId="30" xfId="4" applyFont="1" applyFill="1" applyBorder="1" applyAlignment="1">
      <alignment horizontal="left" vertical="center"/>
    </xf>
    <xf numFmtId="0" fontId="52" fillId="36" borderId="2" xfId="0" applyFont="1" applyFill="1" applyBorder="1" applyAlignment="1">
      <alignment horizontal="left" vertical="center"/>
    </xf>
    <xf numFmtId="9" fontId="52" fillId="36" borderId="1" xfId="2" applyFont="1" applyFill="1" applyBorder="1" applyAlignment="1">
      <alignment horizontal="center" vertical="center"/>
    </xf>
    <xf numFmtId="0" fontId="52" fillId="36" borderId="18" xfId="0" applyFont="1" applyFill="1" applyBorder="1" applyAlignment="1">
      <alignment horizontal="left" vertical="center"/>
    </xf>
    <xf numFmtId="0" fontId="52" fillId="36" borderId="30" xfId="0" applyFont="1" applyFill="1" applyBorder="1" applyAlignment="1">
      <alignment horizontal="left" vertical="center"/>
    </xf>
    <xf numFmtId="0" fontId="52" fillId="36" borderId="22" xfId="0" applyFont="1" applyFill="1" applyBorder="1" applyAlignment="1">
      <alignment horizontal="left" vertical="center"/>
    </xf>
    <xf numFmtId="0" fontId="46" fillId="36" borderId="1" xfId="0" applyFont="1" applyFill="1" applyBorder="1" applyAlignment="1">
      <alignment vertical="center"/>
    </xf>
    <xf numFmtId="0" fontId="48" fillId="36" borderId="22" xfId="0" applyFont="1" applyFill="1" applyBorder="1" applyAlignment="1">
      <alignment horizontal="left"/>
    </xf>
    <xf numFmtId="0" fontId="46" fillId="36" borderId="2" xfId="0" applyFont="1" applyFill="1" applyBorder="1" applyAlignment="1">
      <alignment horizontal="left" vertical="center"/>
    </xf>
    <xf numFmtId="0" fontId="22" fillId="36" borderId="2" xfId="0" applyFont="1" applyFill="1" applyBorder="1" applyAlignment="1">
      <alignment horizontal="left"/>
    </xf>
    <xf numFmtId="0" fontId="22" fillId="36" borderId="7" xfId="0" applyFont="1" applyFill="1" applyBorder="1" applyAlignment="1">
      <alignment horizontal="left"/>
    </xf>
    <xf numFmtId="0" fontId="50" fillId="36" borderId="30" xfId="0" applyFont="1" applyFill="1" applyBorder="1" applyAlignment="1">
      <alignment horizontal="left" vertical="center"/>
    </xf>
    <xf numFmtId="9" fontId="46" fillId="36" borderId="18" xfId="2" applyFont="1" applyFill="1" applyBorder="1" applyAlignment="1" applyProtection="1">
      <alignment horizontal="right" vertical="center"/>
    </xf>
    <xf numFmtId="0" fontId="32" fillId="36" borderId="30" xfId="0" applyFont="1" applyFill="1" applyBorder="1" applyAlignment="1">
      <alignment horizontal="left"/>
    </xf>
    <xf numFmtId="0" fontId="32" fillId="36" borderId="2" xfId="0" applyFont="1" applyFill="1" applyBorder="1" applyAlignment="1">
      <alignment horizontal="left"/>
    </xf>
    <xf numFmtId="0" fontId="32" fillId="36" borderId="18" xfId="0" applyFont="1" applyFill="1" applyBorder="1" applyAlignment="1">
      <alignment horizontal="left"/>
    </xf>
    <xf numFmtId="0" fontId="36" fillId="36" borderId="30" xfId="0" applyFont="1" applyFill="1" applyBorder="1" applyAlignment="1">
      <alignment horizontal="left"/>
    </xf>
    <xf numFmtId="3" fontId="20" fillId="36" borderId="0" xfId="0" applyNumberFormat="1" applyFont="1" applyFill="1"/>
    <xf numFmtId="4" fontId="20" fillId="36" borderId="0" xfId="0" applyNumberFormat="1" applyFont="1" applyFill="1"/>
    <xf numFmtId="44" fontId="20" fillId="36" borderId="0" xfId="0" applyNumberFormat="1" applyFont="1" applyFill="1"/>
    <xf numFmtId="167" fontId="0" fillId="50" borderId="0" xfId="0" applyNumberFormat="1" applyFill="1" applyAlignment="1">
      <alignment horizontal="center"/>
    </xf>
    <xf numFmtId="0" fontId="0" fillId="50" borderId="0" xfId="0" applyFill="1"/>
    <xf numFmtId="0" fontId="32" fillId="50" borderId="0" xfId="0" applyFont="1" applyFill="1"/>
    <xf numFmtId="0" fontId="0" fillId="41" borderId="0" xfId="0" applyFill="1"/>
    <xf numFmtId="0" fontId="148" fillId="5" borderId="1" xfId="0" applyFont="1" applyFill="1" applyBorder="1" applyAlignment="1">
      <alignment horizontal="center" vertical="center"/>
    </xf>
    <xf numFmtId="0" fontId="100" fillId="5" borderId="1" xfId="0" applyFont="1" applyFill="1" applyBorder="1" applyAlignment="1">
      <alignment horizontal="left" vertical="center" wrapText="1"/>
    </xf>
    <xf numFmtId="0" fontId="90" fillId="5" borderId="1" xfId="0" applyFont="1" applyFill="1" applyBorder="1" applyAlignment="1">
      <alignment horizontal="center" vertical="center" wrapText="1"/>
    </xf>
    <xf numFmtId="0" fontId="90" fillId="25" borderId="11" xfId="0" applyFont="1" applyFill="1" applyBorder="1"/>
    <xf numFmtId="0" fontId="100" fillId="25" borderId="21" xfId="0" applyFont="1" applyFill="1" applyBorder="1"/>
    <xf numFmtId="0" fontId="5" fillId="25" borderId="30" xfId="0" applyFont="1" applyFill="1" applyBorder="1"/>
    <xf numFmtId="0" fontId="5" fillId="25" borderId="30" xfId="0" applyFont="1" applyFill="1" applyBorder="1" applyAlignment="1">
      <alignment horizontal="center" wrapText="1"/>
    </xf>
    <xf numFmtId="0" fontId="5" fillId="25" borderId="22" xfId="0" applyFont="1" applyFill="1" applyBorder="1"/>
    <xf numFmtId="0" fontId="4" fillId="2" borderId="5" xfId="0" applyFont="1" applyFill="1" applyBorder="1" applyAlignment="1">
      <alignment horizontal="center"/>
    </xf>
    <xf numFmtId="0" fontId="6" fillId="5" borderId="21" xfId="0" applyFont="1" applyFill="1" applyBorder="1" applyAlignment="1">
      <alignment horizontal="left" vertical="center"/>
    </xf>
    <xf numFmtId="0" fontId="6" fillId="5" borderId="30" xfId="0" applyFont="1" applyFill="1" applyBorder="1" applyAlignment="1">
      <alignment horizontal="left" vertical="center"/>
    </xf>
    <xf numFmtId="0" fontId="6" fillId="5" borderId="22" xfId="0" applyFont="1" applyFill="1" applyBorder="1" applyAlignment="1">
      <alignment horizontal="center" vertical="center"/>
    </xf>
    <xf numFmtId="0" fontId="5" fillId="5" borderId="2" xfId="0" applyFont="1" applyFill="1" applyBorder="1"/>
    <xf numFmtId="0" fontId="0" fillId="27" borderId="18" xfId="0" applyFill="1" applyBorder="1"/>
    <xf numFmtId="0" fontId="5" fillId="5" borderId="30" xfId="0" applyFont="1" applyFill="1" applyBorder="1"/>
    <xf numFmtId="0" fontId="100" fillId="5" borderId="6" xfId="0" applyFont="1" applyFill="1" applyBorder="1"/>
    <xf numFmtId="0" fontId="100" fillId="5" borderId="28" xfId="0" applyFont="1" applyFill="1" applyBorder="1" applyAlignment="1">
      <alignment horizontal="center"/>
    </xf>
    <xf numFmtId="0" fontId="100" fillId="5" borderId="10" xfId="0" applyFont="1" applyFill="1" applyBorder="1" applyAlignment="1">
      <alignment horizontal="center" vertical="center" wrapText="1"/>
    </xf>
    <xf numFmtId="0" fontId="100" fillId="5" borderId="3" xfId="0" applyFont="1" applyFill="1" applyBorder="1" applyAlignment="1">
      <alignment horizontal="center" vertical="center" wrapText="1"/>
    </xf>
    <xf numFmtId="6" fontId="32" fillId="36" borderId="1" xfId="0" applyNumberFormat="1" applyFont="1" applyFill="1" applyBorder="1" applyAlignment="1" applyProtection="1">
      <alignment horizontal="right" vertical="center" shrinkToFit="1"/>
      <protection locked="0"/>
    </xf>
    <xf numFmtId="0" fontId="4" fillId="6" borderId="0" xfId="0" applyFont="1" applyFill="1"/>
    <xf numFmtId="4" fontId="28" fillId="24" borderId="1" xfId="0" applyNumberFormat="1" applyFont="1" applyFill="1" applyBorder="1" applyProtection="1">
      <protection locked="0"/>
    </xf>
    <xf numFmtId="171" fontId="0" fillId="9" borderId="30" xfId="0" applyNumberFormat="1" applyFill="1" applyBorder="1"/>
    <xf numFmtId="170" fontId="0" fillId="9" borderId="18" xfId="4" applyNumberFormat="1" applyFont="1" applyFill="1" applyBorder="1" applyProtection="1"/>
    <xf numFmtId="0" fontId="20" fillId="2" borderId="0" xfId="0" applyFont="1" applyFill="1" applyAlignment="1">
      <alignment horizontal="right"/>
    </xf>
    <xf numFmtId="0" fontId="32" fillId="2" borderId="1" xfId="0" applyFont="1" applyFill="1" applyBorder="1" applyAlignment="1">
      <alignment vertical="center"/>
    </xf>
    <xf numFmtId="0" fontId="32" fillId="2" borderId="0" xfId="0" applyFont="1" applyFill="1" applyAlignment="1">
      <alignment horizontal="left" vertical="top" wrapText="1"/>
    </xf>
    <xf numFmtId="0" fontId="5" fillId="2" borderId="18" xfId="0" applyFont="1" applyFill="1" applyBorder="1"/>
    <xf numFmtId="0" fontId="150" fillId="2" borderId="0" xfId="0" applyFont="1" applyFill="1"/>
    <xf numFmtId="167" fontId="28" fillId="47" borderId="0" xfId="0" applyNumberFormat="1" applyFont="1" applyFill="1"/>
    <xf numFmtId="10" fontId="28" fillId="47" borderId="0" xfId="0" applyNumberFormat="1" applyFont="1" applyFill="1"/>
    <xf numFmtId="14" fontId="28" fillId="47" borderId="0" xfId="0" applyNumberFormat="1" applyFont="1" applyFill="1"/>
    <xf numFmtId="0" fontId="0" fillId="51" borderId="0" xfId="0" applyFill="1"/>
    <xf numFmtId="167" fontId="28" fillId="51" borderId="0" xfId="0" applyNumberFormat="1" applyFont="1" applyFill="1"/>
    <xf numFmtId="10" fontId="28" fillId="51" borderId="0" xfId="0" applyNumberFormat="1" applyFont="1" applyFill="1"/>
    <xf numFmtId="0" fontId="28" fillId="51" borderId="0" xfId="0" applyFont="1" applyFill="1"/>
    <xf numFmtId="14" fontId="28" fillId="51" borderId="0" xfId="0" applyNumberFormat="1" applyFont="1" applyFill="1"/>
    <xf numFmtId="10" fontId="0" fillId="51" borderId="0" xfId="0" applyNumberFormat="1" applyFill="1"/>
    <xf numFmtId="10" fontId="28" fillId="31" borderId="1" xfId="0" applyNumberFormat="1" applyFont="1" applyFill="1" applyBorder="1"/>
    <xf numFmtId="0" fontId="28" fillId="31" borderId="1" xfId="0" applyFont="1" applyFill="1" applyBorder="1"/>
    <xf numFmtId="14" fontId="28" fillId="31" borderId="1" xfId="0" applyNumberFormat="1" applyFont="1" applyFill="1" applyBorder="1"/>
    <xf numFmtId="0" fontId="28" fillId="9" borderId="1" xfId="0" applyFont="1" applyFill="1" applyBorder="1"/>
    <xf numFmtId="0" fontId="28" fillId="31" borderId="1" xfId="0" applyFont="1" applyFill="1" applyBorder="1" applyAlignment="1">
      <alignment horizontal="center"/>
    </xf>
    <xf numFmtId="14" fontId="28" fillId="31" borderId="1" xfId="0" applyNumberFormat="1" applyFont="1" applyFill="1" applyBorder="1" applyAlignment="1">
      <alignment horizontal="center"/>
    </xf>
    <xf numFmtId="2" fontId="28" fillId="9" borderId="25" xfId="0" applyNumberFormat="1" applyFont="1" applyFill="1" applyBorder="1" applyAlignment="1">
      <alignment horizontal="center"/>
    </xf>
    <xf numFmtId="0" fontId="71" fillId="0" borderId="0" xfId="0" applyFont="1"/>
    <xf numFmtId="0" fontId="3" fillId="2" borderId="0" xfId="0" applyFont="1" applyFill="1" applyAlignment="1">
      <alignment horizontal="center" vertical="center"/>
    </xf>
    <xf numFmtId="14" fontId="0" fillId="2" borderId="0" xfId="0" applyNumberFormat="1" applyFill="1"/>
    <xf numFmtId="0" fontId="4" fillId="2" borderId="0" xfId="0" applyFont="1" applyFill="1" applyAlignment="1">
      <alignment horizontal="right" indent="1"/>
    </xf>
    <xf numFmtId="167" fontId="28" fillId="31" borderId="21" xfId="0" applyNumberFormat="1" applyFont="1" applyFill="1" applyBorder="1"/>
    <xf numFmtId="10" fontId="0" fillId="31" borderId="1" xfId="0" applyNumberFormat="1" applyFill="1" applyBorder="1"/>
    <xf numFmtId="0" fontId="152" fillId="2" borderId="0" xfId="0" applyFont="1" applyFill="1"/>
    <xf numFmtId="0" fontId="0" fillId="3" borderId="24" xfId="0" applyFill="1" applyBorder="1" applyAlignment="1">
      <alignment horizontal="center" vertical="center"/>
    </xf>
    <xf numFmtId="0" fontId="0" fillId="3" borderId="11" xfId="0" applyFill="1" applyBorder="1" applyAlignment="1">
      <alignment horizontal="center"/>
    </xf>
    <xf numFmtId="49" fontId="0" fillId="3" borderId="11" xfId="0" applyNumberFormat="1" applyFill="1" applyBorder="1" applyAlignment="1">
      <alignment horizontal="center"/>
    </xf>
    <xf numFmtId="0" fontId="0" fillId="14" borderId="0" xfId="0" applyFill="1"/>
    <xf numFmtId="0" fontId="4" fillId="2" borderId="18" xfId="0" applyFont="1" applyFill="1" applyBorder="1" applyAlignment="1">
      <alignment horizontal="right" indent="1"/>
    </xf>
    <xf numFmtId="0" fontId="4" fillId="2" borderId="18" xfId="0" applyFont="1" applyFill="1" applyBorder="1"/>
    <xf numFmtId="0" fontId="22" fillId="0" borderId="0" xfId="0" applyFont="1" applyAlignment="1">
      <alignment horizontal="center" vertical="center"/>
    </xf>
    <xf numFmtId="0" fontId="64" fillId="0" borderId="20" xfId="0" applyFont="1" applyBorder="1" applyAlignment="1">
      <alignment wrapText="1"/>
    </xf>
    <xf numFmtId="0" fontId="64" fillId="0" borderId="20" xfId="0" applyFont="1" applyBorder="1" applyAlignment="1">
      <alignment horizontal="left" wrapText="1"/>
    </xf>
    <xf numFmtId="0" fontId="64" fillId="0" borderId="20" xfId="0" applyFont="1" applyBorder="1" applyAlignment="1">
      <alignment horizontal="right" wrapText="1" indent="1"/>
    </xf>
    <xf numFmtId="0" fontId="13" fillId="0" borderId="0" xfId="1" applyAlignment="1">
      <alignment vertical="top" wrapText="1"/>
    </xf>
    <xf numFmtId="0" fontId="11" fillId="2" borderId="0" xfId="1" applyFont="1" applyFill="1" applyBorder="1"/>
    <xf numFmtId="0" fontId="10" fillId="2" borderId="18" xfId="0" applyFont="1" applyFill="1" applyBorder="1"/>
    <xf numFmtId="0" fontId="142" fillId="2" borderId="18" xfId="0" applyFont="1" applyFill="1" applyBorder="1"/>
    <xf numFmtId="0" fontId="38" fillId="2" borderId="18" xfId="0" applyFont="1" applyFill="1" applyBorder="1"/>
    <xf numFmtId="44" fontId="28" fillId="17" borderId="1" xfId="4" applyFont="1" applyFill="1" applyBorder="1" applyAlignment="1">
      <alignment horizontal="center" vertical="center"/>
    </xf>
    <xf numFmtId="9" fontId="28" fillId="17" borderId="1" xfId="2" applyFont="1" applyFill="1" applyBorder="1" applyAlignment="1">
      <alignment horizontal="center" vertical="center"/>
    </xf>
    <xf numFmtId="0" fontId="0" fillId="31" borderId="1" xfId="0" applyFill="1" applyBorder="1" applyAlignment="1" applyProtection="1">
      <alignment horizontal="right"/>
      <protection locked="0"/>
    </xf>
    <xf numFmtId="0" fontId="0" fillId="2" borderId="0" xfId="0" applyFill="1" applyAlignment="1">
      <alignment horizontal="left"/>
    </xf>
    <xf numFmtId="0" fontId="0" fillId="2" borderId="0" xfId="0" applyFill="1" applyAlignment="1">
      <alignment horizontal="right"/>
    </xf>
    <xf numFmtId="0" fontId="99" fillId="2" borderId="0" xfId="0" quotePrefix="1" applyFont="1" applyFill="1"/>
    <xf numFmtId="0" fontId="127" fillId="2" borderId="0" xfId="0" applyFont="1" applyFill="1" applyAlignment="1">
      <alignment vertical="center"/>
    </xf>
    <xf numFmtId="0" fontId="128" fillId="2" borderId="0" xfId="0" applyFont="1" applyFill="1" applyAlignment="1">
      <alignment vertical="center"/>
    </xf>
    <xf numFmtId="0" fontId="36" fillId="2" borderId="1" xfId="0" applyFont="1" applyFill="1" applyBorder="1" applyAlignment="1">
      <alignment horizontal="center" vertical="center" wrapText="1"/>
    </xf>
    <xf numFmtId="44" fontId="32" fillId="2" borderId="1" xfId="4" applyFont="1" applyFill="1" applyBorder="1"/>
    <xf numFmtId="42" fontId="32" fillId="2" borderId="0" xfId="0" applyNumberFormat="1" applyFont="1" applyFill="1"/>
    <xf numFmtId="44" fontId="129" fillId="0" borderId="1" xfId="4" applyFont="1" applyBorder="1"/>
    <xf numFmtId="44" fontId="129" fillId="0" borderId="1" xfId="4" applyFont="1" applyBorder="1" applyProtection="1">
      <protection locked="0"/>
    </xf>
    <xf numFmtId="0" fontId="122" fillId="2" borderId="0" xfId="0" applyFont="1" applyFill="1"/>
    <xf numFmtId="9" fontId="5" fillId="2" borderId="0" xfId="2" applyFont="1" applyFill="1" applyBorder="1" applyProtection="1"/>
    <xf numFmtId="173" fontId="5" fillId="2" borderId="0" xfId="0" applyNumberFormat="1" applyFont="1" applyFill="1"/>
    <xf numFmtId="1" fontId="5" fillId="2" borderId="0" xfId="0" applyNumberFormat="1" applyFont="1" applyFill="1"/>
    <xf numFmtId="3" fontId="5" fillId="2" borderId="0" xfId="0" applyNumberFormat="1" applyFont="1" applyFill="1"/>
    <xf numFmtId="0" fontId="113" fillId="2" borderId="0" xfId="0" applyFont="1" applyFill="1"/>
    <xf numFmtId="38" fontId="5" fillId="2" borderId="0" xfId="0" applyNumberFormat="1" applyFont="1" applyFill="1"/>
    <xf numFmtId="166" fontId="5" fillId="2" borderId="0" xfId="0" applyNumberFormat="1" applyFont="1" applyFill="1"/>
    <xf numFmtId="0" fontId="0" fillId="2" borderId="14" xfId="0" applyFill="1" applyBorder="1"/>
    <xf numFmtId="0" fontId="157" fillId="2" borderId="18" xfId="0" applyFont="1" applyFill="1" applyBorder="1"/>
    <xf numFmtId="0" fontId="157" fillId="2" borderId="0" xfId="0" applyFont="1" applyFill="1"/>
    <xf numFmtId="0" fontId="9" fillId="2" borderId="18" xfId="0" applyFont="1" applyFill="1" applyBorder="1"/>
    <xf numFmtId="0" fontId="11" fillId="2" borderId="18" xfId="1" applyFont="1" applyFill="1" applyBorder="1"/>
    <xf numFmtId="0" fontId="156" fillId="2" borderId="0" xfId="0" applyFont="1" applyFill="1"/>
    <xf numFmtId="0" fontId="142" fillId="2" borderId="0" xfId="0" applyFont="1" applyFill="1"/>
    <xf numFmtId="164" fontId="3" fillId="2" borderId="1" xfId="0" applyNumberFormat="1" applyFont="1" applyFill="1" applyBorder="1" applyAlignment="1" applyProtection="1">
      <alignment horizontal="left"/>
      <protection locked="0"/>
    </xf>
    <xf numFmtId="164" fontId="16" fillId="4" borderId="1" xfId="0" applyNumberFormat="1" applyFont="1" applyFill="1" applyBorder="1" applyAlignment="1" applyProtection="1">
      <alignment horizontal="left"/>
      <protection locked="0"/>
    </xf>
    <xf numFmtId="0" fontId="3" fillId="2" borderId="3" xfId="0" applyFont="1" applyFill="1" applyBorder="1" applyProtection="1">
      <protection locked="0"/>
    </xf>
    <xf numFmtId="165" fontId="3" fillId="2" borderId="3" xfId="0" applyNumberFormat="1" applyFont="1" applyFill="1" applyBorder="1" applyProtection="1">
      <protection locked="0"/>
    </xf>
    <xf numFmtId="0" fontId="159" fillId="2" borderId="0" xfId="0" applyFont="1" applyFill="1"/>
    <xf numFmtId="0" fontId="112" fillId="2" borderId="0" xfId="0" applyFont="1" applyFill="1" applyAlignment="1">
      <alignment horizontal="center"/>
    </xf>
    <xf numFmtId="9" fontId="40" fillId="9" borderId="1" xfId="0" applyNumberFormat="1" applyFont="1" applyFill="1" applyBorder="1" applyAlignment="1" applyProtection="1">
      <alignment horizontal="right" vertical="center"/>
      <protection locked="0"/>
    </xf>
    <xf numFmtId="0" fontId="20" fillId="2" borderId="1" xfId="0" applyFont="1" applyFill="1" applyBorder="1" applyAlignment="1">
      <alignment vertical="center"/>
    </xf>
    <xf numFmtId="0" fontId="96" fillId="5" borderId="1" xfId="0" applyFont="1" applyFill="1" applyBorder="1" applyAlignment="1">
      <alignment vertical="center"/>
    </xf>
    <xf numFmtId="0" fontId="46" fillId="36" borderId="10" xfId="0" applyFont="1" applyFill="1" applyBorder="1" applyAlignment="1">
      <alignment horizontal="left" vertical="center"/>
    </xf>
    <xf numFmtId="6" fontId="32" fillId="9" borderId="3" xfId="0" applyNumberFormat="1" applyFont="1" applyFill="1" applyBorder="1" applyAlignment="1">
      <alignment horizontal="right" vertical="center" shrinkToFit="1"/>
    </xf>
    <xf numFmtId="6" fontId="32" fillId="2" borderId="3" xfId="0" applyNumberFormat="1" applyFont="1" applyFill="1" applyBorder="1" applyAlignment="1" applyProtection="1">
      <alignment horizontal="right" vertical="center" shrinkToFit="1"/>
      <protection locked="0"/>
    </xf>
    <xf numFmtId="6" fontId="32" fillId="15" borderId="3" xfId="0" applyNumberFormat="1" applyFont="1" applyFill="1" applyBorder="1" applyAlignment="1">
      <alignment horizontal="center" vertical="center" shrinkToFit="1"/>
    </xf>
    <xf numFmtId="8" fontId="32" fillId="9" borderId="3" xfId="0" applyNumberFormat="1" applyFont="1" applyFill="1" applyBorder="1" applyAlignment="1">
      <alignment horizontal="right" vertical="center" shrinkToFit="1"/>
    </xf>
    <xf numFmtId="0" fontId="45" fillId="12" borderId="1" xfId="0" applyFont="1" applyFill="1" applyBorder="1" applyAlignment="1">
      <alignment horizontal="center" vertical="center"/>
    </xf>
    <xf numFmtId="0" fontId="102" fillId="2" borderId="0" xfId="0" applyFont="1" applyFill="1"/>
    <xf numFmtId="0" fontId="56" fillId="24" borderId="0" xfId="0" applyFont="1" applyFill="1" applyAlignment="1">
      <alignment horizontal="center" vertical="center"/>
    </xf>
    <xf numFmtId="0" fontId="70" fillId="24" borderId="18" xfId="0" applyFont="1" applyFill="1" applyBorder="1"/>
    <xf numFmtId="0" fontId="28" fillId="24" borderId="18" xfId="0" applyFont="1" applyFill="1" applyBorder="1"/>
    <xf numFmtId="0" fontId="134" fillId="24" borderId="0" xfId="0" applyFont="1" applyFill="1"/>
    <xf numFmtId="0" fontId="54" fillId="24" borderId="0" xfId="0" applyFont="1" applyFill="1"/>
    <xf numFmtId="0" fontId="33" fillId="24" borderId="0" xfId="0" applyFont="1" applyFill="1"/>
    <xf numFmtId="0" fontId="33" fillId="24" borderId="18" xfId="0" applyFont="1" applyFill="1" applyBorder="1"/>
    <xf numFmtId="0" fontId="31" fillId="2" borderId="2" xfId="0" applyFont="1" applyFill="1" applyBorder="1"/>
    <xf numFmtId="0" fontId="0" fillId="3" borderId="29" xfId="0" applyFill="1" applyBorder="1"/>
    <xf numFmtId="0" fontId="0" fillId="3" borderId="13" xfId="0" applyFill="1" applyBorder="1" applyAlignment="1">
      <alignment horizontal="center" vertical="center"/>
    </xf>
    <xf numFmtId="0" fontId="156" fillId="2" borderId="18" xfId="0" applyFont="1" applyFill="1" applyBorder="1"/>
    <xf numFmtId="0" fontId="3" fillId="31" borderId="5" xfId="0" applyFont="1" applyFill="1" applyBorder="1" applyAlignment="1" applyProtection="1">
      <alignment horizontal="left"/>
      <protection locked="0"/>
    </xf>
    <xf numFmtId="164" fontId="3" fillId="31" borderId="1" xfId="0" applyNumberFormat="1" applyFont="1" applyFill="1" applyBorder="1" applyAlignment="1" applyProtection="1">
      <alignment horizontal="left"/>
      <protection locked="0"/>
    </xf>
    <xf numFmtId="165" fontId="3" fillId="31" borderId="5" xfId="0" applyNumberFormat="1" applyFont="1" applyFill="1" applyBorder="1" applyAlignment="1" applyProtection="1">
      <alignment horizontal="left"/>
      <protection locked="0"/>
    </xf>
    <xf numFmtId="0" fontId="0" fillId="2" borderId="5" xfId="0" applyFill="1" applyBorder="1"/>
    <xf numFmtId="0" fontId="0" fillId="2" borderId="3" xfId="0" applyFill="1" applyBorder="1"/>
    <xf numFmtId="0" fontId="161" fillId="2" borderId="0" xfId="0" applyFont="1" applyFill="1"/>
    <xf numFmtId="0" fontId="163" fillId="2" borderId="0" xfId="0" applyFont="1" applyFill="1"/>
    <xf numFmtId="0" fontId="164" fillId="2" borderId="0" xfId="0" applyFont="1" applyFill="1"/>
    <xf numFmtId="0" fontId="18" fillId="2" borderId="8" xfId="0" applyFont="1" applyFill="1" applyBorder="1"/>
    <xf numFmtId="0" fontId="168" fillId="2" borderId="0" xfId="0" applyFont="1" applyFill="1"/>
    <xf numFmtId="0" fontId="169" fillId="2" borderId="0" xfId="0" applyFont="1" applyFill="1"/>
    <xf numFmtId="0" fontId="0" fillId="3" borderId="0" xfId="0" applyFill="1" applyAlignment="1">
      <alignment horizontal="center"/>
    </xf>
    <xf numFmtId="0" fontId="8" fillId="2" borderId="0" xfId="0" applyFont="1" applyFill="1" applyAlignment="1">
      <alignment horizontal="center" vertical="center"/>
    </xf>
    <xf numFmtId="0" fontId="3" fillId="8" borderId="0" xfId="0" applyFont="1" applyFill="1" applyAlignment="1">
      <alignment horizontal="center" vertical="center"/>
    </xf>
    <xf numFmtId="0" fontId="5" fillId="8" borderId="0" xfId="0" applyFont="1" applyFill="1"/>
    <xf numFmtId="0" fontId="28" fillId="8" borderId="0" xfId="0" applyFont="1" applyFill="1"/>
    <xf numFmtId="0" fontId="0" fillId="3" borderId="27" xfId="0" applyFill="1" applyBorder="1" applyAlignment="1">
      <alignment horizontal="center"/>
    </xf>
    <xf numFmtId="0" fontId="137" fillId="2" borderId="1" xfId="0" applyFont="1" applyFill="1" applyBorder="1" applyAlignment="1">
      <alignment horizontal="center"/>
    </xf>
    <xf numFmtId="0" fontId="0" fillId="8" borderId="0" xfId="0" applyFill="1" applyAlignment="1">
      <alignment horizontal="left" wrapText="1"/>
    </xf>
    <xf numFmtId="0" fontId="7" fillId="9" borderId="1" xfId="0" applyFont="1" applyFill="1" applyBorder="1" applyAlignment="1">
      <alignment horizontal="center" vertical="center"/>
    </xf>
    <xf numFmtId="0" fontId="170" fillId="2" borderId="0" xfId="0" applyFont="1" applyFill="1"/>
    <xf numFmtId="0" fontId="171" fillId="2" borderId="0" xfId="0" applyFont="1" applyFill="1"/>
    <xf numFmtId="0" fontId="170" fillId="0" borderId="0" xfId="0" applyFont="1"/>
    <xf numFmtId="0" fontId="32" fillId="8" borderId="0" xfId="0" applyFont="1" applyFill="1"/>
    <xf numFmtId="38" fontId="28" fillId="9" borderId="1" xfId="0" applyNumberFormat="1" applyFont="1" applyFill="1" applyBorder="1"/>
    <xf numFmtId="0" fontId="0" fillId="3" borderId="12" xfId="0" applyFill="1" applyBorder="1" applyAlignment="1">
      <alignment horizontal="center" vertical="center"/>
    </xf>
    <xf numFmtId="0" fontId="0" fillId="2" borderId="5" xfId="0" applyFill="1" applyBorder="1" applyAlignment="1" applyProtection="1">
      <alignment horizontal="center" vertical="center"/>
      <protection locked="0"/>
    </xf>
    <xf numFmtId="0" fontId="0" fillId="3" borderId="26" xfId="0" applyFill="1" applyBorder="1" applyAlignment="1">
      <alignment horizontal="center" vertical="center"/>
    </xf>
    <xf numFmtId="0" fontId="0" fillId="3" borderId="1" xfId="0" applyFill="1" applyBorder="1" applyAlignment="1">
      <alignment horizontal="right" wrapText="1"/>
    </xf>
    <xf numFmtId="0" fontId="0" fillId="9" borderId="27" xfId="0" applyFill="1" applyBorder="1" applyAlignment="1">
      <alignment horizontal="center"/>
    </xf>
    <xf numFmtId="0" fontId="172" fillId="2" borderId="0" xfId="0" applyFont="1" applyFill="1"/>
    <xf numFmtId="0" fontId="31" fillId="2" borderId="0" xfId="0" applyFont="1" applyFill="1"/>
    <xf numFmtId="0" fontId="173" fillId="2" borderId="0" xfId="0" applyFont="1" applyFill="1"/>
    <xf numFmtId="0" fontId="174" fillId="2" borderId="0" xfId="0" applyFont="1" applyFill="1"/>
    <xf numFmtId="0" fontId="170" fillId="2" borderId="0" xfId="0" applyFont="1" applyFill="1" applyAlignment="1">
      <alignment horizontal="center"/>
    </xf>
    <xf numFmtId="1" fontId="4" fillId="9" borderId="1" xfId="0" applyNumberFormat="1" applyFont="1" applyFill="1" applyBorder="1" applyAlignment="1">
      <alignment horizontal="center"/>
    </xf>
    <xf numFmtId="0" fontId="156" fillId="2" borderId="20" xfId="0" applyFont="1" applyFill="1" applyBorder="1"/>
    <xf numFmtId="0" fontId="0" fillId="2" borderId="20" xfId="0" applyFill="1" applyBorder="1"/>
    <xf numFmtId="0" fontId="137"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8" fillId="8" borderId="0" xfId="0" applyFont="1" applyFill="1"/>
    <xf numFmtId="0" fontId="152" fillId="8" borderId="0" xfId="0" applyFont="1" applyFill="1"/>
    <xf numFmtId="9" fontId="0" fillId="8" borderId="0" xfId="2" applyFont="1" applyFill="1" applyBorder="1"/>
    <xf numFmtId="10" fontId="0" fillId="8" borderId="0" xfId="0" applyNumberFormat="1" applyFill="1"/>
    <xf numFmtId="10" fontId="145" fillId="2" borderId="0" xfId="0" applyNumberFormat="1" applyFont="1" applyFill="1" applyAlignment="1">
      <alignment horizontal="center"/>
    </xf>
    <xf numFmtId="0" fontId="18" fillId="8" borderId="8" xfId="0" applyFont="1" applyFill="1" applyBorder="1"/>
    <xf numFmtId="0" fontId="156" fillId="2" borderId="18" xfId="0" applyFont="1" applyFill="1" applyBorder="1" applyAlignment="1">
      <alignment horizontal="left"/>
    </xf>
    <xf numFmtId="0" fontId="156" fillId="2" borderId="0" xfId="0" applyFont="1" applyFill="1" applyAlignment="1">
      <alignment horizontal="left"/>
    </xf>
    <xf numFmtId="0" fontId="157" fillId="2" borderId="0" xfId="0" applyFont="1" applyFill="1" applyAlignment="1">
      <alignment horizontal="left"/>
    </xf>
    <xf numFmtId="0" fontId="157" fillId="2" borderId="20" xfId="0" applyFont="1" applyFill="1" applyBorder="1"/>
    <xf numFmtId="0" fontId="7" fillId="2" borderId="0" xfId="0" applyFont="1" applyFill="1" applyAlignment="1">
      <alignment horizontal="center" vertical="center"/>
    </xf>
    <xf numFmtId="0" fontId="37" fillId="2" borderId="2" xfId="0" applyFont="1" applyFill="1" applyBorder="1"/>
    <xf numFmtId="0" fontId="3" fillId="2" borderId="2" xfId="0" applyFont="1" applyFill="1" applyBorder="1"/>
    <xf numFmtId="0" fontId="163" fillId="2" borderId="2" xfId="0" applyFont="1" applyFill="1" applyBorder="1"/>
    <xf numFmtId="0" fontId="60" fillId="4" borderId="2" xfId="0" applyFont="1" applyFill="1" applyBorder="1"/>
    <xf numFmtId="0" fontId="37" fillId="2" borderId="0" xfId="0" applyFont="1" applyFill="1"/>
    <xf numFmtId="0" fontId="176" fillId="2" borderId="0" xfId="0" applyFont="1" applyFill="1"/>
    <xf numFmtId="0" fontId="142" fillId="2" borderId="0" xfId="0" applyFont="1" applyFill="1" applyAlignment="1">
      <alignment horizontal="left"/>
    </xf>
    <xf numFmtId="0" fontId="7" fillId="2" borderId="0" xfId="0" applyFont="1" applyFill="1" applyAlignment="1">
      <alignment horizontal="right" indent="1"/>
    </xf>
    <xf numFmtId="0" fontId="177" fillId="8" borderId="0" xfId="0" applyFont="1" applyFill="1"/>
    <xf numFmtId="0" fontId="178" fillId="2" borderId="0" xfId="0" applyFont="1" applyFill="1"/>
    <xf numFmtId="0" fontId="179" fillId="2" borderId="0" xfId="0" applyFont="1" applyFill="1"/>
    <xf numFmtId="0" fontId="180" fillId="2" borderId="0" xfId="0" applyFont="1" applyFill="1"/>
    <xf numFmtId="0" fontId="181" fillId="2" borderId="0" xfId="0" applyFont="1" applyFill="1"/>
    <xf numFmtId="9" fontId="86" fillId="24" borderId="0" xfId="0" applyNumberFormat="1" applyFont="1" applyFill="1"/>
    <xf numFmtId="0" fontId="182" fillId="4" borderId="2" xfId="0" applyFont="1" applyFill="1" applyBorder="1"/>
    <xf numFmtId="0" fontId="182" fillId="24" borderId="2" xfId="0" applyFont="1" applyFill="1" applyBorder="1"/>
    <xf numFmtId="0" fontId="182" fillId="2" borderId="2" xfId="0" applyFont="1" applyFill="1" applyBorder="1"/>
    <xf numFmtId="0" fontId="183" fillId="2" borderId="2" xfId="0" applyFont="1" applyFill="1" applyBorder="1"/>
    <xf numFmtId="0" fontId="183" fillId="2" borderId="0" xfId="0" applyFont="1" applyFill="1"/>
    <xf numFmtId="0" fontId="184" fillId="2" borderId="0" xfId="0" applyFont="1" applyFill="1"/>
    <xf numFmtId="0" fontId="182" fillId="2" borderId="0" xfId="0" applyFont="1" applyFill="1"/>
    <xf numFmtId="0" fontId="182" fillId="0" borderId="0" xfId="0" applyFont="1"/>
    <xf numFmtId="0" fontId="0" fillId="31" borderId="11" xfId="0" applyFill="1" applyBorder="1" applyAlignment="1" applyProtection="1">
      <alignment vertical="center"/>
      <protection locked="0"/>
    </xf>
    <xf numFmtId="0" fontId="36" fillId="37" borderId="0" xfId="0" applyFont="1" applyFill="1" applyAlignment="1">
      <alignment vertical="center"/>
    </xf>
    <xf numFmtId="0" fontId="189" fillId="37" borderId="0" xfId="0" applyFont="1" applyFill="1" applyAlignment="1">
      <alignment vertical="center"/>
    </xf>
    <xf numFmtId="0" fontId="7" fillId="0" borderId="1" xfId="0" applyFont="1" applyBorder="1" applyAlignment="1">
      <alignment horizontal="center" vertical="center"/>
    </xf>
    <xf numFmtId="0" fontId="7" fillId="8" borderId="1" xfId="0" applyFont="1" applyFill="1" applyBorder="1" applyAlignment="1">
      <alignment horizontal="center"/>
    </xf>
    <xf numFmtId="167" fontId="28" fillId="9" borderId="1" xfId="0" applyNumberFormat="1" applyFont="1" applyFill="1" applyBorder="1"/>
    <xf numFmtId="0" fontId="5" fillId="2" borderId="0" xfId="0" quotePrefix="1" applyFont="1" applyFill="1"/>
    <xf numFmtId="0" fontId="28" fillId="52" borderId="0" xfId="0" applyFont="1" applyFill="1"/>
    <xf numFmtId="0" fontId="29" fillId="47" borderId="90" xfId="0" applyFont="1" applyFill="1" applyBorder="1" applyAlignment="1">
      <alignment horizontal="center"/>
    </xf>
    <xf numFmtId="0" fontId="29" fillId="47" borderId="90" xfId="0" applyFont="1" applyFill="1" applyBorder="1" applyAlignment="1">
      <alignment horizontal="center" vertical="center"/>
    </xf>
    <xf numFmtId="0" fontId="29" fillId="47" borderId="89" xfId="0" applyFont="1" applyFill="1" applyBorder="1" applyAlignment="1">
      <alignment horizontal="center"/>
    </xf>
    <xf numFmtId="0" fontId="29" fillId="47" borderId="89" xfId="0" applyFont="1" applyFill="1" applyBorder="1" applyAlignment="1">
      <alignment horizontal="center" vertical="center"/>
    </xf>
    <xf numFmtId="172" fontId="28" fillId="0" borderId="88" xfId="0" applyNumberFormat="1" applyFont="1" applyBorder="1" applyAlignment="1">
      <alignment horizontal="center"/>
    </xf>
    <xf numFmtId="172" fontId="28" fillId="9" borderId="1" xfId="0" applyNumberFormat="1" applyFont="1" applyFill="1" applyBorder="1" applyAlignment="1">
      <alignment horizontal="center"/>
    </xf>
    <xf numFmtId="0" fontId="33" fillId="47" borderId="0" xfId="0" applyFont="1" applyFill="1"/>
    <xf numFmtId="0" fontId="11" fillId="2" borderId="0" xfId="1" applyFont="1" applyFill="1" applyProtection="1"/>
    <xf numFmtId="9" fontId="28" fillId="4" borderId="0" xfId="0" applyNumberFormat="1" applyFont="1" applyFill="1"/>
    <xf numFmtId="0" fontId="190" fillId="4" borderId="0" xfId="0" applyFont="1" applyFill="1"/>
    <xf numFmtId="0" fontId="191" fillId="4" borderId="0" xfId="0" applyFont="1" applyFill="1"/>
    <xf numFmtId="0" fontId="57" fillId="4" borderId="0" xfId="0" applyFont="1" applyFill="1" applyAlignment="1">
      <alignment horizontal="left"/>
    </xf>
    <xf numFmtId="0" fontId="151" fillId="47" borderId="0" xfId="0" applyFont="1" applyFill="1" applyAlignment="1">
      <alignment horizontal="left"/>
    </xf>
    <xf numFmtId="178" fontId="28" fillId="9" borderId="1" xfId="0" applyNumberFormat="1" applyFont="1" applyFill="1" applyBorder="1" applyAlignment="1">
      <alignment horizontal="center"/>
    </xf>
    <xf numFmtId="0" fontId="86" fillId="2" borderId="1" xfId="0" applyFont="1" applyFill="1" applyBorder="1"/>
    <xf numFmtId="9" fontId="28" fillId="47" borderId="0" xfId="0" applyNumberFormat="1" applyFont="1" applyFill="1"/>
    <xf numFmtId="0" fontId="11" fillId="2" borderId="0" xfId="1" applyFont="1" applyFill="1" applyBorder="1" applyProtection="1"/>
    <xf numFmtId="0" fontId="17" fillId="2" borderId="0" xfId="1" applyFont="1" applyFill="1" applyBorder="1" applyProtection="1"/>
    <xf numFmtId="0" fontId="143" fillId="2" borderId="0" xfId="1" applyFont="1" applyFill="1" applyBorder="1" applyProtection="1"/>
    <xf numFmtId="0" fontId="113" fillId="2" borderId="0" xfId="1" applyFont="1" applyFill="1" applyBorder="1" applyProtection="1"/>
    <xf numFmtId="0" fontId="158" fillId="2" borderId="0" xfId="1" applyFont="1" applyFill="1" applyProtection="1"/>
    <xf numFmtId="0" fontId="3" fillId="31" borderId="3" xfId="0" applyFont="1" applyFill="1" applyBorder="1" applyAlignment="1" applyProtection="1">
      <alignment vertical="center" wrapText="1"/>
      <protection locked="0"/>
    </xf>
    <xf numFmtId="177" fontId="3" fillId="31" borderId="1" xfId="0" applyNumberFormat="1" applyFont="1" applyFill="1" applyBorder="1" applyAlignment="1" applyProtection="1">
      <alignment horizontal="left"/>
      <protection locked="0"/>
    </xf>
    <xf numFmtId="177" fontId="3" fillId="2" borderId="1" xfId="0" applyNumberFormat="1" applyFont="1" applyFill="1" applyBorder="1" applyAlignment="1" applyProtection="1">
      <alignment horizontal="left"/>
      <protection locked="0"/>
    </xf>
    <xf numFmtId="0" fontId="4" fillId="2" borderId="0" xfId="0" applyFont="1" applyFill="1" applyAlignment="1">
      <alignment horizontal="center" vertical="center"/>
    </xf>
    <xf numFmtId="0" fontId="63" fillId="24" borderId="0" xfId="0" applyFont="1" applyFill="1" applyAlignment="1">
      <alignment horizontal="center" vertical="center"/>
    </xf>
    <xf numFmtId="0" fontId="11" fillId="24" borderId="0" xfId="1" applyFont="1" applyFill="1" applyBorder="1" applyProtection="1"/>
    <xf numFmtId="0" fontId="0" fillId="24" borderId="0" xfId="0" applyFill="1"/>
    <xf numFmtId="0" fontId="124" fillId="24" borderId="0" xfId="0" applyFont="1" applyFill="1"/>
    <xf numFmtId="0" fontId="32" fillId="0" borderId="1" xfId="0" applyFont="1" applyBorder="1"/>
    <xf numFmtId="0" fontId="192" fillId="24" borderId="0" xfId="0" applyFont="1" applyFill="1" applyAlignment="1">
      <alignment horizontal="right"/>
    </xf>
    <xf numFmtId="0" fontId="192" fillId="24" borderId="0" xfId="0" applyFont="1" applyFill="1"/>
    <xf numFmtId="9" fontId="28" fillId="0" borderId="1" xfId="2" applyFont="1" applyBorder="1" applyAlignment="1">
      <alignment horizontal="center"/>
    </xf>
    <xf numFmtId="0" fontId="128" fillId="0" borderId="0" xfId="0" applyFont="1" applyAlignment="1">
      <alignment vertical="center"/>
    </xf>
    <xf numFmtId="0" fontId="70" fillId="2" borderId="0" xfId="0" applyFont="1" applyFill="1" applyAlignment="1">
      <alignment vertical="top" wrapText="1"/>
    </xf>
    <xf numFmtId="0" fontId="100" fillId="2" borderId="0" xfId="0" applyFont="1" applyFill="1" applyAlignment="1">
      <alignment horizontal="left"/>
    </xf>
    <xf numFmtId="0" fontId="32" fillId="2" borderId="0" xfId="0" applyFont="1" applyFill="1" applyAlignment="1">
      <alignment horizontal="left"/>
    </xf>
    <xf numFmtId="9" fontId="0" fillId="31" borderId="1" xfId="2" applyFont="1" applyFill="1" applyBorder="1" applyProtection="1">
      <protection locked="0"/>
    </xf>
    <xf numFmtId="0" fontId="11" fillId="2" borderId="0" xfId="1" applyFont="1" applyFill="1" applyProtection="1">
      <protection locked="0"/>
    </xf>
    <xf numFmtId="0" fontId="11" fillId="2" borderId="0" xfId="1" applyFont="1" applyFill="1" applyAlignment="1" applyProtection="1">
      <protection locked="0"/>
    </xf>
    <xf numFmtId="0" fontId="5" fillId="2" borderId="0" xfId="0" applyFont="1" applyFill="1" applyProtection="1">
      <protection locked="0"/>
    </xf>
    <xf numFmtId="0" fontId="0" fillId="0" borderId="0" xfId="0" applyProtection="1">
      <protection locked="0"/>
    </xf>
    <xf numFmtId="0" fontId="0" fillId="31" borderId="1" xfId="0" applyFill="1" applyBorder="1" applyProtection="1">
      <protection locked="0"/>
    </xf>
    <xf numFmtId="172" fontId="3" fillId="2" borderId="1" xfId="0" applyNumberFormat="1" applyFont="1" applyFill="1" applyBorder="1" applyAlignment="1" applyProtection="1">
      <alignment wrapText="1"/>
      <protection locked="0"/>
    </xf>
    <xf numFmtId="49" fontId="3" fillId="31" borderId="1" xfId="0" applyNumberFormat="1" applyFont="1" applyFill="1" applyBorder="1" applyProtection="1">
      <protection locked="0"/>
    </xf>
    <xf numFmtId="186" fontId="3" fillId="6" borderId="1" xfId="0" applyNumberFormat="1" applyFont="1" applyFill="1" applyBorder="1" applyAlignment="1" applyProtection="1">
      <alignment wrapText="1"/>
      <protection locked="0"/>
    </xf>
    <xf numFmtId="188" fontId="3" fillId="31" borderId="1" xfId="0" applyNumberFormat="1" applyFont="1" applyFill="1" applyBorder="1" applyProtection="1">
      <protection locked="0"/>
    </xf>
    <xf numFmtId="188" fontId="3" fillId="31" borderId="1" xfId="0" applyNumberFormat="1" applyFont="1" applyFill="1" applyBorder="1" applyAlignment="1" applyProtection="1">
      <alignment vertical="center" wrapText="1"/>
      <protection locked="0"/>
    </xf>
    <xf numFmtId="164" fontId="3" fillId="31" borderId="5" xfId="0" applyNumberFormat="1" applyFont="1" applyFill="1" applyBorder="1" applyAlignment="1" applyProtection="1">
      <alignment horizontal="left"/>
      <protection locked="0"/>
    </xf>
    <xf numFmtId="164" fontId="3" fillId="2" borderId="5" xfId="0" applyNumberFormat="1" applyFont="1" applyFill="1" applyBorder="1" applyAlignment="1" applyProtection="1">
      <alignment horizontal="left"/>
      <protection locked="0"/>
    </xf>
    <xf numFmtId="0" fontId="4" fillId="8" borderId="5" xfId="0" applyFont="1" applyFill="1" applyBorder="1"/>
    <xf numFmtId="0" fontId="4" fillId="2" borderId="3" xfId="0" applyFont="1" applyFill="1" applyBorder="1"/>
    <xf numFmtId="0" fontId="193" fillId="2" borderId="0" xfId="0" applyFont="1" applyFill="1"/>
    <xf numFmtId="0" fontId="18" fillId="8" borderId="0" xfId="0" applyFont="1" applyFill="1" applyAlignment="1">
      <alignment horizontal="left" vertical="top"/>
    </xf>
    <xf numFmtId="0" fontId="18" fillId="8" borderId="8" xfId="0" applyFont="1" applyFill="1" applyBorder="1" applyAlignment="1">
      <alignment horizontal="left" vertical="top"/>
    </xf>
    <xf numFmtId="0" fontId="0" fillId="8" borderId="0" xfId="0" applyFill="1" applyAlignment="1">
      <alignment horizontal="left" vertical="top"/>
    </xf>
    <xf numFmtId="0" fontId="169" fillId="2" borderId="0" xfId="0" applyFont="1" applyFill="1" applyAlignment="1">
      <alignment vertical="center"/>
    </xf>
    <xf numFmtId="177" fontId="3" fillId="2" borderId="3" xfId="0" applyNumberFormat="1" applyFont="1" applyFill="1" applyBorder="1" applyAlignment="1" applyProtection="1">
      <alignment vertical="center" wrapText="1"/>
      <protection locked="0"/>
    </xf>
    <xf numFmtId="0" fontId="194" fillId="2" borderId="0" xfId="1" applyFont="1" applyFill="1" applyBorder="1" applyProtection="1">
      <protection locked="0"/>
    </xf>
    <xf numFmtId="0" fontId="195" fillId="2" borderId="0" xfId="1" applyFont="1" applyFill="1" applyBorder="1" applyProtection="1">
      <protection locked="0"/>
    </xf>
    <xf numFmtId="0" fontId="0" fillId="8" borderId="0" xfId="0" applyFill="1" applyProtection="1">
      <protection locked="0"/>
    </xf>
    <xf numFmtId="0" fontId="0" fillId="2" borderId="0" xfId="0" applyFill="1" applyAlignment="1">
      <alignment horizontal="left" wrapText="1"/>
    </xf>
    <xf numFmtId="0" fontId="0" fillId="0" borderId="1" xfId="0" applyBorder="1" applyAlignment="1">
      <alignment horizontal="left"/>
    </xf>
    <xf numFmtId="42" fontId="129" fillId="0" borderId="1" xfId="4" applyNumberFormat="1" applyFont="1" applyBorder="1" applyProtection="1">
      <protection locked="0"/>
    </xf>
    <xf numFmtId="42" fontId="129" fillId="9" borderId="1" xfId="4" applyNumberFormat="1" applyFont="1" applyFill="1" applyBorder="1"/>
    <xf numFmtId="172" fontId="86" fillId="25" borderId="11" xfId="0" applyNumberFormat="1" applyFont="1" applyFill="1" applyBorder="1" applyAlignment="1">
      <alignment horizontal="right"/>
    </xf>
    <xf numFmtId="0" fontId="76" fillId="2" borderId="0" xfId="0" applyFont="1" applyFill="1"/>
    <xf numFmtId="0" fontId="4" fillId="2" borderId="0" xfId="0" applyFont="1" applyFill="1" applyAlignment="1">
      <alignment horizontal="right"/>
    </xf>
    <xf numFmtId="0" fontId="32" fillId="2" borderId="0" xfId="0" applyFont="1" applyFill="1" applyAlignment="1">
      <alignment horizontal="center" vertical="center"/>
    </xf>
    <xf numFmtId="0" fontId="5" fillId="2" borderId="0" xfId="0" applyFont="1" applyFill="1" applyAlignment="1">
      <alignment vertical="center"/>
    </xf>
    <xf numFmtId="0" fontId="199" fillId="2" borderId="0" xfId="0" applyFont="1" applyFill="1"/>
    <xf numFmtId="0" fontId="110" fillId="2" borderId="0" xfId="0" applyFont="1" applyFill="1"/>
    <xf numFmtId="0" fontId="20" fillId="2" borderId="0" xfId="0" applyFont="1" applyFill="1" applyAlignment="1">
      <alignment vertical="top" wrapText="1"/>
    </xf>
    <xf numFmtId="0" fontId="70" fillId="2" borderId="0" xfId="0" applyFont="1" applyFill="1" applyAlignment="1">
      <alignment horizontal="left" vertical="top" wrapText="1"/>
    </xf>
    <xf numFmtId="1" fontId="7" fillId="9" borderId="1" xfId="0" applyNumberFormat="1" applyFont="1" applyFill="1" applyBorder="1" applyAlignment="1">
      <alignment horizontal="center"/>
    </xf>
    <xf numFmtId="172" fontId="3" fillId="2" borderId="1" xfId="0" applyNumberFormat="1" applyFont="1" applyFill="1" applyBorder="1" applyProtection="1">
      <protection locked="0"/>
    </xf>
    <xf numFmtId="172" fontId="3" fillId="2" borderId="5" xfId="0" applyNumberFormat="1" applyFont="1" applyFill="1" applyBorder="1" applyProtection="1">
      <protection locked="0"/>
    </xf>
    <xf numFmtId="0" fontId="201" fillId="2" borderId="0" xfId="0" applyFont="1" applyFill="1"/>
    <xf numFmtId="0" fontId="200" fillId="2" borderId="0" xfId="0" applyFont="1" applyFill="1"/>
    <xf numFmtId="0" fontId="200" fillId="0" borderId="0" xfId="0" applyFont="1"/>
    <xf numFmtId="0" fontId="201" fillId="2" borderId="0" xfId="0" applyFont="1" applyFill="1" applyAlignment="1">
      <alignment horizontal="right" vertical="top"/>
    </xf>
    <xf numFmtId="0" fontId="202" fillId="0" borderId="0" xfId="0" applyFont="1"/>
    <xf numFmtId="0" fontId="203" fillId="0" borderId="0" xfId="0" applyFont="1"/>
    <xf numFmtId="0" fontId="31" fillId="8" borderId="0" xfId="0" applyFont="1" applyFill="1"/>
    <xf numFmtId="0" fontId="14" fillId="2" borderId="40" xfId="1" applyFont="1" applyFill="1" applyBorder="1" applyAlignment="1" applyProtection="1">
      <alignment vertical="center"/>
      <protection locked="0"/>
    </xf>
    <xf numFmtId="0" fontId="2" fillId="4" borderId="0" xfId="0" applyFont="1" applyFill="1"/>
    <xf numFmtId="0" fontId="2" fillId="24" borderId="0" xfId="0" applyFont="1" applyFill="1"/>
    <xf numFmtId="0" fontId="2" fillId="2" borderId="0" xfId="0" applyFont="1" applyFill="1"/>
    <xf numFmtId="0" fontId="2" fillId="0" borderId="0" xfId="0" applyFont="1"/>
    <xf numFmtId="0" fontId="2" fillId="2" borderId="18" xfId="0" applyFont="1" applyFill="1" applyBorder="1"/>
    <xf numFmtId="0" fontId="2" fillId="4" borderId="2" xfId="0" applyFont="1" applyFill="1" applyBorder="1"/>
    <xf numFmtId="0" fontId="2" fillId="24" borderId="2" xfId="0" applyFont="1" applyFill="1" applyBorder="1"/>
    <xf numFmtId="10" fontId="2" fillId="2" borderId="11" xfId="0" applyNumberFormat="1" applyFont="1" applyFill="1" applyBorder="1" applyProtection="1">
      <protection locked="0"/>
    </xf>
    <xf numFmtId="10" fontId="2" fillId="9" borderId="11" xfId="0" applyNumberFormat="1" applyFont="1" applyFill="1" applyBorder="1"/>
    <xf numFmtId="0" fontId="2" fillId="7" borderId="11" xfId="0" applyFont="1" applyFill="1" applyBorder="1"/>
    <xf numFmtId="10" fontId="2" fillId="9" borderId="24" xfId="0" applyNumberFormat="1" applyFont="1" applyFill="1" applyBorder="1"/>
    <xf numFmtId="168" fontId="2" fillId="17" borderId="23" xfId="0" applyNumberFormat="1" applyFont="1" applyFill="1" applyBorder="1"/>
    <xf numFmtId="0" fontId="2" fillId="24" borderId="0" xfId="0" applyFont="1" applyFill="1" applyAlignment="1">
      <alignment horizontal="left" wrapText="1"/>
    </xf>
    <xf numFmtId="0" fontId="2" fillId="4" borderId="18" xfId="0" applyFont="1" applyFill="1" applyBorder="1"/>
    <xf numFmtId="0" fontId="2" fillId="4" borderId="0" xfId="0" applyFont="1" applyFill="1" applyAlignment="1">
      <alignment horizontal="left" wrapText="1"/>
    </xf>
    <xf numFmtId="0" fontId="28" fillId="47" borderId="0" xfId="0" applyFont="1" applyFill="1" applyAlignment="1">
      <alignment horizontal="right"/>
    </xf>
    <xf numFmtId="0" fontId="0" fillId="3" borderId="1" xfId="0" applyFill="1" applyBorder="1"/>
    <xf numFmtId="0" fontId="4" fillId="27" borderId="1" xfId="0" applyFont="1" applyFill="1" applyBorder="1" applyAlignment="1">
      <alignment horizontal="center"/>
    </xf>
    <xf numFmtId="0" fontId="9" fillId="4" borderId="0" xfId="0" applyFont="1" applyFill="1"/>
    <xf numFmtId="0" fontId="20" fillId="4" borderId="0" xfId="0" applyFont="1" applyFill="1"/>
    <xf numFmtId="0" fontId="37" fillId="4" borderId="2" xfId="0" applyFont="1" applyFill="1" applyBorder="1"/>
    <xf numFmtId="0" fontId="18" fillId="24" borderId="0" xfId="0" applyFont="1" applyFill="1"/>
    <xf numFmtId="0" fontId="100" fillId="25" borderId="11" xfId="0" applyFont="1" applyFill="1" applyBorder="1" applyAlignment="1">
      <alignment horizontal="left" vertical="center"/>
    </xf>
    <xf numFmtId="0" fontId="100" fillId="25" borderId="11" xfId="0" applyFont="1" applyFill="1" applyBorder="1" applyAlignment="1">
      <alignment horizontal="right" vertical="center"/>
    </xf>
    <xf numFmtId="0" fontId="100" fillId="25" borderId="11" xfId="0" applyFont="1" applyFill="1" applyBorder="1" applyAlignment="1">
      <alignment horizontal="right" vertical="center" wrapText="1"/>
    </xf>
    <xf numFmtId="167" fontId="5" fillId="2" borderId="0" xfId="0" applyNumberFormat="1" applyFont="1" applyFill="1"/>
    <xf numFmtId="5" fontId="5" fillId="2" borderId="0" xfId="0" applyNumberFormat="1" applyFont="1" applyFill="1"/>
    <xf numFmtId="0" fontId="18" fillId="4" borderId="0" xfId="0" applyFont="1" applyFill="1"/>
    <xf numFmtId="169" fontId="14" fillId="4" borderId="1" xfId="0" applyNumberFormat="1" applyFont="1" applyFill="1" applyBorder="1" applyAlignment="1" applyProtection="1">
      <alignment horizontal="right"/>
      <protection locked="0"/>
    </xf>
    <xf numFmtId="0" fontId="126" fillId="24" borderId="0" xfId="0" applyFont="1" applyFill="1"/>
    <xf numFmtId="0" fontId="16" fillId="4" borderId="0" xfId="0" applyFont="1" applyFill="1" applyAlignment="1">
      <alignment wrapText="1"/>
    </xf>
    <xf numFmtId="0" fontId="19" fillId="4" borderId="2" xfId="0" applyFont="1" applyFill="1" applyBorder="1"/>
    <xf numFmtId="0" fontId="3" fillId="31" borderId="5" xfId="0" applyFont="1" applyFill="1" applyBorder="1" applyProtection="1">
      <protection locked="0"/>
    </xf>
    <xf numFmtId="0" fontId="18" fillId="40" borderId="0" xfId="0" applyFont="1" applyFill="1"/>
    <xf numFmtId="0" fontId="0" fillId="40" borderId="0" xfId="0" applyFill="1"/>
    <xf numFmtId="0" fontId="31" fillId="40" borderId="0" xfId="0" applyFont="1" applyFill="1"/>
    <xf numFmtId="0" fontId="103" fillId="40" borderId="0" xfId="0" applyFont="1" applyFill="1"/>
    <xf numFmtId="0" fontId="4" fillId="40" borderId="0" xfId="0" applyFont="1" applyFill="1"/>
    <xf numFmtId="0" fontId="141" fillId="40" borderId="0" xfId="0" applyFont="1" applyFill="1"/>
    <xf numFmtId="0" fontId="19" fillId="40" borderId="0" xfId="0" applyFont="1" applyFill="1"/>
    <xf numFmtId="0" fontId="125" fillId="40" borderId="0" xfId="0" applyFont="1" applyFill="1"/>
    <xf numFmtId="0" fontId="20" fillId="40" borderId="0" xfId="0" applyFont="1" applyFill="1"/>
    <xf numFmtId="0" fontId="32" fillId="40" borderId="0" xfId="0" applyFont="1" applyFill="1"/>
    <xf numFmtId="0" fontId="37" fillId="40" borderId="0" xfId="0" applyFont="1" applyFill="1"/>
    <xf numFmtId="0" fontId="12" fillId="40" borderId="0" xfId="0" applyFont="1" applyFill="1" applyAlignment="1">
      <alignment vertical="top"/>
    </xf>
    <xf numFmtId="0" fontId="5" fillId="40" borderId="0" xfId="0" applyFont="1" applyFill="1"/>
    <xf numFmtId="0" fontId="3" fillId="40" borderId="0" xfId="0" applyFont="1" applyFill="1"/>
    <xf numFmtId="0" fontId="0" fillId="40" borderId="0" xfId="0" applyFill="1" applyAlignment="1">
      <alignment horizontal="right"/>
    </xf>
    <xf numFmtId="0" fontId="3" fillId="40" borderId="0" xfId="0" applyFont="1" applyFill="1" applyAlignment="1">
      <alignment wrapText="1"/>
    </xf>
    <xf numFmtId="0" fontId="7" fillId="40" borderId="0" xfId="0" applyFont="1" applyFill="1" applyAlignment="1">
      <alignment horizontal="left" vertical="center"/>
    </xf>
    <xf numFmtId="0" fontId="108" fillId="40" borderId="0" xfId="0" applyFont="1" applyFill="1" applyAlignment="1">
      <alignment horizontal="right" vertical="top"/>
    </xf>
    <xf numFmtId="0" fontId="3" fillId="40" borderId="0" xfId="0" quotePrefix="1" applyFont="1" applyFill="1" applyAlignment="1">
      <alignment horizontal="right"/>
    </xf>
    <xf numFmtId="0" fontId="7" fillId="40" borderId="0" xfId="0" applyFont="1" applyFill="1"/>
    <xf numFmtId="9" fontId="0" fillId="40" borderId="0" xfId="0" applyNumberFormat="1" applyFill="1"/>
    <xf numFmtId="0" fontId="11" fillId="40" borderId="0" xfId="1" applyFont="1" applyFill="1" applyBorder="1" applyAlignment="1">
      <alignment wrapText="1"/>
    </xf>
    <xf numFmtId="0" fontId="22" fillId="40" borderId="0" xfId="0" applyFont="1" applyFill="1" applyAlignment="1">
      <alignment horizontal="right"/>
    </xf>
    <xf numFmtId="0" fontId="0" fillId="40" borderId="0" xfId="0" applyFill="1" applyAlignment="1">
      <alignment horizontal="right" vertical="center"/>
    </xf>
    <xf numFmtId="0" fontId="8" fillId="40" borderId="0" xfId="0" applyFont="1" applyFill="1"/>
    <xf numFmtId="0" fontId="7" fillId="40" borderId="0" xfId="0" applyFont="1" applyFill="1" applyAlignment="1">
      <alignment horizontal="right" vertical="center"/>
    </xf>
    <xf numFmtId="0" fontId="3" fillId="40" borderId="0" xfId="0" applyFont="1" applyFill="1" applyAlignment="1">
      <alignment horizontal="right" wrapText="1"/>
    </xf>
    <xf numFmtId="0" fontId="3" fillId="40" borderId="0" xfId="0" applyFont="1" applyFill="1" applyAlignment="1">
      <alignment vertical="top" wrapText="1"/>
    </xf>
    <xf numFmtId="0" fontId="88" fillId="40" borderId="0" xfId="0" applyFont="1" applyFill="1"/>
    <xf numFmtId="0" fontId="0" fillId="40" borderId="0" xfId="0" quotePrefix="1" applyFill="1"/>
    <xf numFmtId="0" fontId="3" fillId="40" borderId="0" xfId="0" applyFont="1" applyFill="1" applyAlignment="1">
      <alignment vertical="center" wrapText="1"/>
    </xf>
    <xf numFmtId="0" fontId="3" fillId="40" borderId="0" xfId="0" applyFont="1" applyFill="1" applyAlignment="1">
      <alignment horizontal="right" vertical="center" wrapText="1"/>
    </xf>
    <xf numFmtId="0" fontId="7" fillId="40" borderId="0" xfId="0" applyFont="1" applyFill="1" applyAlignment="1">
      <alignment vertical="center"/>
    </xf>
    <xf numFmtId="0" fontId="0" fillId="40" borderId="0" xfId="0" applyFill="1" applyProtection="1">
      <protection locked="0"/>
    </xf>
    <xf numFmtId="164" fontId="3" fillId="40" borderId="0" xfId="0" applyNumberFormat="1" applyFont="1" applyFill="1" applyAlignment="1">
      <alignment horizontal="left"/>
    </xf>
    <xf numFmtId="164" fontId="16" fillId="40" borderId="0" xfId="0" applyNumberFormat="1" applyFont="1" applyFill="1" applyAlignment="1">
      <alignment horizontal="left"/>
    </xf>
    <xf numFmtId="0" fontId="0" fillId="40" borderId="0" xfId="0" applyFill="1" applyAlignment="1">
      <alignment horizontal="right" wrapText="1"/>
    </xf>
    <xf numFmtId="0" fontId="7" fillId="40" borderId="0" xfId="0" applyFont="1" applyFill="1" applyAlignment="1">
      <alignment horizontal="right" indent="1"/>
    </xf>
    <xf numFmtId="0" fontId="7" fillId="40" borderId="0" xfId="0" applyFont="1" applyFill="1" applyAlignment="1">
      <alignment horizontal="right"/>
    </xf>
    <xf numFmtId="0" fontId="147" fillId="40" borderId="0" xfId="0" applyFont="1" applyFill="1" applyAlignment="1">
      <alignment horizontal="left" vertical="top"/>
    </xf>
    <xf numFmtId="0" fontId="16" fillId="40" borderId="0" xfId="0" applyFont="1" applyFill="1" applyAlignment="1">
      <alignment horizontal="left" vertical="top"/>
    </xf>
    <xf numFmtId="0" fontId="0" fillId="40" borderId="0" xfId="0" applyFill="1" applyAlignment="1">
      <alignment wrapText="1"/>
    </xf>
    <xf numFmtId="0" fontId="0" fillId="40" borderId="0" xfId="0" applyFill="1" applyAlignment="1">
      <alignment horizontal="right" vertical="center" wrapText="1"/>
    </xf>
    <xf numFmtId="165" fontId="3" fillId="40" borderId="0" xfId="0" applyNumberFormat="1" applyFont="1" applyFill="1"/>
    <xf numFmtId="167" fontId="0" fillId="40" borderId="0" xfId="0" applyNumberFormat="1" applyFill="1"/>
    <xf numFmtId="0" fontId="0" fillId="40" borderId="0" xfId="0" applyFill="1" applyAlignment="1">
      <alignment horizontal="center" wrapText="1"/>
    </xf>
    <xf numFmtId="0" fontId="7" fillId="40" borderId="0" xfId="0" applyFont="1" applyFill="1" applyAlignment="1">
      <alignment horizontal="left" vertical="top"/>
    </xf>
    <xf numFmtId="0" fontId="0" fillId="40" borderId="0" xfId="0" applyFill="1" applyAlignment="1">
      <alignment horizontal="right" vertical="top"/>
    </xf>
    <xf numFmtId="0" fontId="22" fillId="40" borderId="0" xfId="0" applyFont="1" applyFill="1" applyAlignment="1">
      <alignment horizontal="right" vertical="top"/>
    </xf>
    <xf numFmtId="0" fontId="3" fillId="40" borderId="0" xfId="0" applyFont="1" applyFill="1" applyAlignment="1">
      <alignment horizontal="center" vertical="center" wrapText="1"/>
    </xf>
    <xf numFmtId="0" fontId="22" fillId="40" borderId="0" xfId="0" applyFont="1" applyFill="1" applyAlignment="1">
      <alignment horizontal="left" vertical="top"/>
    </xf>
    <xf numFmtId="0" fontId="3" fillId="40" borderId="0" xfId="0" applyFont="1" applyFill="1" applyAlignment="1">
      <alignment horizontal="right" vertical="top"/>
    </xf>
    <xf numFmtId="0" fontId="198" fillId="40" borderId="0" xfId="0" applyFont="1" applyFill="1" applyAlignment="1">
      <alignment horizontal="left" vertical="top"/>
    </xf>
    <xf numFmtId="0" fontId="159" fillId="40" borderId="0" xfId="0" applyFont="1" applyFill="1" applyAlignment="1">
      <alignment wrapText="1"/>
    </xf>
    <xf numFmtId="0" fontId="28" fillId="55" borderId="0" xfId="0" applyFont="1" applyFill="1"/>
    <xf numFmtId="0" fontId="159" fillId="40" borderId="0" xfId="0" applyFont="1" applyFill="1"/>
    <xf numFmtId="0" fontId="38" fillId="40" borderId="0" xfId="0" applyFont="1" applyFill="1" applyAlignment="1">
      <alignment horizontal="right" vertical="center"/>
    </xf>
    <xf numFmtId="0" fontId="126" fillId="40" borderId="0" xfId="0" applyFont="1" applyFill="1"/>
    <xf numFmtId="0" fontId="3" fillId="40" borderId="0" xfId="0" applyFont="1" applyFill="1" applyAlignment="1">
      <alignment horizontal="left" vertical="top"/>
    </xf>
    <xf numFmtId="0" fontId="132" fillId="40" borderId="0" xfId="0" applyFont="1" applyFill="1" applyAlignment="1">
      <alignment horizontal="right" vertical="top"/>
    </xf>
    <xf numFmtId="0" fontId="60" fillId="40" borderId="0" xfId="0" applyFont="1" applyFill="1"/>
    <xf numFmtId="0" fontId="28" fillId="40" borderId="0" xfId="0" applyFont="1" applyFill="1" applyAlignment="1">
      <alignment horizontal="left"/>
    </xf>
    <xf numFmtId="0" fontId="70" fillId="40" borderId="0" xfId="0" applyFont="1" applyFill="1"/>
    <xf numFmtId="0" fontId="196" fillId="40" borderId="0" xfId="0" applyFont="1" applyFill="1"/>
    <xf numFmtId="0" fontId="28" fillId="40" borderId="0" xfId="0" quotePrefix="1" applyFont="1" applyFill="1" applyAlignment="1">
      <alignment horizontal="left"/>
    </xf>
    <xf numFmtId="0" fontId="68" fillId="40" borderId="0" xfId="0" applyFont="1" applyFill="1"/>
    <xf numFmtId="0" fontId="68" fillId="40" borderId="0" xfId="0" applyFont="1" applyFill="1" applyAlignment="1">
      <alignment vertical="center"/>
    </xf>
    <xf numFmtId="0" fontId="68" fillId="40" borderId="1" xfId="0" applyFont="1" applyFill="1" applyBorder="1" applyProtection="1">
      <protection locked="0"/>
    </xf>
    <xf numFmtId="0" fontId="68" fillId="40" borderId="0" xfId="0" applyFont="1" applyFill="1" applyAlignment="1">
      <alignment horizontal="left" vertical="center"/>
    </xf>
    <xf numFmtId="0" fontId="67" fillId="40" borderId="0" xfId="0" applyFont="1" applyFill="1" applyAlignment="1">
      <alignment horizontal="center" vertical="center"/>
    </xf>
    <xf numFmtId="0" fontId="154" fillId="40" borderId="0" xfId="0" applyFont="1" applyFill="1"/>
    <xf numFmtId="6" fontId="70" fillId="40" borderId="0" xfId="0" applyNumberFormat="1" applyFont="1" applyFill="1" applyAlignment="1">
      <alignment horizontal="right"/>
    </xf>
    <xf numFmtId="6" fontId="70" fillId="40" borderId="0" xfId="0" applyNumberFormat="1" applyFont="1" applyFill="1"/>
    <xf numFmtId="38" fontId="28" fillId="40" borderId="0" xfId="0" applyNumberFormat="1" applyFont="1" applyFill="1" applyAlignment="1">
      <alignment horizontal="center"/>
    </xf>
    <xf numFmtId="38" fontId="89" fillId="40" borderId="0" xfId="0" applyNumberFormat="1" applyFont="1" applyFill="1"/>
    <xf numFmtId="38" fontId="89" fillId="40" borderId="0" xfId="0" applyNumberFormat="1" applyFont="1" applyFill="1" applyAlignment="1">
      <alignment horizontal="center"/>
    </xf>
    <xf numFmtId="9" fontId="28" fillId="40" borderId="0" xfId="2" applyFont="1" applyFill="1" applyBorder="1" applyAlignment="1" applyProtection="1">
      <alignment horizontal="center"/>
    </xf>
    <xf numFmtId="6" fontId="28" fillId="40" borderId="0" xfId="0" applyNumberFormat="1" applyFont="1" applyFill="1"/>
    <xf numFmtId="0" fontId="62" fillId="40" borderId="0" xfId="0" applyFont="1" applyFill="1" applyAlignment="1">
      <alignment vertical="top" wrapText="1"/>
    </xf>
    <xf numFmtId="0" fontId="58" fillId="40" borderId="0" xfId="0" applyFont="1" applyFill="1" applyAlignment="1">
      <alignment horizontal="right" vertical="center"/>
    </xf>
    <xf numFmtId="0" fontId="28" fillId="40" borderId="18" xfId="0" applyFont="1" applyFill="1" applyBorder="1"/>
    <xf numFmtId="0" fontId="28" fillId="40" borderId="2" xfId="0" applyFont="1" applyFill="1" applyBorder="1"/>
    <xf numFmtId="0" fontId="59" fillId="40" borderId="0" xfId="0" applyFont="1" applyFill="1" applyAlignment="1">
      <alignment horizontal="left"/>
    </xf>
    <xf numFmtId="172" fontId="28" fillId="40" borderId="0" xfId="0" applyNumberFormat="1" applyFont="1" applyFill="1"/>
    <xf numFmtId="0" fontId="34" fillId="40" borderId="0" xfId="0" applyFont="1" applyFill="1"/>
    <xf numFmtId="0" fontId="61" fillId="40" borderId="0" xfId="0" applyFont="1" applyFill="1"/>
    <xf numFmtId="0" fontId="65" fillId="40" borderId="0" xfId="0" applyFont="1" applyFill="1"/>
    <xf numFmtId="38" fontId="84" fillId="40" borderId="0" xfId="0" applyNumberFormat="1" applyFont="1" applyFill="1"/>
    <xf numFmtId="0" fontId="28" fillId="40" borderId="0" xfId="0" applyFont="1" applyFill="1" applyAlignment="1">
      <alignment horizontal="center" vertical="center" wrapText="1"/>
    </xf>
    <xf numFmtId="10" fontId="28" fillId="40" borderId="0" xfId="0" applyNumberFormat="1" applyFont="1" applyFill="1"/>
    <xf numFmtId="0" fontId="160" fillId="40" borderId="0" xfId="0" applyFont="1" applyFill="1"/>
    <xf numFmtId="0" fontId="70" fillId="40" borderId="0" xfId="0" applyFont="1" applyFill="1" applyAlignment="1">
      <alignment horizontal="center" vertical="center" wrapText="1"/>
    </xf>
    <xf numFmtId="0" fontId="59" fillId="40" borderId="0" xfId="0" applyFont="1" applyFill="1" applyAlignment="1">
      <alignment horizontal="center" vertical="center" wrapText="1"/>
    </xf>
    <xf numFmtId="0" fontId="59" fillId="40" borderId="0" xfId="0" applyFont="1" applyFill="1" applyAlignment="1">
      <alignment vertical="center" wrapText="1"/>
    </xf>
    <xf numFmtId="10" fontId="28" fillId="40" borderId="0" xfId="2" applyNumberFormat="1" applyFont="1" applyFill="1"/>
    <xf numFmtId="0" fontId="59" fillId="55" borderId="0" xfId="0" applyFont="1" applyFill="1"/>
    <xf numFmtId="0" fontId="58" fillId="40" borderId="0" xfId="0" applyFont="1" applyFill="1" applyAlignment="1">
      <alignment wrapText="1"/>
    </xf>
    <xf numFmtId="0" fontId="70" fillId="40" borderId="18" xfId="0" applyFont="1" applyFill="1" applyBorder="1"/>
    <xf numFmtId="0" fontId="86" fillId="55" borderId="0" xfId="0" applyFont="1" applyFill="1"/>
    <xf numFmtId="0" fontId="66" fillId="55" borderId="20" xfId="0" applyFont="1" applyFill="1" applyBorder="1"/>
    <xf numFmtId="4" fontId="28" fillId="55" borderId="20" xfId="0" applyNumberFormat="1" applyFont="1" applyFill="1" applyBorder="1"/>
    <xf numFmtId="0" fontId="66" fillId="55" borderId="0" xfId="0" applyFont="1" applyFill="1"/>
    <xf numFmtId="4" fontId="28" fillId="55" borderId="0" xfId="0" applyNumberFormat="1" applyFont="1" applyFill="1"/>
    <xf numFmtId="1" fontId="28" fillId="55" borderId="0" xfId="0" applyNumberFormat="1" applyFont="1" applyFill="1"/>
    <xf numFmtId="5" fontId="28" fillId="55" borderId="0" xfId="0" applyNumberFormat="1" applyFont="1" applyFill="1"/>
    <xf numFmtId="7" fontId="28" fillId="55" borderId="0" xfId="0" applyNumberFormat="1" applyFont="1" applyFill="1"/>
    <xf numFmtId="0" fontId="29" fillId="55" borderId="0" xfId="0" applyFont="1" applyFill="1"/>
    <xf numFmtId="0" fontId="0" fillId="55" borderId="0" xfId="0" applyFill="1"/>
    <xf numFmtId="166" fontId="28" fillId="55" borderId="6" xfId="0" applyNumberFormat="1" applyFont="1" applyFill="1" applyBorder="1"/>
    <xf numFmtId="1" fontId="28" fillId="55" borderId="2" xfId="0" applyNumberFormat="1" applyFont="1" applyFill="1" applyBorder="1"/>
    <xf numFmtId="166" fontId="28" fillId="55" borderId="8" xfId="0" applyNumberFormat="1" applyFont="1" applyFill="1" applyBorder="1"/>
    <xf numFmtId="4" fontId="28" fillId="55" borderId="8" xfId="0" applyNumberFormat="1" applyFont="1" applyFill="1" applyBorder="1"/>
    <xf numFmtId="0" fontId="114" fillId="55" borderId="0" xfId="0" applyFont="1" applyFill="1" applyAlignment="1">
      <alignment horizontal="left"/>
    </xf>
    <xf numFmtId="0" fontId="3" fillId="55" borderId="0" xfId="0" applyFont="1" applyFill="1" applyAlignment="1">
      <alignment horizontal="center" vertical="center"/>
    </xf>
    <xf numFmtId="0" fontId="114" fillId="55" borderId="0" xfId="0" applyFont="1" applyFill="1" applyAlignment="1">
      <alignment vertical="center" wrapText="1"/>
    </xf>
    <xf numFmtId="0" fontId="20" fillId="55" borderId="0" xfId="0" applyFont="1" applyFill="1"/>
    <xf numFmtId="0" fontId="39" fillId="55" borderId="0" xfId="0" applyFont="1" applyFill="1" applyAlignment="1">
      <alignment horizontal="center" vertical="center"/>
    </xf>
    <xf numFmtId="0" fontId="36" fillId="55" borderId="0" xfId="0" applyFont="1" applyFill="1" applyAlignment="1">
      <alignment horizontal="right" vertical="center"/>
    </xf>
    <xf numFmtId="0" fontId="36" fillId="55" borderId="0" xfId="8" applyFont="1" applyFill="1" applyAlignment="1">
      <alignment horizontal="left" vertical="center"/>
    </xf>
    <xf numFmtId="0" fontId="43" fillId="55" borderId="0" xfId="8" applyFont="1" applyFill="1" applyAlignment="1">
      <alignment horizontal="left" vertical="center"/>
    </xf>
    <xf numFmtId="1" fontId="32" fillId="55" borderId="0" xfId="0" applyNumberFormat="1" applyFont="1" applyFill="1" applyAlignment="1">
      <alignment horizontal="center" vertical="center"/>
    </xf>
    <xf numFmtId="0" fontId="88" fillId="55" borderId="0" xfId="0" applyFont="1" applyFill="1"/>
    <xf numFmtId="0" fontId="88" fillId="55" borderId="8" xfId="0" applyFont="1" applyFill="1" applyBorder="1"/>
    <xf numFmtId="0" fontId="122" fillId="55" borderId="8" xfId="0" applyFont="1" applyFill="1" applyBorder="1"/>
    <xf numFmtId="0" fontId="20" fillId="55" borderId="8" xfId="0" applyFont="1" applyFill="1" applyBorder="1"/>
    <xf numFmtId="0" fontId="155" fillId="55" borderId="8" xfId="0" applyFont="1" applyFill="1" applyBorder="1"/>
    <xf numFmtId="0" fontId="4" fillId="55" borderId="0" xfId="0" applyFont="1" applyFill="1"/>
    <xf numFmtId="0" fontId="18" fillId="55" borderId="0" xfId="0" applyFont="1" applyFill="1"/>
    <xf numFmtId="0" fontId="5" fillId="55" borderId="0" xfId="0" applyFont="1" applyFill="1"/>
    <xf numFmtId="0" fontId="155" fillId="55" borderId="0" xfId="0" applyFont="1" applyFill="1"/>
    <xf numFmtId="0" fontId="155" fillId="55" borderId="0" xfId="0" applyFont="1" applyFill="1" applyAlignment="1">
      <alignment horizontal="left" vertical="top" wrapText="1"/>
    </xf>
    <xf numFmtId="0" fontId="5" fillId="55" borderId="18" xfId="0" applyFont="1" applyFill="1" applyBorder="1"/>
    <xf numFmtId="0" fontId="5" fillId="55" borderId="18" xfId="0" applyFont="1" applyFill="1" applyBorder="1" applyAlignment="1">
      <alignment horizontal="left" vertical="top" wrapText="1"/>
    </xf>
    <xf numFmtId="0" fontId="32" fillId="55" borderId="0" xfId="0" applyFont="1" applyFill="1"/>
    <xf numFmtId="0" fontId="0" fillId="40" borderId="0" xfId="0" applyFill="1" applyAlignment="1">
      <alignment horizontal="left" indent="1"/>
    </xf>
    <xf numFmtId="0" fontId="0" fillId="40" borderId="18" xfId="0" applyFill="1" applyBorder="1"/>
    <xf numFmtId="0" fontId="0" fillId="40" borderId="1" xfId="0" applyFill="1" applyBorder="1" applyAlignment="1">
      <alignment horizontal="right" vertical="center"/>
    </xf>
    <xf numFmtId="170" fontId="0" fillId="31" borderId="1" xfId="4" applyNumberFormat="1" applyFont="1" applyFill="1" applyBorder="1" applyProtection="1">
      <protection locked="0"/>
    </xf>
    <xf numFmtId="0" fontId="0" fillId="40" borderId="8" xfId="0" applyFill="1" applyBorder="1"/>
    <xf numFmtId="0" fontId="0" fillId="40" borderId="30" xfId="0" applyFill="1" applyBorder="1"/>
    <xf numFmtId="0" fontId="0" fillId="40" borderId="1" xfId="0" applyFill="1" applyBorder="1" applyAlignment="1">
      <alignment horizontal="right"/>
    </xf>
    <xf numFmtId="0" fontId="89" fillId="55" borderId="0" xfId="0" applyFont="1" applyFill="1"/>
    <xf numFmtId="172" fontId="89" fillId="55" borderId="0" xfId="0" applyNumberFormat="1" applyFont="1" applyFill="1"/>
    <xf numFmtId="3" fontId="89" fillId="55" borderId="0" xfId="0" applyNumberFormat="1" applyFont="1" applyFill="1"/>
    <xf numFmtId="0" fontId="68" fillId="55" borderId="11" xfId="0" applyFont="1" applyFill="1" applyBorder="1"/>
    <xf numFmtId="0" fontId="68" fillId="55" borderId="11" xfId="0" applyFont="1" applyFill="1" applyBorder="1" applyAlignment="1">
      <alignment horizontal="right"/>
    </xf>
    <xf numFmtId="0" fontId="68" fillId="55" borderId="11" xfId="0" applyFont="1" applyFill="1" applyBorder="1" applyAlignment="1">
      <alignment horizontal="right" indent="1"/>
    </xf>
    <xf numFmtId="0" fontId="68" fillId="55" borderId="11" xfId="0" applyFont="1" applyFill="1" applyBorder="1" applyAlignment="1">
      <alignment horizontal="right" vertical="top"/>
    </xf>
    <xf numFmtId="0" fontId="69" fillId="55" borderId="1" xfId="0" applyFont="1" applyFill="1" applyBorder="1"/>
    <xf numFmtId="0" fontId="68" fillId="55" borderId="25" xfId="0" applyFont="1" applyFill="1" applyBorder="1" applyAlignment="1">
      <alignment horizontal="right" vertical="top"/>
    </xf>
    <xf numFmtId="0" fontId="28" fillId="55" borderId="11" xfId="0" applyFont="1" applyFill="1" applyBorder="1"/>
    <xf numFmtId="0" fontId="59" fillId="55" borderId="11" xfId="0" applyFont="1" applyFill="1" applyBorder="1"/>
    <xf numFmtId="0" fontId="36" fillId="55" borderId="0" xfId="0" applyFont="1" applyFill="1" applyAlignment="1">
      <alignment vertical="top"/>
    </xf>
    <xf numFmtId="0" fontId="2" fillId="40" borderId="0" xfId="0" applyFont="1" applyFill="1"/>
    <xf numFmtId="0" fontId="2" fillId="55" borderId="11" xfId="0" applyFont="1" applyFill="1" applyBorder="1" applyAlignment="1">
      <alignment wrapText="1"/>
    </xf>
    <xf numFmtId="0" fontId="2" fillId="55" borderId="11" xfId="0" applyFont="1" applyFill="1" applyBorder="1"/>
    <xf numFmtId="0" fontId="126" fillId="55" borderId="11" xfId="0" applyFont="1" applyFill="1" applyBorder="1"/>
    <xf numFmtId="0" fontId="126" fillId="55" borderId="23" xfId="0" applyFont="1" applyFill="1" applyBorder="1" applyAlignment="1">
      <alignment vertical="top" wrapText="1"/>
    </xf>
    <xf numFmtId="0" fontId="126" fillId="55" borderId="23" xfId="0" applyFont="1" applyFill="1" applyBorder="1" applyAlignment="1">
      <alignment wrapText="1"/>
    </xf>
    <xf numFmtId="0" fontId="126" fillId="55" borderId="23" xfId="0" applyFont="1" applyFill="1" applyBorder="1"/>
    <xf numFmtId="0" fontId="2" fillId="55" borderId="23" xfId="0" applyFont="1" applyFill="1" applyBorder="1"/>
    <xf numFmtId="0" fontId="32" fillId="55" borderId="11" xfId="5" applyFont="1" applyFill="1" applyBorder="1"/>
    <xf numFmtId="0" fontId="48" fillId="55" borderId="0" xfId="0" applyFont="1" applyFill="1"/>
    <xf numFmtId="0" fontId="2" fillId="55" borderId="0" xfId="0" applyFont="1" applyFill="1"/>
    <xf numFmtId="0" fontId="2" fillId="55" borderId="1" xfId="0" applyFont="1" applyFill="1" applyBorder="1"/>
    <xf numFmtId="0" fontId="17" fillId="55" borderId="4" xfId="1" applyFont="1" applyFill="1" applyBorder="1" applyProtection="1"/>
    <xf numFmtId="0" fontId="17" fillId="55" borderId="0" xfId="1" applyFont="1" applyFill="1" applyBorder="1" applyProtection="1"/>
    <xf numFmtId="0" fontId="126" fillId="55" borderId="0" xfId="0" applyFont="1" applyFill="1"/>
    <xf numFmtId="0" fontId="63" fillId="55" borderId="0" xfId="0" applyFont="1" applyFill="1" applyAlignment="1">
      <alignment horizontal="center" vertical="center"/>
    </xf>
    <xf numFmtId="0" fontId="135" fillId="55" borderId="0" xfId="0" applyFont="1" applyFill="1"/>
    <xf numFmtId="0" fontId="134" fillId="55" borderId="0" xfId="0" applyFont="1" applyFill="1"/>
    <xf numFmtId="0" fontId="76" fillId="55" borderId="0" xfId="0" applyFont="1" applyFill="1"/>
    <xf numFmtId="0" fontId="67" fillId="55" borderId="0" xfId="0" applyFont="1" applyFill="1"/>
    <xf numFmtId="0" fontId="4" fillId="55" borderId="0" xfId="0" applyFont="1" applyFill="1" applyAlignment="1">
      <alignment horizontal="right"/>
    </xf>
    <xf numFmtId="0" fontId="160" fillId="55" borderId="0" xfId="0" applyFont="1" applyFill="1"/>
    <xf numFmtId="0" fontId="32" fillId="55" borderId="0" xfId="0" applyFont="1" applyFill="1" applyAlignment="1">
      <alignment horizontal="center" wrapText="1"/>
    </xf>
    <xf numFmtId="0" fontId="0" fillId="55" borderId="0" xfId="0" applyFill="1" applyAlignment="1">
      <alignment horizontal="center" vertical="center"/>
    </xf>
    <xf numFmtId="0" fontId="0" fillId="55" borderId="0" xfId="0" applyFill="1" applyAlignment="1">
      <alignment vertical="center"/>
    </xf>
    <xf numFmtId="0" fontId="32" fillId="55" borderId="0" xfId="0" applyFont="1" applyFill="1" applyAlignment="1">
      <alignment vertical="center"/>
    </xf>
    <xf numFmtId="0" fontId="0" fillId="24" borderId="8" xfId="0" applyFill="1" applyBorder="1" applyAlignment="1">
      <alignment horizontal="right" vertical="top"/>
    </xf>
    <xf numFmtId="0" fontId="0" fillId="24" borderId="9" xfId="0" applyFill="1" applyBorder="1" applyAlignment="1">
      <alignment horizontal="right" vertical="top"/>
    </xf>
    <xf numFmtId="0" fontId="63" fillId="40" borderId="0" xfId="0" applyFont="1" applyFill="1" applyAlignment="1">
      <alignment horizontal="left" vertical="center"/>
    </xf>
    <xf numFmtId="172" fontId="59" fillId="40" borderId="0" xfId="3" applyNumberFormat="1" applyFont="1" applyFill="1" applyBorder="1" applyProtection="1"/>
    <xf numFmtId="172" fontId="28" fillId="40" borderId="0" xfId="3" applyNumberFormat="1" applyFont="1" applyFill="1" applyBorder="1" applyProtection="1"/>
    <xf numFmtId="38" fontId="28" fillId="40" borderId="0" xfId="3" applyNumberFormat="1" applyFont="1" applyFill="1" applyBorder="1" applyProtection="1"/>
    <xf numFmtId="0" fontId="78" fillId="40" borderId="0" xfId="0" applyFont="1" applyFill="1" applyAlignment="1">
      <alignment horizontal="left" vertical="center"/>
    </xf>
    <xf numFmtId="38" fontId="28" fillId="40" borderId="0" xfId="3" quotePrefix="1" applyNumberFormat="1" applyFont="1" applyFill="1" applyBorder="1" applyProtection="1"/>
    <xf numFmtId="0" fontId="28" fillId="40" borderId="1" xfId="0" applyFont="1" applyFill="1" applyBorder="1"/>
    <xf numFmtId="0" fontId="28" fillId="40" borderId="1" xfId="0" applyFont="1" applyFill="1" applyBorder="1" applyAlignment="1">
      <alignment horizontal="right"/>
    </xf>
    <xf numFmtId="10" fontId="28" fillId="40" borderId="1" xfId="2" applyNumberFormat="1" applyFont="1" applyFill="1" applyBorder="1" applyProtection="1"/>
    <xf numFmtId="38" fontId="28" fillId="40" borderId="1" xfId="3" applyNumberFormat="1" applyFont="1" applyFill="1" applyBorder="1" applyProtection="1"/>
    <xf numFmtId="172" fontId="28" fillId="40" borderId="1" xfId="3" applyNumberFormat="1" applyFont="1" applyFill="1" applyBorder="1" applyProtection="1"/>
    <xf numFmtId="172" fontId="28" fillId="40" borderId="1" xfId="0" applyNumberFormat="1" applyFont="1" applyFill="1" applyBorder="1"/>
    <xf numFmtId="38" fontId="71" fillId="55" borderId="0" xfId="3" applyNumberFormat="1" applyFont="1" applyFill="1" applyBorder="1" applyProtection="1"/>
    <xf numFmtId="172" fontId="59" fillId="55" borderId="0" xfId="0" applyNumberFormat="1" applyFont="1" applyFill="1"/>
    <xf numFmtId="38" fontId="59" fillId="55" borderId="0" xfId="3" applyNumberFormat="1" applyFont="1" applyFill="1" applyBorder="1" applyAlignment="1" applyProtection="1">
      <alignment horizontal="center" vertical="center" wrapText="1"/>
    </xf>
    <xf numFmtId="0" fontId="27" fillId="40" borderId="0" xfId="0" applyFont="1" applyFill="1"/>
    <xf numFmtId="0" fontId="29" fillId="2" borderId="21" xfId="0" applyFont="1" applyFill="1" applyBorder="1"/>
    <xf numFmtId="0" fontId="88" fillId="2" borderId="22" xfId="0" applyFont="1" applyFill="1" applyBorder="1" applyAlignment="1">
      <alignment horizontal="center"/>
    </xf>
    <xf numFmtId="0" fontId="28" fillId="2" borderId="21" xfId="0" applyFont="1" applyFill="1" applyBorder="1"/>
    <xf numFmtId="0" fontId="0" fillId="2" borderId="21" xfId="0" applyFill="1" applyBorder="1"/>
    <xf numFmtId="0" fontId="112" fillId="2" borderId="22" xfId="0" applyFont="1" applyFill="1" applyBorder="1" applyAlignment="1">
      <alignment horizontal="center"/>
    </xf>
    <xf numFmtId="0" fontId="30" fillId="2" borderId="21" xfId="0" applyFont="1" applyFill="1" applyBorder="1"/>
    <xf numFmtId="0" fontId="111" fillId="2" borderId="22" xfId="0" applyFont="1" applyFill="1" applyBorder="1" applyAlignment="1">
      <alignment horizontal="center"/>
    </xf>
    <xf numFmtId="0" fontId="4" fillId="2" borderId="22" xfId="0" applyFont="1" applyFill="1" applyBorder="1" applyAlignment="1">
      <alignment horizontal="center"/>
    </xf>
    <xf numFmtId="0" fontId="0" fillId="2" borderId="22" xfId="0" applyFill="1" applyBorder="1" applyAlignment="1">
      <alignment horizontal="center"/>
    </xf>
    <xf numFmtId="0" fontId="0" fillId="2" borderId="1" xfId="0" applyFill="1" applyBorder="1" applyAlignment="1">
      <alignment horizontal="center"/>
    </xf>
    <xf numFmtId="0" fontId="36" fillId="40" borderId="0" xfId="0" applyFont="1" applyFill="1"/>
    <xf numFmtId="0" fontId="4" fillId="40" borderId="0" xfId="0" applyFont="1" applyFill="1" applyAlignment="1">
      <alignment horizontal="right"/>
    </xf>
    <xf numFmtId="0" fontId="6" fillId="5" borderId="1" xfId="0" applyFont="1" applyFill="1" applyBorder="1" applyAlignment="1">
      <alignment horizontal="center"/>
    </xf>
    <xf numFmtId="0" fontId="169" fillId="40" borderId="0" xfId="0" applyFont="1" applyFill="1"/>
    <xf numFmtId="0" fontId="131" fillId="40" borderId="0" xfId="0" applyFont="1" applyFill="1"/>
    <xf numFmtId="0" fontId="15" fillId="40" borderId="0" xfId="0" applyFont="1" applyFill="1"/>
    <xf numFmtId="0" fontId="28" fillId="40" borderId="0" xfId="0" applyFont="1" applyFill="1" applyAlignment="1">
      <alignment vertical="top" wrapText="1"/>
    </xf>
    <xf numFmtId="0" fontId="29" fillId="40" borderId="0" xfId="0" applyFont="1" applyFill="1" applyAlignment="1">
      <alignment wrapText="1"/>
    </xf>
    <xf numFmtId="0" fontId="29" fillId="40" borderId="0" xfId="0" applyFont="1" applyFill="1" applyAlignment="1">
      <alignment horizontal="left"/>
    </xf>
    <xf numFmtId="0" fontId="0" fillId="40" borderId="4" xfId="0" applyFill="1" applyBorder="1"/>
    <xf numFmtId="0" fontId="0" fillId="2" borderId="4" xfId="0" applyFill="1" applyBorder="1"/>
    <xf numFmtId="0" fontId="6" fillId="5" borderId="6" xfId="0" applyFont="1" applyFill="1" applyBorder="1" applyAlignment="1">
      <alignment horizontal="center"/>
    </xf>
    <xf numFmtId="0" fontId="100" fillId="5" borderId="49" xfId="0" applyFont="1" applyFill="1" applyBorder="1"/>
    <xf numFmtId="0" fontId="0" fillId="40" borderId="28" xfId="0" applyFill="1" applyBorder="1"/>
    <xf numFmtId="0" fontId="0" fillId="40" borderId="3" xfId="0" applyFill="1" applyBorder="1"/>
    <xf numFmtId="0" fontId="0" fillId="40" borderId="9" xfId="0" applyFill="1" applyBorder="1"/>
    <xf numFmtId="0" fontId="36" fillId="40" borderId="0" xfId="0" applyFont="1" applyFill="1" applyAlignment="1">
      <alignment vertical="center"/>
    </xf>
    <xf numFmtId="0" fontId="150" fillId="40" borderId="0" xfId="0" applyFont="1" applyFill="1"/>
    <xf numFmtId="0" fontId="14" fillId="40" borderId="0" xfId="0" applyFont="1" applyFill="1"/>
    <xf numFmtId="0" fontId="15" fillId="40" borderId="0" xfId="0" applyFont="1" applyFill="1" applyAlignment="1">
      <alignment horizontal="right"/>
    </xf>
    <xf numFmtId="0" fontId="71" fillId="40" borderId="0" xfId="0" applyFont="1" applyFill="1" applyAlignment="1">
      <alignment vertical="top"/>
    </xf>
    <xf numFmtId="0" fontId="71" fillId="40" borderId="0" xfId="0" applyFont="1" applyFill="1" applyAlignment="1">
      <alignment vertical="top" wrapText="1"/>
    </xf>
    <xf numFmtId="0" fontId="28" fillId="40" borderId="0" xfId="0" applyFont="1" applyFill="1" applyAlignment="1">
      <alignment vertical="top"/>
    </xf>
    <xf numFmtId="0" fontId="153" fillId="40" borderId="0" xfId="0" applyFont="1" applyFill="1"/>
    <xf numFmtId="0" fontId="0" fillId="40" borderId="0" xfId="0" applyFill="1" applyAlignment="1" applyProtection="1">
      <alignment vertical="top" wrapText="1"/>
      <protection locked="0"/>
    </xf>
    <xf numFmtId="0" fontId="97" fillId="2" borderId="1" xfId="0" applyFont="1" applyFill="1" applyBorder="1" applyAlignment="1">
      <alignment horizontal="center" vertical="center"/>
    </xf>
    <xf numFmtId="0" fontId="97" fillId="2" borderId="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left"/>
    </xf>
    <xf numFmtId="0" fontId="28" fillId="2" borderId="9" xfId="0" applyFont="1" applyFill="1" applyBorder="1" applyAlignment="1">
      <alignment horizontal="right"/>
    </xf>
    <xf numFmtId="2" fontId="0" fillId="2" borderId="10" xfId="0" applyNumberFormat="1" applyFill="1" applyBorder="1" applyAlignment="1">
      <alignment horizontal="left"/>
    </xf>
    <xf numFmtId="0" fontId="28" fillId="2" borderId="21" xfId="0" applyFont="1" applyFill="1" applyBorder="1" applyAlignment="1">
      <alignment horizontal="right"/>
    </xf>
    <xf numFmtId="2" fontId="0" fillId="2" borderId="22" xfId="0" applyNumberFormat="1" applyFill="1" applyBorder="1" applyAlignment="1">
      <alignment horizontal="left"/>
    </xf>
    <xf numFmtId="0" fontId="28" fillId="40" borderId="0" xfId="0" applyFont="1" applyFill="1" applyAlignment="1">
      <alignment horizontal="left" vertical="top"/>
    </xf>
    <xf numFmtId="0" fontId="175" fillId="40" borderId="0" xfId="0" applyFont="1" applyFill="1"/>
    <xf numFmtId="0" fontId="137" fillId="40" borderId="0" xfId="0" applyFont="1" applyFill="1"/>
    <xf numFmtId="0" fontId="0" fillId="40" borderId="0" xfId="0" applyFill="1" applyAlignment="1" applyProtection="1">
      <alignment horizontal="center" vertical="center"/>
      <protection locked="0"/>
    </xf>
    <xf numFmtId="0" fontId="0" fillId="40" borderId="0" xfId="0" applyFill="1" applyAlignment="1">
      <alignment vertical="top" wrapText="1"/>
    </xf>
    <xf numFmtId="0" fontId="0" fillId="40" borderId="0" xfId="0" applyFill="1" applyAlignment="1">
      <alignment vertical="center" wrapText="1"/>
    </xf>
    <xf numFmtId="0" fontId="0" fillId="40" borderId="0" xfId="0" applyFill="1" applyAlignment="1">
      <alignment vertical="center"/>
    </xf>
    <xf numFmtId="0" fontId="0" fillId="40" borderId="0" xfId="0" applyFill="1" applyAlignment="1">
      <alignment horizontal="left" vertical="center"/>
    </xf>
    <xf numFmtId="0" fontId="0" fillId="40" borderId="0" xfId="0" applyFill="1" applyAlignment="1">
      <alignment vertical="top"/>
    </xf>
    <xf numFmtId="0" fontId="90" fillId="5" borderId="5" xfId="0" applyFont="1" applyFill="1" applyBorder="1" applyAlignment="1">
      <alignment horizontal="center"/>
    </xf>
    <xf numFmtId="0" fontId="4" fillId="40" borderId="0" xfId="0" applyFont="1" applyFill="1" applyAlignment="1">
      <alignment vertical="top" wrapText="1"/>
    </xf>
    <xf numFmtId="0" fontId="36" fillId="40" borderId="0" xfId="0" applyFont="1" applyFill="1" applyAlignment="1">
      <alignment horizontal="right" vertical="center"/>
    </xf>
    <xf numFmtId="0" fontId="130" fillId="40" borderId="0" xfId="0" applyFont="1" applyFill="1" applyAlignment="1">
      <alignment vertical="center"/>
    </xf>
    <xf numFmtId="0" fontId="4" fillId="40" borderId="0" xfId="0" applyFont="1" applyFill="1" applyAlignment="1">
      <alignment vertical="center"/>
    </xf>
    <xf numFmtId="0" fontId="4" fillId="40" borderId="0" xfId="0" applyFont="1" applyFill="1" applyAlignment="1">
      <alignment horizontal="right" vertical="center"/>
    </xf>
    <xf numFmtId="0" fontId="14" fillId="40" borderId="0" xfId="0" applyFont="1" applyFill="1" applyAlignment="1">
      <alignment horizontal="left"/>
    </xf>
    <xf numFmtId="43" fontId="0" fillId="40" borderId="0" xfId="3" applyFont="1" applyFill="1" applyBorder="1"/>
    <xf numFmtId="0" fontId="130" fillId="40" borderId="8" xfId="0" applyFont="1" applyFill="1" applyBorder="1" applyAlignment="1">
      <alignment vertical="center"/>
    </xf>
    <xf numFmtId="10" fontId="0" fillId="40" borderId="0" xfId="0" applyNumberFormat="1" applyFill="1"/>
    <xf numFmtId="10" fontId="4" fillId="40" borderId="61" xfId="0" applyNumberFormat="1" applyFont="1" applyFill="1" applyBorder="1" applyAlignment="1">
      <alignment vertical="center" wrapText="1"/>
    </xf>
    <xf numFmtId="10" fontId="4" fillId="40" borderId="0" xfId="0" applyNumberFormat="1" applyFont="1" applyFill="1" applyAlignment="1">
      <alignment vertical="center" wrapText="1"/>
    </xf>
    <xf numFmtId="10" fontId="4" fillId="40" borderId="0" xfId="0" applyNumberFormat="1" applyFont="1" applyFill="1" applyAlignment="1">
      <alignment horizontal="right"/>
    </xf>
    <xf numFmtId="0" fontId="148" fillId="40" borderId="22" xfId="0" applyFont="1" applyFill="1" applyBorder="1" applyAlignment="1">
      <alignment horizontal="center" vertical="center" wrapText="1"/>
    </xf>
    <xf numFmtId="0" fontId="148" fillId="40" borderId="1" xfId="0" applyFont="1" applyFill="1" applyBorder="1" applyAlignment="1">
      <alignment horizontal="center" vertical="center" wrapText="1"/>
    </xf>
    <xf numFmtId="0" fontId="34" fillId="40" borderId="30" xfId="0" applyFont="1" applyFill="1" applyBorder="1" applyAlignment="1">
      <alignment horizontal="center" vertical="center" wrapText="1"/>
    </xf>
    <xf numFmtId="0" fontId="34" fillId="40" borderId="21" xfId="0" applyFont="1" applyFill="1" applyBorder="1" applyAlignment="1">
      <alignment horizontal="center" vertical="center" wrapText="1"/>
    </xf>
    <xf numFmtId="43" fontId="0" fillId="40" borderId="1" xfId="3" applyFont="1" applyFill="1" applyBorder="1" applyAlignment="1">
      <alignment horizontal="left" vertical="top"/>
    </xf>
    <xf numFmtId="9" fontId="0" fillId="40" borderId="1" xfId="2" applyFont="1" applyFill="1" applyBorder="1" applyAlignment="1">
      <alignment horizontal="left" vertical="top"/>
    </xf>
    <xf numFmtId="0" fontId="148" fillId="40" borderId="1" xfId="0" applyFont="1" applyFill="1" applyBorder="1" applyAlignment="1">
      <alignment horizontal="center" vertical="center"/>
    </xf>
    <xf numFmtId="0" fontId="97" fillId="40" borderId="1" xfId="0" applyFont="1" applyFill="1" applyBorder="1" applyAlignment="1">
      <alignment horizontal="center" vertical="center" wrapText="1"/>
    </xf>
    <xf numFmtId="0" fontId="4" fillId="40" borderId="8" xfId="0" applyFont="1" applyFill="1" applyBorder="1"/>
    <xf numFmtId="0" fontId="0" fillId="40" borderId="2" xfId="0" applyFill="1" applyBorder="1"/>
    <xf numFmtId="0" fontId="67" fillId="40" borderId="0" xfId="0" applyFont="1" applyFill="1" applyAlignment="1">
      <alignment vertical="center"/>
    </xf>
    <xf numFmtId="0" fontId="67" fillId="40" borderId="8" xfId="0" applyFont="1" applyFill="1" applyBorder="1" applyAlignment="1">
      <alignment vertical="center"/>
    </xf>
    <xf numFmtId="0" fontId="67" fillId="40" borderId="0" xfId="0" applyFont="1" applyFill="1" applyAlignment="1">
      <alignment vertical="center" wrapText="1"/>
    </xf>
    <xf numFmtId="0" fontId="28" fillId="40" borderId="4" xfId="0" applyFont="1" applyFill="1" applyBorder="1" applyAlignment="1">
      <alignment vertical="top" wrapText="1"/>
    </xf>
    <xf numFmtId="0" fontId="4" fillId="40" borderId="4" xfId="0" applyFont="1" applyFill="1" applyBorder="1"/>
    <xf numFmtId="0" fontId="4" fillId="40" borderId="9" xfId="0" applyFont="1" applyFill="1" applyBorder="1"/>
    <xf numFmtId="0" fontId="0" fillId="40" borderId="0" xfId="0" applyFill="1" applyAlignment="1" applyProtection="1">
      <alignment vertical="center"/>
      <protection locked="0"/>
    </xf>
    <xf numFmtId="0" fontId="0" fillId="40" borderId="0" xfId="0" applyFill="1" applyAlignment="1" applyProtection="1">
      <alignment horizontal="center" vertical="top" wrapText="1"/>
      <protection locked="0"/>
    </xf>
    <xf numFmtId="0" fontId="204" fillId="5" borderId="21" xfId="0" applyFont="1" applyFill="1" applyBorder="1" applyAlignment="1">
      <alignment horizontal="center" vertical="center" wrapText="1"/>
    </xf>
    <xf numFmtId="0" fontId="0" fillId="40" borderId="96" xfId="0" applyFill="1" applyBorder="1" applyAlignment="1">
      <alignment horizontal="left" wrapText="1"/>
    </xf>
    <xf numFmtId="0" fontId="0" fillId="40" borderId="95" xfId="0" applyFill="1" applyBorder="1"/>
    <xf numFmtId="0" fontId="0" fillId="40" borderId="96" xfId="0" applyFill="1" applyBorder="1" applyAlignment="1">
      <alignment horizontal="right" wrapText="1"/>
    </xf>
    <xf numFmtId="0" fontId="0" fillId="40" borderId="96" xfId="0" applyFill="1" applyBorder="1"/>
    <xf numFmtId="0" fontId="0" fillId="40" borderId="96" xfId="0" applyFill="1" applyBorder="1" applyAlignment="1">
      <alignment wrapText="1"/>
    </xf>
    <xf numFmtId="0" fontId="199" fillId="40" borderId="0" xfId="0" applyFont="1" applyFill="1"/>
    <xf numFmtId="0" fontId="208" fillId="40" borderId="0" xfId="0" applyFont="1" applyFill="1"/>
    <xf numFmtId="172" fontId="29" fillId="17" borderId="11" xfId="0" applyNumberFormat="1" applyFont="1" applyFill="1" applyBorder="1"/>
    <xf numFmtId="10" fontId="29" fillId="9" borderId="1" xfId="0" applyNumberFormat="1" applyFont="1" applyFill="1" applyBorder="1" applyAlignment="1">
      <alignment horizontal="center"/>
    </xf>
    <xf numFmtId="0" fontId="137" fillId="55" borderId="0" xfId="0" applyFont="1" applyFill="1"/>
    <xf numFmtId="0" fontId="29" fillId="55" borderId="0" xfId="0" applyFont="1" applyFill="1" applyAlignment="1">
      <alignment horizontal="right"/>
    </xf>
    <xf numFmtId="0" fontId="29" fillId="55" borderId="19" xfId="0" applyFont="1" applyFill="1" applyBorder="1"/>
    <xf numFmtId="0" fontId="61" fillId="48" borderId="1" xfId="0" applyFont="1" applyFill="1" applyBorder="1" applyAlignment="1" applyProtection="1">
      <alignment horizontal="right"/>
      <protection locked="0"/>
    </xf>
    <xf numFmtId="172" fontId="29" fillId="17" borderId="1" xfId="0" applyNumberFormat="1" applyFont="1" applyFill="1" applyBorder="1"/>
    <xf numFmtId="10" fontId="29" fillId="17" borderId="11" xfId="0" applyNumberFormat="1" applyFont="1" applyFill="1" applyBorder="1" applyAlignment="1">
      <alignment horizontal="center"/>
    </xf>
    <xf numFmtId="0" fontId="90" fillId="25" borderId="1" xfId="0" applyFont="1" applyFill="1" applyBorder="1" applyAlignment="1">
      <alignment horizontal="right" vertical="center" wrapText="1"/>
    </xf>
    <xf numFmtId="170" fontId="0" fillId="9" borderId="0" xfId="4" applyNumberFormat="1" applyFont="1" applyFill="1" applyAlignment="1">
      <alignment horizontal="right"/>
    </xf>
    <xf numFmtId="0" fontId="209" fillId="55" borderId="0" xfId="0" applyFont="1" applyFill="1"/>
    <xf numFmtId="0" fontId="209" fillId="47" borderId="0" xfId="0" applyFont="1" applyFill="1"/>
    <xf numFmtId="0" fontId="209" fillId="40" borderId="0" xfId="0" applyFont="1" applyFill="1"/>
    <xf numFmtId="0" fontId="209" fillId="2" borderId="0" xfId="0" applyFont="1" applyFill="1"/>
    <xf numFmtId="0" fontId="28" fillId="0" borderId="1" xfId="0" applyFont="1" applyBorder="1"/>
    <xf numFmtId="0" fontId="0" fillId="36" borderId="30" xfId="0" applyFill="1" applyBorder="1"/>
    <xf numFmtId="0" fontId="0" fillId="24" borderId="0" xfId="0" applyFill="1" applyAlignment="1">
      <alignment horizontal="left" wrapText="1"/>
    </xf>
    <xf numFmtId="0" fontId="0" fillId="4" borderId="2" xfId="0" applyFill="1" applyBorder="1"/>
    <xf numFmtId="0" fontId="0" fillId="4" borderId="0" xfId="0" applyFill="1"/>
    <xf numFmtId="0" fontId="68" fillId="55" borderId="0" xfId="0" applyFont="1" applyFill="1"/>
    <xf numFmtId="0" fontId="68" fillId="55" borderId="0" xfId="0" applyFont="1" applyFill="1" applyAlignment="1">
      <alignment wrapText="1"/>
    </xf>
    <xf numFmtId="5" fontId="211" fillId="55" borderId="0" xfId="0" quotePrefix="1" applyNumberFormat="1" applyFont="1" applyFill="1" applyAlignment="1">
      <alignment horizontal="left" wrapText="1"/>
    </xf>
    <xf numFmtId="171" fontId="0" fillId="40" borderId="0" xfId="0" applyNumberFormat="1" applyFill="1"/>
    <xf numFmtId="0" fontId="28" fillId="40" borderId="0" xfId="0" applyFont="1" applyFill="1" applyAlignment="1">
      <alignment horizontal="center"/>
    </xf>
    <xf numFmtId="0" fontId="4" fillId="40" borderId="0" xfId="0" applyFont="1" applyFill="1" applyAlignment="1">
      <alignment horizontal="center"/>
    </xf>
    <xf numFmtId="0" fontId="212" fillId="40" borderId="0" xfId="0" applyFont="1" applyFill="1" applyAlignment="1">
      <alignment horizontal="right"/>
    </xf>
    <xf numFmtId="0" fontId="146" fillId="40" borderId="0" xfId="0" applyFont="1" applyFill="1" applyProtection="1">
      <protection locked="0"/>
    </xf>
    <xf numFmtId="1" fontId="32" fillId="40" borderId="0" xfId="0" applyNumberFormat="1" applyFont="1" applyFill="1"/>
    <xf numFmtId="0" fontId="3" fillId="31" borderId="1" xfId="0" applyFont="1" applyFill="1" applyBorder="1"/>
    <xf numFmtId="0" fontId="28" fillId="40" borderId="0" xfId="0" applyFont="1" applyFill="1" applyAlignment="1">
      <alignment wrapText="1"/>
    </xf>
    <xf numFmtId="0" fontId="170" fillId="40" borderId="0" xfId="0" applyFont="1" applyFill="1"/>
    <xf numFmtId="0" fontId="170" fillId="40" borderId="0" xfId="0" applyFont="1" applyFill="1" applyAlignment="1">
      <alignment horizontal="center"/>
    </xf>
    <xf numFmtId="0" fontId="118" fillId="2" borderId="0" xfId="0" applyFont="1" applyFill="1" applyAlignment="1">
      <alignment vertical="center" wrapText="1"/>
    </xf>
    <xf numFmtId="0" fontId="118" fillId="2" borderId="0" xfId="0" applyFont="1" applyFill="1" applyAlignment="1">
      <alignment wrapText="1"/>
    </xf>
    <xf numFmtId="0" fontId="32" fillId="55" borderId="0" xfId="0" applyFont="1" applyFill="1" applyAlignment="1">
      <alignment vertical="top"/>
    </xf>
    <xf numFmtId="0" fontId="210" fillId="2" borderId="0" xfId="0" applyFont="1" applyFill="1"/>
    <xf numFmtId="0" fontId="68" fillId="40" borderId="0" xfId="0" applyFont="1" applyFill="1" applyAlignment="1">
      <alignment horizontal="left" wrapText="1"/>
    </xf>
    <xf numFmtId="0" fontId="71" fillId="55" borderId="0" xfId="0" applyFont="1" applyFill="1"/>
    <xf numFmtId="0" fontId="5" fillId="2" borderId="0" xfId="0" applyFont="1" applyFill="1" applyAlignment="1">
      <alignment horizontal="right" vertical="top"/>
    </xf>
    <xf numFmtId="0" fontId="213" fillId="2" borderId="0" xfId="0" applyFont="1" applyFill="1"/>
    <xf numFmtId="169" fontId="86" fillId="24" borderId="0" xfId="0" applyNumberFormat="1" applyFont="1" applyFill="1"/>
    <xf numFmtId="169" fontId="86" fillId="24" borderId="0" xfId="0" applyNumberFormat="1" applyFont="1" applyFill="1" applyAlignment="1">
      <alignment wrapText="1"/>
    </xf>
    <xf numFmtId="0" fontId="86" fillId="24" borderId="0" xfId="0" applyFont="1" applyFill="1" applyAlignment="1">
      <alignment wrapText="1"/>
    </xf>
    <xf numFmtId="0" fontId="86" fillId="24" borderId="0" xfId="0" quotePrefix="1" applyFont="1" applyFill="1"/>
    <xf numFmtId="6" fontId="86" fillId="24" borderId="0" xfId="0" applyNumberFormat="1" applyFont="1" applyFill="1"/>
    <xf numFmtId="172" fontId="86" fillId="24" borderId="0" xfId="0" applyNumberFormat="1" applyFont="1" applyFill="1"/>
    <xf numFmtId="3" fontId="99" fillId="24" borderId="0" xfId="0" applyNumberFormat="1" applyFont="1" applyFill="1"/>
    <xf numFmtId="172" fontId="99" fillId="24" borderId="0" xfId="0" applyNumberFormat="1" applyFont="1" applyFill="1"/>
    <xf numFmtId="0" fontId="5" fillId="24" borderId="0" xfId="0" applyFont="1" applyFill="1" applyAlignment="1">
      <alignment horizontal="right" vertical="top"/>
    </xf>
    <xf numFmtId="0" fontId="100" fillId="2" borderId="0" xfId="0" applyFont="1" applyFill="1" applyAlignment="1">
      <alignment horizontal="right" vertical="top"/>
    </xf>
    <xf numFmtId="37" fontId="5" fillId="2" borderId="0" xfId="0" applyNumberFormat="1" applyFont="1" applyFill="1" applyAlignment="1">
      <alignment horizontal="right" vertical="top"/>
    </xf>
    <xf numFmtId="44" fontId="5" fillId="2" borderId="0" xfId="4" applyFont="1" applyFill="1"/>
    <xf numFmtId="44" fontId="5" fillId="2" borderId="0" xfId="0" applyNumberFormat="1" applyFont="1" applyFill="1" applyAlignment="1">
      <alignment horizontal="right" vertical="top"/>
    </xf>
    <xf numFmtId="0" fontId="5" fillId="24" borderId="0" xfId="0" applyFont="1" applyFill="1"/>
    <xf numFmtId="8" fontId="5" fillId="2" borderId="0" xfId="4" applyNumberFormat="1" applyFont="1" applyFill="1"/>
    <xf numFmtId="0" fontId="5" fillId="24" borderId="0" xfId="0" applyFont="1" applyFill="1" applyAlignment="1">
      <alignment wrapText="1"/>
    </xf>
    <xf numFmtId="37" fontId="5" fillId="2" borderId="0" xfId="0" applyNumberFormat="1" applyFont="1" applyFill="1"/>
    <xf numFmtId="44" fontId="5" fillId="2" borderId="0" xfId="0" applyNumberFormat="1" applyFont="1" applyFill="1"/>
    <xf numFmtId="171" fontId="214" fillId="2" borderId="0" xfId="3" applyNumberFormat="1" applyFont="1" applyFill="1" applyAlignment="1">
      <alignment horizontal="right"/>
    </xf>
    <xf numFmtId="9" fontId="5" fillId="2" borderId="0" xfId="2" applyFont="1" applyFill="1"/>
    <xf numFmtId="0" fontId="5" fillId="2" borderId="0" xfId="0" applyFont="1" applyFill="1" applyAlignment="1">
      <alignment vertical="top"/>
    </xf>
    <xf numFmtId="171" fontId="5" fillId="2" borderId="0" xfId="0" applyNumberFormat="1" applyFont="1" applyFill="1"/>
    <xf numFmtId="171" fontId="214" fillId="2" borderId="0" xfId="3" applyNumberFormat="1" applyFont="1" applyFill="1" applyBorder="1" applyAlignment="1">
      <alignment horizontal="right"/>
    </xf>
    <xf numFmtId="171" fontId="214" fillId="2" borderId="8" xfId="3" applyNumberFormat="1" applyFont="1" applyFill="1" applyBorder="1" applyAlignment="1">
      <alignment horizontal="right"/>
    </xf>
    <xf numFmtId="0" fontId="8" fillId="2" borderId="0" xfId="0" applyFont="1" applyFill="1" applyAlignment="1">
      <alignment horizontal="left"/>
    </xf>
    <xf numFmtId="0" fontId="161" fillId="2" borderId="0" xfId="0" applyFont="1" applyFill="1" applyAlignment="1">
      <alignment horizontal="left"/>
    </xf>
    <xf numFmtId="0" fontId="172" fillId="2" borderId="0" xfId="0" applyFont="1" applyFill="1" applyAlignment="1">
      <alignment horizontal="left"/>
    </xf>
    <xf numFmtId="0" fontId="215" fillId="2" borderId="0" xfId="0" applyFont="1" applyFill="1" applyAlignment="1">
      <alignment horizontal="left"/>
    </xf>
    <xf numFmtId="0" fontId="100" fillId="2" borderId="0" xfId="0" applyFont="1" applyFill="1" applyAlignment="1">
      <alignment horizontal="right"/>
    </xf>
    <xf numFmtId="0" fontId="86" fillId="2" borderId="0" xfId="0" applyFont="1" applyFill="1" applyAlignment="1">
      <alignment horizontal="left"/>
    </xf>
    <xf numFmtId="38" fontId="5" fillId="2" borderId="0" xfId="0" applyNumberFormat="1" applyFont="1" applyFill="1" applyAlignment="1">
      <alignment horizontal="right"/>
    </xf>
    <xf numFmtId="6" fontId="5" fillId="2" borderId="0" xfId="0" applyNumberFormat="1" applyFont="1" applyFill="1" applyAlignment="1">
      <alignment horizontal="right"/>
    </xf>
    <xf numFmtId="0" fontId="5" fillId="2" borderId="0" xfId="0" quotePrefix="1" applyFont="1" applyFill="1" applyAlignment="1">
      <alignment horizontal="left"/>
    </xf>
    <xf numFmtId="167" fontId="5" fillId="2" borderId="0" xfId="0" applyNumberFormat="1" applyFont="1" applyFill="1" applyAlignment="1">
      <alignment horizontal="right"/>
    </xf>
    <xf numFmtId="38" fontId="99" fillId="2" borderId="0" xfId="0" applyNumberFormat="1" applyFont="1" applyFill="1"/>
    <xf numFmtId="9" fontId="99" fillId="2" borderId="0" xfId="0" applyNumberFormat="1" applyFont="1" applyFill="1"/>
    <xf numFmtId="2" fontId="99" fillId="2" borderId="0" xfId="0" applyNumberFormat="1" applyFont="1" applyFill="1"/>
    <xf numFmtId="10" fontId="99" fillId="2" borderId="0" xfId="0" applyNumberFormat="1" applyFont="1" applyFill="1"/>
    <xf numFmtId="0" fontId="86" fillId="2" borderId="0" xfId="0" applyFont="1" applyFill="1" applyAlignment="1">
      <alignment vertical="top" wrapText="1"/>
    </xf>
    <xf numFmtId="0" fontId="5" fillId="2" borderId="0" xfId="0" applyFont="1" applyFill="1" applyAlignment="1">
      <alignment horizontal="left" vertical="top"/>
    </xf>
    <xf numFmtId="0" fontId="172" fillId="2" borderId="0" xfId="0" applyFont="1" applyFill="1" applyAlignment="1">
      <alignment horizontal="left" vertical="top"/>
    </xf>
    <xf numFmtId="0" fontId="100" fillId="2" borderId="0" xfId="0" applyFont="1" applyFill="1" applyAlignment="1">
      <alignment horizontal="left" vertical="top"/>
    </xf>
    <xf numFmtId="0" fontId="100" fillId="2" borderId="0" xfId="0" applyFont="1" applyFill="1"/>
    <xf numFmtId="0" fontId="5" fillId="2" borderId="0" xfId="0" applyFont="1" applyFill="1" applyAlignment="1">
      <alignment horizontal="left" wrapText="1"/>
    </xf>
    <xf numFmtId="0" fontId="113" fillId="2" borderId="0" xfId="0" applyFont="1" applyFill="1" applyAlignment="1">
      <alignment vertical="center"/>
    </xf>
    <xf numFmtId="0" fontId="113" fillId="2" borderId="0" xfId="0" applyFont="1" applyFill="1" applyAlignment="1">
      <alignment horizontal="right" vertical="center"/>
    </xf>
    <xf numFmtId="0" fontId="113" fillId="2" borderId="0" xfId="0" applyFont="1" applyFill="1" applyAlignment="1">
      <alignment horizontal="left" vertical="top"/>
    </xf>
    <xf numFmtId="0" fontId="113" fillId="2" borderId="0" xfId="0" applyFont="1" applyFill="1" applyAlignment="1">
      <alignment horizontal="right"/>
    </xf>
    <xf numFmtId="0" fontId="5" fillId="2" borderId="0" xfId="0" applyFont="1" applyFill="1" applyAlignment="1">
      <alignment horizontal="left" vertical="center"/>
    </xf>
    <xf numFmtId="0" fontId="99" fillId="2" borderId="0" xfId="0" applyFont="1" applyFill="1" applyAlignment="1">
      <alignment horizontal="left" vertical="top"/>
    </xf>
    <xf numFmtId="0" fontId="99" fillId="2" borderId="0" xfId="0" applyFont="1" applyFill="1" applyAlignment="1">
      <alignment horizontal="right"/>
    </xf>
    <xf numFmtId="0" fontId="99" fillId="2" borderId="0" xfId="0" applyFont="1" applyFill="1" applyAlignment="1">
      <alignment vertical="center"/>
    </xf>
    <xf numFmtId="10" fontId="32" fillId="9" borderId="11" xfId="0" applyNumberFormat="1" applyFont="1" applyFill="1" applyBorder="1"/>
    <xf numFmtId="6" fontId="0" fillId="17" borderId="11" xfId="0" applyNumberFormat="1" applyFill="1" applyBorder="1"/>
    <xf numFmtId="6" fontId="0" fillId="0" borderId="11" xfId="0" applyNumberFormat="1" applyBorder="1" applyProtection="1">
      <protection locked="0"/>
    </xf>
    <xf numFmtId="6" fontId="0" fillId="0" borderId="11" xfId="0" applyNumberFormat="1" applyBorder="1"/>
    <xf numFmtId="6" fontId="32" fillId="17" borderId="1" xfId="5" applyNumberFormat="1" applyFont="1" applyFill="1" applyBorder="1"/>
    <xf numFmtId="0" fontId="32" fillId="47" borderId="21" xfId="0" applyFont="1" applyFill="1" applyBorder="1" applyAlignment="1">
      <alignment horizontal="left"/>
    </xf>
    <xf numFmtId="0" fontId="32" fillId="47" borderId="30" xfId="0" applyFont="1" applyFill="1" applyBorder="1" applyAlignment="1">
      <alignment horizontal="left"/>
    </xf>
    <xf numFmtId="0" fontId="32" fillId="47" borderId="22" xfId="0" applyFont="1" applyFill="1" applyBorder="1" applyAlignment="1">
      <alignment horizontal="left"/>
    </xf>
    <xf numFmtId="170" fontId="32" fillId="17" borderId="1" xfId="4" applyNumberFormat="1" applyFont="1" applyFill="1" applyBorder="1" applyAlignment="1" applyProtection="1">
      <alignment horizontal="center"/>
    </xf>
    <xf numFmtId="0" fontId="0" fillId="47" borderId="21" xfId="0" applyFill="1" applyBorder="1" applyAlignment="1">
      <alignment horizontal="left"/>
    </xf>
    <xf numFmtId="0" fontId="0" fillId="47" borderId="30" xfId="0" applyFill="1" applyBorder="1" applyAlignment="1">
      <alignment horizontal="left"/>
    </xf>
    <xf numFmtId="0" fontId="0" fillId="47" borderId="22" xfId="0" applyFill="1" applyBorder="1" applyAlignment="1">
      <alignment horizontal="left"/>
    </xf>
    <xf numFmtId="169" fontId="0" fillId="24" borderId="1" xfId="0" applyNumberFormat="1" applyFill="1" applyBorder="1" applyProtection="1">
      <protection locked="0"/>
    </xf>
    <xf numFmtId="0" fontId="32" fillId="55" borderId="2" xfId="0" applyFont="1" applyFill="1" applyBorder="1" applyAlignment="1">
      <alignment horizontal="left"/>
    </xf>
    <xf numFmtId="170" fontId="32" fillId="55" borderId="0" xfId="4" applyNumberFormat="1" applyFont="1" applyFill="1" applyBorder="1" applyAlignment="1" applyProtection="1">
      <alignment horizontal="center"/>
    </xf>
    <xf numFmtId="0" fontId="100" fillId="25" borderId="1" xfId="0" applyFont="1" applyFill="1" applyBorder="1" applyAlignment="1">
      <alignment horizontal="right"/>
    </xf>
    <xf numFmtId="0" fontId="100" fillId="25" borderId="1" xfId="0" applyFont="1" applyFill="1" applyBorder="1"/>
    <xf numFmtId="0" fontId="32" fillId="47" borderId="1" xfId="0" applyFont="1" applyFill="1" applyBorder="1" applyAlignment="1">
      <alignment horizontal="right"/>
    </xf>
    <xf numFmtId="172" fontId="32" fillId="17" borderId="1" xfId="3" applyNumberFormat="1" applyFont="1" applyFill="1" applyBorder="1" applyProtection="1"/>
    <xf numFmtId="172" fontId="32" fillId="17" borderId="1" xfId="3" applyNumberFormat="1" applyFont="1" applyFill="1" applyBorder="1"/>
    <xf numFmtId="172" fontId="14" fillId="4" borderId="1" xfId="3" applyNumberFormat="1" applyFont="1" applyFill="1" applyBorder="1" applyProtection="1">
      <protection locked="0"/>
    </xf>
    <xf numFmtId="0" fontId="36" fillId="55" borderId="0" xfId="0" applyFont="1" applyFill="1"/>
    <xf numFmtId="0" fontId="32" fillId="55" borderId="1" xfId="0" applyFont="1" applyFill="1" applyBorder="1"/>
    <xf numFmtId="0" fontId="32" fillId="17" borderId="1" xfId="0" applyFont="1" applyFill="1" applyBorder="1" applyAlignment="1">
      <alignment horizontal="center"/>
    </xf>
    <xf numFmtId="0" fontId="32" fillId="47" borderId="1" xfId="5" applyFont="1" applyFill="1" applyBorder="1"/>
    <xf numFmtId="0" fontId="32" fillId="7" borderId="1" xfId="5" applyFont="1" applyFill="1" applyBorder="1"/>
    <xf numFmtId="0" fontId="32" fillId="7" borderId="1" xfId="5" applyFont="1" applyFill="1" applyBorder="1" applyAlignment="1">
      <alignment horizontal="center"/>
    </xf>
    <xf numFmtId="0" fontId="100" fillId="25" borderId="1" xfId="5" applyFont="1" applyFill="1" applyBorder="1"/>
    <xf numFmtId="0" fontId="32" fillId="55" borderId="1" xfId="5" applyFont="1" applyFill="1" applyBorder="1"/>
    <xf numFmtId="6" fontId="32" fillId="17" borderId="1" xfId="6" applyNumberFormat="1" applyFont="1" applyFill="1" applyBorder="1" applyProtection="1"/>
    <xf numFmtId="6" fontId="32" fillId="17" borderId="1" xfId="6" applyNumberFormat="1" applyFont="1" applyFill="1" applyBorder="1"/>
    <xf numFmtId="0" fontId="0" fillId="55" borderId="1" xfId="0" applyFill="1" applyBorder="1"/>
    <xf numFmtId="0" fontId="32" fillId="55" borderId="21" xfId="5" applyFont="1" applyFill="1" applyBorder="1"/>
    <xf numFmtId="6" fontId="32" fillId="9" borderId="1" xfId="5" applyNumberFormat="1" applyFont="1" applyFill="1" applyBorder="1"/>
    <xf numFmtId="0" fontId="32" fillId="55" borderId="0" xfId="5" applyFont="1" applyFill="1"/>
    <xf numFmtId="5" fontId="32" fillId="17" borderId="1" xfId="5" applyNumberFormat="1" applyFont="1" applyFill="1" applyBorder="1" applyAlignment="1">
      <alignment horizontal="right"/>
    </xf>
    <xf numFmtId="174" fontId="32" fillId="17" borderId="1" xfId="5" applyNumberFormat="1" applyFont="1" applyFill="1" applyBorder="1" applyAlignment="1">
      <alignment horizontal="right"/>
    </xf>
    <xf numFmtId="6" fontId="32" fillId="17" borderId="1" xfId="5" applyNumberFormat="1" applyFont="1" applyFill="1" applyBorder="1" applyAlignment="1">
      <alignment horizontal="right"/>
    </xf>
    <xf numFmtId="6" fontId="32" fillId="4" borderId="1" xfId="5" applyNumberFormat="1" applyFont="1" applyFill="1" applyBorder="1" applyAlignment="1" applyProtection="1">
      <alignment horizontal="right"/>
      <protection locked="0"/>
    </xf>
    <xf numFmtId="6" fontId="32" fillId="4" borderId="1" xfId="5" applyNumberFormat="1" applyFont="1" applyFill="1" applyBorder="1" applyProtection="1">
      <protection locked="0"/>
    </xf>
    <xf numFmtId="0" fontId="0" fillId="55" borderId="4" xfId="0" applyFill="1" applyBorder="1"/>
    <xf numFmtId="0" fontId="0" fillId="47" borderId="8" xfId="0" applyFill="1" applyBorder="1"/>
    <xf numFmtId="0" fontId="0" fillId="47" borderId="0" xfId="0" applyFill="1"/>
    <xf numFmtId="0" fontId="0" fillId="47" borderId="4" xfId="0" applyFill="1" applyBorder="1"/>
    <xf numFmtId="6" fontId="32" fillId="17" borderId="5" xfId="5" applyNumberFormat="1" applyFont="1" applyFill="1" applyBorder="1" applyAlignment="1">
      <alignment horizontal="right"/>
    </xf>
    <xf numFmtId="0" fontId="100" fillId="25" borderId="3" xfId="5" applyFont="1" applyFill="1" applyBorder="1" applyAlignment="1">
      <alignment horizontal="left" vertical="center"/>
    </xf>
    <xf numFmtId="0" fontId="100" fillId="25" borderId="9" xfId="5" applyFont="1" applyFill="1" applyBorder="1" applyAlignment="1">
      <alignment horizontal="right" vertical="top" wrapText="1"/>
    </xf>
    <xf numFmtId="0" fontId="100" fillId="25" borderId="3" xfId="5" applyFont="1" applyFill="1" applyBorder="1" applyAlignment="1">
      <alignment horizontal="right" vertical="top" wrapText="1"/>
    </xf>
    <xf numFmtId="0" fontId="100" fillId="25" borderId="10" xfId="5" applyFont="1" applyFill="1" applyBorder="1" applyAlignment="1">
      <alignment horizontal="right" vertical="top" wrapText="1"/>
    </xf>
    <xf numFmtId="0" fontId="19" fillId="55" borderId="0" xfId="5" applyFont="1" applyFill="1" applyAlignment="1">
      <alignment horizontal="right" vertical="top"/>
    </xf>
    <xf numFmtId="0" fontId="32" fillId="54" borderId="3" xfId="5" applyFont="1" applyFill="1" applyBorder="1" applyProtection="1">
      <protection locked="0"/>
    </xf>
    <xf numFmtId="5" fontId="32" fillId="53" borderId="1" xfId="5" applyNumberFormat="1" applyFont="1" applyFill="1" applyBorder="1" applyAlignment="1">
      <alignment horizontal="right"/>
    </xf>
    <xf numFmtId="5" fontId="32" fillId="17" borderId="3" xfId="5" applyNumberFormat="1" applyFont="1" applyFill="1" applyBorder="1" applyAlignment="1">
      <alignment horizontal="right"/>
    </xf>
    <xf numFmtId="0" fontId="32" fillId="54" borderId="1" xfId="5" applyFont="1" applyFill="1" applyBorder="1" applyProtection="1">
      <protection locked="0"/>
    </xf>
    <xf numFmtId="5" fontId="32" fillId="30" borderId="1" xfId="5" applyNumberFormat="1" applyFont="1" applyFill="1" applyBorder="1" applyAlignment="1">
      <alignment horizontal="right"/>
    </xf>
    <xf numFmtId="0" fontId="0" fillId="53" borderId="0" xfId="0" applyFill="1" applyAlignment="1">
      <alignment wrapText="1"/>
    </xf>
    <xf numFmtId="0" fontId="0" fillId="40" borderId="21" xfId="0" applyFill="1" applyBorder="1"/>
    <xf numFmtId="0" fontId="0" fillId="54" borderId="8" xfId="0" applyFill="1" applyBorder="1" applyProtection="1">
      <protection locked="0"/>
    </xf>
    <xf numFmtId="0" fontId="100" fillId="25" borderId="84" xfId="5" applyFont="1" applyFill="1" applyBorder="1"/>
    <xf numFmtId="0" fontId="100" fillId="25" borderId="85" xfId="5" applyFont="1" applyFill="1" applyBorder="1"/>
    <xf numFmtId="0" fontId="100" fillId="25" borderId="86" xfId="5" applyFont="1" applyFill="1" applyBorder="1"/>
    <xf numFmtId="0" fontId="14" fillId="47" borderId="1" xfId="0" applyFont="1" applyFill="1" applyBorder="1"/>
    <xf numFmtId="5" fontId="32" fillId="17" borderId="22" xfId="5" applyNumberFormat="1" applyFont="1" applyFill="1" applyBorder="1" applyAlignment="1">
      <alignment horizontal="right"/>
    </xf>
    <xf numFmtId="172" fontId="32" fillId="17" borderId="1" xfId="5" applyNumberFormat="1" applyFont="1" applyFill="1" applyBorder="1" applyAlignment="1">
      <alignment horizontal="center"/>
    </xf>
    <xf numFmtId="0" fontId="32" fillId="40" borderId="0" xfId="5" applyFont="1" applyFill="1"/>
    <xf numFmtId="44" fontId="32" fillId="40" borderId="0" xfId="7" applyFont="1" applyFill="1"/>
    <xf numFmtId="171" fontId="32" fillId="40" borderId="0" xfId="6" applyNumberFormat="1" applyFont="1" applyFill="1" applyAlignment="1">
      <alignment horizontal="right"/>
    </xf>
    <xf numFmtId="43" fontId="32" fillId="40" borderId="0" xfId="6" applyFont="1" applyFill="1"/>
    <xf numFmtId="171" fontId="32" fillId="40" borderId="0" xfId="6" applyNumberFormat="1" applyFont="1" applyFill="1"/>
    <xf numFmtId="0" fontId="32" fillId="47" borderId="79" xfId="5" applyFont="1" applyFill="1" applyBorder="1"/>
    <xf numFmtId="6" fontId="32" fillId="0" borderId="34" xfId="5" applyNumberFormat="1" applyFont="1" applyBorder="1" applyProtection="1">
      <protection locked="0"/>
    </xf>
    <xf numFmtId="6" fontId="32" fillId="0" borderId="38" xfId="5" applyNumberFormat="1" applyFont="1" applyBorder="1" applyProtection="1">
      <protection locked="0"/>
    </xf>
    <xf numFmtId="0" fontId="32" fillId="47" borderId="40" xfId="5" applyFont="1" applyFill="1" applyBorder="1"/>
    <xf numFmtId="5" fontId="32" fillId="9" borderId="1" xfId="5" applyNumberFormat="1" applyFont="1" applyFill="1" applyBorder="1" applyAlignment="1">
      <alignment horizontal="right"/>
    </xf>
    <xf numFmtId="5" fontId="32" fillId="9" borderId="41" xfId="5" applyNumberFormat="1" applyFont="1" applyFill="1" applyBorder="1" applyAlignment="1">
      <alignment horizontal="right"/>
    </xf>
    <xf numFmtId="5" fontId="32" fillId="2" borderId="1" xfId="5" applyNumberFormat="1" applyFont="1" applyFill="1" applyBorder="1" applyAlignment="1" applyProtection="1">
      <alignment horizontal="right"/>
      <protection locked="0"/>
    </xf>
    <xf numFmtId="5" fontId="32" fillId="2" borderId="41" xfId="5" applyNumberFormat="1" applyFont="1" applyFill="1" applyBorder="1" applyAlignment="1" applyProtection="1">
      <alignment horizontal="right"/>
      <protection locked="0"/>
    </xf>
    <xf numFmtId="0" fontId="32" fillId="47" borderId="44" xfId="5" applyFont="1" applyFill="1" applyBorder="1"/>
    <xf numFmtId="6" fontId="32" fillId="17" borderId="45" xfId="5" applyNumberFormat="1" applyFont="1" applyFill="1" applyBorder="1" applyAlignment="1">
      <alignment horizontal="right"/>
    </xf>
    <xf numFmtId="6" fontId="32" fillId="17" borderId="47" xfId="5" applyNumberFormat="1" applyFont="1" applyFill="1" applyBorder="1" applyAlignment="1">
      <alignment horizontal="right"/>
    </xf>
    <xf numFmtId="0" fontId="207" fillId="55" borderId="0" xfId="0" applyFont="1" applyFill="1"/>
    <xf numFmtId="0" fontId="207" fillId="55" borderId="0" xfId="0" applyFont="1" applyFill="1" applyAlignment="1">
      <alignment wrapText="1"/>
    </xf>
    <xf numFmtId="0" fontId="95" fillId="24" borderId="0" xfId="0" applyFont="1" applyFill="1"/>
    <xf numFmtId="0" fontId="95" fillId="2" borderId="0" xfId="0" applyFont="1" applyFill="1"/>
    <xf numFmtId="0" fontId="100" fillId="2" borderId="0" xfId="0" applyFont="1" applyFill="1" applyAlignment="1">
      <alignment horizontal="center"/>
    </xf>
    <xf numFmtId="6" fontId="5" fillId="2" borderId="0" xfId="0" applyNumberFormat="1" applyFont="1" applyFill="1" applyAlignment="1">
      <alignment horizontal="center" vertical="center"/>
    </xf>
    <xf numFmtId="43" fontId="5" fillId="2" borderId="0" xfId="3" applyFont="1" applyFill="1" applyBorder="1" applyProtection="1"/>
    <xf numFmtId="0" fontId="5" fillId="2" borderId="0" xfId="0" applyFont="1" applyFill="1" applyAlignment="1">
      <alignment horizontal="center" vertical="center"/>
    </xf>
    <xf numFmtId="43" fontId="5" fillId="2" borderId="0" xfId="3" applyFont="1" applyFill="1" applyBorder="1" applyAlignment="1" applyProtection="1">
      <alignment vertical="center"/>
    </xf>
    <xf numFmtId="6" fontId="5" fillId="2" borderId="0" xfId="0" applyNumberFormat="1" applyFont="1" applyFill="1" applyAlignment="1">
      <alignment vertical="center"/>
    </xf>
    <xf numFmtId="6" fontId="5" fillId="2" borderId="0" xfId="0" applyNumberFormat="1" applyFont="1" applyFill="1" applyAlignment="1">
      <alignment horizontal="center"/>
    </xf>
    <xf numFmtId="170" fontId="5" fillId="2" borderId="0" xfId="4" applyNumberFormat="1" applyFont="1" applyFill="1" applyBorder="1" applyProtection="1"/>
    <xf numFmtId="170" fontId="5" fillId="2" borderId="0" xfId="0" applyNumberFormat="1" applyFont="1" applyFill="1" applyAlignment="1">
      <alignment horizontal="center"/>
    </xf>
    <xf numFmtId="0" fontId="5" fillId="2" borderId="0" xfId="0" applyFont="1" applyFill="1" applyAlignment="1">
      <alignment horizontal="right" vertical="center"/>
    </xf>
    <xf numFmtId="0" fontId="4" fillId="40" borderId="0" xfId="0" applyFont="1" applyFill="1" applyAlignment="1">
      <alignment wrapText="1"/>
    </xf>
    <xf numFmtId="0" fontId="100" fillId="2" borderId="0" xfId="0" applyFont="1" applyFill="1" applyAlignment="1">
      <alignment wrapText="1"/>
    </xf>
    <xf numFmtId="44" fontId="5" fillId="2" borderId="0" xfId="4" applyFont="1" applyFill="1" applyBorder="1"/>
    <xf numFmtId="0" fontId="219" fillId="2" borderId="0" xfId="0" applyFont="1" applyFill="1" applyAlignment="1">
      <alignment horizontal="center" vertical="center" wrapText="1"/>
    </xf>
    <xf numFmtId="2" fontId="0" fillId="3" borderId="1" xfId="0" applyNumberFormat="1" applyFill="1" applyBorder="1" applyAlignment="1">
      <alignment horizontal="center" vertical="center"/>
    </xf>
    <xf numFmtId="0" fontId="144" fillId="2" borderId="0" xfId="1" applyFont="1" applyFill="1" applyBorder="1" applyProtection="1"/>
    <xf numFmtId="0" fontId="3" fillId="40" borderId="0" xfId="0" applyFont="1" applyFill="1" applyAlignment="1">
      <alignment horizontal="center" vertical="center"/>
    </xf>
    <xf numFmtId="0" fontId="177" fillId="2" borderId="0" xfId="0" applyFont="1" applyFill="1"/>
    <xf numFmtId="0" fontId="219" fillId="2" borderId="0" xfId="0" applyFont="1" applyFill="1" applyAlignment="1">
      <alignment horizontal="center" vertical="center"/>
    </xf>
    <xf numFmtId="0" fontId="219" fillId="2" borderId="0" xfId="0" applyFont="1" applyFill="1"/>
    <xf numFmtId="0" fontId="220" fillId="2" borderId="0" xfId="0" applyFont="1" applyFill="1" applyAlignment="1">
      <alignment vertical="top" wrapText="1"/>
    </xf>
    <xf numFmtId="44" fontId="100" fillId="2" borderId="0" xfId="4" applyFont="1" applyFill="1"/>
    <xf numFmtId="0" fontId="219" fillId="2" borderId="0" xfId="0" applyFont="1" applyFill="1" applyAlignment="1">
      <alignment horizontal="center"/>
    </xf>
    <xf numFmtId="0" fontId="220" fillId="2" borderId="0" xfId="0" applyFont="1" applyFill="1" applyAlignment="1">
      <alignment horizontal="left" vertical="top" wrapText="1"/>
    </xf>
    <xf numFmtId="0" fontId="220" fillId="2" borderId="0" xfId="0" applyFont="1" applyFill="1" applyAlignment="1">
      <alignment horizontal="center" vertical="center" wrapText="1"/>
    </xf>
    <xf numFmtId="0" fontId="0" fillId="40" borderId="5" xfId="0" applyFill="1" applyBorder="1"/>
    <xf numFmtId="0" fontId="20" fillId="8" borderId="0" xfId="0" applyFont="1" applyFill="1"/>
    <xf numFmtId="0" fontId="33" fillId="40" borderId="0" xfId="0" applyFont="1" applyFill="1"/>
    <xf numFmtId="10" fontId="20" fillId="8" borderId="0" xfId="0" applyNumberFormat="1" applyFont="1" applyFill="1"/>
    <xf numFmtId="10" fontId="20" fillId="40" borderId="0" xfId="0" applyNumberFormat="1" applyFont="1" applyFill="1"/>
    <xf numFmtId="0" fontId="42" fillId="40" borderId="0" xfId="0" applyFont="1" applyFill="1"/>
    <xf numFmtId="0" fontId="32" fillId="47" borderId="3" xfId="5" applyFont="1" applyFill="1" applyBorder="1" applyProtection="1">
      <protection locked="0"/>
    </xf>
    <xf numFmtId="0" fontId="32" fillId="47" borderId="1" xfId="5" applyFont="1" applyFill="1" applyBorder="1" applyProtection="1">
      <protection locked="0"/>
    </xf>
    <xf numFmtId="0" fontId="16" fillId="2" borderId="0" xfId="0" applyFont="1" applyFill="1"/>
    <xf numFmtId="0" fontId="221" fillId="2" borderId="0" xfId="0" applyFont="1" applyFill="1"/>
    <xf numFmtId="0" fontId="32" fillId="38" borderId="30" xfId="0" applyFont="1" applyFill="1" applyBorder="1" applyAlignment="1">
      <alignment horizontal="center" vertical="center"/>
    </xf>
    <xf numFmtId="0" fontId="36" fillId="39" borderId="30" xfId="0"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applyFont="1" applyFill="1" applyBorder="1" applyAlignment="1">
      <alignment horizontal="center" vertical="center"/>
    </xf>
    <xf numFmtId="0" fontId="100" fillId="5" borderId="22" xfId="0" applyFont="1" applyFill="1" applyBorder="1" applyAlignment="1">
      <alignment horizontal="center"/>
    </xf>
    <xf numFmtId="0" fontId="100" fillId="5" borderId="21" xfId="0" applyFont="1" applyFill="1" applyBorder="1" applyAlignment="1">
      <alignment horizontal="left"/>
    </xf>
    <xf numFmtId="0" fontId="0" fillId="2" borderId="8" xfId="0" applyFill="1" applyBorder="1" applyAlignment="1">
      <alignment horizontal="left"/>
    </xf>
    <xf numFmtId="0" fontId="0" fillId="40" borderId="0" xfId="0" applyFill="1" applyAlignment="1">
      <alignment horizontal="left" vertical="top" wrapText="1"/>
    </xf>
    <xf numFmtId="0" fontId="0" fillId="2" borderId="9" xfId="0" applyFill="1" applyBorder="1" applyAlignment="1">
      <alignment horizontal="left"/>
    </xf>
    <xf numFmtId="0" fontId="0" fillId="2" borderId="18" xfId="0" applyFill="1" applyBorder="1" applyAlignment="1">
      <alignment horizontal="left"/>
    </xf>
    <xf numFmtId="0" fontId="100" fillId="5" borderId="30" xfId="0" applyFont="1" applyFill="1" applyBorder="1" applyAlignment="1">
      <alignment horizontal="left" wrapText="1"/>
    </xf>
    <xf numFmtId="0" fontId="3" fillId="31" borderId="1" xfId="0" applyFont="1" applyFill="1" applyBorder="1" applyAlignment="1" applyProtection="1">
      <alignment horizontal="left"/>
      <protection locked="0"/>
    </xf>
    <xf numFmtId="0" fontId="3" fillId="31" borderId="1" xfId="0" applyFont="1" applyFill="1" applyBorder="1" applyAlignment="1" applyProtection="1">
      <alignment horizontal="center"/>
      <protection locked="0"/>
    </xf>
    <xf numFmtId="0" fontId="0" fillId="40" borderId="0" xfId="0" applyFill="1" applyAlignment="1">
      <alignment horizontal="center"/>
    </xf>
    <xf numFmtId="0" fontId="3" fillId="2" borderId="1" xfId="0" applyFont="1" applyFill="1" applyBorder="1" applyAlignment="1" applyProtection="1">
      <alignment horizontal="left"/>
      <protection locked="0"/>
    </xf>
    <xf numFmtId="0" fontId="3" fillId="40" borderId="0" xfId="0" applyFont="1" applyFill="1" applyAlignment="1">
      <alignment horizontal="right" vertical="center"/>
    </xf>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0" fontId="3" fillId="40" borderId="0" xfId="0" applyFont="1" applyFill="1" applyAlignment="1">
      <alignment horizontal="left"/>
    </xf>
    <xf numFmtId="0" fontId="3" fillId="31" borderId="5" xfId="0" applyFont="1" applyFill="1" applyBorder="1" applyAlignment="1" applyProtection="1">
      <alignment vertical="center"/>
      <protection locked="0"/>
    </xf>
    <xf numFmtId="0" fontId="3" fillId="2" borderId="1" xfId="0" applyFont="1" applyFill="1" applyBorder="1" applyAlignment="1" applyProtection="1">
      <alignment horizontal="left" vertical="center" wrapText="1"/>
      <protection locked="0"/>
    </xf>
    <xf numFmtId="0" fontId="0" fillId="3" borderId="0" xfId="0" applyFill="1" applyAlignment="1">
      <alignment horizontal="left" vertical="top"/>
    </xf>
    <xf numFmtId="172" fontId="28" fillId="17" borderId="1" xfId="0" applyNumberFormat="1" applyFont="1" applyFill="1" applyBorder="1" applyAlignment="1">
      <alignment horizontal="center"/>
    </xf>
    <xf numFmtId="0" fontId="59" fillId="40" borderId="0" xfId="0" applyFont="1" applyFill="1"/>
    <xf numFmtId="0" fontId="28" fillId="40" borderId="0" xfId="0" applyFont="1" applyFill="1"/>
    <xf numFmtId="0" fontId="59" fillId="40" borderId="0" xfId="0" applyFont="1" applyFill="1" applyAlignment="1">
      <alignment horizontal="right"/>
    </xf>
    <xf numFmtId="0" fontId="86" fillId="24" borderId="0" xfId="0" applyFont="1" applyFill="1" applyAlignment="1">
      <alignment horizontal="center"/>
    </xf>
    <xf numFmtId="0" fontId="28" fillId="40" borderId="0" xfId="0" applyFont="1" applyFill="1" applyAlignment="1">
      <alignment horizontal="right"/>
    </xf>
    <xf numFmtId="1" fontId="68" fillId="55" borderId="0" xfId="0" applyNumberFormat="1" applyFont="1" applyFill="1" applyAlignment="1">
      <alignment horizontal="left" vertical="center" wrapText="1"/>
    </xf>
    <xf numFmtId="0" fontId="90" fillId="25" borderId="1" xfId="0" applyFont="1" applyFill="1" applyBorder="1" applyAlignment="1">
      <alignment horizontal="center" vertical="center"/>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43" fillId="36" borderId="21" xfId="0" applyFont="1" applyFill="1" applyBorder="1" applyAlignment="1">
      <alignment horizontal="left" vertical="center"/>
    </xf>
    <xf numFmtId="0" fontId="50" fillId="13" borderId="21" xfId="0" applyFont="1" applyFill="1" applyBorder="1" applyAlignment="1">
      <alignment horizontal="left" vertical="center"/>
    </xf>
    <xf numFmtId="0" fontId="6" fillId="5" borderId="1" xfId="0" applyFont="1" applyFill="1" applyBorder="1" applyAlignment="1">
      <alignment horizontal="center" vertical="center"/>
    </xf>
    <xf numFmtId="0" fontId="20" fillId="2" borderId="1" xfId="0" applyFont="1" applyFill="1" applyBorder="1"/>
    <xf numFmtId="0" fontId="46" fillId="36" borderId="21" xfId="0" applyFont="1" applyFill="1" applyBorder="1" applyAlignment="1">
      <alignment horizontal="left" vertical="center"/>
    </xf>
    <xf numFmtId="0" fontId="52" fillId="36" borderId="21" xfId="0" applyFont="1" applyFill="1" applyBorder="1" applyAlignment="1">
      <alignment horizontal="left" vertical="center"/>
    </xf>
    <xf numFmtId="0" fontId="22" fillId="36" borderId="21" xfId="0" applyFont="1" applyFill="1" applyBorder="1" applyAlignment="1">
      <alignment horizontal="left"/>
    </xf>
    <xf numFmtId="0" fontId="6" fillId="5" borderId="1" xfId="0" applyFont="1" applyFill="1" applyBorder="1" applyAlignment="1">
      <alignment horizontal="center" vertical="center" wrapText="1"/>
    </xf>
    <xf numFmtId="0" fontId="50" fillId="13" borderId="30" xfId="0" applyFont="1" applyFill="1" applyBorder="1" applyAlignment="1">
      <alignment horizontal="left" vertical="center"/>
    </xf>
    <xf numFmtId="0" fontId="46" fillId="36" borderId="30" xfId="0" applyFont="1" applyFill="1" applyBorder="1" applyAlignment="1">
      <alignment horizontal="left" vertical="center"/>
    </xf>
    <xf numFmtId="0" fontId="44" fillId="12" borderId="1" xfId="8" applyFont="1" applyFill="1" applyBorder="1" applyAlignment="1">
      <alignment horizontal="left" vertical="center"/>
    </xf>
    <xf numFmtId="0" fontId="0" fillId="40" borderId="0" xfId="0" applyFill="1" applyAlignment="1">
      <alignment horizontal="left" wrapText="1"/>
    </xf>
    <xf numFmtId="0" fontId="0" fillId="40" borderId="0" xfId="0" applyFill="1" applyAlignment="1">
      <alignment horizontal="left"/>
    </xf>
    <xf numFmtId="0" fontId="5" fillId="2" borderId="0" xfId="0" applyFont="1" applyFill="1" applyAlignment="1">
      <alignment horizontal="center"/>
    </xf>
    <xf numFmtId="0" fontId="0" fillId="2" borderId="0" xfId="0" applyFill="1" applyAlignment="1">
      <alignment horizontal="center"/>
    </xf>
    <xf numFmtId="0" fontId="28" fillId="47" borderId="1" xfId="0" applyFont="1" applyFill="1" applyBorder="1" applyAlignment="1">
      <alignment horizontal="right"/>
    </xf>
    <xf numFmtId="0" fontId="0" fillId="2" borderId="1" xfId="0" applyFill="1" applyBorder="1"/>
    <xf numFmtId="0" fontId="100" fillId="5" borderId="1" xfId="0" applyFont="1" applyFill="1" applyBorder="1"/>
    <xf numFmtId="0" fontId="0" fillId="2" borderId="18" xfId="0" applyFill="1" applyBorder="1" applyAlignment="1">
      <alignment horizontal="center"/>
    </xf>
    <xf numFmtId="0" fontId="28" fillId="40" borderId="0" xfId="0" applyFont="1" applyFill="1" applyAlignment="1">
      <alignment horizontal="left" vertical="top" wrapText="1"/>
    </xf>
    <xf numFmtId="0" fontId="29" fillId="40" borderId="0" xfId="0" applyFont="1" applyFill="1"/>
    <xf numFmtId="0" fontId="0" fillId="9" borderId="1" xfId="0" applyFill="1" applyBorder="1" applyAlignment="1">
      <alignment horizontal="center" vertical="center"/>
    </xf>
    <xf numFmtId="10" fontId="28" fillId="9" borderId="1" xfId="0" applyNumberFormat="1" applyFont="1" applyFill="1" applyBorder="1" applyAlignment="1">
      <alignment horizontal="center"/>
    </xf>
    <xf numFmtId="38" fontId="28" fillId="9" borderId="1" xfId="0" applyNumberFormat="1" applyFont="1" applyFill="1" applyBorder="1" applyAlignment="1">
      <alignment horizontal="center"/>
    </xf>
    <xf numFmtId="0" fontId="100" fillId="5" borderId="1" xfId="0" applyFont="1" applyFill="1" applyBorder="1" applyAlignment="1">
      <alignment horizontal="center" vertical="center" wrapText="1"/>
    </xf>
    <xf numFmtId="0" fontId="100" fillId="5" borderId="1" xfId="0" applyFont="1" applyFill="1" applyBorder="1" applyAlignment="1">
      <alignment horizontal="center"/>
    </xf>
    <xf numFmtId="0" fontId="28" fillId="9" borderId="1" xfId="0" applyFont="1" applyFill="1" applyBorder="1" applyAlignment="1">
      <alignment horizontal="center"/>
    </xf>
    <xf numFmtId="0" fontId="0" fillId="9" borderId="1" xfId="0" applyFill="1" applyBorder="1" applyAlignment="1">
      <alignment horizontal="center"/>
    </xf>
    <xf numFmtId="0" fontId="0" fillId="3" borderId="0" xfId="0" applyFill="1" applyAlignment="1">
      <alignment horizontal="left"/>
    </xf>
    <xf numFmtId="0" fontId="0" fillId="9" borderId="1" xfId="0" applyFill="1" applyBorder="1" applyAlignment="1">
      <alignment horizontal="center" vertical="top"/>
    </xf>
    <xf numFmtId="0" fontId="0" fillId="2" borderId="1" xfId="0" applyFill="1" applyBorder="1" applyAlignment="1" applyProtection="1">
      <alignment horizontal="center" vertical="center"/>
      <protection locked="0"/>
    </xf>
    <xf numFmtId="0" fontId="100" fillId="5" borderId="1" xfId="0" applyFont="1" applyFill="1" applyBorder="1" applyAlignment="1">
      <alignment horizontal="center" wrapText="1"/>
    </xf>
    <xf numFmtId="0" fontId="0" fillId="3" borderId="1" xfId="0" applyFill="1" applyBorder="1" applyAlignment="1">
      <alignment horizontal="center" vertical="center"/>
    </xf>
    <xf numFmtId="0" fontId="0" fillId="3" borderId="22" xfId="0" applyFill="1" applyBorder="1" applyAlignment="1">
      <alignment horizontal="center" vertical="center"/>
    </xf>
    <xf numFmtId="0" fontId="204" fillId="5" borderId="30" xfId="0" applyFont="1" applyFill="1" applyBorder="1" applyAlignment="1">
      <alignment horizontal="center" vertical="center" wrapText="1"/>
    </xf>
    <xf numFmtId="0" fontId="100" fillId="5" borderId="22" xfId="0" applyFont="1" applyFill="1" applyBorder="1" applyAlignment="1">
      <alignment horizontal="center" vertical="center" wrapText="1"/>
    </xf>
    <xf numFmtId="0" fontId="4" fillId="40" borderId="0" xfId="0" applyFont="1" applyFill="1" applyAlignment="1">
      <alignment horizontal="left"/>
    </xf>
    <xf numFmtId="0" fontId="7" fillId="2" borderId="1" xfId="0" applyFont="1" applyFill="1" applyBorder="1" applyAlignment="1">
      <alignment horizontal="center"/>
    </xf>
    <xf numFmtId="0" fontId="7" fillId="9" borderId="1" xfId="0" applyFont="1" applyFill="1" applyBorder="1" applyAlignment="1">
      <alignment horizontal="center"/>
    </xf>
    <xf numFmtId="0" fontId="4" fillId="9" borderId="1" xfId="0" applyFont="1" applyFill="1" applyBorder="1" applyAlignment="1">
      <alignment horizontal="center"/>
    </xf>
    <xf numFmtId="1" fontId="4" fillId="0" borderId="1" xfId="0" applyNumberFormat="1" applyFont="1" applyBorder="1" applyAlignment="1">
      <alignment horizontal="center" vertical="center"/>
    </xf>
    <xf numFmtId="0" fontId="14" fillId="2" borderId="40" xfId="1" applyFont="1" applyFill="1" applyBorder="1" applyAlignment="1" applyProtection="1">
      <alignment horizontal="center" vertical="center"/>
      <protection locked="0"/>
    </xf>
    <xf numFmtId="0" fontId="0" fillId="40" borderId="0" xfId="0" applyFill="1" applyAlignment="1">
      <alignment horizontal="left" vertical="top"/>
    </xf>
    <xf numFmtId="0" fontId="0" fillId="9" borderId="21" xfId="0" applyFill="1" applyBorder="1" applyAlignment="1">
      <alignment horizontal="center"/>
    </xf>
    <xf numFmtId="0" fontId="22" fillId="14" borderId="0" xfId="0" applyFont="1" applyFill="1" applyAlignment="1">
      <alignment horizontal="center"/>
    </xf>
    <xf numFmtId="0" fontId="22" fillId="0" borderId="0" xfId="0" applyFont="1" applyAlignment="1">
      <alignment horizontal="center" vertical="center" wrapText="1"/>
    </xf>
    <xf numFmtId="0" fontId="4" fillId="0" borderId="0" xfId="0" applyFont="1" applyAlignment="1">
      <alignment horizontal="center"/>
    </xf>
    <xf numFmtId="0" fontId="32" fillId="38" borderId="30" xfId="0" quotePrefix="1" applyFont="1" applyFill="1" applyBorder="1" applyAlignment="1">
      <alignment horizontal="center" vertical="center"/>
    </xf>
    <xf numFmtId="0" fontId="32" fillId="38" borderId="30" xfId="0" applyFont="1" applyFill="1" applyBorder="1" applyAlignment="1">
      <alignment horizontal="center" vertical="center"/>
    </xf>
    <xf numFmtId="0" fontId="36" fillId="39" borderId="30" xfId="0" applyFont="1" applyFill="1" applyBorder="1" applyAlignment="1">
      <alignment horizontal="center" vertical="center"/>
    </xf>
    <xf numFmtId="0" fontId="188" fillId="39" borderId="30" xfId="0" applyFont="1" applyFill="1" applyBorder="1" applyAlignment="1">
      <alignment horizontal="center" vertical="center"/>
    </xf>
    <xf numFmtId="0" fontId="189" fillId="38" borderId="30" xfId="0" quotePrefix="1" applyFont="1" applyFill="1" applyBorder="1" applyAlignment="1">
      <alignment horizontal="center" vertical="center"/>
    </xf>
    <xf numFmtId="0" fontId="189" fillId="38" borderId="30" xfId="0" applyFont="1" applyFill="1" applyBorder="1" applyAlignment="1">
      <alignment horizontal="center" vertical="center"/>
    </xf>
    <xf numFmtId="0" fontId="36" fillId="39" borderId="76" xfId="0" applyFont="1" applyFill="1" applyBorder="1" applyAlignment="1">
      <alignment horizontal="center" vertical="center"/>
    </xf>
    <xf numFmtId="0" fontId="36" fillId="39" borderId="77" xfId="0" applyFont="1" applyFill="1" applyBorder="1" applyAlignment="1">
      <alignment horizontal="center" vertical="center"/>
    </xf>
    <xf numFmtId="0" fontId="32" fillId="38" borderId="18" xfId="0" quotePrefix="1"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quotePrefix="1" applyFont="1" applyFill="1" applyBorder="1" applyAlignment="1">
      <alignment horizontal="center" vertical="center"/>
    </xf>
    <xf numFmtId="0" fontId="32" fillId="38" borderId="2" xfId="0" applyFont="1" applyFill="1" applyBorder="1" applyAlignment="1">
      <alignment horizontal="center" vertical="center"/>
    </xf>
    <xf numFmtId="0" fontId="36" fillId="39" borderId="60" xfId="0" applyFont="1" applyFill="1" applyBorder="1" applyAlignment="1">
      <alignment horizontal="center" vertical="center"/>
    </xf>
    <xf numFmtId="0" fontId="4" fillId="0" borderId="31" xfId="0" applyFont="1" applyBorder="1" applyAlignment="1">
      <alignment horizontal="center"/>
    </xf>
    <xf numFmtId="0" fontId="4" fillId="0" borderId="33" xfId="0" applyFont="1" applyBorder="1" applyAlignment="1">
      <alignment horizontal="center"/>
    </xf>
    <xf numFmtId="0" fontId="4" fillId="0" borderId="32" xfId="0" applyFont="1" applyBorder="1" applyAlignment="1">
      <alignment horizontal="center"/>
    </xf>
    <xf numFmtId="0" fontId="17" fillId="2" borderId="8" xfId="1" applyFont="1" applyFill="1" applyBorder="1" applyAlignment="1" applyProtection="1">
      <alignment horizontal="left"/>
      <protection locked="0"/>
    </xf>
    <xf numFmtId="0" fontId="0" fillId="0" borderId="0" xfId="0" applyAlignment="1" applyProtection="1">
      <alignment horizontal="left"/>
      <protection locked="0"/>
    </xf>
    <xf numFmtId="0" fontId="0" fillId="0" borderId="4" xfId="0" applyBorder="1" applyAlignment="1" applyProtection="1">
      <alignment horizontal="left"/>
      <protection locked="0"/>
    </xf>
    <xf numFmtId="0" fontId="17" fillId="2" borderId="0" xfId="1" applyFont="1" applyFill="1" applyBorder="1" applyAlignment="1" applyProtection="1">
      <alignment horizontal="left"/>
      <protection locked="0"/>
    </xf>
    <xf numFmtId="0" fontId="17" fillId="2" borderId="15" xfId="1" applyFont="1" applyFill="1" applyBorder="1" applyAlignment="1" applyProtection="1">
      <alignment horizontal="left"/>
      <protection locked="0"/>
    </xf>
    <xf numFmtId="0" fontId="17" fillId="2" borderId="9" xfId="1" applyFont="1" applyFill="1" applyBorder="1" applyAlignment="1" applyProtection="1">
      <alignment horizontal="left"/>
      <protection locked="0"/>
    </xf>
    <xf numFmtId="0" fontId="0" fillId="0" borderId="18" xfId="0" applyBorder="1" applyAlignment="1" applyProtection="1">
      <alignment horizontal="left"/>
      <protection locked="0"/>
    </xf>
    <xf numFmtId="0" fontId="0" fillId="0" borderId="10" xfId="0" applyBorder="1" applyAlignment="1" applyProtection="1">
      <alignment horizontal="left"/>
      <protection locked="0"/>
    </xf>
    <xf numFmtId="0" fontId="13" fillId="2" borderId="8" xfId="1" applyFill="1" applyBorder="1" applyAlignment="1" applyProtection="1">
      <alignment horizontal="left"/>
      <protection locked="0"/>
    </xf>
    <xf numFmtId="0" fontId="17" fillId="2" borderId="4" xfId="1" applyFont="1" applyFill="1" applyBorder="1" applyAlignment="1" applyProtection="1">
      <alignment horizontal="left"/>
      <protection locked="0"/>
    </xf>
    <xf numFmtId="0" fontId="6" fillId="5" borderId="21" xfId="0" applyFont="1" applyFill="1" applyBorder="1" applyAlignment="1">
      <alignment horizontal="center"/>
    </xf>
    <xf numFmtId="0" fontId="6" fillId="5" borderId="22" xfId="0" applyFont="1" applyFill="1" applyBorder="1" applyAlignment="1">
      <alignment horizontal="center"/>
    </xf>
    <xf numFmtId="0" fontId="13" fillId="2" borderId="6" xfId="1" applyFill="1" applyBorder="1" applyAlignment="1" applyProtection="1">
      <alignment horizontal="left"/>
      <protection locked="0"/>
    </xf>
    <xf numFmtId="0" fontId="13" fillId="2" borderId="2" xfId="1" applyFill="1" applyBorder="1" applyAlignment="1" applyProtection="1">
      <alignment horizontal="left"/>
      <protection locked="0"/>
    </xf>
    <xf numFmtId="0" fontId="13" fillId="2" borderId="7" xfId="1" applyFill="1" applyBorder="1" applyAlignment="1" applyProtection="1">
      <alignment horizontal="left"/>
      <protection locked="0"/>
    </xf>
    <xf numFmtId="0" fontId="100" fillId="5" borderId="21" xfId="0" applyFont="1" applyFill="1" applyBorder="1" applyAlignment="1">
      <alignment horizontal="center"/>
    </xf>
    <xf numFmtId="0" fontId="100" fillId="5" borderId="30" xfId="0" applyFont="1" applyFill="1" applyBorder="1" applyAlignment="1">
      <alignment horizontal="center"/>
    </xf>
    <xf numFmtId="0" fontId="100" fillId="5" borderId="97" xfId="0" applyFont="1" applyFill="1" applyBorder="1" applyAlignment="1">
      <alignment horizontal="center"/>
    </xf>
    <xf numFmtId="0" fontId="100" fillId="5" borderId="21" xfId="0" applyFont="1" applyFill="1" applyBorder="1" applyAlignment="1">
      <alignment horizontal="left"/>
    </xf>
    <xf numFmtId="0" fontId="100" fillId="5" borderId="30" xfId="0" applyFont="1" applyFill="1" applyBorder="1" applyAlignment="1">
      <alignment horizontal="left"/>
    </xf>
    <xf numFmtId="0" fontId="100" fillId="5" borderId="97" xfId="0" applyFont="1" applyFill="1" applyBorder="1" applyAlignment="1">
      <alignment horizontal="left"/>
    </xf>
    <xf numFmtId="0" fontId="0" fillId="36" borderId="2" xfId="0" applyFill="1" applyBorder="1" applyAlignment="1">
      <alignment horizontal="center" wrapText="1"/>
    </xf>
    <xf numFmtId="0" fontId="0" fillId="36" borderId="7" xfId="0" applyFill="1" applyBorder="1" applyAlignment="1">
      <alignment horizontal="center" wrapText="1"/>
    </xf>
    <xf numFmtId="0" fontId="0" fillId="36" borderId="18" xfId="0" applyFill="1" applyBorder="1" applyAlignment="1">
      <alignment horizontal="center" wrapText="1"/>
    </xf>
    <xf numFmtId="0" fontId="0" fillId="36" borderId="10" xfId="0" applyFill="1" applyBorder="1" applyAlignment="1">
      <alignment horizontal="center" wrapText="1"/>
    </xf>
    <xf numFmtId="0" fontId="0" fillId="31" borderId="12" xfId="0" applyFill="1" applyBorder="1" applyAlignment="1" applyProtection="1">
      <alignment horizontal="left" vertical="top" wrapText="1"/>
      <protection locked="0"/>
    </xf>
    <xf numFmtId="0" fontId="0" fillId="31" borderId="19" xfId="0" applyFill="1" applyBorder="1" applyAlignment="1" applyProtection="1">
      <alignment horizontal="left" vertical="top" wrapText="1"/>
      <protection locked="0"/>
    </xf>
    <xf numFmtId="0" fontId="0" fillId="31" borderId="13" xfId="0" applyFill="1" applyBorder="1" applyAlignment="1" applyProtection="1">
      <alignment horizontal="left" vertical="top" wrapText="1"/>
      <protection locked="0"/>
    </xf>
    <xf numFmtId="0" fontId="0" fillId="31" borderId="14" xfId="0" applyFill="1" applyBorder="1" applyAlignment="1" applyProtection="1">
      <alignment horizontal="left" vertical="top" wrapText="1"/>
      <protection locked="0"/>
    </xf>
    <xf numFmtId="0" fontId="0" fillId="31" borderId="0" xfId="0" applyFill="1" applyAlignment="1" applyProtection="1">
      <alignment horizontal="left" vertical="top" wrapText="1"/>
      <protection locked="0"/>
    </xf>
    <xf numFmtId="0" fontId="0" fillId="31" borderId="15" xfId="0" applyFill="1" applyBorder="1" applyAlignment="1" applyProtection="1">
      <alignment horizontal="left" vertical="top" wrapText="1"/>
      <protection locked="0"/>
    </xf>
    <xf numFmtId="0" fontId="0" fillId="31" borderId="16" xfId="0" applyFill="1" applyBorder="1" applyAlignment="1" applyProtection="1">
      <alignment horizontal="left" vertical="top" wrapText="1"/>
      <protection locked="0"/>
    </xf>
    <xf numFmtId="0" fontId="0" fillId="31" borderId="20" xfId="0" applyFill="1" applyBorder="1" applyAlignment="1" applyProtection="1">
      <alignment horizontal="left" vertical="top" wrapText="1"/>
      <protection locked="0"/>
    </xf>
    <xf numFmtId="0" fontId="0" fillId="31" borderId="17" xfId="0" applyFill="1" applyBorder="1" applyAlignment="1" applyProtection="1">
      <alignment horizontal="left" vertical="top" wrapText="1"/>
      <protection locked="0"/>
    </xf>
    <xf numFmtId="170" fontId="0" fillId="2" borderId="2" xfId="0" applyNumberFormat="1" applyFill="1" applyBorder="1" applyAlignment="1">
      <alignment horizontal="center"/>
    </xf>
    <xf numFmtId="170" fontId="0" fillId="2" borderId="7" xfId="0" applyNumberFormat="1" applyFill="1" applyBorder="1" applyAlignment="1">
      <alignment horizontal="center"/>
    </xf>
    <xf numFmtId="170" fontId="0" fillId="2" borderId="0" xfId="0" applyNumberFormat="1" applyFill="1" applyAlignment="1">
      <alignment horizontal="center"/>
    </xf>
    <xf numFmtId="170" fontId="0" fillId="2" borderId="4" xfId="0" applyNumberFormat="1" applyFill="1" applyBorder="1" applyAlignment="1">
      <alignment horizontal="center"/>
    </xf>
    <xf numFmtId="0" fontId="0" fillId="2" borderId="6" xfId="0" applyFill="1" applyBorder="1" applyAlignment="1">
      <alignment horizontal="left"/>
    </xf>
    <xf numFmtId="0" fontId="0" fillId="2" borderId="2" xfId="0" applyFill="1" applyBorder="1" applyAlignment="1">
      <alignment horizontal="left"/>
    </xf>
    <xf numFmtId="0" fontId="0" fillId="2" borderId="8" xfId="0" applyFill="1" applyBorder="1" applyAlignment="1">
      <alignment horizontal="left"/>
    </xf>
    <xf numFmtId="0" fontId="0" fillId="0" borderId="0" xfId="0" applyAlignment="1">
      <alignment horizontal="left"/>
    </xf>
    <xf numFmtId="0" fontId="32" fillId="2" borderId="9" xfId="0" applyFont="1" applyFill="1" applyBorder="1" applyAlignment="1">
      <alignment horizontal="left"/>
    </xf>
    <xf numFmtId="0" fontId="0" fillId="0" borderId="18" xfId="0" applyBorder="1" applyAlignment="1">
      <alignment horizontal="left"/>
    </xf>
    <xf numFmtId="0" fontId="0" fillId="8" borderId="8" xfId="0" applyFill="1" applyBorder="1" applyAlignment="1">
      <alignment horizontal="left"/>
    </xf>
    <xf numFmtId="0" fontId="0" fillId="8" borderId="0" xfId="0" applyFill="1" applyAlignment="1">
      <alignment horizontal="left"/>
    </xf>
    <xf numFmtId="0" fontId="0" fillId="2" borderId="9" xfId="0" applyFill="1" applyBorder="1" applyAlignment="1">
      <alignment horizontal="left"/>
    </xf>
    <xf numFmtId="0" fontId="0" fillId="0" borderId="2" xfId="0" applyBorder="1" applyAlignment="1">
      <alignment horizontal="left"/>
    </xf>
    <xf numFmtId="0" fontId="0" fillId="2" borderId="0" xfId="0" applyFill="1" applyAlignment="1">
      <alignment horizontal="left"/>
    </xf>
    <xf numFmtId="0" fontId="32" fillId="2" borderId="2" xfId="0" applyFont="1" applyFill="1" applyBorder="1" applyAlignment="1">
      <alignment vertical="top"/>
    </xf>
    <xf numFmtId="0" fontId="32" fillId="2" borderId="7" xfId="0" applyFont="1" applyFill="1" applyBorder="1" applyAlignment="1">
      <alignment vertical="top"/>
    </xf>
    <xf numFmtId="0" fontId="32" fillId="2" borderId="0" xfId="0" applyFont="1" applyFill="1" applyAlignment="1">
      <alignment vertical="top"/>
    </xf>
    <xf numFmtId="0" fontId="32" fillId="2" borderId="4" xfId="0" applyFont="1" applyFill="1" applyBorder="1" applyAlignment="1">
      <alignment vertical="top"/>
    </xf>
    <xf numFmtId="0" fontId="32" fillId="2" borderId="18" xfId="0" applyFont="1" applyFill="1" applyBorder="1" applyAlignment="1">
      <alignment vertical="top"/>
    </xf>
    <xf numFmtId="0" fontId="32" fillId="2" borderId="10" xfId="0" applyFont="1" applyFill="1" applyBorder="1" applyAlignment="1">
      <alignment vertical="top"/>
    </xf>
    <xf numFmtId="0" fontId="0" fillId="0" borderId="7" xfId="0" applyBorder="1" applyAlignment="1">
      <alignment horizontal="left"/>
    </xf>
    <xf numFmtId="0" fontId="0" fillId="0" borderId="4" xfId="0" applyBorder="1" applyAlignment="1">
      <alignment horizontal="left"/>
    </xf>
    <xf numFmtId="0" fontId="0" fillId="8" borderId="4" xfId="0" applyFill="1" applyBorder="1" applyAlignment="1">
      <alignment horizontal="left"/>
    </xf>
    <xf numFmtId="0" fontId="0" fillId="2" borderId="18" xfId="0" applyFill="1" applyBorder="1" applyAlignment="1">
      <alignment horizontal="left"/>
    </xf>
    <xf numFmtId="0" fontId="0" fillId="0" borderId="10" xfId="0" applyBorder="1" applyAlignment="1">
      <alignment horizontal="left"/>
    </xf>
    <xf numFmtId="0" fontId="28" fillId="4" borderId="12" xfId="0" applyFont="1" applyFill="1" applyBorder="1" applyAlignment="1" applyProtection="1">
      <alignment horizontal="left" vertical="top" wrapText="1"/>
      <protection locked="0"/>
    </xf>
    <xf numFmtId="0" fontId="28" fillId="4" borderId="19" xfId="0" applyFont="1" applyFill="1" applyBorder="1" applyAlignment="1" applyProtection="1">
      <alignment horizontal="left" vertical="top" wrapText="1"/>
      <protection locked="0"/>
    </xf>
    <xf numFmtId="0" fontId="28" fillId="4" borderId="13" xfId="0" applyFont="1" applyFill="1" applyBorder="1" applyAlignment="1" applyProtection="1">
      <alignment horizontal="left" vertical="top" wrapText="1"/>
      <protection locked="0"/>
    </xf>
    <xf numFmtId="0" fontId="28" fillId="4" borderId="14" xfId="0" applyFont="1" applyFill="1" applyBorder="1" applyAlignment="1" applyProtection="1">
      <alignment horizontal="left" vertical="top" wrapText="1"/>
      <protection locked="0"/>
    </xf>
    <xf numFmtId="0" fontId="28" fillId="4" borderId="0" xfId="0" applyFont="1" applyFill="1" applyAlignment="1" applyProtection="1">
      <alignment horizontal="left" vertical="top" wrapText="1"/>
      <protection locked="0"/>
    </xf>
    <xf numFmtId="0" fontId="28" fillId="4" borderId="15" xfId="0" applyFont="1" applyFill="1" applyBorder="1" applyAlignment="1" applyProtection="1">
      <alignment horizontal="left" vertical="top" wrapText="1"/>
      <protection locked="0"/>
    </xf>
    <xf numFmtId="0" fontId="28" fillId="4" borderId="16" xfId="0" applyFont="1" applyFill="1" applyBorder="1" applyAlignment="1" applyProtection="1">
      <alignment horizontal="left" vertical="top" wrapText="1"/>
      <protection locked="0"/>
    </xf>
    <xf numFmtId="0" fontId="28" fillId="4" borderId="20" xfId="0" applyFont="1" applyFill="1" applyBorder="1" applyAlignment="1" applyProtection="1">
      <alignment horizontal="left" vertical="top" wrapText="1"/>
      <protection locked="0"/>
    </xf>
    <xf numFmtId="0" fontId="28" fillId="4" borderId="17" xfId="0" applyFont="1" applyFill="1" applyBorder="1" applyAlignment="1" applyProtection="1">
      <alignment horizontal="left" vertical="top" wrapText="1"/>
      <protection locked="0"/>
    </xf>
    <xf numFmtId="0" fontId="0" fillId="2" borderId="21" xfId="0" applyFill="1" applyBorder="1" applyAlignment="1">
      <alignment horizontal="left"/>
    </xf>
    <xf numFmtId="0" fontId="0" fillId="2" borderId="30" xfId="0" applyFill="1" applyBorder="1" applyAlignment="1">
      <alignment horizontal="left"/>
    </xf>
    <xf numFmtId="0" fontId="0" fillId="2" borderId="22" xfId="0" applyFill="1" applyBorder="1" applyAlignment="1">
      <alignment horizontal="left"/>
    </xf>
    <xf numFmtId="44" fontId="0" fillId="2" borderId="8" xfId="0" applyNumberFormat="1" applyFill="1" applyBorder="1" applyAlignment="1">
      <alignment horizontal="right"/>
    </xf>
    <xf numFmtId="0" fontId="0" fillId="0" borderId="4" xfId="0" applyBorder="1" applyAlignment="1">
      <alignment horizontal="right"/>
    </xf>
    <xf numFmtId="0" fontId="28" fillId="4" borderId="6" xfId="0" applyFont="1" applyFill="1" applyBorder="1" applyAlignment="1" applyProtection="1">
      <alignment horizontal="left" vertical="top" wrapText="1"/>
      <protection locked="0"/>
    </xf>
    <xf numFmtId="0" fontId="28" fillId="4" borderId="2" xfId="0" applyFont="1" applyFill="1" applyBorder="1" applyAlignment="1" applyProtection="1">
      <alignment horizontal="left" vertical="top" wrapText="1"/>
      <protection locked="0"/>
    </xf>
    <xf numFmtId="0" fontId="28" fillId="4" borderId="7" xfId="0" applyFont="1" applyFill="1" applyBorder="1" applyAlignment="1" applyProtection="1">
      <alignment horizontal="left" vertical="top" wrapText="1"/>
      <protection locked="0"/>
    </xf>
    <xf numFmtId="0" fontId="28" fillId="4" borderId="8" xfId="0" applyFont="1" applyFill="1" applyBorder="1" applyAlignment="1" applyProtection="1">
      <alignment horizontal="left" vertical="top" wrapText="1"/>
      <protection locked="0"/>
    </xf>
    <xf numFmtId="0" fontId="28" fillId="4" borderId="4" xfId="0" applyFont="1" applyFill="1" applyBorder="1" applyAlignment="1" applyProtection="1">
      <alignment horizontal="left" vertical="top" wrapText="1"/>
      <protection locked="0"/>
    </xf>
    <xf numFmtId="0" fontId="28" fillId="4" borderId="9" xfId="0" applyFont="1" applyFill="1" applyBorder="1" applyAlignment="1" applyProtection="1">
      <alignment horizontal="left" vertical="top" wrapText="1"/>
      <protection locked="0"/>
    </xf>
    <xf numFmtId="0" fontId="28" fillId="4" borderId="18" xfId="0" applyFont="1" applyFill="1" applyBorder="1" applyAlignment="1" applyProtection="1">
      <alignment horizontal="left" vertical="top" wrapText="1"/>
      <protection locked="0"/>
    </xf>
    <xf numFmtId="0" fontId="28" fillId="4" borderId="10" xfId="0" applyFont="1" applyFill="1" applyBorder="1" applyAlignment="1" applyProtection="1">
      <alignment horizontal="left" vertical="top" wrapText="1"/>
      <protection locked="0"/>
    </xf>
    <xf numFmtId="0" fontId="100" fillId="5" borderId="21" xfId="0" applyFont="1" applyFill="1" applyBorder="1" applyAlignment="1">
      <alignment horizontal="left" wrapText="1"/>
    </xf>
    <xf numFmtId="0" fontId="100" fillId="5" borderId="30" xfId="0" applyFont="1" applyFill="1" applyBorder="1" applyAlignment="1">
      <alignment horizontal="left" wrapText="1"/>
    </xf>
    <xf numFmtId="0" fontId="100" fillId="5" borderId="22" xfId="0" applyFont="1" applyFill="1" applyBorder="1" applyAlignment="1">
      <alignment horizontal="left" wrapText="1"/>
    </xf>
    <xf numFmtId="0" fontId="36" fillId="36" borderId="21" xfId="0" applyFont="1" applyFill="1" applyBorder="1" applyAlignment="1">
      <alignment horizontal="left" wrapText="1"/>
    </xf>
    <xf numFmtId="0" fontId="36" fillId="36" borderId="30" xfId="0" applyFont="1" applyFill="1" applyBorder="1" applyAlignment="1">
      <alignment horizontal="left" wrapText="1"/>
    </xf>
    <xf numFmtId="0" fontId="36" fillId="36" borderId="22" xfId="0" applyFont="1" applyFill="1" applyBorder="1" applyAlignment="1">
      <alignment horizontal="left" wrapText="1"/>
    </xf>
    <xf numFmtId="0" fontId="4" fillId="27" borderId="21" xfId="0" applyFont="1" applyFill="1" applyBorder="1" applyAlignment="1">
      <alignment horizontal="left" wrapText="1"/>
    </xf>
    <xf numFmtId="0" fontId="0" fillId="0" borderId="30" xfId="0" applyBorder="1" applyAlignment="1">
      <alignment horizontal="left" wrapText="1"/>
    </xf>
    <xf numFmtId="0" fontId="0" fillId="0" borderId="22" xfId="0" applyBorder="1" applyAlignment="1">
      <alignment horizontal="left" wrapText="1"/>
    </xf>
    <xf numFmtId="0" fontId="28" fillId="4" borderId="12" xfId="0" applyFont="1" applyFill="1" applyBorder="1" applyAlignment="1" applyProtection="1">
      <alignment horizontal="center" vertical="top" wrapText="1"/>
      <protection locked="0"/>
    </xf>
    <xf numFmtId="0" fontId="28" fillId="4" borderId="19" xfId="0" applyFont="1" applyFill="1" applyBorder="1" applyAlignment="1" applyProtection="1">
      <alignment horizontal="center" vertical="top" wrapText="1"/>
      <protection locked="0"/>
    </xf>
    <xf numFmtId="0" fontId="28" fillId="4" borderId="13" xfId="0" applyFont="1" applyFill="1" applyBorder="1" applyAlignment="1" applyProtection="1">
      <alignment horizontal="center" vertical="top" wrapText="1"/>
      <protection locked="0"/>
    </xf>
    <xf numFmtId="0" fontId="28" fillId="4" borderId="14" xfId="0" applyFont="1" applyFill="1" applyBorder="1" applyAlignment="1" applyProtection="1">
      <alignment horizontal="center" vertical="top" wrapText="1"/>
      <protection locked="0"/>
    </xf>
    <xf numFmtId="0" fontId="28" fillId="4" borderId="0" xfId="0" applyFont="1" applyFill="1" applyAlignment="1" applyProtection="1">
      <alignment horizontal="center" vertical="top" wrapText="1"/>
      <protection locked="0"/>
    </xf>
    <xf numFmtId="0" fontId="28" fillId="4" borderId="15" xfId="0" applyFont="1" applyFill="1" applyBorder="1" applyAlignment="1" applyProtection="1">
      <alignment horizontal="center" vertical="top" wrapText="1"/>
      <protection locked="0"/>
    </xf>
    <xf numFmtId="0" fontId="28" fillId="4" borderId="16" xfId="0" applyFont="1" applyFill="1" applyBorder="1" applyAlignment="1" applyProtection="1">
      <alignment horizontal="center" vertical="top" wrapText="1"/>
      <protection locked="0"/>
    </xf>
    <xf numFmtId="0" fontId="28" fillId="4" borderId="20" xfId="0" applyFont="1" applyFill="1" applyBorder="1" applyAlignment="1" applyProtection="1">
      <alignment horizontal="center" vertical="top" wrapText="1"/>
      <protection locked="0"/>
    </xf>
    <xf numFmtId="0" fontId="28" fillId="4" borderId="17" xfId="0" applyFont="1" applyFill="1" applyBorder="1" applyAlignment="1" applyProtection="1">
      <alignment horizontal="center" vertical="top" wrapText="1"/>
      <protection locked="0"/>
    </xf>
    <xf numFmtId="44" fontId="0" fillId="2" borderId="9" xfId="0" applyNumberFormat="1" applyFill="1" applyBorder="1" applyAlignment="1">
      <alignment horizontal="right"/>
    </xf>
    <xf numFmtId="0" fontId="0" fillId="0" borderId="10" xfId="0" applyBorder="1" applyAlignment="1">
      <alignment horizontal="right"/>
    </xf>
    <xf numFmtId="190" fontId="4" fillId="27" borderId="21" xfId="0" applyNumberFormat="1" applyFont="1" applyFill="1" applyBorder="1" applyAlignment="1">
      <alignment horizontal="right"/>
    </xf>
    <xf numFmtId="190" fontId="0" fillId="0" borderId="22" xfId="0" applyNumberFormat="1" applyBorder="1" applyAlignment="1">
      <alignment horizontal="right"/>
    </xf>
    <xf numFmtId="0" fontId="36" fillId="36" borderId="21" xfId="0" applyFont="1" applyFill="1" applyBorder="1" applyAlignment="1">
      <alignment horizontal="left"/>
    </xf>
    <xf numFmtId="0" fontId="0" fillId="0" borderId="30" xfId="0" applyBorder="1" applyAlignment="1">
      <alignment horizontal="left"/>
    </xf>
    <xf numFmtId="0" fontId="0" fillId="0" borderId="22" xfId="0" applyBorder="1" applyAlignment="1">
      <alignment horizontal="left"/>
    </xf>
    <xf numFmtId="172" fontId="28" fillId="17" borderId="1" xfId="0" applyNumberFormat="1" applyFont="1" applyFill="1" applyBorder="1" applyAlignment="1">
      <alignment horizontal="right"/>
    </xf>
    <xf numFmtId="42" fontId="0" fillId="2" borderId="8" xfId="0" applyNumberFormat="1" applyFill="1" applyBorder="1" applyAlignment="1">
      <alignment horizontal="center"/>
    </xf>
    <xf numFmtId="42" fontId="0" fillId="2" borderId="4" xfId="0" applyNumberFormat="1" applyFill="1" applyBorder="1" applyAlignment="1">
      <alignment horizontal="center"/>
    </xf>
    <xf numFmtId="42" fontId="0" fillId="40" borderId="9" xfId="0" applyNumberFormat="1" applyFill="1" applyBorder="1" applyAlignment="1">
      <alignment horizontal="center"/>
    </xf>
    <xf numFmtId="42" fontId="0" fillId="40" borderId="10" xfId="0" applyNumberFormat="1" applyFill="1" applyBorder="1" applyAlignment="1">
      <alignment horizontal="center"/>
    </xf>
    <xf numFmtId="0" fontId="100" fillId="5" borderId="6" xfId="0" applyFont="1" applyFill="1" applyBorder="1" applyAlignment="1">
      <alignment horizontal="center" wrapText="1"/>
    </xf>
    <xf numFmtId="0" fontId="100" fillId="5" borderId="2" xfId="0" applyFont="1" applyFill="1" applyBorder="1" applyAlignment="1">
      <alignment horizontal="center" wrapText="1"/>
    </xf>
    <xf numFmtId="0" fontId="100" fillId="5" borderId="7" xfId="0" applyFont="1" applyFill="1" applyBorder="1" applyAlignment="1">
      <alignment horizontal="center" wrapText="1"/>
    </xf>
    <xf numFmtId="189" fontId="0" fillId="2" borderId="6" xfId="0" applyNumberFormat="1" applyFill="1" applyBorder="1" applyAlignment="1">
      <alignment horizontal="right"/>
    </xf>
    <xf numFmtId="189" fontId="0" fillId="2" borderId="7" xfId="0" applyNumberFormat="1" applyFill="1" applyBorder="1" applyAlignment="1">
      <alignment horizontal="right"/>
    </xf>
    <xf numFmtId="189" fontId="0" fillId="2" borderId="9" xfId="0" applyNumberFormat="1" applyFill="1" applyBorder="1" applyAlignment="1">
      <alignment horizontal="right"/>
    </xf>
    <xf numFmtId="189" fontId="0" fillId="2" borderId="10" xfId="0" applyNumberFormat="1" applyFill="1" applyBorder="1" applyAlignment="1">
      <alignment horizontal="right"/>
    </xf>
    <xf numFmtId="0" fontId="36" fillId="36" borderId="21" xfId="0" applyFont="1" applyFill="1" applyBorder="1" applyAlignment="1">
      <alignment horizontal="center" wrapText="1"/>
    </xf>
    <xf numFmtId="0" fontId="36" fillId="36" borderId="22" xfId="0" applyFont="1" applyFill="1" applyBorder="1" applyAlignment="1">
      <alignment horizontal="center" wrapText="1"/>
    </xf>
    <xf numFmtId="42" fontId="0" fillId="2" borderId="6" xfId="0" applyNumberFormat="1" applyFill="1" applyBorder="1" applyAlignment="1">
      <alignment horizontal="center"/>
    </xf>
    <xf numFmtId="42" fontId="0" fillId="2" borderId="7" xfId="0" applyNumberFormat="1" applyFill="1" applyBorder="1" applyAlignment="1">
      <alignment horizontal="center"/>
    </xf>
    <xf numFmtId="42" fontId="0" fillId="36" borderId="21" xfId="0" applyNumberFormat="1" applyFill="1" applyBorder="1" applyAlignment="1">
      <alignment horizontal="center"/>
    </xf>
    <xf numFmtId="42" fontId="0" fillId="36" borderId="22" xfId="0" applyNumberFormat="1" applyFill="1" applyBorder="1" applyAlignment="1">
      <alignment horizontal="center"/>
    </xf>
    <xf numFmtId="0" fontId="0" fillId="2" borderId="4" xfId="0" applyFill="1" applyBorder="1" applyAlignment="1">
      <alignment horizontal="left"/>
    </xf>
    <xf numFmtId="0" fontId="4" fillId="40" borderId="9" xfId="0" applyFont="1" applyFill="1" applyBorder="1" applyAlignment="1">
      <alignment horizontal="left"/>
    </xf>
    <xf numFmtId="0" fontId="4" fillId="40" borderId="18" xfId="0" applyFont="1" applyFill="1" applyBorder="1" applyAlignment="1">
      <alignment horizontal="left"/>
    </xf>
    <xf numFmtId="0" fontId="4" fillId="40" borderId="10" xfId="0" applyFont="1" applyFill="1" applyBorder="1" applyAlignment="1">
      <alignment horizontal="left"/>
    </xf>
    <xf numFmtId="0" fontId="4" fillId="36" borderId="21" xfId="0" applyFont="1" applyFill="1" applyBorder="1" applyAlignment="1">
      <alignment horizontal="left"/>
    </xf>
    <xf numFmtId="0" fontId="4" fillId="36" borderId="30" xfId="0" applyFont="1" applyFill="1" applyBorder="1" applyAlignment="1">
      <alignment horizontal="left"/>
    </xf>
    <xf numFmtId="0" fontId="4" fillId="36" borderId="22" xfId="0" applyFont="1" applyFill="1" applyBorder="1" applyAlignment="1">
      <alignment horizontal="left"/>
    </xf>
    <xf numFmtId="0" fontId="149" fillId="5" borderId="6" xfId="0" applyFont="1" applyFill="1" applyBorder="1" applyAlignment="1">
      <alignment horizontal="center" vertical="center"/>
    </xf>
    <xf numFmtId="0" fontId="149" fillId="5" borderId="2" xfId="0" applyFont="1" applyFill="1" applyBorder="1" applyAlignment="1">
      <alignment horizontal="center" vertical="center"/>
    </xf>
    <xf numFmtId="0" fontId="149" fillId="5" borderId="7" xfId="0" applyFont="1" applyFill="1" applyBorder="1" applyAlignment="1">
      <alignment horizontal="center" vertical="center"/>
    </xf>
    <xf numFmtId="0" fontId="149" fillId="5" borderId="8" xfId="0" applyFont="1" applyFill="1" applyBorder="1" applyAlignment="1">
      <alignment horizontal="center" vertical="center"/>
    </xf>
    <xf numFmtId="0" fontId="149" fillId="5" borderId="0" xfId="0" applyFont="1" applyFill="1" applyAlignment="1">
      <alignment horizontal="center" vertical="center"/>
    </xf>
    <xf numFmtId="0" fontId="149" fillId="5" borderId="4" xfId="0" applyFont="1" applyFill="1" applyBorder="1" applyAlignment="1">
      <alignment horizontal="center" vertical="center"/>
    </xf>
    <xf numFmtId="0" fontId="36" fillId="40" borderId="21" xfId="0" applyFont="1" applyFill="1" applyBorder="1" applyAlignment="1">
      <alignment horizontal="left"/>
    </xf>
    <xf numFmtId="0" fontId="36" fillId="40" borderId="30" xfId="0" applyFont="1" applyFill="1" applyBorder="1" applyAlignment="1">
      <alignment horizontal="left"/>
    </xf>
    <xf numFmtId="170" fontId="0" fillId="2" borderId="18" xfId="0" applyNumberFormat="1" applyFill="1" applyBorder="1" applyAlignment="1">
      <alignment horizontal="center"/>
    </xf>
    <xf numFmtId="170" fontId="0" fillId="2" borderId="10" xfId="0" applyNumberFormat="1" applyFill="1" applyBorder="1" applyAlignment="1">
      <alignment horizontal="center"/>
    </xf>
    <xf numFmtId="44" fontId="126" fillId="40" borderId="30" xfId="0" applyNumberFormat="1" applyFont="1" applyFill="1" applyBorder="1" applyAlignment="1">
      <alignment horizontal="center"/>
    </xf>
    <xf numFmtId="44" fontId="126" fillId="40" borderId="22" xfId="0" applyNumberFormat="1" applyFont="1" applyFill="1" applyBorder="1" applyAlignment="1">
      <alignment horizontal="center"/>
    </xf>
    <xf numFmtId="0" fontId="100" fillId="5" borderId="21" xfId="0" applyFont="1" applyFill="1" applyBorder="1" applyAlignment="1">
      <alignment horizontal="center" wrapText="1"/>
    </xf>
    <xf numFmtId="0" fontId="100" fillId="5" borderId="30" xfId="0" applyFont="1" applyFill="1" applyBorder="1" applyAlignment="1">
      <alignment horizontal="center" wrapText="1"/>
    </xf>
    <xf numFmtId="0" fontId="100" fillId="5" borderId="22" xfId="0" applyFont="1" applyFill="1" applyBorder="1" applyAlignment="1">
      <alignment horizontal="center" wrapText="1"/>
    </xf>
    <xf numFmtId="0" fontId="0" fillId="2" borderId="6" xfId="0" applyFill="1" applyBorder="1" applyAlignment="1">
      <alignment horizontal="left" vertical="center"/>
    </xf>
    <xf numFmtId="0" fontId="0" fillId="2" borderId="2" xfId="0" applyFill="1" applyBorder="1" applyAlignment="1">
      <alignment horizontal="left" vertical="center"/>
    </xf>
    <xf numFmtId="0" fontId="100" fillId="5" borderId="1" xfId="0" quotePrefix="1" applyFont="1" applyFill="1" applyBorder="1" applyAlignment="1">
      <alignment horizontal="center"/>
    </xf>
    <xf numFmtId="0" fontId="0" fillId="2" borderId="7" xfId="0" applyFill="1" applyBorder="1" applyAlignment="1">
      <alignment horizontal="left"/>
    </xf>
    <xf numFmtId="42" fontId="0" fillId="2" borderId="0" xfId="0" applyNumberFormat="1" applyFill="1" applyAlignment="1">
      <alignment horizontal="center"/>
    </xf>
    <xf numFmtId="168" fontId="28" fillId="17" borderId="1" xfId="0" applyNumberFormat="1" applyFont="1" applyFill="1" applyBorder="1" applyAlignment="1">
      <alignment horizontal="right"/>
    </xf>
    <xf numFmtId="0" fontId="4" fillId="40" borderId="18" xfId="0" applyFont="1" applyFill="1" applyBorder="1" applyAlignment="1">
      <alignment horizontal="center"/>
    </xf>
    <xf numFmtId="0" fontId="0" fillId="40" borderId="0" xfId="0" applyFill="1" applyAlignment="1">
      <alignment horizontal="left" vertical="top" wrapText="1"/>
    </xf>
    <xf numFmtId="0" fontId="0" fillId="36" borderId="21" xfId="0" applyFill="1" applyBorder="1" applyAlignment="1">
      <alignment horizontal="left"/>
    </xf>
    <xf numFmtId="0" fontId="0" fillId="36" borderId="30" xfId="0" applyFill="1" applyBorder="1" applyAlignment="1">
      <alignment horizontal="left"/>
    </xf>
    <xf numFmtId="0" fontId="100" fillId="5" borderId="22" xfId="0" applyFont="1" applyFill="1" applyBorder="1" applyAlignment="1">
      <alignment horizontal="center"/>
    </xf>
    <xf numFmtId="0" fontId="0" fillId="36" borderId="30" xfId="0" applyFill="1" applyBorder="1" applyAlignment="1">
      <alignment horizontal="center"/>
    </xf>
    <xf numFmtId="0" fontId="0" fillId="36" borderId="22" xfId="0" applyFill="1" applyBorder="1" applyAlignment="1">
      <alignment horizontal="center"/>
    </xf>
    <xf numFmtId="0" fontId="0" fillId="36" borderId="8" xfId="0" applyFill="1" applyBorder="1" applyAlignment="1">
      <alignment horizontal="left"/>
    </xf>
    <xf numFmtId="0" fontId="0" fillId="36" borderId="0" xfId="0" applyFill="1" applyAlignment="1">
      <alignment horizontal="left"/>
    </xf>
    <xf numFmtId="0" fontId="0" fillId="27" borderId="8" xfId="0" applyFill="1" applyBorder="1" applyAlignment="1">
      <alignment horizontal="left"/>
    </xf>
    <xf numFmtId="0" fontId="0" fillId="27" borderId="0" xfId="0" applyFill="1" applyAlignment="1">
      <alignment horizontal="left"/>
    </xf>
    <xf numFmtId="0" fontId="0" fillId="36" borderId="9" xfId="0" applyFill="1" applyBorder="1" applyAlignment="1">
      <alignment horizontal="left"/>
    </xf>
    <xf numFmtId="0" fontId="0" fillId="36" borderId="18" xfId="0" applyFill="1" applyBorder="1" applyAlignment="1">
      <alignment horizontal="left"/>
    </xf>
    <xf numFmtId="0" fontId="0" fillId="36" borderId="0" xfId="0" applyFill="1" applyAlignment="1">
      <alignment horizontal="center"/>
    </xf>
    <xf numFmtId="0" fontId="0" fillId="36" borderId="4" xfId="0" applyFill="1" applyBorder="1" applyAlignment="1">
      <alignment horizontal="center"/>
    </xf>
    <xf numFmtId="0" fontId="0" fillId="27" borderId="0" xfId="0" applyFill="1" applyAlignment="1">
      <alignment horizontal="center"/>
    </xf>
    <xf numFmtId="0" fontId="0" fillId="27" borderId="4" xfId="0" applyFill="1" applyBorder="1" applyAlignment="1">
      <alignment horizontal="center"/>
    </xf>
    <xf numFmtId="0" fontId="100" fillId="5" borderId="21" xfId="0" quotePrefix="1" applyFont="1" applyFill="1" applyBorder="1" applyAlignment="1">
      <alignment horizontal="center"/>
    </xf>
    <xf numFmtId="0" fontId="0" fillId="2" borderId="18" xfId="0" applyFill="1" applyBorder="1" applyAlignment="1">
      <alignment horizontal="right"/>
    </xf>
    <xf numFmtId="0" fontId="0" fillId="2" borderId="10" xfId="0" applyFill="1" applyBorder="1" applyAlignment="1">
      <alignment horizontal="right"/>
    </xf>
    <xf numFmtId="44" fontId="0" fillId="2" borderId="4" xfId="0" applyNumberFormat="1" applyFill="1" applyBorder="1" applyAlignment="1">
      <alignment horizontal="right"/>
    </xf>
    <xf numFmtId="0" fontId="0" fillId="36" borderId="18" xfId="0" applyFill="1" applyBorder="1" applyAlignment="1">
      <alignment horizontal="center"/>
    </xf>
    <xf numFmtId="0" fontId="0" fillId="36" borderId="10" xfId="0" applyFill="1" applyBorder="1" applyAlignment="1">
      <alignment horizontal="center"/>
    </xf>
    <xf numFmtId="0" fontId="5" fillId="5" borderId="22" xfId="0" applyFont="1" applyFill="1" applyBorder="1" applyAlignment="1">
      <alignment horizontal="center"/>
    </xf>
    <xf numFmtId="0" fontId="0" fillId="27" borderId="9" xfId="0" applyFill="1" applyBorder="1" applyAlignment="1">
      <alignment horizontal="left"/>
    </xf>
    <xf numFmtId="0" fontId="0" fillId="27" borderId="18" xfId="0" applyFill="1" applyBorder="1" applyAlignment="1">
      <alignment horizontal="left"/>
    </xf>
    <xf numFmtId="0" fontId="0" fillId="27" borderId="18" xfId="0" applyFill="1" applyBorder="1" applyAlignment="1">
      <alignment horizontal="center"/>
    </xf>
    <xf numFmtId="0" fontId="0" fillId="27" borderId="10" xfId="0" applyFill="1" applyBorder="1" applyAlignment="1">
      <alignment horizontal="center"/>
    </xf>
    <xf numFmtId="172" fontId="28" fillId="17" borderId="21" xfId="0" applyNumberFormat="1" applyFont="1" applyFill="1" applyBorder="1" applyAlignment="1">
      <alignment horizontal="right"/>
    </xf>
    <xf numFmtId="172" fontId="28" fillId="17" borderId="22" xfId="0" applyNumberFormat="1" applyFont="1" applyFill="1" applyBorder="1" applyAlignment="1">
      <alignment horizontal="right"/>
    </xf>
    <xf numFmtId="2" fontId="28" fillId="17" borderId="21" xfId="0" applyNumberFormat="1" applyFont="1" applyFill="1" applyBorder="1" applyAlignment="1">
      <alignment horizontal="right"/>
    </xf>
    <xf numFmtId="2" fontId="28" fillId="17" borderId="22" xfId="0" applyNumberFormat="1" applyFont="1" applyFill="1" applyBorder="1" applyAlignment="1">
      <alignment horizontal="right"/>
    </xf>
    <xf numFmtId="0" fontId="32" fillId="2" borderId="0" xfId="0" applyFont="1" applyFill="1" applyAlignment="1">
      <alignment horizontal="left" vertical="top"/>
    </xf>
    <xf numFmtId="0" fontId="32" fillId="2" borderId="4" xfId="0" applyFont="1" applyFill="1" applyBorder="1" applyAlignment="1">
      <alignment horizontal="left" vertical="top"/>
    </xf>
    <xf numFmtId="10" fontId="28" fillId="17" borderId="21" xfId="0" applyNumberFormat="1" applyFont="1" applyFill="1" applyBorder="1" applyAlignment="1">
      <alignment horizontal="right"/>
    </xf>
    <xf numFmtId="10" fontId="28" fillId="17" borderId="22" xfId="0" applyNumberFormat="1" applyFont="1" applyFill="1" applyBorder="1" applyAlignment="1">
      <alignment horizontal="right"/>
    </xf>
    <xf numFmtId="10" fontId="28" fillId="17" borderId="21" xfId="2" applyNumberFormat="1" applyFont="1" applyFill="1" applyBorder="1" applyAlignment="1" applyProtection="1">
      <alignment horizontal="right"/>
    </xf>
    <xf numFmtId="10" fontId="28" fillId="17" borderId="22" xfId="2" applyNumberFormat="1" applyFont="1" applyFill="1" applyBorder="1" applyAlignment="1" applyProtection="1">
      <alignment horizontal="right"/>
    </xf>
    <xf numFmtId="10" fontId="28" fillId="17" borderId="21" xfId="2" applyNumberFormat="1" applyFont="1" applyFill="1" applyBorder="1" applyAlignment="1" applyProtection="1">
      <alignment horizontal="left"/>
    </xf>
    <xf numFmtId="10" fontId="28" fillId="17" borderId="22" xfId="2" applyNumberFormat="1" applyFont="1" applyFill="1" applyBorder="1" applyAlignment="1" applyProtection="1">
      <alignment horizontal="left"/>
    </xf>
    <xf numFmtId="0" fontId="13" fillId="0" borderId="21" xfId="1" applyFill="1" applyBorder="1" applyAlignment="1">
      <alignment horizontal="center"/>
    </xf>
    <xf numFmtId="0" fontId="0" fillId="0" borderId="22" xfId="0" applyBorder="1" applyAlignment="1">
      <alignment horizontal="center"/>
    </xf>
    <xf numFmtId="0" fontId="100" fillId="5" borderId="2" xfId="0" applyFont="1" applyFill="1" applyBorder="1" applyAlignment="1">
      <alignment horizontal="center"/>
    </xf>
    <xf numFmtId="0" fontId="100" fillId="5" borderId="7" xfId="0" applyFont="1" applyFill="1" applyBorder="1" applyAlignment="1">
      <alignment horizontal="center"/>
    </xf>
    <xf numFmtId="0" fontId="0" fillId="2" borderId="6"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3" fillId="31" borderId="21" xfId="0" applyFont="1" applyFill="1" applyBorder="1" applyAlignment="1" applyProtection="1">
      <alignment horizontal="left"/>
      <protection locked="0"/>
    </xf>
    <xf numFmtId="0" fontId="3" fillId="31" borderId="30" xfId="0" applyFont="1" applyFill="1" applyBorder="1" applyAlignment="1" applyProtection="1">
      <alignment horizontal="left"/>
      <protection locked="0"/>
    </xf>
    <xf numFmtId="0" fontId="3" fillId="31" borderId="22" xfId="0" applyFont="1" applyFill="1" applyBorder="1" applyAlignment="1" applyProtection="1">
      <alignment horizontal="left"/>
      <protection locked="0"/>
    </xf>
    <xf numFmtId="0" fontId="206" fillId="40" borderId="0" xfId="0" applyFont="1" applyFill="1" applyAlignment="1">
      <alignment horizontal="right" vertical="top"/>
    </xf>
    <xf numFmtId="0" fontId="3" fillId="31" borderId="55" xfId="0" applyFont="1" applyFill="1" applyBorder="1" applyAlignment="1" applyProtection="1">
      <alignment horizontal="left"/>
      <protection locked="0"/>
    </xf>
    <xf numFmtId="0" fontId="3" fillId="31" borderId="56" xfId="0" applyFont="1" applyFill="1" applyBorder="1" applyAlignment="1" applyProtection="1">
      <alignment horizontal="left"/>
      <protection locked="0"/>
    </xf>
    <xf numFmtId="0" fontId="3" fillId="31" borderId="57" xfId="0" applyFont="1" applyFill="1" applyBorder="1" applyAlignment="1" applyProtection="1">
      <alignment horizontal="left"/>
      <protection locked="0"/>
    </xf>
    <xf numFmtId="0" fontId="13" fillId="31" borderId="1" xfId="1" applyFill="1" applyBorder="1" applyAlignment="1" applyProtection="1">
      <alignment horizontal="left"/>
      <protection locked="0"/>
    </xf>
    <xf numFmtId="0" fontId="3" fillId="31" borderId="1" xfId="0" applyFont="1" applyFill="1" applyBorder="1" applyAlignment="1" applyProtection="1">
      <alignment horizontal="left"/>
      <protection locked="0"/>
    </xf>
    <xf numFmtId="0" fontId="207" fillId="40" borderId="2" xfId="0" applyFont="1" applyFill="1" applyBorder="1" applyAlignment="1">
      <alignment horizontal="center"/>
    </xf>
    <xf numFmtId="0" fontId="13" fillId="40" borderId="0" xfId="1" applyFill="1" applyAlignment="1" applyProtection="1">
      <alignment horizontal="left"/>
      <protection locked="0"/>
    </xf>
    <xf numFmtId="49" fontId="3" fillId="0" borderId="21" xfId="0" applyNumberFormat="1" applyFont="1" applyBorder="1" applyAlignment="1" applyProtection="1">
      <alignment horizontal="left" vertical="center"/>
      <protection locked="0"/>
    </xf>
    <xf numFmtId="49" fontId="3" fillId="0" borderId="30" xfId="0" applyNumberFormat="1" applyFont="1" applyBorder="1" applyAlignment="1" applyProtection="1">
      <alignment horizontal="left" vertical="center"/>
      <protection locked="0"/>
    </xf>
    <xf numFmtId="49" fontId="3" fillId="0" borderId="22" xfId="0" applyNumberFormat="1" applyFont="1" applyBorder="1" applyAlignment="1" applyProtection="1">
      <alignment horizontal="left" vertical="center"/>
      <protection locked="0"/>
    </xf>
    <xf numFmtId="0" fontId="0" fillId="40" borderId="0" xfId="0" applyFill="1" applyAlignment="1">
      <alignment horizontal="center" vertical="top" wrapText="1"/>
    </xf>
    <xf numFmtId="0" fontId="0" fillId="2" borderId="1" xfId="0" applyFill="1" applyBorder="1" applyAlignment="1" applyProtection="1">
      <alignment horizontal="left" vertical="top" wrapText="1"/>
      <protection locked="0"/>
    </xf>
    <xf numFmtId="0" fontId="3" fillId="31" borderId="1" xfId="0" applyFont="1" applyFill="1" applyBorder="1" applyAlignment="1" applyProtection="1">
      <alignment horizontal="center"/>
      <protection locked="0"/>
    </xf>
    <xf numFmtId="0" fontId="0" fillId="40" borderId="0" xfId="0" applyFill="1" applyAlignment="1">
      <alignment horizontal="center"/>
    </xf>
    <xf numFmtId="0" fontId="0" fillId="2" borderId="6" xfId="0" quotePrefix="1" applyFill="1" applyBorder="1" applyAlignment="1" applyProtection="1">
      <alignment horizontal="left" vertical="top" wrapText="1"/>
      <protection locked="0"/>
    </xf>
    <xf numFmtId="0" fontId="0" fillId="2" borderId="8" xfId="0" quotePrefix="1" applyFill="1" applyBorder="1" applyAlignment="1" applyProtection="1">
      <alignment horizontal="left" vertical="top" wrapText="1"/>
      <protection locked="0"/>
    </xf>
    <xf numFmtId="0" fontId="0" fillId="2" borderId="9" xfId="0" quotePrefix="1" applyFill="1" applyBorder="1" applyAlignment="1" applyProtection="1">
      <alignment horizontal="left" vertical="top" wrapText="1"/>
      <protection locked="0"/>
    </xf>
    <xf numFmtId="0" fontId="3" fillId="2" borderId="1" xfId="0" applyFont="1" applyFill="1" applyBorder="1" applyAlignment="1" applyProtection="1">
      <alignment horizontal="left"/>
      <protection locked="0"/>
    </xf>
    <xf numFmtId="0" fontId="13" fillId="2" borderId="1" xfId="1" applyFill="1" applyBorder="1" applyAlignment="1" applyProtection="1">
      <alignment horizontal="left"/>
      <protection locked="0"/>
    </xf>
    <xf numFmtId="0" fontId="0" fillId="2" borderId="2" xfId="0" quotePrefix="1" applyFill="1" applyBorder="1" applyAlignment="1" applyProtection="1">
      <alignment horizontal="left" vertical="top" wrapText="1"/>
      <protection locked="0"/>
    </xf>
    <xf numFmtId="0" fontId="0" fillId="2" borderId="7" xfId="0" quotePrefix="1" applyFill="1" applyBorder="1" applyAlignment="1" applyProtection="1">
      <alignment horizontal="left" vertical="top" wrapText="1"/>
      <protection locked="0"/>
    </xf>
    <xf numFmtId="0" fontId="0" fillId="2" borderId="0" xfId="0" quotePrefix="1" applyFill="1" applyAlignment="1" applyProtection="1">
      <alignment horizontal="left" vertical="top" wrapText="1"/>
      <protection locked="0"/>
    </xf>
    <xf numFmtId="0" fontId="0" fillId="2" borderId="4" xfId="0" quotePrefix="1" applyFill="1" applyBorder="1" applyAlignment="1" applyProtection="1">
      <alignment horizontal="left" vertical="top" wrapText="1"/>
      <protection locked="0"/>
    </xf>
    <xf numFmtId="0" fontId="0" fillId="2" borderId="18" xfId="0" quotePrefix="1" applyFill="1" applyBorder="1" applyAlignment="1" applyProtection="1">
      <alignment horizontal="left" vertical="top" wrapText="1"/>
      <protection locked="0"/>
    </xf>
    <xf numFmtId="0" fontId="0" fillId="2" borderId="10" xfId="0" quotePrefix="1" applyFill="1" applyBorder="1" applyAlignment="1" applyProtection="1">
      <alignment horizontal="left" vertical="top" wrapText="1"/>
      <protection locked="0"/>
    </xf>
    <xf numFmtId="0" fontId="6" fillId="5" borderId="0" xfId="0" applyFont="1" applyFill="1" applyAlignment="1">
      <alignment horizontal="left" vertical="center" wrapText="1"/>
    </xf>
    <xf numFmtId="0" fontId="3" fillId="2" borderId="6"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2" borderId="18"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top" wrapText="1"/>
      <protection locked="0"/>
    </xf>
    <xf numFmtId="0" fontId="3" fillId="40" borderId="0" xfId="0" applyFont="1" applyFill="1" applyAlignment="1">
      <alignment horizontal="left" vertical="top" wrapText="1"/>
    </xf>
    <xf numFmtId="0" fontId="3" fillId="40" borderId="0" xfId="0" applyFont="1" applyFill="1" applyAlignment="1">
      <alignment horizontal="right" vertical="center"/>
    </xf>
    <xf numFmtId="0" fontId="3" fillId="31" borderId="5" xfId="0" applyFont="1" applyFill="1" applyBorder="1" applyAlignment="1" applyProtection="1">
      <alignment horizontal="center" vertical="center"/>
      <protection locked="0"/>
    </xf>
    <xf numFmtId="0" fontId="3" fillId="31" borderId="1" xfId="0" applyFont="1" applyFill="1" applyBorder="1" applyAlignment="1" applyProtection="1">
      <alignment horizontal="center" vertical="center"/>
      <protection locked="0"/>
    </xf>
    <xf numFmtId="0" fontId="0" fillId="36" borderId="1" xfId="0" applyFill="1" applyBorder="1" applyAlignment="1">
      <alignment horizontal="left"/>
    </xf>
    <xf numFmtId="0" fontId="0" fillId="36" borderId="1" xfId="0" applyFill="1" applyBorder="1"/>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49" fontId="3" fillId="0" borderId="6" xfId="0" applyNumberFormat="1" applyFont="1" applyBorder="1" applyAlignment="1" applyProtection="1">
      <alignment horizontal="left" vertical="top" wrapText="1"/>
      <protection locked="0"/>
    </xf>
    <xf numFmtId="49" fontId="3" fillId="0" borderId="5" xfId="0" applyNumberFormat="1" applyFont="1" applyBorder="1" applyAlignment="1" applyProtection="1">
      <alignment horizontal="left" vertical="top" wrapText="1"/>
      <protection locked="0"/>
    </xf>
    <xf numFmtId="49" fontId="3" fillId="0" borderId="21" xfId="0" applyNumberFormat="1" applyFont="1" applyBorder="1" applyAlignment="1" applyProtection="1">
      <alignment horizontal="left" vertical="top" wrapText="1"/>
      <protection locked="0"/>
    </xf>
    <xf numFmtId="49" fontId="3" fillId="0" borderId="1" xfId="0" applyNumberFormat="1" applyFont="1" applyBorder="1" applyAlignment="1" applyProtection="1">
      <alignment horizontal="left" vertical="top" wrapText="1"/>
      <protection locked="0"/>
    </xf>
    <xf numFmtId="0" fontId="0" fillId="40" borderId="0" xfId="1" applyFont="1" applyFill="1" applyBorder="1" applyAlignment="1">
      <alignment horizontal="right" vertical="center"/>
    </xf>
    <xf numFmtId="0" fontId="3" fillId="2" borderId="72"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top" wrapText="1"/>
      <protection locked="0"/>
    </xf>
    <xf numFmtId="164" fontId="3" fillId="40" borderId="0" xfId="0" applyNumberFormat="1" applyFont="1" applyFill="1" applyAlignment="1">
      <alignment horizontal="right"/>
    </xf>
    <xf numFmtId="0" fontId="3" fillId="40" borderId="0" xfId="1" applyFont="1" applyFill="1" applyBorder="1" applyAlignment="1">
      <alignment horizontal="right" vertical="center"/>
    </xf>
    <xf numFmtId="0" fontId="3" fillId="2" borderId="104" xfId="0" applyFont="1" applyFill="1" applyBorder="1" applyAlignment="1" applyProtection="1">
      <alignment horizontal="left" vertical="top" wrapText="1"/>
      <protection locked="0"/>
    </xf>
    <xf numFmtId="0" fontId="3" fillId="2" borderId="105" xfId="0" applyFont="1" applyFill="1" applyBorder="1" applyAlignment="1" applyProtection="1">
      <alignment horizontal="left" vertical="top" wrapText="1"/>
      <protection locked="0"/>
    </xf>
    <xf numFmtId="0" fontId="3" fillId="2" borderId="106" xfId="0" applyFont="1" applyFill="1" applyBorder="1" applyAlignment="1" applyProtection="1">
      <alignment horizontal="left" vertical="top" wrapText="1"/>
      <protection locked="0"/>
    </xf>
    <xf numFmtId="0" fontId="3" fillId="2" borderId="107" xfId="0" applyFont="1" applyFill="1" applyBorder="1" applyAlignment="1" applyProtection="1">
      <alignment horizontal="left" vertical="top" wrapText="1"/>
      <protection locked="0"/>
    </xf>
    <xf numFmtId="0" fontId="3" fillId="31" borderId="6" xfId="0" applyFont="1" applyFill="1" applyBorder="1" applyAlignment="1" applyProtection="1">
      <alignment horizontal="left" vertical="top" wrapText="1"/>
      <protection locked="0"/>
    </xf>
    <xf numFmtId="0" fontId="3" fillId="31" borderId="104" xfId="0" applyFont="1" applyFill="1" applyBorder="1" applyAlignment="1" applyProtection="1">
      <alignment horizontal="left" vertical="top" wrapText="1"/>
      <protection locked="0"/>
    </xf>
    <xf numFmtId="0" fontId="3" fillId="31" borderId="105" xfId="0" applyFont="1" applyFill="1" applyBorder="1" applyAlignment="1" applyProtection="1">
      <alignment horizontal="left" vertical="top" wrapText="1"/>
      <protection locked="0"/>
    </xf>
    <xf numFmtId="0" fontId="3" fillId="31" borderId="106" xfId="0" applyFont="1" applyFill="1" applyBorder="1" applyAlignment="1" applyProtection="1">
      <alignment horizontal="left" vertical="top" wrapText="1"/>
      <protection locked="0"/>
    </xf>
    <xf numFmtId="0" fontId="3" fillId="31" borderId="107" xfId="0" applyFont="1" applyFill="1" applyBorder="1" applyAlignment="1" applyProtection="1">
      <alignment horizontal="left" vertical="top" wrapText="1"/>
      <protection locked="0"/>
    </xf>
    <xf numFmtId="0" fontId="3" fillId="31" borderId="72" xfId="0" applyFont="1" applyFill="1" applyBorder="1" applyAlignment="1" applyProtection="1">
      <alignment horizontal="left" vertical="top" wrapText="1"/>
      <protection locked="0"/>
    </xf>
    <xf numFmtId="0" fontId="0" fillId="10" borderId="8" xfId="0" applyFill="1" applyBorder="1" applyAlignment="1">
      <alignment horizontal="left"/>
    </xf>
    <xf numFmtId="0" fontId="3" fillId="31" borderId="5" xfId="0" applyFont="1" applyFill="1" applyBorder="1" applyAlignment="1" applyProtection="1">
      <alignment horizontal="left" vertical="top" wrapText="1"/>
      <protection locked="0"/>
    </xf>
    <xf numFmtId="0" fontId="3" fillId="31" borderId="2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protection locked="0"/>
    </xf>
    <xf numFmtId="0" fontId="3" fillId="2" borderId="30"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13" fillId="2" borderId="21" xfId="1" applyFill="1" applyBorder="1" applyAlignment="1" applyProtection="1">
      <alignment horizontal="left"/>
      <protection locked="0"/>
    </xf>
    <xf numFmtId="0" fontId="13" fillId="2" borderId="30" xfId="1" applyFill="1" applyBorder="1" applyAlignment="1" applyProtection="1">
      <alignment horizontal="left"/>
      <protection locked="0"/>
    </xf>
    <xf numFmtId="0" fontId="13" fillId="2" borderId="22" xfId="1" applyFill="1" applyBorder="1" applyAlignment="1" applyProtection="1">
      <alignment horizontal="left"/>
      <protection locked="0"/>
    </xf>
    <xf numFmtId="0" fontId="3" fillId="40" borderId="0" xfId="0" applyFont="1" applyFill="1" applyAlignment="1">
      <alignment horizontal="left" wrapText="1"/>
    </xf>
    <xf numFmtId="0" fontId="3" fillId="40" borderId="0" xfId="0" applyFont="1" applyFill="1" applyAlignment="1">
      <alignment horizontal="left"/>
    </xf>
    <xf numFmtId="0" fontId="13" fillId="40" borderId="0" xfId="1" applyFill="1" applyAlignment="1">
      <alignment horizontal="left" vertical="center"/>
    </xf>
    <xf numFmtId="0" fontId="13" fillId="40" borderId="18" xfId="1" applyFill="1" applyBorder="1" applyAlignment="1">
      <alignment horizontal="left" vertical="center"/>
    </xf>
    <xf numFmtId="0" fontId="3" fillId="31" borderId="5" xfId="0" applyFont="1" applyFill="1" applyBorder="1" applyAlignment="1" applyProtection="1">
      <alignment vertical="center"/>
      <protection locked="0"/>
    </xf>
    <xf numFmtId="0" fontId="3" fillId="31" borderId="3" xfId="0" applyFont="1" applyFill="1" applyBorder="1" applyAlignment="1" applyProtection="1">
      <alignment vertical="center"/>
      <protection locked="0"/>
    </xf>
    <xf numFmtId="0" fontId="3" fillId="31" borderId="1"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197" fillId="40" borderId="0" xfId="0" applyFont="1" applyFill="1" applyAlignment="1">
      <alignment horizontal="center" vertical="center"/>
    </xf>
    <xf numFmtId="0" fontId="3" fillId="31"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197" fillId="40" borderId="0" xfId="0" applyFont="1" applyFill="1" applyAlignment="1">
      <alignment horizontal="center" vertical="top"/>
    </xf>
    <xf numFmtId="0" fontId="3" fillId="31" borderId="2" xfId="0" applyFont="1" applyFill="1" applyBorder="1" applyAlignment="1" applyProtection="1">
      <alignment horizontal="left" vertical="top" wrapText="1"/>
      <protection locked="0"/>
    </xf>
    <xf numFmtId="0" fontId="3" fillId="31" borderId="7" xfId="0" applyFont="1" applyFill="1" applyBorder="1" applyAlignment="1" applyProtection="1">
      <alignment horizontal="left" vertical="top" wrapText="1"/>
      <protection locked="0"/>
    </xf>
    <xf numFmtId="0" fontId="3" fillId="31" borderId="8" xfId="0" applyFont="1" applyFill="1" applyBorder="1" applyAlignment="1" applyProtection="1">
      <alignment horizontal="left" vertical="top" wrapText="1"/>
      <protection locked="0"/>
    </xf>
    <xf numFmtId="0" fontId="3" fillId="31" borderId="0" xfId="0" applyFont="1" applyFill="1" applyAlignment="1" applyProtection="1">
      <alignment horizontal="left" vertical="top" wrapText="1"/>
      <protection locked="0"/>
    </xf>
    <xf numFmtId="0" fontId="3" fillId="31" borderId="4" xfId="0" applyFont="1" applyFill="1" applyBorder="1" applyAlignment="1" applyProtection="1">
      <alignment horizontal="left" vertical="top" wrapText="1"/>
      <protection locked="0"/>
    </xf>
    <xf numFmtId="0" fontId="3" fillId="31" borderId="9" xfId="0" applyFont="1" applyFill="1" applyBorder="1" applyAlignment="1" applyProtection="1">
      <alignment horizontal="left" vertical="top" wrapText="1"/>
      <protection locked="0"/>
    </xf>
    <xf numFmtId="0" fontId="3" fillId="31" borderId="18" xfId="0" applyFont="1" applyFill="1" applyBorder="1" applyAlignment="1" applyProtection="1">
      <alignment horizontal="left" vertical="top" wrapText="1"/>
      <protection locked="0"/>
    </xf>
    <xf numFmtId="0" fontId="3" fillId="31" borderId="10" xfId="0" applyFont="1" applyFill="1" applyBorder="1" applyAlignment="1" applyProtection="1">
      <alignment horizontal="left" vertical="top" wrapText="1"/>
      <protection locked="0"/>
    </xf>
    <xf numFmtId="0" fontId="3" fillId="2" borderId="21" xfId="0" applyFont="1" applyFill="1" applyBorder="1" applyAlignment="1" applyProtection="1">
      <alignment horizontal="center"/>
      <protection locked="0"/>
    </xf>
    <xf numFmtId="0" fontId="3" fillId="2" borderId="30"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40" borderId="4" xfId="0" applyFont="1" applyFill="1" applyBorder="1" applyAlignment="1">
      <alignment horizontal="right" vertical="top" wrapText="1"/>
    </xf>
    <xf numFmtId="0" fontId="3" fillId="40" borderId="4" xfId="0" applyFont="1" applyFill="1" applyBorder="1" applyAlignment="1">
      <alignment horizontal="right" wrapText="1"/>
    </xf>
    <xf numFmtId="0" fontId="0" fillId="3" borderId="0" xfId="0" applyFill="1" applyAlignment="1">
      <alignment horizontal="left" vertical="top"/>
    </xf>
    <xf numFmtId="0" fontId="0" fillId="3" borderId="4" xfId="0" applyFill="1" applyBorder="1" applyAlignment="1">
      <alignment horizontal="left" vertical="top"/>
    </xf>
    <xf numFmtId="167" fontId="4" fillId="3" borderId="0" xfId="0" applyNumberFormat="1" applyFont="1" applyFill="1" applyAlignment="1">
      <alignment horizontal="left" vertical="top"/>
    </xf>
    <xf numFmtId="167" fontId="4" fillId="3" borderId="4" xfId="0" applyNumberFormat="1" applyFont="1" applyFill="1" applyBorder="1" applyAlignment="1">
      <alignment horizontal="left" vertical="top"/>
    </xf>
    <xf numFmtId="0" fontId="0" fillId="9" borderId="6" xfId="0" applyFill="1" applyBorder="1" applyAlignment="1">
      <alignment horizontal="left" wrapText="1"/>
    </xf>
    <xf numFmtId="0" fontId="0" fillId="9" borderId="2" xfId="0" applyFill="1" applyBorder="1" applyAlignment="1">
      <alignment horizontal="left" wrapText="1"/>
    </xf>
    <xf numFmtId="0" fontId="0" fillId="9" borderId="7" xfId="0" applyFill="1" applyBorder="1" applyAlignment="1">
      <alignment horizontal="left" wrapText="1"/>
    </xf>
    <xf numFmtId="0" fontId="0" fillId="9" borderId="9" xfId="0" applyFill="1" applyBorder="1" applyAlignment="1">
      <alignment horizontal="left" wrapText="1"/>
    </xf>
    <xf numFmtId="0" fontId="0" fillId="9" borderId="18" xfId="0" applyFill="1" applyBorder="1" applyAlignment="1">
      <alignment horizontal="left" wrapText="1"/>
    </xf>
    <xf numFmtId="0" fontId="0" fillId="9" borderId="10" xfId="0" applyFill="1" applyBorder="1" applyAlignment="1">
      <alignment horizontal="left" wrapText="1"/>
    </xf>
    <xf numFmtId="0" fontId="4" fillId="3" borderId="0" xfId="0" applyFont="1" applyFill="1" applyAlignment="1">
      <alignment horizontal="left" vertical="top"/>
    </xf>
    <xf numFmtId="0" fontId="4" fillId="3" borderId="4" xfId="0" applyFont="1" applyFill="1" applyBorder="1" applyAlignment="1">
      <alignment horizontal="left" vertical="top"/>
    </xf>
    <xf numFmtId="0" fontId="28" fillId="40" borderId="0" xfId="0" applyFont="1" applyFill="1" applyAlignment="1">
      <alignment horizontal="right"/>
    </xf>
    <xf numFmtId="0" fontId="28" fillId="40" borderId="4" xfId="0" applyFont="1" applyFill="1" applyBorder="1" applyAlignment="1">
      <alignment horizontal="right"/>
    </xf>
    <xf numFmtId="0" fontId="68" fillId="40" borderId="0" xfId="0" applyFont="1" applyFill="1" applyAlignment="1">
      <alignment horizontal="right" vertical="center"/>
    </xf>
    <xf numFmtId="0" fontId="68" fillId="40" borderId="4" xfId="0" applyFont="1" applyFill="1" applyBorder="1" applyAlignment="1">
      <alignment horizontal="right" vertical="center"/>
    </xf>
    <xf numFmtId="0" fontId="86" fillId="24" borderId="0" xfId="0" applyFont="1" applyFill="1" applyAlignment="1">
      <alignment horizontal="center"/>
    </xf>
    <xf numFmtId="0" fontId="34" fillId="36" borderId="1" xfId="0" applyFont="1" applyFill="1" applyBorder="1" applyAlignment="1">
      <alignment horizontal="center"/>
    </xf>
    <xf numFmtId="0" fontId="28" fillId="36" borderId="1" xfId="0" applyFont="1" applyFill="1" applyBorder="1"/>
    <xf numFmtId="0" fontId="28" fillId="32" borderId="21" xfId="0" applyFont="1" applyFill="1" applyBorder="1" applyAlignment="1" applyProtection="1">
      <alignment horizontal="center"/>
      <protection locked="0"/>
    </xf>
    <xf numFmtId="0" fontId="28" fillId="32" borderId="30" xfId="0" applyFont="1" applyFill="1" applyBorder="1" applyAlignment="1" applyProtection="1">
      <alignment horizontal="center"/>
      <protection locked="0"/>
    </xf>
    <xf numFmtId="0" fontId="28" fillId="32" borderId="22" xfId="0" applyFont="1" applyFill="1" applyBorder="1" applyAlignment="1" applyProtection="1">
      <alignment horizontal="center"/>
      <protection locked="0"/>
    </xf>
    <xf numFmtId="38" fontId="28" fillId="31" borderId="21" xfId="0" applyNumberFormat="1" applyFont="1" applyFill="1" applyBorder="1" applyAlignment="1" applyProtection="1">
      <alignment horizontal="center"/>
      <protection locked="0"/>
    </xf>
    <xf numFmtId="38" fontId="28" fillId="31" borderId="22" xfId="0" applyNumberFormat="1" applyFont="1" applyFill="1" applyBorder="1" applyAlignment="1" applyProtection="1">
      <alignment horizontal="center"/>
      <protection locked="0"/>
    </xf>
    <xf numFmtId="0" fontId="92" fillId="25" borderId="21" xfId="0" applyFont="1" applyFill="1" applyBorder="1" applyAlignment="1">
      <alignment horizontal="center" vertical="center" wrapText="1"/>
    </xf>
    <xf numFmtId="0" fontId="92" fillId="25" borderId="30" xfId="0" applyFont="1" applyFill="1" applyBorder="1" applyAlignment="1">
      <alignment horizontal="center" vertical="center" wrapText="1"/>
    </xf>
    <xf numFmtId="0" fontId="92" fillId="25" borderId="22" xfId="0" applyFont="1" applyFill="1" applyBorder="1" applyAlignment="1">
      <alignment horizontal="center" vertical="center" wrapText="1"/>
    </xf>
    <xf numFmtId="0" fontId="93" fillId="25" borderId="5" xfId="0" applyFont="1" applyFill="1" applyBorder="1" applyAlignment="1">
      <alignment horizontal="center" vertical="center" wrapText="1"/>
    </xf>
    <xf numFmtId="0" fontId="86" fillId="5" borderId="3" xfId="0" applyFont="1" applyFill="1" applyBorder="1" applyAlignment="1">
      <alignment wrapText="1"/>
    </xf>
    <xf numFmtId="172" fontId="93" fillId="25" borderId="21" xfId="0" applyNumberFormat="1" applyFont="1" applyFill="1" applyBorder="1" applyAlignment="1">
      <alignment horizontal="center"/>
    </xf>
    <xf numFmtId="0" fontId="86" fillId="25" borderId="30" xfId="0" applyFont="1" applyFill="1" applyBorder="1"/>
    <xf numFmtId="0" fontId="86" fillId="25" borderId="22" xfId="0" applyFont="1" applyFill="1" applyBorder="1"/>
    <xf numFmtId="0" fontId="93" fillId="25" borderId="0" xfId="0" applyFont="1" applyFill="1" applyAlignment="1">
      <alignment horizontal="center"/>
    </xf>
    <xf numFmtId="0" fontId="95" fillId="5" borderId="0" xfId="0" applyFont="1" applyFill="1" applyAlignment="1">
      <alignment horizontal="center"/>
    </xf>
    <xf numFmtId="0" fontId="93" fillId="25" borderId="21" xfId="0" applyFont="1" applyFill="1" applyBorder="1" applyAlignment="1">
      <alignment horizontal="center"/>
    </xf>
    <xf numFmtId="0" fontId="93" fillId="25" borderId="30" xfId="0" applyFont="1" applyFill="1" applyBorder="1" applyAlignment="1">
      <alignment horizontal="center"/>
    </xf>
    <xf numFmtId="0" fontId="94" fillId="25" borderId="1" xfId="0" applyFont="1" applyFill="1" applyBorder="1" applyAlignment="1">
      <alignment horizontal="center" vertical="center"/>
    </xf>
    <xf numFmtId="0" fontId="62" fillId="40" borderId="0" xfId="0" applyFont="1" applyFill="1" applyAlignment="1">
      <alignment horizontal="right" vertical="top" wrapText="1"/>
    </xf>
    <xf numFmtId="0" fontId="28" fillId="32" borderId="30" xfId="0" applyFont="1" applyFill="1" applyBorder="1" applyProtection="1">
      <protection locked="0"/>
    </xf>
    <xf numFmtId="0" fontId="28" fillId="32" borderId="22" xfId="0" applyFont="1" applyFill="1" applyBorder="1" applyProtection="1">
      <protection locked="0"/>
    </xf>
    <xf numFmtId="175" fontId="28" fillId="32" borderId="9" xfId="0" applyNumberFormat="1" applyFont="1" applyFill="1" applyBorder="1" applyAlignment="1" applyProtection="1">
      <alignment horizontal="center"/>
      <protection locked="0"/>
    </xf>
    <xf numFmtId="175" fontId="28" fillId="32" borderId="10" xfId="0" applyNumberFormat="1" applyFont="1" applyFill="1" applyBorder="1" applyAlignment="1" applyProtection="1">
      <alignment horizontal="center"/>
      <protection locked="0"/>
    </xf>
    <xf numFmtId="0" fontId="28" fillId="36" borderId="1" xfId="0" applyFont="1" applyFill="1" applyBorder="1" applyAlignment="1">
      <alignment horizontal="center"/>
    </xf>
    <xf numFmtId="0" fontId="59" fillId="40" borderId="0" xfId="0" applyFont="1" applyFill="1"/>
    <xf numFmtId="0" fontId="28" fillId="40" borderId="0" xfId="0" applyFont="1" applyFill="1"/>
    <xf numFmtId="0" fontId="59" fillId="40" borderId="0" xfId="0" applyFont="1" applyFill="1" applyAlignment="1">
      <alignment horizontal="right"/>
    </xf>
    <xf numFmtId="172" fontId="28" fillId="17" borderId="1" xfId="0" applyNumberFormat="1" applyFont="1" applyFill="1" applyBorder="1" applyAlignment="1">
      <alignment horizontal="center"/>
    </xf>
    <xf numFmtId="0" fontId="28" fillId="17" borderId="1" xfId="0" applyFont="1" applyFill="1" applyBorder="1" applyAlignment="1">
      <alignment horizontal="center"/>
    </xf>
    <xf numFmtId="0" fontId="59" fillId="40" borderId="2" xfId="0" applyFont="1" applyFill="1" applyBorder="1" applyAlignment="1">
      <alignment horizontal="right"/>
    </xf>
    <xf numFmtId="0" fontId="59" fillId="40" borderId="7" xfId="0" applyFont="1" applyFill="1" applyBorder="1" applyAlignment="1">
      <alignment horizontal="right"/>
    </xf>
    <xf numFmtId="0" fontId="28" fillId="36" borderId="21" xfId="0" applyFont="1" applyFill="1" applyBorder="1"/>
    <xf numFmtId="0" fontId="28" fillId="36" borderId="22" xfId="0" applyFont="1" applyFill="1" applyBorder="1"/>
    <xf numFmtId="0" fontId="28" fillId="4" borderId="1" xfId="0" applyFont="1" applyFill="1" applyBorder="1" applyAlignment="1" applyProtection="1">
      <alignment horizontal="left" vertical="center"/>
      <protection locked="0"/>
    </xf>
    <xf numFmtId="0" fontId="59" fillId="40" borderId="18" xfId="0" applyFont="1" applyFill="1" applyBorder="1" applyAlignment="1">
      <alignment horizontal="left"/>
    </xf>
    <xf numFmtId="0" fontId="91" fillId="25" borderId="21" xfId="0" applyFont="1" applyFill="1" applyBorder="1" applyAlignment="1">
      <alignment horizontal="center" vertical="center"/>
    </xf>
    <xf numFmtId="0" fontId="86" fillId="5" borderId="30" xfId="0" applyFont="1" applyFill="1" applyBorder="1" applyAlignment="1">
      <alignment horizontal="center" vertical="center"/>
    </xf>
    <xf numFmtId="0" fontId="86" fillId="5" borderId="22" xfId="0" applyFont="1" applyFill="1" applyBorder="1" applyAlignment="1">
      <alignment horizontal="center" vertical="center"/>
    </xf>
    <xf numFmtId="172" fontId="28" fillId="17" borderId="21" xfId="0" applyNumberFormat="1" applyFont="1" applyFill="1" applyBorder="1" applyAlignment="1">
      <alignment horizontal="center"/>
    </xf>
    <xf numFmtId="0" fontId="28" fillId="17" borderId="22" xfId="0" applyFont="1" applyFill="1" applyBorder="1" applyAlignment="1">
      <alignment horizontal="center"/>
    </xf>
    <xf numFmtId="0" fontId="59" fillId="40" borderId="18" xfId="0" applyFont="1" applyFill="1" applyBorder="1" applyAlignment="1">
      <alignment horizontal="center" vertical="center" wrapText="1"/>
    </xf>
    <xf numFmtId="0" fontId="28" fillId="24" borderId="1" xfId="0" applyFont="1" applyFill="1" applyBorder="1" applyAlignment="1" applyProtection="1">
      <alignment horizontal="left" vertical="top" wrapText="1"/>
      <protection locked="0"/>
    </xf>
    <xf numFmtId="6" fontId="28" fillId="17" borderId="1" xfId="0" applyNumberFormat="1" applyFont="1" applyFill="1" applyBorder="1" applyAlignment="1">
      <alignment horizontal="center"/>
    </xf>
    <xf numFmtId="0" fontId="28" fillId="4" borderId="1" xfId="0" applyFont="1" applyFill="1" applyBorder="1" applyAlignment="1" applyProtection="1">
      <alignment horizontal="left" vertical="top" wrapText="1"/>
      <protection locked="0"/>
    </xf>
    <xf numFmtId="0" fontId="68" fillId="55" borderId="0" xfId="0" applyFont="1" applyFill="1" applyAlignment="1">
      <alignment horizontal="left" wrapText="1"/>
    </xf>
    <xf numFmtId="1" fontId="71" fillId="55" borderId="6" xfId="0" applyNumberFormat="1" applyFont="1" applyFill="1" applyBorder="1" applyAlignment="1">
      <alignment horizontal="left" vertical="center" wrapText="1"/>
    </xf>
    <xf numFmtId="1" fontId="68" fillId="55" borderId="2" xfId="0" applyNumberFormat="1" applyFont="1" applyFill="1" applyBorder="1" applyAlignment="1">
      <alignment horizontal="left" vertical="center" wrapText="1"/>
    </xf>
    <xf numFmtId="1" fontId="68" fillId="55" borderId="8" xfId="0" applyNumberFormat="1" applyFont="1" applyFill="1" applyBorder="1" applyAlignment="1">
      <alignment horizontal="left" vertical="center" wrapText="1"/>
    </xf>
    <xf numFmtId="1" fontId="68" fillId="55" borderId="0" xfId="0" applyNumberFormat="1" applyFont="1" applyFill="1" applyAlignment="1">
      <alignment horizontal="left" vertical="center" wrapText="1"/>
    </xf>
    <xf numFmtId="0" fontId="90" fillId="25" borderId="1" xfId="0" applyFont="1" applyFill="1" applyBorder="1" applyAlignment="1">
      <alignment horizontal="center" vertical="center"/>
    </xf>
    <xf numFmtId="0" fontId="118" fillId="40" borderId="62" xfId="0" applyFont="1" applyFill="1" applyBorder="1" applyAlignment="1">
      <alignment horizontal="center" vertical="center" textRotation="45"/>
    </xf>
    <xf numFmtId="0" fontId="118" fillId="40" borderId="64" xfId="0" applyFont="1" applyFill="1" applyBorder="1" applyAlignment="1">
      <alignment horizontal="center" vertical="center" textRotation="45"/>
    </xf>
    <xf numFmtId="0" fontId="118" fillId="40" borderId="65" xfId="0" applyFont="1" applyFill="1" applyBorder="1" applyAlignment="1">
      <alignment horizontal="center" vertical="center" textRotation="45"/>
    </xf>
    <xf numFmtId="0" fontId="119" fillId="40" borderId="63" xfId="0" applyFont="1" applyFill="1" applyBorder="1" applyAlignment="1">
      <alignment horizontal="center" vertical="center" wrapText="1"/>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36" fillId="40" borderId="21" xfId="0" applyFont="1" applyFill="1" applyBorder="1" applyAlignment="1">
      <alignment horizontal="right" vertical="center"/>
    </xf>
    <xf numFmtId="0" fontId="36" fillId="40" borderId="22" xfId="0" applyFont="1" applyFill="1" applyBorder="1" applyAlignment="1">
      <alignment horizontal="right" vertical="center"/>
    </xf>
    <xf numFmtId="0" fontId="118" fillId="40" borderId="62" xfId="0" applyFont="1" applyFill="1" applyBorder="1" applyAlignment="1">
      <alignment horizontal="center" vertical="center" textRotation="45" wrapText="1"/>
    </xf>
    <xf numFmtId="0" fontId="118" fillId="40" borderId="64" xfId="0" applyFont="1" applyFill="1" applyBorder="1" applyAlignment="1">
      <alignment horizontal="center" vertical="center" textRotation="45" wrapText="1"/>
    </xf>
    <xf numFmtId="0" fontId="118" fillId="40" borderId="65" xfId="0" applyFont="1" applyFill="1" applyBorder="1" applyAlignment="1">
      <alignment horizontal="center" vertical="center" textRotation="45" wrapText="1"/>
    </xf>
    <xf numFmtId="0" fontId="119" fillId="40" borderId="66" xfId="0" applyFont="1" applyFill="1" applyBorder="1" applyAlignment="1">
      <alignment horizontal="center" vertical="center" wrapText="1"/>
    </xf>
    <xf numFmtId="0" fontId="119" fillId="40" borderId="67" xfId="0" applyFont="1" applyFill="1" applyBorder="1" applyAlignment="1">
      <alignment horizontal="center" vertical="center" wrapText="1"/>
    </xf>
    <xf numFmtId="0" fontId="119" fillId="40" borderId="66" xfId="0" applyFont="1" applyFill="1" applyBorder="1" applyAlignment="1">
      <alignment horizontal="center" vertical="center"/>
    </xf>
    <xf numFmtId="0" fontId="119" fillId="40" borderId="68" xfId="0" applyFont="1" applyFill="1" applyBorder="1" applyAlignment="1">
      <alignment horizontal="center" vertical="center"/>
    </xf>
    <xf numFmtId="0" fontId="119" fillId="40" borderId="67" xfId="0" applyFont="1" applyFill="1" applyBorder="1" applyAlignment="1">
      <alignment horizontal="center" vertical="center"/>
    </xf>
    <xf numFmtId="0" fontId="119" fillId="40" borderId="68" xfId="0" applyFont="1" applyFill="1" applyBorder="1" applyAlignment="1">
      <alignment horizontal="center" vertical="center" wrapText="1"/>
    </xf>
    <xf numFmtId="0" fontId="119" fillId="40" borderId="63" xfId="0" applyFont="1" applyFill="1" applyBorder="1" applyAlignment="1">
      <alignment horizontal="center" vertical="center"/>
    </xf>
    <xf numFmtId="0" fontId="100" fillId="5" borderId="21" xfId="0" applyFont="1" applyFill="1" applyBorder="1" applyAlignment="1">
      <alignment horizontal="center" vertical="center"/>
    </xf>
    <xf numFmtId="0" fontId="100" fillId="5" borderId="22" xfId="0" applyFont="1" applyFill="1" applyBorder="1" applyAlignment="1">
      <alignment horizontal="center" vertical="center"/>
    </xf>
    <xf numFmtId="0" fontId="36" fillId="40" borderId="6" xfId="0" applyFont="1" applyFill="1" applyBorder="1" applyAlignment="1">
      <alignment horizontal="right" vertical="center"/>
    </xf>
    <xf numFmtId="0" fontId="36" fillId="40" borderId="7" xfId="0" applyFont="1" applyFill="1" applyBorder="1" applyAlignment="1">
      <alignment horizontal="right" vertical="center"/>
    </xf>
    <xf numFmtId="0" fontId="43" fillId="3" borderId="0" xfId="0" applyFont="1" applyFill="1" applyAlignment="1">
      <alignment horizontal="center" wrapText="1"/>
    </xf>
    <xf numFmtId="0" fontId="32" fillId="9" borderId="21" xfId="0" applyFont="1" applyFill="1" applyBorder="1" applyAlignment="1">
      <alignment horizontal="center" vertical="top"/>
    </xf>
    <xf numFmtId="0" fontId="32" fillId="9" borderId="30" xfId="0" applyFont="1" applyFill="1" applyBorder="1" applyAlignment="1">
      <alignment horizontal="center" vertical="top"/>
    </xf>
    <xf numFmtId="0" fontId="32" fillId="9" borderId="22" xfId="0" applyFont="1" applyFill="1" applyBorder="1" applyAlignment="1">
      <alignment horizontal="center" vertical="top"/>
    </xf>
    <xf numFmtId="0" fontId="32" fillId="0" borderId="6"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7" xfId="0" applyFont="1" applyBorder="1" applyAlignment="1" applyProtection="1">
      <alignment horizontal="center" vertical="top" wrapText="1"/>
      <protection locked="0"/>
    </xf>
    <xf numFmtId="0" fontId="32" fillId="0" borderId="8"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4" xfId="0" applyFont="1" applyBorder="1" applyAlignment="1" applyProtection="1">
      <alignment horizontal="center" vertical="top" wrapText="1"/>
      <protection locked="0"/>
    </xf>
    <xf numFmtId="0" fontId="32" fillId="0" borderId="9" xfId="0" applyFont="1" applyBorder="1" applyAlignment="1" applyProtection="1">
      <alignment horizontal="center" vertical="top" wrapText="1"/>
      <protection locked="0"/>
    </xf>
    <xf numFmtId="0" fontId="32" fillId="0" borderId="18" xfId="0" applyFont="1" applyBorder="1" applyAlignment="1" applyProtection="1">
      <alignment horizontal="center" vertical="top" wrapText="1"/>
      <protection locked="0"/>
    </xf>
    <xf numFmtId="0" fontId="32" fillId="0" borderId="10" xfId="0" applyFont="1" applyBorder="1" applyAlignment="1" applyProtection="1">
      <alignment horizontal="center" vertical="top" wrapText="1"/>
      <protection locked="0"/>
    </xf>
    <xf numFmtId="0" fontId="118" fillId="40" borderId="69" xfId="0" applyFont="1" applyFill="1" applyBorder="1" applyAlignment="1">
      <alignment horizontal="center" vertical="center" textRotation="45" wrapText="1"/>
    </xf>
    <xf numFmtId="0" fontId="118" fillId="40" borderId="70" xfId="0" applyFont="1" applyFill="1" applyBorder="1" applyAlignment="1">
      <alignment horizontal="center" vertical="center" textRotation="45" wrapText="1"/>
    </xf>
    <xf numFmtId="0" fontId="118" fillId="40" borderId="71" xfId="0" applyFont="1" applyFill="1" applyBorder="1" applyAlignment="1">
      <alignment horizontal="center" vertical="center" textRotation="45" wrapText="1"/>
    </xf>
    <xf numFmtId="0" fontId="119" fillId="40" borderId="5" xfId="0" applyFont="1" applyFill="1" applyBorder="1" applyAlignment="1">
      <alignment horizontal="center" vertical="center" wrapText="1"/>
    </xf>
    <xf numFmtId="0" fontId="119" fillId="40" borderId="28" xfId="0" applyFont="1" applyFill="1" applyBorder="1" applyAlignment="1">
      <alignment horizontal="center" vertical="center" wrapText="1"/>
    </xf>
    <xf numFmtId="0" fontId="119" fillId="40" borderId="3" xfId="0" applyFont="1" applyFill="1" applyBorder="1" applyAlignment="1">
      <alignment horizontal="center" vertical="center" wrapText="1"/>
    </xf>
    <xf numFmtId="0" fontId="18" fillId="2" borderId="0" xfId="0" applyFont="1" applyFill="1" applyAlignment="1">
      <alignment horizontal="left"/>
    </xf>
    <xf numFmtId="0" fontId="43" fillId="36" borderId="21" xfId="0" applyFont="1" applyFill="1" applyBorder="1" applyAlignment="1">
      <alignment horizontal="left" vertical="center"/>
    </xf>
    <xf numFmtId="0" fontId="23" fillId="11" borderId="21" xfId="0" applyFont="1" applyFill="1" applyBorder="1" applyAlignment="1">
      <alignment horizontal="right" vertical="center"/>
    </xf>
    <xf numFmtId="0" fontId="46" fillId="36" borderId="21" xfId="0" applyFont="1" applyFill="1" applyBorder="1" applyAlignment="1">
      <alignment horizontal="left" vertical="center"/>
    </xf>
    <xf numFmtId="0" fontId="6" fillId="5" borderId="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46" fillId="36" borderId="21" xfId="0" applyFont="1" applyFill="1" applyBorder="1" applyAlignment="1">
      <alignment horizontal="left" vertical="center" indent="1"/>
    </xf>
    <xf numFmtId="0" fontId="44" fillId="12" borderId="1" xfId="0" applyFont="1" applyFill="1" applyBorder="1" applyAlignment="1">
      <alignment horizontal="left" vertical="center"/>
    </xf>
    <xf numFmtId="0" fontId="44" fillId="12" borderId="1" xfId="8" applyFont="1" applyFill="1" applyBorder="1" applyAlignment="1">
      <alignment horizontal="left" vertical="center"/>
    </xf>
    <xf numFmtId="0" fontId="46" fillId="36" borderId="3" xfId="0" applyFont="1" applyFill="1" applyBorder="1" applyAlignment="1">
      <alignment horizontal="left" vertical="center"/>
    </xf>
    <xf numFmtId="0" fontId="46" fillId="36" borderId="1" xfId="0" applyFont="1" applyFill="1" applyBorder="1" applyAlignment="1">
      <alignment horizontal="left" vertical="center"/>
    </xf>
    <xf numFmtId="0" fontId="104" fillId="36" borderId="1" xfId="0" applyFont="1" applyFill="1" applyBorder="1" applyAlignment="1">
      <alignment horizontal="left"/>
    </xf>
    <xf numFmtId="0" fontId="32" fillId="36" borderId="21" xfId="0" applyFont="1" applyFill="1" applyBorder="1" applyAlignment="1">
      <alignment horizontal="left"/>
    </xf>
    <xf numFmtId="0" fontId="46" fillId="36" borderId="30" xfId="0" applyFont="1" applyFill="1" applyBorder="1" applyAlignment="1">
      <alignment horizontal="left" vertical="center"/>
    </xf>
    <xf numFmtId="0" fontId="50" fillId="13" borderId="21" xfId="0" applyFont="1" applyFill="1" applyBorder="1" applyAlignment="1">
      <alignment horizontal="left" vertical="center"/>
    </xf>
    <xf numFmtId="0" fontId="50" fillId="13" borderId="30" xfId="0" applyFont="1" applyFill="1" applyBorder="1" applyAlignment="1">
      <alignment horizontal="left" vertical="center"/>
    </xf>
    <xf numFmtId="0" fontId="22" fillId="36" borderId="21" xfId="0" applyFont="1" applyFill="1" applyBorder="1" applyAlignment="1">
      <alignment horizontal="left"/>
    </xf>
    <xf numFmtId="0" fontId="164" fillId="40" borderId="0" xfId="0" applyFont="1" applyFill="1" applyAlignment="1">
      <alignment horizontal="left"/>
    </xf>
    <xf numFmtId="0" fontId="185" fillId="5" borderId="1" xfId="0" applyFont="1" applyFill="1" applyBorder="1" applyAlignment="1">
      <alignment horizontal="center" vertical="center" wrapText="1"/>
    </xf>
    <xf numFmtId="0" fontId="44" fillId="12" borderId="21" xfId="0" applyFont="1" applyFill="1" applyBorder="1" applyAlignment="1">
      <alignment horizontal="left" vertical="center"/>
    </xf>
    <xf numFmtId="0" fontId="43" fillId="36" borderId="1" xfId="0" applyFont="1" applyFill="1" applyBorder="1" applyAlignment="1">
      <alignment horizontal="left" vertical="center"/>
    </xf>
    <xf numFmtId="0" fontId="41" fillId="55" borderId="0" xfId="0" applyFont="1" applyFill="1" applyAlignment="1">
      <alignment horizontal="center" vertical="center" wrapText="1"/>
    </xf>
    <xf numFmtId="0" fontId="23" fillId="13" borderId="1" xfId="0" applyFont="1" applyFill="1" applyBorder="1" applyAlignment="1">
      <alignment horizontal="left" vertical="center"/>
    </xf>
    <xf numFmtId="0" fontId="50" fillId="13" borderId="1" xfId="0" applyFont="1" applyFill="1" applyBorder="1" applyAlignment="1">
      <alignment horizontal="left" vertical="center"/>
    </xf>
    <xf numFmtId="0" fontId="104" fillId="36" borderId="21" xfId="0" applyFont="1" applyFill="1" applyBorder="1" applyAlignment="1">
      <alignment horizontal="left" vertical="center"/>
    </xf>
    <xf numFmtId="0" fontId="23" fillId="11" borderId="1" xfId="0" applyFont="1" applyFill="1" applyBorder="1" applyAlignment="1">
      <alignment horizontal="right" vertical="center"/>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20" fillId="2" borderId="1" xfId="0" applyFont="1" applyFill="1" applyBorder="1"/>
    <xf numFmtId="0" fontId="20" fillId="2" borderId="5" xfId="0" applyFont="1" applyFill="1" applyBorder="1"/>
    <xf numFmtId="9" fontId="46" fillId="9" borderId="21" xfId="2" applyFont="1" applyFill="1" applyBorder="1" applyAlignment="1">
      <alignment horizontal="center" vertical="center"/>
    </xf>
    <xf numFmtId="42" fontId="46" fillId="9" borderId="21" xfId="2" applyNumberFormat="1" applyFont="1" applyFill="1" applyBorder="1" applyAlignment="1">
      <alignment horizontal="center" vertical="center"/>
    </xf>
    <xf numFmtId="42" fontId="46" fillId="9" borderId="22" xfId="2" applyNumberFormat="1" applyFont="1" applyFill="1" applyBorder="1" applyAlignment="1">
      <alignment horizontal="center" vertical="center"/>
    </xf>
    <xf numFmtId="0" fontId="48" fillId="36" borderId="1" xfId="0" applyFont="1" applyFill="1" applyBorder="1" applyAlignment="1">
      <alignment horizontal="left"/>
    </xf>
    <xf numFmtId="0" fontId="48" fillId="36" borderId="21" xfId="0" applyFont="1" applyFill="1" applyBorder="1" applyAlignment="1">
      <alignment horizontal="left"/>
    </xf>
    <xf numFmtId="0" fontId="52" fillId="36" borderId="21" xfId="0" applyFont="1" applyFill="1" applyBorder="1" applyAlignment="1">
      <alignment horizontal="left" vertical="center"/>
    </xf>
    <xf numFmtId="0" fontId="23" fillId="13" borderId="21" xfId="0" applyFont="1" applyFill="1" applyBorder="1" applyAlignment="1">
      <alignment horizontal="left" vertical="center"/>
    </xf>
    <xf numFmtId="0" fontId="42" fillId="11" borderId="21" xfId="0" applyFont="1" applyFill="1" applyBorder="1" applyAlignment="1">
      <alignment horizontal="left" vertical="center"/>
    </xf>
    <xf numFmtId="0" fontId="42" fillId="11" borderId="9" xfId="0" applyFont="1" applyFill="1" applyBorder="1" applyAlignment="1">
      <alignment horizontal="left" vertical="center"/>
    </xf>
    <xf numFmtId="0" fontId="0" fillId="24" borderId="1" xfId="0" applyFill="1" applyBorder="1" applyAlignment="1" applyProtection="1">
      <alignment horizontal="left" vertical="top" wrapText="1"/>
      <protection locked="0"/>
    </xf>
    <xf numFmtId="0" fontId="32" fillId="36" borderId="6" xfId="0" applyFont="1" applyFill="1" applyBorder="1" applyAlignment="1">
      <alignment horizontal="left"/>
    </xf>
    <xf numFmtId="0" fontId="32" fillId="36" borderId="9" xfId="0" applyFont="1" applyFill="1" applyBorder="1" applyAlignment="1">
      <alignment horizontal="left"/>
    </xf>
    <xf numFmtId="0" fontId="32" fillId="2" borderId="12"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protection locked="0"/>
    </xf>
    <xf numFmtId="0" fontId="32" fillId="2" borderId="13" xfId="0" applyFont="1" applyFill="1" applyBorder="1" applyAlignment="1" applyProtection="1">
      <alignment horizontal="left" vertical="top" wrapText="1"/>
      <protection locked="0"/>
    </xf>
    <xf numFmtId="0" fontId="32" fillId="2" borderId="14" xfId="0" applyFont="1" applyFill="1" applyBorder="1" applyAlignment="1" applyProtection="1">
      <alignment horizontal="left" vertical="top" wrapText="1"/>
      <protection locked="0"/>
    </xf>
    <xf numFmtId="0" fontId="32" fillId="2" borderId="0" xfId="0" applyFont="1" applyFill="1" applyAlignment="1" applyProtection="1">
      <alignment horizontal="left" vertical="top" wrapText="1"/>
      <protection locked="0"/>
    </xf>
    <xf numFmtId="0" fontId="32" fillId="2" borderId="15" xfId="0" applyFont="1" applyFill="1" applyBorder="1" applyAlignment="1" applyProtection="1">
      <alignment horizontal="left" vertical="top" wrapText="1"/>
      <protection locked="0"/>
    </xf>
    <xf numFmtId="0" fontId="32" fillId="2" borderId="16" xfId="0" applyFont="1" applyFill="1" applyBorder="1" applyAlignment="1" applyProtection="1">
      <alignment horizontal="left" vertical="top" wrapText="1"/>
      <protection locked="0"/>
    </xf>
    <xf numFmtId="0" fontId="32" fillId="2" borderId="20"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8" fillId="2" borderId="19"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4" xfId="0" applyFont="1" applyFill="1" applyBorder="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0" fontId="28" fillId="2" borderId="15" xfId="0" applyFont="1" applyFill="1" applyBorder="1" applyAlignment="1" applyProtection="1">
      <alignment horizontal="left" vertical="top" wrapText="1"/>
      <protection locked="0"/>
    </xf>
    <xf numFmtId="0" fontId="28" fillId="2" borderId="16" xfId="0" applyFont="1" applyFill="1" applyBorder="1" applyAlignment="1" applyProtection="1">
      <alignment horizontal="left" vertical="top" wrapText="1"/>
      <protection locked="0"/>
    </xf>
    <xf numFmtId="0" fontId="28" fillId="2" borderId="20" xfId="0" applyFont="1" applyFill="1" applyBorder="1" applyAlignment="1" applyProtection="1">
      <alignment horizontal="left" vertical="top" wrapText="1"/>
      <protection locked="0"/>
    </xf>
    <xf numFmtId="0" fontId="28" fillId="2" borderId="17" xfId="0" applyFont="1" applyFill="1" applyBorder="1" applyAlignment="1" applyProtection="1">
      <alignment horizontal="left" vertical="top" wrapText="1"/>
      <protection locked="0"/>
    </xf>
    <xf numFmtId="0" fontId="0" fillId="40" borderId="0" xfId="0" quotePrefix="1" applyFill="1" applyAlignment="1">
      <alignment horizontal="left" wrapText="1"/>
    </xf>
    <xf numFmtId="0" fontId="0" fillId="40" borderId="0" xfId="0" applyFill="1" applyAlignment="1">
      <alignment horizontal="left" wrapText="1"/>
    </xf>
    <xf numFmtId="0" fontId="0" fillId="40" borderId="0" xfId="0" quotePrefix="1" applyFill="1" applyAlignment="1">
      <alignment horizontal="left"/>
    </xf>
    <xf numFmtId="0" fontId="0" fillId="40" borderId="0" xfId="0" applyFill="1" applyAlignment="1">
      <alignment horizontal="left"/>
    </xf>
    <xf numFmtId="0" fontId="14" fillId="40" borderId="18" xfId="0" applyFont="1" applyFill="1" applyBorder="1" applyAlignment="1">
      <alignment horizontal="left"/>
    </xf>
    <xf numFmtId="0" fontId="0" fillId="40" borderId="18" xfId="0" applyFill="1" applyBorder="1" applyAlignment="1">
      <alignment horizontal="left"/>
    </xf>
    <xf numFmtId="0" fontId="100" fillId="5" borderId="22" xfId="0" applyFont="1" applyFill="1" applyBorder="1" applyAlignment="1">
      <alignment horizontal="left"/>
    </xf>
    <xf numFmtId="0" fontId="6" fillId="5" borderId="30" xfId="0" applyFont="1" applyFill="1" applyBorder="1" applyAlignment="1">
      <alignment horizontal="center"/>
    </xf>
    <xf numFmtId="0" fontId="90" fillId="25" borderId="24" xfId="0" applyFont="1" applyFill="1" applyBorder="1" applyAlignment="1">
      <alignment horizontal="left"/>
    </xf>
    <xf numFmtId="0" fontId="90" fillId="25" borderId="27" xfId="0" applyFont="1" applyFill="1" applyBorder="1" applyAlignment="1">
      <alignment horizontal="left"/>
    </xf>
    <xf numFmtId="0" fontId="28" fillId="24" borderId="6" xfId="0" applyFont="1" applyFill="1" applyBorder="1" applyAlignment="1" applyProtection="1">
      <alignment horizontal="left" vertical="top" wrapText="1"/>
      <protection locked="0"/>
    </xf>
    <xf numFmtId="0" fontId="28" fillId="24" borderId="2" xfId="0" applyFont="1" applyFill="1" applyBorder="1" applyAlignment="1" applyProtection="1">
      <alignment horizontal="left" vertical="top" wrapText="1"/>
      <protection locked="0"/>
    </xf>
    <xf numFmtId="0" fontId="28" fillId="24" borderId="7" xfId="0" applyFont="1" applyFill="1" applyBorder="1" applyAlignment="1" applyProtection="1">
      <alignment horizontal="left" vertical="top" wrapText="1"/>
      <protection locked="0"/>
    </xf>
    <xf numFmtId="0" fontId="28" fillId="24" borderId="8" xfId="0" applyFont="1" applyFill="1" applyBorder="1" applyAlignment="1" applyProtection="1">
      <alignment horizontal="left" vertical="top" wrapText="1"/>
      <protection locked="0"/>
    </xf>
    <xf numFmtId="0" fontId="28" fillId="24" borderId="0" xfId="0" applyFont="1" applyFill="1" applyAlignment="1" applyProtection="1">
      <alignment horizontal="left" vertical="top" wrapText="1"/>
      <protection locked="0"/>
    </xf>
    <xf numFmtId="0" fontId="28" fillId="24" borderId="4" xfId="0" applyFont="1" applyFill="1" applyBorder="1" applyAlignment="1" applyProtection="1">
      <alignment horizontal="left" vertical="top" wrapText="1"/>
      <protection locked="0"/>
    </xf>
    <xf numFmtId="0" fontId="28" fillId="24" borderId="9" xfId="0" applyFont="1" applyFill="1" applyBorder="1" applyAlignment="1" applyProtection="1">
      <alignment horizontal="left" vertical="top" wrapText="1"/>
      <protection locked="0"/>
    </xf>
    <xf numFmtId="0" fontId="28" fillId="24" borderId="18" xfId="0" applyFont="1" applyFill="1" applyBorder="1" applyAlignment="1" applyProtection="1">
      <alignment horizontal="left" vertical="top" wrapText="1"/>
      <protection locked="0"/>
    </xf>
    <xf numFmtId="0" fontId="28" fillId="24" borderId="10" xfId="0" applyFont="1" applyFill="1" applyBorder="1" applyAlignment="1" applyProtection="1">
      <alignment horizontal="left" vertical="top" wrapText="1"/>
      <protection locked="0"/>
    </xf>
    <xf numFmtId="0" fontId="33" fillId="4" borderId="0" xfId="0" applyFont="1" applyFill="1" applyAlignment="1">
      <alignment horizontal="center"/>
    </xf>
    <xf numFmtId="0" fontId="28" fillId="4" borderId="0" xfId="0" applyFont="1" applyFill="1" applyAlignment="1">
      <alignment horizontal="center" wrapText="1"/>
    </xf>
    <xf numFmtId="0" fontId="28" fillId="4" borderId="0" xfId="0" applyFont="1" applyFill="1" applyAlignment="1">
      <alignment horizontal="center"/>
    </xf>
    <xf numFmtId="0" fontId="28" fillId="24" borderId="11" xfId="0" applyFont="1" applyFill="1" applyBorder="1" applyAlignment="1" applyProtection="1">
      <alignment horizontal="left" vertical="top" wrapText="1"/>
      <protection locked="0"/>
    </xf>
    <xf numFmtId="0" fontId="90" fillId="25" borderId="12" xfId="0" applyFont="1" applyFill="1" applyBorder="1" applyAlignment="1">
      <alignment horizontal="left"/>
    </xf>
    <xf numFmtId="0" fontId="90" fillId="25" borderId="13" xfId="0" applyFont="1" applyFill="1" applyBorder="1" applyAlignment="1">
      <alignment horizontal="left"/>
    </xf>
    <xf numFmtId="0" fontId="5" fillId="2" borderId="0" xfId="0" applyFont="1" applyFill="1" applyAlignment="1">
      <alignment horizontal="center"/>
    </xf>
    <xf numFmtId="0" fontId="2" fillId="0" borderId="12"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 fillId="0" borderId="17" xfId="0" applyFont="1" applyBorder="1" applyAlignment="1" applyProtection="1">
      <alignment horizontal="left" vertical="top" wrapText="1"/>
      <protection locked="0"/>
    </xf>
    <xf numFmtId="0" fontId="2" fillId="24" borderId="6" xfId="0" applyFont="1" applyFill="1" applyBorder="1" applyAlignment="1" applyProtection="1">
      <alignment horizontal="left" vertical="top" wrapText="1"/>
      <protection locked="0"/>
    </xf>
    <xf numFmtId="0" fontId="2" fillId="24" borderId="2" xfId="0" applyFont="1" applyFill="1" applyBorder="1" applyAlignment="1" applyProtection="1">
      <alignment horizontal="left" vertical="top" wrapText="1"/>
      <protection locked="0"/>
    </xf>
    <xf numFmtId="0" fontId="2" fillId="24" borderId="7" xfId="0" applyFont="1" applyFill="1" applyBorder="1" applyAlignment="1" applyProtection="1">
      <alignment horizontal="left" vertical="top" wrapText="1"/>
      <protection locked="0"/>
    </xf>
    <xf numFmtId="0" fontId="2" fillId="24" borderId="8" xfId="0" applyFont="1" applyFill="1" applyBorder="1" applyAlignment="1" applyProtection="1">
      <alignment horizontal="left" vertical="top" wrapText="1"/>
      <protection locked="0"/>
    </xf>
    <xf numFmtId="0" fontId="2" fillId="24" borderId="0" xfId="0" applyFont="1" applyFill="1" applyAlignment="1" applyProtection="1">
      <alignment horizontal="left" vertical="top" wrapText="1"/>
      <protection locked="0"/>
    </xf>
    <xf numFmtId="0" fontId="2" fillId="24" borderId="4" xfId="0" applyFont="1" applyFill="1" applyBorder="1" applyAlignment="1" applyProtection="1">
      <alignment horizontal="left" vertical="top" wrapText="1"/>
      <protection locked="0"/>
    </xf>
    <xf numFmtId="0" fontId="2" fillId="24" borderId="9" xfId="0" applyFont="1" applyFill="1" applyBorder="1" applyAlignment="1" applyProtection="1">
      <alignment horizontal="left" vertical="top" wrapText="1"/>
      <protection locked="0"/>
    </xf>
    <xf numFmtId="0" fontId="2" fillId="24" borderId="18" xfId="0" applyFont="1" applyFill="1" applyBorder="1" applyAlignment="1" applyProtection="1">
      <alignment horizontal="left" vertical="top" wrapText="1"/>
      <protection locked="0"/>
    </xf>
    <xf numFmtId="0" fontId="2" fillId="24" borderId="10" xfId="0" applyFont="1" applyFill="1" applyBorder="1" applyAlignment="1" applyProtection="1">
      <alignment horizontal="left" vertical="top" wrapText="1"/>
      <protection locked="0"/>
    </xf>
    <xf numFmtId="0" fontId="2" fillId="24" borderId="1" xfId="0" applyFont="1" applyFill="1" applyBorder="1" applyAlignment="1" applyProtection="1">
      <alignment horizontal="left" vertical="top" wrapText="1"/>
      <protection locked="0"/>
    </xf>
    <xf numFmtId="0" fontId="100" fillId="25" borderId="21" xfId="0" applyFont="1" applyFill="1" applyBorder="1" applyAlignment="1">
      <alignment horizontal="left"/>
    </xf>
    <xf numFmtId="0" fontId="100" fillId="25" borderId="30" xfId="0" applyFont="1" applyFill="1" applyBorder="1" applyAlignment="1">
      <alignment horizontal="left"/>
    </xf>
    <xf numFmtId="0" fontId="100" fillId="25" borderId="22" xfId="0" applyFont="1" applyFill="1" applyBorder="1" applyAlignment="1">
      <alignment horizontal="left"/>
    </xf>
    <xf numFmtId="0" fontId="216" fillId="25" borderId="22" xfId="5" applyFont="1" applyFill="1" applyBorder="1" applyAlignment="1">
      <alignment horizontal="left" vertical="center" wrapText="1"/>
    </xf>
    <xf numFmtId="0" fontId="96" fillId="25" borderId="1" xfId="5" applyFont="1" applyFill="1" applyBorder="1" applyAlignment="1">
      <alignment horizontal="left" vertical="center" wrapText="1"/>
    </xf>
    <xf numFmtId="0" fontId="54" fillId="24" borderId="0" xfId="0" applyFont="1" applyFill="1" applyAlignment="1">
      <alignment horizontal="left"/>
    </xf>
    <xf numFmtId="0" fontId="11" fillId="2" borderId="0" xfId="1" applyFont="1" applyFill="1" applyAlignment="1" applyProtection="1">
      <alignment horizontal="left"/>
      <protection locked="0"/>
    </xf>
    <xf numFmtId="0" fontId="102" fillId="24" borderId="8" xfId="0" applyFont="1" applyFill="1" applyBorder="1" applyAlignment="1">
      <alignment horizontal="left"/>
    </xf>
    <xf numFmtId="0" fontId="102" fillId="24" borderId="0" xfId="0" applyFont="1" applyFill="1" applyAlignment="1">
      <alignment horizontal="left"/>
    </xf>
    <xf numFmtId="0" fontId="102" fillId="24" borderId="4" xfId="0" applyFont="1" applyFill="1" applyBorder="1" applyAlignment="1">
      <alignment horizontal="left"/>
    </xf>
    <xf numFmtId="0" fontId="0" fillId="55" borderId="0" xfId="0" applyFill="1" applyAlignment="1">
      <alignment horizontal="left" vertical="center"/>
    </xf>
    <xf numFmtId="0" fontId="0" fillId="2" borderId="21" xfId="0" applyFill="1" applyBorder="1" applyAlignment="1">
      <alignment horizontal="left" vertical="top"/>
    </xf>
    <xf numFmtId="0" fontId="0" fillId="2" borderId="30" xfId="0" applyFill="1" applyBorder="1" applyAlignment="1">
      <alignment horizontal="left" vertical="top"/>
    </xf>
    <xf numFmtId="0" fontId="0" fillId="24" borderId="6" xfId="0" applyFill="1" applyBorder="1" applyAlignment="1">
      <alignment horizontal="left"/>
    </xf>
    <xf numFmtId="0" fontId="0" fillId="24" borderId="2" xfId="0" applyFill="1" applyBorder="1" applyAlignment="1">
      <alignment horizontal="left"/>
    </xf>
    <xf numFmtId="0" fontId="0" fillId="24" borderId="7" xfId="0" applyFill="1" applyBorder="1" applyAlignment="1">
      <alignment horizontal="left"/>
    </xf>
    <xf numFmtId="0" fontId="0" fillId="24" borderId="8" xfId="0" applyFill="1" applyBorder="1" applyAlignment="1">
      <alignment horizontal="left"/>
    </xf>
    <xf numFmtId="0" fontId="0" fillId="24" borderId="0" xfId="0" applyFill="1" applyAlignment="1">
      <alignment horizontal="left"/>
    </xf>
    <xf numFmtId="0" fontId="0" fillId="24" borderId="4" xfId="0" applyFill="1" applyBorder="1" applyAlignment="1">
      <alignment horizontal="left"/>
    </xf>
    <xf numFmtId="0" fontId="19" fillId="2" borderId="6"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7" xfId="0" applyFont="1" applyFill="1" applyBorder="1" applyAlignment="1">
      <alignment horizontal="left" vertical="top" wrapText="1"/>
    </xf>
    <xf numFmtId="0" fontId="0" fillId="2" borderId="8" xfId="0" applyFill="1" applyBorder="1" applyAlignment="1">
      <alignment horizontal="left" vertical="top" wrapText="1"/>
    </xf>
    <xf numFmtId="0" fontId="0" fillId="2" borderId="0" xfId="0" applyFill="1" applyAlignment="1">
      <alignment horizontal="left" vertical="top" wrapText="1"/>
    </xf>
    <xf numFmtId="0" fontId="0" fillId="2" borderId="4" xfId="0" applyFill="1" applyBorder="1" applyAlignment="1">
      <alignment horizontal="left" vertical="top" wrapText="1"/>
    </xf>
    <xf numFmtId="0" fontId="0" fillId="2" borderId="6" xfId="0" applyFill="1" applyBorder="1" applyAlignment="1">
      <alignment vertical="top" wrapText="1"/>
    </xf>
    <xf numFmtId="0" fontId="0" fillId="2" borderId="2" xfId="0" applyFill="1" applyBorder="1" applyAlignment="1">
      <alignment vertical="top" wrapText="1"/>
    </xf>
    <xf numFmtId="0" fontId="0" fillId="46" borderId="21" xfId="0" applyFill="1" applyBorder="1" applyAlignment="1">
      <alignment vertical="top" wrapText="1"/>
    </xf>
    <xf numFmtId="0" fontId="0" fillId="46" borderId="30" xfId="0" applyFill="1" applyBorder="1" applyAlignment="1">
      <alignment vertical="top" wrapText="1"/>
    </xf>
    <xf numFmtId="0" fontId="0" fillId="2" borderId="21" xfId="0" applyFill="1" applyBorder="1" applyAlignment="1">
      <alignment vertical="top" wrapText="1"/>
    </xf>
    <xf numFmtId="0" fontId="0" fillId="2" borderId="30" xfId="0" applyFill="1" applyBorder="1" applyAlignment="1">
      <alignment vertical="top" wrapText="1"/>
    </xf>
    <xf numFmtId="0" fontId="0" fillId="2" borderId="9" xfId="0" applyFill="1" applyBorder="1" applyAlignment="1">
      <alignment horizontal="left" vertical="top" wrapText="1"/>
    </xf>
    <xf numFmtId="0" fontId="0" fillId="2" borderId="18" xfId="0" applyFill="1" applyBorder="1" applyAlignment="1">
      <alignment horizontal="left" vertical="top" wrapText="1"/>
    </xf>
    <xf numFmtId="0" fontId="0" fillId="2" borderId="10" xfId="0" applyFill="1" applyBorder="1" applyAlignment="1">
      <alignment horizontal="left" vertical="top" wrapText="1"/>
    </xf>
    <xf numFmtId="6" fontId="0" fillId="31" borderId="1" xfId="0" applyNumberFormat="1" applyFill="1" applyBorder="1" applyAlignment="1" applyProtection="1">
      <alignment horizontal="center" vertical="center"/>
      <protection locked="0"/>
    </xf>
    <xf numFmtId="0" fontId="0" fillId="31" borderId="1" xfId="0" applyFill="1" applyBorder="1" applyAlignment="1" applyProtection="1">
      <alignment horizontal="center" vertical="center"/>
      <protection locked="0"/>
    </xf>
    <xf numFmtId="1" fontId="0" fillId="2" borderId="2" xfId="0" applyNumberFormat="1" applyFill="1" applyBorder="1" applyAlignment="1">
      <alignment horizontal="center" vertical="top"/>
    </xf>
    <xf numFmtId="1" fontId="0" fillId="2" borderId="7" xfId="0" applyNumberFormat="1" applyFill="1" applyBorder="1" applyAlignment="1">
      <alignment horizontal="center" vertical="top"/>
    </xf>
    <xf numFmtId="1" fontId="0" fillId="46" borderId="0" xfId="0" applyNumberFormat="1" applyFill="1" applyAlignment="1">
      <alignment horizontal="center" vertical="top"/>
    </xf>
    <xf numFmtId="1" fontId="0" fillId="46" borderId="4" xfId="0" applyNumberFormat="1" applyFill="1" applyBorder="1" applyAlignment="1">
      <alignment horizontal="center" vertical="top"/>
    </xf>
    <xf numFmtId="1" fontId="0" fillId="2" borderId="0" xfId="0" applyNumberFormat="1" applyFill="1" applyAlignment="1">
      <alignment horizontal="center" vertical="top"/>
    </xf>
    <xf numFmtId="1" fontId="0" fillId="2" borderId="4" xfId="0" applyNumberFormat="1" applyFill="1" applyBorder="1" applyAlignment="1">
      <alignment horizontal="center" vertical="top"/>
    </xf>
    <xf numFmtId="0" fontId="0" fillId="2" borderId="6" xfId="0" applyFill="1" applyBorder="1" applyAlignment="1">
      <alignment horizontal="left" vertical="top"/>
    </xf>
    <xf numFmtId="0" fontId="0" fillId="2" borderId="2" xfId="0" applyFill="1" applyBorder="1" applyAlignment="1">
      <alignment horizontal="left" vertical="top"/>
    </xf>
    <xf numFmtId="0" fontId="0" fillId="46" borderId="8" xfId="0" applyFill="1" applyBorder="1" applyAlignment="1">
      <alignment horizontal="left" vertical="top"/>
    </xf>
    <xf numFmtId="0" fontId="0" fillId="46" borderId="0" xfId="0" applyFill="1" applyAlignment="1">
      <alignment horizontal="left" vertical="top"/>
    </xf>
    <xf numFmtId="0" fontId="0" fillId="2" borderId="8" xfId="0" applyFill="1" applyBorder="1" applyAlignment="1">
      <alignment horizontal="left" vertical="top"/>
    </xf>
    <xf numFmtId="0" fontId="0" fillId="2" borderId="0" xfId="0" applyFill="1" applyAlignment="1">
      <alignment horizontal="left" vertical="top"/>
    </xf>
    <xf numFmtId="0" fontId="0" fillId="46" borderId="9" xfId="0" applyFill="1" applyBorder="1" applyAlignment="1">
      <alignment horizontal="left" vertical="top"/>
    </xf>
    <xf numFmtId="0" fontId="0" fillId="46" borderId="18" xfId="0" applyFill="1" applyBorder="1" applyAlignment="1">
      <alignment horizontal="left" vertical="top"/>
    </xf>
    <xf numFmtId="1" fontId="0" fillId="46" borderId="18" xfId="0" applyNumberFormat="1" applyFill="1" applyBorder="1" applyAlignment="1">
      <alignment horizontal="center" vertical="top"/>
    </xf>
    <xf numFmtId="1" fontId="0" fillId="46" borderId="10" xfId="0" applyNumberFormat="1" applyFill="1" applyBorder="1" applyAlignment="1">
      <alignment horizontal="center" vertical="top"/>
    </xf>
    <xf numFmtId="6" fontId="0" fillId="2" borderId="30" xfId="0" applyNumberFormat="1" applyFill="1" applyBorder="1" applyAlignment="1">
      <alignment horizontal="center" vertical="top"/>
    </xf>
    <xf numFmtId="6" fontId="0" fillId="2" borderId="22" xfId="0" applyNumberFormat="1" applyFill="1" applyBorder="1" applyAlignment="1">
      <alignment horizontal="center" vertical="top"/>
    </xf>
    <xf numFmtId="0" fontId="0" fillId="46" borderId="8" xfId="0" applyFill="1" applyBorder="1" applyAlignment="1">
      <alignment horizontal="left" vertical="top" wrapText="1"/>
    </xf>
    <xf numFmtId="0" fontId="0" fillId="46" borderId="0" xfId="0" applyFill="1" applyAlignment="1">
      <alignment horizontal="left" vertical="top" wrapText="1"/>
    </xf>
    <xf numFmtId="0" fontId="0" fillId="2" borderId="6" xfId="0" applyFill="1" applyBorder="1" applyAlignment="1">
      <alignment horizontal="left" vertical="top" wrapText="1"/>
    </xf>
    <xf numFmtId="0" fontId="0" fillId="2" borderId="2" xfId="0" applyFill="1" applyBorder="1" applyAlignment="1">
      <alignment horizontal="left" vertical="top" wrapText="1"/>
    </xf>
    <xf numFmtId="0" fontId="0" fillId="46" borderId="9" xfId="0" applyFill="1" applyBorder="1" applyAlignment="1">
      <alignment horizontal="left" vertical="top" wrapText="1"/>
    </xf>
    <xf numFmtId="0" fontId="0" fillId="46" borderId="18" xfId="0" applyFill="1" applyBorder="1" applyAlignment="1">
      <alignment horizontal="left" vertical="top" wrapText="1"/>
    </xf>
    <xf numFmtId="0" fontId="0" fillId="2" borderId="2" xfId="0" applyFill="1" applyBorder="1" applyAlignment="1">
      <alignment horizontal="center" vertical="top"/>
    </xf>
    <xf numFmtId="0" fontId="0" fillId="2" borderId="7" xfId="0" applyFill="1" applyBorder="1" applyAlignment="1">
      <alignment horizontal="center" vertical="top"/>
    </xf>
    <xf numFmtId="0" fontId="0" fillId="46" borderId="0" xfId="0" applyFill="1" applyAlignment="1">
      <alignment horizontal="center" vertical="top"/>
    </xf>
    <xf numFmtId="0" fontId="0" fillId="46" borderId="4" xfId="0" applyFill="1" applyBorder="1" applyAlignment="1">
      <alignment horizontal="center" vertical="top"/>
    </xf>
    <xf numFmtId="0" fontId="0" fillId="2" borderId="0" xfId="0" applyFill="1" applyAlignment="1">
      <alignment horizontal="center"/>
    </xf>
    <xf numFmtId="0" fontId="0" fillId="2" borderId="4" xfId="0" applyFill="1" applyBorder="1" applyAlignment="1">
      <alignment horizontal="center"/>
    </xf>
    <xf numFmtId="0" fontId="0" fillId="46" borderId="18" xfId="0" applyFill="1" applyBorder="1" applyAlignment="1">
      <alignment horizontal="center" vertical="top"/>
    </xf>
    <xf numFmtId="0" fontId="0" fillId="46" borderId="10" xfId="0" applyFill="1" applyBorder="1" applyAlignment="1">
      <alignment horizontal="center" vertical="top"/>
    </xf>
    <xf numFmtId="0" fontId="0" fillId="46" borderId="8" xfId="0" applyFill="1" applyBorder="1" applyAlignment="1">
      <alignment horizontal="left" vertical="center"/>
    </xf>
    <xf numFmtId="0" fontId="0" fillId="46" borderId="0" xfId="0" applyFill="1" applyAlignment="1">
      <alignment horizontal="left" vertical="center"/>
    </xf>
    <xf numFmtId="0" fontId="0" fillId="2" borderId="9" xfId="0" applyFill="1" applyBorder="1" applyAlignment="1">
      <alignment horizontal="left" vertical="center"/>
    </xf>
    <xf numFmtId="0" fontId="0" fillId="2" borderId="18" xfId="0" applyFill="1" applyBorder="1" applyAlignment="1">
      <alignment horizontal="left" vertical="center"/>
    </xf>
    <xf numFmtId="0" fontId="0" fillId="2" borderId="2" xfId="0" applyFill="1" applyBorder="1" applyAlignment="1">
      <alignment horizontal="center" vertical="center"/>
    </xf>
    <xf numFmtId="0" fontId="0" fillId="2" borderId="7" xfId="0" applyFill="1" applyBorder="1" applyAlignment="1">
      <alignment horizontal="center" vertical="center"/>
    </xf>
    <xf numFmtId="0" fontId="0" fillId="46" borderId="0" xfId="0" applyFill="1" applyAlignment="1">
      <alignment horizontal="center" vertical="center"/>
    </xf>
    <xf numFmtId="0" fontId="0" fillId="46" borderId="4" xfId="0" applyFill="1" applyBorder="1" applyAlignment="1">
      <alignment horizontal="center" vertical="center"/>
    </xf>
    <xf numFmtId="38" fontId="0" fillId="2" borderId="18" xfId="0" applyNumberFormat="1" applyFill="1" applyBorder="1" applyAlignment="1">
      <alignment horizontal="center" vertical="center"/>
    </xf>
    <xf numFmtId="38" fontId="0" fillId="2" borderId="10" xfId="0" applyNumberFormat="1" applyFill="1" applyBorder="1" applyAlignment="1">
      <alignment horizontal="center" vertical="center"/>
    </xf>
    <xf numFmtId="6" fontId="0" fillId="2" borderId="2" xfId="0" applyNumberFormat="1" applyFill="1" applyBorder="1" applyAlignment="1">
      <alignment horizontal="center" vertical="center"/>
    </xf>
    <xf numFmtId="6" fontId="0" fillId="2" borderId="7" xfId="0" applyNumberFormat="1" applyFill="1" applyBorder="1" applyAlignment="1">
      <alignment horizontal="center" vertical="center"/>
    </xf>
    <xf numFmtId="6" fontId="0" fillId="46" borderId="0" xfId="0" applyNumberFormat="1" applyFill="1" applyAlignment="1">
      <alignment horizontal="center" vertical="center"/>
    </xf>
    <xf numFmtId="6" fontId="0" fillId="46" borderId="4" xfId="0" applyNumberFormat="1" applyFill="1" applyBorder="1" applyAlignment="1">
      <alignment horizontal="center" vertical="center"/>
    </xf>
    <xf numFmtId="6" fontId="4" fillId="2" borderId="18" xfId="0" applyNumberFormat="1" applyFont="1" applyFill="1" applyBorder="1" applyAlignment="1">
      <alignment horizontal="center"/>
    </xf>
    <xf numFmtId="6" fontId="4" fillId="2" borderId="10" xfId="0" applyNumberFormat="1" applyFont="1" applyFill="1" applyBorder="1" applyAlignment="1">
      <alignment horizontal="center"/>
    </xf>
    <xf numFmtId="0" fontId="4" fillId="2" borderId="9" xfId="0" applyFont="1" applyFill="1" applyBorder="1" applyAlignment="1">
      <alignment horizontal="left"/>
    </xf>
    <xf numFmtId="0" fontId="4" fillId="2" borderId="18" xfId="0" applyFont="1" applyFill="1" applyBorder="1" applyAlignment="1">
      <alignment horizontal="left"/>
    </xf>
    <xf numFmtId="6" fontId="0" fillId="2" borderId="30" xfId="0" applyNumberFormat="1" applyFill="1" applyBorder="1" applyAlignment="1">
      <alignment horizontal="center"/>
    </xf>
    <xf numFmtId="6" fontId="0" fillId="2" borderId="22" xfId="0" applyNumberFormat="1" applyFill="1" applyBorder="1" applyAlignment="1">
      <alignment horizontal="center"/>
    </xf>
    <xf numFmtId="0" fontId="32" fillId="2" borderId="21" xfId="0" applyFont="1" applyFill="1" applyBorder="1" applyAlignment="1">
      <alignment horizontal="left" vertical="top" wrapText="1"/>
    </xf>
    <xf numFmtId="0" fontId="32" fillId="2" borderId="30" xfId="0" applyFont="1" applyFill="1" applyBorder="1" applyAlignment="1">
      <alignment horizontal="left" vertical="top" wrapText="1"/>
    </xf>
    <xf numFmtId="5" fontId="4" fillId="46" borderId="18" xfId="4" applyNumberFormat="1" applyFont="1" applyFill="1" applyBorder="1" applyAlignment="1" applyProtection="1">
      <alignment horizontal="center"/>
    </xf>
    <xf numFmtId="5" fontId="4" fillId="46" borderId="10" xfId="4" applyNumberFormat="1" applyFont="1" applyFill="1" applyBorder="1" applyAlignment="1" applyProtection="1">
      <alignment horizontal="center"/>
    </xf>
    <xf numFmtId="6" fontId="4" fillId="0" borderId="2" xfId="4" applyNumberFormat="1" applyFont="1" applyFill="1" applyBorder="1" applyAlignment="1" applyProtection="1">
      <alignment horizontal="center" vertical="center"/>
    </xf>
    <xf numFmtId="6" fontId="4" fillId="0" borderId="7" xfId="4" applyNumberFormat="1" applyFont="1" applyFill="1" applyBorder="1" applyAlignment="1" applyProtection="1">
      <alignment horizontal="center" vertical="center"/>
    </xf>
    <xf numFmtId="6" fontId="0" fillId="0" borderId="30" xfId="0" applyNumberFormat="1" applyBorder="1" applyAlignment="1">
      <alignment horizontal="center"/>
    </xf>
    <xf numFmtId="6" fontId="0" fillId="0" borderId="22" xfId="0" applyNumberFormat="1" applyBorder="1" applyAlignment="1">
      <alignment horizontal="center"/>
    </xf>
    <xf numFmtId="0" fontId="0" fillId="2" borderId="21" xfId="0" applyFill="1" applyBorder="1" applyAlignment="1">
      <alignment horizontal="left" vertical="top" wrapText="1"/>
    </xf>
    <xf numFmtId="0" fontId="0" fillId="2" borderId="30" xfId="0" applyFill="1" applyBorder="1" applyAlignment="1">
      <alignment horizontal="left" vertical="top" wrapText="1"/>
    </xf>
    <xf numFmtId="0" fontId="4" fillId="2" borderId="6" xfId="0" applyFont="1" applyFill="1" applyBorder="1" applyAlignment="1">
      <alignment horizontal="left" vertical="center"/>
    </xf>
    <xf numFmtId="0" fontId="4" fillId="2" borderId="2" xfId="0" applyFont="1" applyFill="1" applyBorder="1" applyAlignment="1">
      <alignment horizontal="left" vertical="center"/>
    </xf>
    <xf numFmtId="0" fontId="4" fillId="46" borderId="9" xfId="0" applyFont="1" applyFill="1" applyBorder="1" applyAlignment="1">
      <alignment horizontal="left"/>
    </xf>
    <xf numFmtId="0" fontId="4" fillId="46" borderId="18" xfId="0" applyFont="1" applyFill="1" applyBorder="1" applyAlignment="1">
      <alignment horizontal="left"/>
    </xf>
    <xf numFmtId="0" fontId="0" fillId="24" borderId="18" xfId="0" applyFill="1" applyBorder="1" applyAlignment="1">
      <alignment vertical="top" wrapText="1"/>
    </xf>
    <xf numFmtId="0" fontId="0" fillId="24" borderId="10" xfId="0" applyFill="1" applyBorder="1" applyAlignment="1">
      <alignment vertical="top" wrapText="1"/>
    </xf>
    <xf numFmtId="0" fontId="0" fillId="24" borderId="0" xfId="0" applyFill="1" applyAlignment="1">
      <alignment vertical="top" wrapText="1"/>
    </xf>
    <xf numFmtId="0" fontId="0" fillId="24" borderId="4" xfId="0" applyFill="1" applyBorder="1" applyAlignment="1">
      <alignment vertical="top" wrapText="1"/>
    </xf>
    <xf numFmtId="0" fontId="28" fillId="2" borderId="6" xfId="0" applyFont="1" applyFill="1" applyBorder="1" applyAlignment="1" applyProtection="1">
      <alignment horizontal="left" vertical="top" wrapText="1"/>
      <protection locked="0"/>
    </xf>
    <xf numFmtId="0" fontId="28" fillId="2" borderId="2" xfId="0" applyFont="1" applyFill="1" applyBorder="1" applyAlignment="1" applyProtection="1">
      <alignment horizontal="left" vertical="top" wrapText="1"/>
      <protection locked="0"/>
    </xf>
    <xf numFmtId="0" fontId="28" fillId="2" borderId="7" xfId="0" applyFont="1" applyFill="1" applyBorder="1" applyAlignment="1" applyProtection="1">
      <alignment horizontal="left" vertical="top" wrapText="1"/>
      <protection locked="0"/>
    </xf>
    <xf numFmtId="0" fontId="28" fillId="2" borderId="8" xfId="0" applyFont="1" applyFill="1" applyBorder="1" applyAlignment="1" applyProtection="1">
      <alignment horizontal="left" vertical="top" wrapText="1"/>
      <protection locked="0"/>
    </xf>
    <xf numFmtId="0" fontId="28" fillId="2" borderId="4" xfId="0" applyFont="1" applyFill="1" applyBorder="1" applyAlignment="1" applyProtection="1">
      <alignment horizontal="left" vertical="top" wrapText="1"/>
      <protection locked="0"/>
    </xf>
    <xf numFmtId="0" fontId="28" fillId="2" borderId="9" xfId="0" applyFont="1" applyFill="1" applyBorder="1" applyAlignment="1" applyProtection="1">
      <alignment horizontal="left" vertical="top" wrapText="1"/>
      <protection locked="0"/>
    </xf>
    <xf numFmtId="0" fontId="28" fillId="2" borderId="18" xfId="0" applyFont="1" applyFill="1" applyBorder="1" applyAlignment="1" applyProtection="1">
      <alignment horizontal="left" vertical="top" wrapText="1"/>
      <protection locked="0"/>
    </xf>
    <xf numFmtId="0" fontId="28" fillId="2" borderId="10" xfId="0" applyFont="1" applyFill="1" applyBorder="1" applyAlignment="1" applyProtection="1">
      <alignment horizontal="left" vertical="top" wrapText="1"/>
      <protection locked="0"/>
    </xf>
    <xf numFmtId="0" fontId="28" fillId="47" borderId="1" xfId="0" applyFont="1" applyFill="1" applyBorder="1" applyAlignment="1">
      <alignment horizontal="right"/>
    </xf>
    <xf numFmtId="0" fontId="28" fillId="19" borderId="21" xfId="0" applyFont="1" applyFill="1" applyBorder="1" applyAlignment="1">
      <alignment horizontal="right"/>
    </xf>
    <xf numFmtId="0" fontId="28" fillId="19" borderId="22" xfId="0" applyFont="1" applyFill="1" applyBorder="1" applyAlignment="1">
      <alignment horizontal="right"/>
    </xf>
    <xf numFmtId="0" fontId="0" fillId="2" borderId="6" xfId="0" applyFill="1" applyBorder="1" applyAlignment="1">
      <alignment horizontal="left" vertical="center" wrapText="1"/>
    </xf>
    <xf numFmtId="0" fontId="0" fillId="2" borderId="2"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18" xfId="0" applyFill="1" applyBorder="1" applyAlignment="1">
      <alignment horizontal="left" vertical="center" wrapText="1"/>
    </xf>
    <xf numFmtId="0" fontId="0" fillId="2" borderId="10" xfId="0" applyFill="1" applyBorder="1" applyAlignment="1">
      <alignment horizontal="left" vertical="center" wrapText="1"/>
    </xf>
    <xf numFmtId="0" fontId="29" fillId="40" borderId="0" xfId="0" applyFont="1" applyFill="1"/>
    <xf numFmtId="0" fontId="0" fillId="14" borderId="1" xfId="0" applyFill="1" applyBorder="1" applyAlignment="1" applyProtection="1">
      <alignment horizontal="center"/>
      <protection locked="0"/>
    </xf>
    <xf numFmtId="0" fontId="0" fillId="9" borderId="5" xfId="0" applyFill="1" applyBorder="1" applyAlignment="1">
      <alignment horizontal="center" vertical="center"/>
    </xf>
    <xf numFmtId="0" fontId="0" fillId="9" borderId="28" xfId="0" applyFill="1" applyBorder="1" applyAlignment="1">
      <alignment horizontal="center" vertical="center"/>
    </xf>
    <xf numFmtId="0" fontId="0" fillId="9" borderId="3" xfId="0" applyFill="1" applyBorder="1" applyAlignment="1">
      <alignment horizontal="center" vertical="center"/>
    </xf>
    <xf numFmtId="0" fontId="33" fillId="40" borderId="0" xfId="0" applyFont="1" applyFill="1" applyAlignment="1">
      <alignment horizontal="left"/>
    </xf>
    <xf numFmtId="0" fontId="0" fillId="9" borderId="1" xfId="0" applyFill="1" applyBorder="1" applyAlignment="1">
      <alignment horizontal="center" vertical="center"/>
    </xf>
    <xf numFmtId="0" fontId="0" fillId="2" borderId="1" xfId="0" applyFill="1" applyBorder="1" applyAlignment="1">
      <alignment horizontal="left" vertical="center" wrapText="1"/>
    </xf>
    <xf numFmtId="0" fontId="28" fillId="40" borderId="0" xfId="0" applyFont="1" applyFill="1" applyAlignment="1">
      <alignment horizontal="left" vertical="top" wrapText="1"/>
    </xf>
    <xf numFmtId="0" fontId="29" fillId="40" borderId="0" xfId="0" applyFont="1" applyFill="1" applyAlignment="1">
      <alignment horizontal="left" wrapText="1"/>
    </xf>
    <xf numFmtId="0" fontId="28" fillId="2" borderId="0" xfId="0" applyFont="1" applyFill="1" applyAlignment="1">
      <alignment horizontal="left"/>
    </xf>
    <xf numFmtId="0" fontId="28" fillId="2" borderId="8" xfId="0" applyFont="1" applyFill="1" applyBorder="1" applyAlignment="1">
      <alignment horizontal="left"/>
    </xf>
    <xf numFmtId="0" fontId="28" fillId="2" borderId="9" xfId="0" applyFont="1" applyFill="1" applyBorder="1" applyAlignment="1">
      <alignment horizontal="left"/>
    </xf>
    <xf numFmtId="0" fontId="0" fillId="2" borderId="10" xfId="0" applyFill="1" applyBorder="1" applyAlignment="1">
      <alignment horizontal="left"/>
    </xf>
    <xf numFmtId="0" fontId="4" fillId="2" borderId="6" xfId="0" applyFont="1" applyFill="1" applyBorder="1" applyAlignment="1">
      <alignment horizontal="left"/>
    </xf>
    <xf numFmtId="0" fontId="6" fillId="5" borderId="21" xfId="0" applyFont="1" applyFill="1" applyBorder="1" applyAlignment="1">
      <alignment horizontal="left"/>
    </xf>
    <xf numFmtId="0" fontId="6" fillId="5" borderId="30" xfId="0" applyFont="1" applyFill="1" applyBorder="1" applyAlignment="1">
      <alignment horizontal="left"/>
    </xf>
    <xf numFmtId="0" fontId="6" fillId="5" borderId="22" xfId="0" applyFont="1" applyFill="1" applyBorder="1" applyAlignment="1">
      <alignment horizontal="left"/>
    </xf>
    <xf numFmtId="0" fontId="4" fillId="2" borderId="0" xfId="0" applyFont="1" applyFill="1" applyAlignment="1">
      <alignment horizontal="left"/>
    </xf>
    <xf numFmtId="0" fontId="0" fillId="2" borderId="1" xfId="0" applyFill="1" applyBorder="1"/>
    <xf numFmtId="0" fontId="100" fillId="5" borderId="87" xfId="0" applyFont="1" applyFill="1" applyBorder="1" applyAlignment="1">
      <alignment horizontal="left"/>
    </xf>
    <xf numFmtId="0" fontId="100" fillId="5" borderId="1" xfId="0" applyFont="1" applyFill="1" applyBorder="1" applyAlignment="1">
      <alignment horizontal="left"/>
    </xf>
    <xf numFmtId="0" fontId="14" fillId="2" borderId="6"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7" xfId="0" applyFont="1" applyFill="1" applyBorder="1" applyAlignment="1">
      <alignment horizontal="left" vertical="top" wrapText="1"/>
    </xf>
    <xf numFmtId="0" fontId="14" fillId="2" borderId="4" xfId="0" applyFont="1" applyFill="1" applyBorder="1" applyAlignment="1">
      <alignment horizontal="left" vertical="top" wrapText="1"/>
    </xf>
    <xf numFmtId="0" fontId="0" fillId="9" borderId="6" xfId="0" applyFill="1" applyBorder="1" applyAlignment="1">
      <alignment horizontal="center" vertical="center"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100" fillId="5" borderId="1" xfId="0" applyFont="1" applyFill="1" applyBorder="1"/>
    <xf numFmtId="0" fontId="0" fillId="2" borderId="9" xfId="0" applyFill="1" applyBorder="1" applyAlignment="1">
      <alignment horizontal="center"/>
    </xf>
    <xf numFmtId="0" fontId="0" fillId="2" borderId="18" xfId="0" applyFill="1" applyBorder="1" applyAlignment="1">
      <alignment horizontal="center"/>
    </xf>
    <xf numFmtId="0" fontId="0" fillId="2" borderId="10" xfId="0" applyFill="1" applyBorder="1" applyAlignment="1">
      <alignment horizontal="center"/>
    </xf>
    <xf numFmtId="0" fontId="14" fillId="2" borderId="9" xfId="0" applyFont="1" applyFill="1" applyBorder="1" applyAlignment="1">
      <alignment horizontal="left" vertical="top" wrapText="1"/>
    </xf>
    <xf numFmtId="0" fontId="14" fillId="2" borderId="18" xfId="0" applyFont="1" applyFill="1" applyBorder="1" applyAlignment="1">
      <alignment horizontal="left" vertical="top" wrapText="1"/>
    </xf>
    <xf numFmtId="0" fontId="0" fillId="2" borderId="5"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xf numFmtId="0" fontId="0" fillId="14" borderId="1" xfId="0" applyFill="1" applyBorder="1" applyAlignment="1" applyProtection="1">
      <alignment horizontal="left"/>
      <protection locked="0"/>
    </xf>
    <xf numFmtId="0" fontId="100" fillId="5" borderId="1" xfId="0" applyFont="1" applyFill="1" applyBorder="1" applyAlignment="1">
      <alignment horizontal="center"/>
    </xf>
    <xf numFmtId="0" fontId="28" fillId="9" borderId="1" xfId="0" applyFont="1" applyFill="1" applyBorder="1" applyAlignment="1">
      <alignment horizontal="center"/>
    </xf>
    <xf numFmtId="0" fontId="0" fillId="40" borderId="8" xfId="0" applyFill="1" applyBorder="1" applyAlignment="1">
      <alignment horizontal="right"/>
    </xf>
    <xf numFmtId="9" fontId="0" fillId="9" borderId="1" xfId="2" applyFont="1" applyFill="1" applyBorder="1" applyAlignment="1">
      <alignment horizontal="right"/>
    </xf>
    <xf numFmtId="0" fontId="0" fillId="9" borderId="1" xfId="0" applyFill="1" applyBorder="1" applyAlignment="1">
      <alignment horizontal="center"/>
    </xf>
    <xf numFmtId="38" fontId="0" fillId="9" borderId="1" xfId="0" applyNumberFormat="1" applyFill="1" applyBorder="1" applyAlignment="1">
      <alignment horizontal="center"/>
    </xf>
    <xf numFmtId="9" fontId="0" fillId="9" borderId="1" xfId="0" applyNumberFormat="1" applyFill="1" applyBorder="1" applyAlignment="1">
      <alignment horizontal="center"/>
    </xf>
    <xf numFmtId="0" fontId="100" fillId="5" borderId="1" xfId="0" applyFont="1" applyFill="1" applyBorder="1" applyAlignment="1">
      <alignment horizontal="center" vertical="center" wrapText="1"/>
    </xf>
    <xf numFmtId="10" fontId="28" fillId="9" borderId="1" xfId="0" applyNumberFormat="1" applyFont="1" applyFill="1" applyBorder="1" applyAlignment="1">
      <alignment horizontal="center"/>
    </xf>
    <xf numFmtId="9" fontId="0" fillId="9" borderId="1" xfId="2" applyFont="1" applyFill="1" applyBorder="1" applyAlignment="1">
      <alignment horizontal="center" vertical="center"/>
    </xf>
    <xf numFmtId="0" fontId="100" fillId="5" borderId="6" xfId="0" applyFont="1" applyFill="1" applyBorder="1" applyAlignment="1">
      <alignment horizontal="center" vertical="center" wrapText="1"/>
    </xf>
    <xf numFmtId="0" fontId="100" fillId="5" borderId="5" xfId="0" applyFont="1" applyFill="1" applyBorder="1" applyAlignment="1">
      <alignment horizontal="center" vertical="center" wrapText="1"/>
    </xf>
    <xf numFmtId="0" fontId="100" fillId="5" borderId="21" xfId="0" applyFont="1" applyFill="1" applyBorder="1" applyAlignment="1">
      <alignment horizontal="center" vertical="center" wrapText="1"/>
    </xf>
    <xf numFmtId="0" fontId="100" fillId="5" borderId="1" xfId="0" applyFont="1" applyFill="1" applyBorder="1" applyAlignment="1">
      <alignment horizontal="center" vertical="center"/>
    </xf>
    <xf numFmtId="38" fontId="28" fillId="9" borderId="1" xfId="0" applyNumberFormat="1" applyFont="1" applyFill="1" applyBorder="1" applyAlignment="1">
      <alignment horizontal="center"/>
    </xf>
    <xf numFmtId="9" fontId="28" fillId="2" borderId="1" xfId="0" applyNumberFormat="1" applyFont="1" applyFill="1" applyBorder="1" applyAlignment="1">
      <alignment horizontal="center"/>
    </xf>
    <xf numFmtId="0" fontId="71" fillId="40" borderId="0" xfId="0" applyFont="1" applyFill="1" applyAlignment="1">
      <alignment horizontal="left" vertical="top" wrapText="1"/>
    </xf>
    <xf numFmtId="0" fontId="68" fillId="9" borderId="1" xfId="0" applyFont="1" applyFill="1" applyBorder="1" applyAlignment="1">
      <alignment horizontal="center"/>
    </xf>
    <xf numFmtId="9" fontId="28" fillId="9" borderId="1" xfId="0" applyNumberFormat="1" applyFont="1" applyFill="1" applyBorder="1" applyAlignment="1">
      <alignment horizontal="center"/>
    </xf>
    <xf numFmtId="0" fontId="28" fillId="3" borderId="101" xfId="0" applyFont="1" applyFill="1" applyBorder="1" applyAlignment="1">
      <alignment horizontal="left" vertical="top" wrapText="1"/>
    </xf>
    <xf numFmtId="0" fontId="28" fillId="3" borderId="102" xfId="0" applyFont="1" applyFill="1" applyBorder="1" applyAlignment="1">
      <alignment horizontal="left" vertical="top" wrapText="1"/>
    </xf>
    <xf numFmtId="0" fontId="28" fillId="3" borderId="103" xfId="0" applyFont="1" applyFill="1" applyBorder="1" applyAlignment="1">
      <alignment horizontal="left" vertical="top" wrapText="1"/>
    </xf>
    <xf numFmtId="0" fontId="28" fillId="3" borderId="1" xfId="0" applyFont="1" applyFill="1" applyBorder="1" applyAlignment="1">
      <alignment horizontal="left" vertical="top" wrapText="1"/>
    </xf>
    <xf numFmtId="0" fontId="0" fillId="2" borderId="21" xfId="0" applyFill="1" applyBorder="1" applyAlignment="1" applyProtection="1">
      <alignment horizontal="left"/>
      <protection locked="0"/>
    </xf>
    <xf numFmtId="0" fontId="0" fillId="2" borderId="30" xfId="0" applyFill="1" applyBorder="1" applyAlignment="1" applyProtection="1">
      <alignment horizontal="left"/>
      <protection locked="0"/>
    </xf>
    <xf numFmtId="0" fontId="0" fillId="2" borderId="22" xfId="0" applyFill="1" applyBorder="1" applyAlignment="1" applyProtection="1">
      <alignment horizontal="left"/>
      <protection locked="0"/>
    </xf>
    <xf numFmtId="0" fontId="28" fillId="3" borderId="21" xfId="0" applyFont="1" applyFill="1" applyBorder="1" applyAlignment="1">
      <alignment horizontal="left" vertical="top" wrapText="1"/>
    </xf>
    <xf numFmtId="0" fontId="28" fillId="3" borderId="30" xfId="0" applyFont="1" applyFill="1" applyBorder="1" applyAlignment="1">
      <alignment horizontal="left" vertical="top" wrapText="1"/>
    </xf>
    <xf numFmtId="0" fontId="0" fillId="0" borderId="30" xfId="0" applyBorder="1" applyAlignment="1">
      <alignment horizontal="left" vertical="top" wrapText="1"/>
    </xf>
    <xf numFmtId="0" fontId="0" fillId="0" borderId="22" xfId="0" applyBorder="1" applyAlignment="1">
      <alignment horizontal="left" vertical="top" wrapText="1"/>
    </xf>
    <xf numFmtId="0" fontId="28" fillId="3" borderId="22" xfId="0" applyFont="1" applyFill="1" applyBorder="1" applyAlignment="1">
      <alignment horizontal="left" vertical="top" wrapText="1"/>
    </xf>
    <xf numFmtId="0" fontId="28" fillId="3" borderId="87" xfId="0" applyFont="1" applyFill="1" applyBorder="1" applyAlignment="1">
      <alignment horizontal="left" vertical="top" wrapText="1"/>
    </xf>
    <xf numFmtId="0" fontId="28" fillId="3" borderId="97" xfId="0" applyFont="1" applyFill="1" applyBorder="1" applyAlignment="1">
      <alignment horizontal="left" vertical="top" wrapText="1"/>
    </xf>
    <xf numFmtId="0" fontId="68" fillId="3" borderId="1" xfId="0" applyFont="1" applyFill="1" applyBorder="1" applyAlignment="1">
      <alignment horizontal="left" vertical="top" wrapText="1"/>
    </xf>
    <xf numFmtId="0" fontId="0" fillId="14" borderId="1" xfId="0" applyFill="1" applyBorder="1" applyAlignment="1" applyProtection="1">
      <alignment horizontal="left" vertical="top"/>
      <protection locked="0"/>
    </xf>
    <xf numFmtId="0" fontId="100" fillId="2" borderId="0" xfId="0" applyFont="1" applyFill="1" applyAlignment="1">
      <alignment horizontal="center" wrapText="1"/>
    </xf>
    <xf numFmtId="0" fontId="6" fillId="5" borderId="1" xfId="0" applyFont="1" applyFill="1" applyBorder="1" applyAlignment="1">
      <alignment horizontal="left" wrapText="1"/>
    </xf>
    <xf numFmtId="0" fontId="6" fillId="5" borderId="1" xfId="0" applyFont="1" applyFill="1" applyBorder="1" applyAlignment="1">
      <alignment horizontal="center" wrapText="1"/>
    </xf>
    <xf numFmtId="0" fontId="68" fillId="3" borderId="1" xfId="0" applyFont="1" applyFill="1" applyBorder="1" applyAlignment="1">
      <alignment horizontal="left"/>
    </xf>
    <xf numFmtId="0" fontId="71" fillId="3" borderId="1" xfId="0" applyFont="1" applyFill="1" applyBorder="1" applyAlignment="1">
      <alignment horizontal="left" vertical="top" wrapText="1"/>
    </xf>
    <xf numFmtId="0" fontId="0" fillId="2" borderId="1" xfId="0" applyFill="1" applyBorder="1" applyAlignment="1" applyProtection="1">
      <alignment horizontal="center" vertical="center"/>
      <protection locked="0"/>
    </xf>
    <xf numFmtId="0" fontId="0" fillId="3" borderId="1" xfId="0" applyFill="1" applyBorder="1" applyAlignment="1">
      <alignment horizontal="center" vertical="center"/>
    </xf>
    <xf numFmtId="0" fontId="100" fillId="5" borderId="6" xfId="0" applyFont="1" applyFill="1" applyBorder="1" applyAlignment="1">
      <alignment horizontal="left"/>
    </xf>
    <xf numFmtId="0" fontId="100" fillId="5" borderId="2" xfId="0" applyFont="1" applyFill="1" applyBorder="1" applyAlignment="1">
      <alignment horizontal="left"/>
    </xf>
    <xf numFmtId="0" fontId="100" fillId="5" borderId="7" xfId="0" applyFont="1" applyFill="1" applyBorder="1" applyAlignment="1">
      <alignment horizontal="left"/>
    </xf>
    <xf numFmtId="0" fontId="100" fillId="5" borderId="1" xfId="0" applyFont="1" applyFill="1" applyBorder="1" applyAlignment="1">
      <alignment horizontal="center" wrapText="1"/>
    </xf>
    <xf numFmtId="0" fontId="100" fillId="5" borderId="5" xfId="0" applyFont="1" applyFill="1" applyBorder="1" applyAlignment="1">
      <alignment horizontal="center" wrapText="1"/>
    </xf>
    <xf numFmtId="0" fontId="6" fillId="5" borderId="5" xfId="0" applyFont="1" applyFill="1" applyBorder="1" applyAlignment="1">
      <alignment horizontal="center" wrapText="1"/>
    </xf>
    <xf numFmtId="0" fontId="6" fillId="5" borderId="6" xfId="0" applyFont="1" applyFill="1" applyBorder="1" applyAlignment="1">
      <alignment horizontal="left" wrapText="1"/>
    </xf>
    <xf numFmtId="0" fontId="6" fillId="5" borderId="2" xfId="0" applyFont="1" applyFill="1" applyBorder="1" applyAlignment="1">
      <alignment horizontal="left" wrapText="1"/>
    </xf>
    <xf numFmtId="0" fontId="6" fillId="5" borderId="7" xfId="0" applyFont="1" applyFill="1" applyBorder="1" applyAlignment="1">
      <alignment horizontal="left" wrapText="1"/>
    </xf>
    <xf numFmtId="0" fontId="6" fillId="5" borderId="8" xfId="0" applyFont="1" applyFill="1" applyBorder="1" applyAlignment="1">
      <alignment horizontal="left" wrapText="1"/>
    </xf>
    <xf numFmtId="0" fontId="6" fillId="5" borderId="0" xfId="0" applyFont="1" applyFill="1" applyAlignment="1">
      <alignment horizontal="left" wrapText="1"/>
    </xf>
    <xf numFmtId="0" fontId="6" fillId="5" borderId="4" xfId="0" applyFont="1" applyFill="1" applyBorder="1" applyAlignment="1">
      <alignment horizontal="left" wrapText="1"/>
    </xf>
    <xf numFmtId="0" fontId="0" fillId="2" borderId="21" xfId="0" applyFill="1" applyBorder="1" applyAlignment="1" applyProtection="1">
      <alignment horizontal="left" wrapText="1"/>
      <protection locked="0"/>
    </xf>
    <xf numFmtId="0" fontId="0" fillId="2" borderId="30" xfId="0" applyFill="1" applyBorder="1" applyAlignment="1" applyProtection="1">
      <alignment horizontal="left" wrapText="1"/>
      <protection locked="0"/>
    </xf>
    <xf numFmtId="0" fontId="0" fillId="2" borderId="22" xfId="0" applyFill="1" applyBorder="1" applyAlignment="1" applyProtection="1">
      <alignment horizontal="left" wrapText="1"/>
      <protection locked="0"/>
    </xf>
    <xf numFmtId="0" fontId="68" fillId="3" borderId="1" xfId="0" applyFont="1" applyFill="1" applyBorder="1" applyAlignment="1">
      <alignment horizontal="left" vertical="top"/>
    </xf>
    <xf numFmtId="0" fontId="6" fillId="5" borderId="9" xfId="0" applyFont="1" applyFill="1" applyBorder="1" applyAlignment="1">
      <alignment horizontal="left" wrapText="1"/>
    </xf>
    <xf numFmtId="0" fontId="6" fillId="5" borderId="18" xfId="0" applyFont="1" applyFill="1" applyBorder="1" applyAlignment="1">
      <alignment horizontal="left" wrapText="1"/>
    </xf>
    <xf numFmtId="0" fontId="6" fillId="5" borderId="10" xfId="0" applyFont="1" applyFill="1" applyBorder="1" applyAlignment="1">
      <alignment horizontal="left" wrapText="1"/>
    </xf>
    <xf numFmtId="0" fontId="28" fillId="3" borderId="98" xfId="0" applyFont="1" applyFill="1" applyBorder="1" applyAlignment="1">
      <alignment horizontal="left" vertical="top" wrapText="1"/>
    </xf>
    <xf numFmtId="0" fontId="28" fillId="3" borderId="99" xfId="0" applyFont="1" applyFill="1" applyBorder="1" applyAlignment="1">
      <alignment horizontal="left" vertical="top" wrapText="1"/>
    </xf>
    <xf numFmtId="0" fontId="28" fillId="3" borderId="100" xfId="0" applyFont="1" applyFill="1" applyBorder="1" applyAlignment="1">
      <alignment horizontal="left" vertical="top" wrapText="1"/>
    </xf>
    <xf numFmtId="0" fontId="0" fillId="3" borderId="21" xfId="0" applyFill="1" applyBorder="1" applyAlignment="1">
      <alignment horizontal="left" vertical="top"/>
    </xf>
    <xf numFmtId="0" fontId="0" fillId="3" borderId="30" xfId="0" applyFill="1" applyBorder="1" applyAlignment="1">
      <alignment horizontal="left" vertical="top"/>
    </xf>
    <xf numFmtId="0" fontId="0" fillId="3" borderId="22" xfId="0" applyFill="1" applyBorder="1" applyAlignment="1">
      <alignment horizontal="left" vertical="top"/>
    </xf>
    <xf numFmtId="0" fontId="0" fillId="3" borderId="1" xfId="0" applyFill="1" applyBorder="1" applyAlignment="1">
      <alignment horizontal="left" wrapText="1"/>
    </xf>
    <xf numFmtId="0" fontId="0" fillId="3" borderId="21" xfId="0" applyFill="1" applyBorder="1" applyAlignment="1">
      <alignment horizontal="left" wrapText="1"/>
    </xf>
    <xf numFmtId="0" fontId="0" fillId="3" borderId="1" xfId="0" applyFill="1" applyBorder="1" applyAlignment="1">
      <alignment horizontal="left" vertical="top"/>
    </xf>
    <xf numFmtId="0" fontId="0" fillId="3" borderId="6" xfId="0" applyFill="1" applyBorder="1" applyAlignment="1">
      <alignment horizontal="left"/>
    </xf>
    <xf numFmtId="0" fontId="0" fillId="3" borderId="2" xfId="0" applyFill="1" applyBorder="1" applyAlignment="1">
      <alignment horizontal="left"/>
    </xf>
    <xf numFmtId="0" fontId="0" fillId="3" borderId="7" xfId="0" applyFill="1" applyBorder="1" applyAlignment="1">
      <alignment horizontal="left"/>
    </xf>
    <xf numFmtId="0" fontId="0" fillId="3" borderId="8" xfId="0" applyFill="1" applyBorder="1" applyAlignment="1">
      <alignment horizontal="left"/>
    </xf>
    <xf numFmtId="0" fontId="0" fillId="3" borderId="0" xfId="0" applyFill="1" applyAlignment="1">
      <alignment horizontal="left"/>
    </xf>
    <xf numFmtId="0" fontId="0" fillId="3" borderId="4" xfId="0" applyFill="1" applyBorder="1" applyAlignment="1">
      <alignment horizontal="left"/>
    </xf>
    <xf numFmtId="0" fontId="0" fillId="9" borderId="1" xfId="0" applyFill="1" applyBorder="1" applyAlignment="1">
      <alignment horizontal="center" vertical="top"/>
    </xf>
    <xf numFmtId="0" fontId="0" fillId="3" borderId="1" xfId="0" applyFill="1" applyBorder="1" applyAlignment="1">
      <alignment horizontal="left" vertical="top" wrapText="1"/>
    </xf>
    <xf numFmtId="0" fontId="0" fillId="2" borderId="1" xfId="0" applyFill="1" applyBorder="1" applyAlignment="1">
      <alignment horizontal="left" vertical="top" wrapText="1"/>
    </xf>
    <xf numFmtId="0" fontId="68" fillId="40" borderId="0" xfId="0" applyFont="1" applyFill="1" applyAlignment="1">
      <alignment horizontal="left" vertical="top" wrapText="1"/>
    </xf>
    <xf numFmtId="0" fontId="7" fillId="2" borderId="9" xfId="0" applyFont="1" applyFill="1" applyBorder="1" applyAlignment="1">
      <alignment horizontal="center"/>
    </xf>
    <xf numFmtId="0" fontId="7" fillId="2" borderId="1" xfId="0" applyFont="1" applyFill="1" applyBorder="1" applyAlignment="1">
      <alignment horizontal="center"/>
    </xf>
    <xf numFmtId="0" fontId="0" fillId="3" borderId="21" xfId="0" applyFill="1" applyBorder="1" applyAlignment="1">
      <alignment horizontal="center" vertical="center"/>
    </xf>
    <xf numFmtId="0" fontId="0" fillId="3" borderId="22" xfId="0" applyFill="1" applyBorder="1" applyAlignment="1">
      <alignment horizontal="center" vertical="center"/>
    </xf>
    <xf numFmtId="0" fontId="0" fillId="9" borderId="21" xfId="3" applyNumberFormat="1" applyFont="1" applyFill="1" applyBorder="1" applyAlignment="1">
      <alignment horizontal="center" vertical="center"/>
    </xf>
    <xf numFmtId="0" fontId="0" fillId="9" borderId="30" xfId="3" applyNumberFormat="1" applyFont="1" applyFill="1" applyBorder="1" applyAlignment="1">
      <alignment horizontal="center" vertical="center"/>
    </xf>
    <xf numFmtId="0" fontId="0" fillId="9" borderId="22" xfId="3" applyNumberFormat="1" applyFont="1" applyFill="1" applyBorder="1" applyAlignment="1">
      <alignment horizontal="center" vertical="center"/>
    </xf>
    <xf numFmtId="0" fontId="28" fillId="3" borderId="21" xfId="0" applyFont="1" applyFill="1" applyBorder="1" applyAlignment="1">
      <alignment horizontal="center"/>
    </xf>
    <xf numFmtId="0" fontId="4" fillId="9" borderId="1" xfId="0" applyFont="1" applyFill="1" applyBorder="1" applyAlignment="1">
      <alignment horizont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148" fillId="2" borderId="0" xfId="0" applyFont="1" applyFill="1" applyAlignment="1">
      <alignment horizontal="center" vertical="center" wrapText="1"/>
    </xf>
    <xf numFmtId="0" fontId="18" fillId="8" borderId="0" xfId="0" applyFont="1" applyFill="1" applyAlignment="1">
      <alignment horizontal="left"/>
    </xf>
    <xf numFmtId="0" fontId="4" fillId="40" borderId="0" xfId="0" applyFont="1" applyFill="1" applyAlignment="1">
      <alignment horizontal="left"/>
    </xf>
    <xf numFmtId="0" fontId="0" fillId="14" borderId="21" xfId="0" applyFill="1" applyBorder="1" applyAlignment="1" applyProtection="1">
      <alignment horizontal="left" vertical="top"/>
      <protection locked="0"/>
    </xf>
    <xf numFmtId="0" fontId="0" fillId="14" borderId="30" xfId="0" applyFill="1" applyBorder="1" applyAlignment="1" applyProtection="1">
      <alignment horizontal="left" vertical="top"/>
      <protection locked="0"/>
    </xf>
    <xf numFmtId="0" fontId="0" fillId="14" borderId="22" xfId="0" applyFill="1" applyBorder="1" applyAlignment="1" applyProtection="1">
      <alignment horizontal="left" vertical="top"/>
      <protection locked="0"/>
    </xf>
    <xf numFmtId="0" fontId="7" fillId="9" borderId="9" xfId="0" applyFont="1" applyFill="1" applyBorder="1" applyAlignment="1">
      <alignment horizontal="center"/>
    </xf>
    <xf numFmtId="44" fontId="0" fillId="9" borderId="21" xfId="4" applyFont="1" applyFill="1" applyBorder="1" applyAlignment="1">
      <alignment horizontal="center" vertical="center"/>
    </xf>
    <xf numFmtId="44" fontId="0" fillId="9" borderId="30" xfId="4" applyFont="1" applyFill="1" applyBorder="1" applyAlignment="1">
      <alignment horizontal="center" vertical="center"/>
    </xf>
    <xf numFmtId="44" fontId="0" fillId="9" borderId="22" xfId="4" applyFont="1" applyFill="1" applyBorder="1" applyAlignment="1">
      <alignment horizontal="center" vertical="center"/>
    </xf>
    <xf numFmtId="0" fontId="7" fillId="9" borderId="1" xfId="0" applyFont="1" applyFill="1" applyBorder="1" applyAlignment="1">
      <alignment horizontal="center"/>
    </xf>
    <xf numFmtId="0" fontId="0" fillId="3" borderId="3" xfId="0" applyFill="1" applyBorder="1" applyAlignment="1">
      <alignment horizontal="left" wrapText="1"/>
    </xf>
    <xf numFmtId="0" fontId="0" fillId="8" borderId="1" xfId="0" applyFill="1" applyBorder="1" applyAlignment="1" applyProtection="1">
      <alignment horizontal="center"/>
      <protection locked="0"/>
    </xf>
    <xf numFmtId="0" fontId="0" fillId="8" borderId="1" xfId="0" applyFill="1" applyBorder="1" applyAlignment="1" applyProtection="1">
      <alignment horizontal="center" vertical="center"/>
      <protection locked="0"/>
    </xf>
    <xf numFmtId="0" fontId="0" fillId="3" borderId="30" xfId="0" applyFill="1" applyBorder="1" applyAlignment="1">
      <alignment horizontal="center" vertical="center"/>
    </xf>
    <xf numFmtId="0" fontId="0" fillId="8" borderId="21" xfId="0" applyFill="1" applyBorder="1" applyAlignment="1" applyProtection="1">
      <alignment horizontal="center"/>
      <protection locked="0"/>
    </xf>
    <xf numFmtId="0" fontId="28" fillId="3" borderId="21" xfId="0" applyFont="1" applyFill="1" applyBorder="1" applyAlignment="1">
      <alignment horizontal="center" vertical="center"/>
    </xf>
    <xf numFmtId="0" fontId="28" fillId="3" borderId="22" xfId="0" applyFont="1" applyFill="1" applyBorder="1" applyAlignment="1">
      <alignment horizontal="center" vertical="center"/>
    </xf>
    <xf numFmtId="0" fontId="100" fillId="5" borderId="21" xfId="0" applyFont="1" applyFill="1" applyBorder="1" applyAlignment="1">
      <alignment horizontal="left" vertical="center"/>
    </xf>
    <xf numFmtId="0" fontId="100" fillId="5" borderId="30" xfId="0" applyFont="1" applyFill="1" applyBorder="1" applyAlignment="1">
      <alignment horizontal="left" vertical="center"/>
    </xf>
    <xf numFmtId="0" fontId="100" fillId="5" borderId="22" xfId="0" applyFont="1" applyFill="1" applyBorder="1" applyAlignment="1">
      <alignment horizontal="left" vertical="center"/>
    </xf>
    <xf numFmtId="0" fontId="29" fillId="3" borderId="21" xfId="0" applyFont="1" applyFill="1" applyBorder="1" applyAlignment="1">
      <alignment horizontal="left"/>
    </xf>
    <xf numFmtId="0" fontId="29" fillId="3" borderId="30" xfId="0" applyFont="1" applyFill="1" applyBorder="1" applyAlignment="1">
      <alignment horizontal="left"/>
    </xf>
    <xf numFmtId="0" fontId="29" fillId="3" borderId="22" xfId="0" applyFont="1" applyFill="1" applyBorder="1" applyAlignment="1">
      <alignment horizontal="left"/>
    </xf>
    <xf numFmtId="0" fontId="29" fillId="3" borderId="6"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19" fillId="40" borderId="0" xfId="0" applyFont="1" applyFill="1" applyAlignment="1">
      <alignment horizontal="left"/>
    </xf>
    <xf numFmtId="0" fontId="0" fillId="3" borderId="21" xfId="4" applyNumberFormat="1" applyFont="1" applyFill="1" applyBorder="1" applyAlignment="1">
      <alignment horizontal="center" vertical="center"/>
    </xf>
    <xf numFmtId="0" fontId="0" fillId="3" borderId="22" xfId="4" applyNumberFormat="1" applyFont="1" applyFill="1" applyBorder="1" applyAlignment="1">
      <alignment horizontal="center" vertical="center"/>
    </xf>
    <xf numFmtId="0" fontId="9" fillId="2" borderId="0" xfId="0" applyFont="1" applyFill="1" applyAlignment="1">
      <alignment horizontal="left" vertical="center"/>
    </xf>
    <xf numFmtId="0" fontId="9" fillId="2" borderId="8" xfId="0" applyFont="1" applyFill="1" applyBorder="1" applyAlignment="1">
      <alignment horizontal="left" vertical="center"/>
    </xf>
    <xf numFmtId="0" fontId="28" fillId="40" borderId="0" xfId="0" applyFont="1" applyFill="1" applyAlignment="1">
      <alignment horizontal="left" vertical="center" wrapText="1"/>
    </xf>
    <xf numFmtId="0" fontId="28" fillId="40" borderId="8" xfId="0" applyFont="1" applyFill="1" applyBorder="1" applyAlignment="1">
      <alignment horizontal="left" vertical="center" wrapText="1"/>
    </xf>
    <xf numFmtId="0" fontId="28" fillId="40" borderId="0" xfId="0" applyFont="1" applyFill="1" applyAlignment="1">
      <alignment horizontal="left" vertical="center"/>
    </xf>
    <xf numFmtId="0" fontId="28" fillId="40" borderId="9" xfId="0" applyFont="1" applyFill="1" applyBorder="1" applyAlignment="1">
      <alignment horizontal="left" vertical="center"/>
    </xf>
    <xf numFmtId="0" fontId="28" fillId="3" borderId="1" xfId="0" applyFont="1" applyFill="1" applyBorder="1" applyAlignment="1">
      <alignment horizontal="center"/>
    </xf>
    <xf numFmtId="0" fontId="0" fillId="3" borderId="6" xfId="0" applyFill="1" applyBorder="1" applyAlignment="1">
      <alignment horizontal="left" wrapText="1"/>
    </xf>
    <xf numFmtId="39" fontId="0" fillId="9" borderId="21" xfId="3" applyNumberFormat="1" applyFont="1" applyFill="1" applyBorder="1" applyAlignment="1">
      <alignment horizontal="center" vertical="center"/>
    </xf>
    <xf numFmtId="39" fontId="0" fillId="9" borderId="30" xfId="3" applyNumberFormat="1" applyFont="1" applyFill="1" applyBorder="1" applyAlignment="1">
      <alignment horizontal="center" vertical="center"/>
    </xf>
    <xf numFmtId="39" fontId="0" fillId="9" borderId="22" xfId="3" applyNumberFormat="1" applyFont="1" applyFill="1" applyBorder="1" applyAlignment="1">
      <alignment horizontal="center" vertical="center"/>
    </xf>
    <xf numFmtId="49" fontId="0" fillId="9" borderId="21" xfId="3" applyNumberFormat="1" applyFont="1" applyFill="1" applyBorder="1" applyAlignment="1">
      <alignment horizontal="center" vertical="center"/>
    </xf>
    <xf numFmtId="49" fontId="0" fillId="9" borderId="30" xfId="3" applyNumberFormat="1" applyFont="1" applyFill="1" applyBorder="1" applyAlignment="1">
      <alignment horizontal="center" vertical="center"/>
    </xf>
    <xf numFmtId="49" fontId="0" fillId="9" borderId="22" xfId="3" applyNumberFormat="1" applyFont="1" applyFill="1" applyBorder="1" applyAlignment="1">
      <alignment horizontal="center" vertical="center"/>
    </xf>
    <xf numFmtId="0" fontId="4" fillId="3" borderId="21" xfId="0" applyFont="1" applyFill="1" applyBorder="1" applyAlignment="1">
      <alignment horizontal="center" vertical="center"/>
    </xf>
    <xf numFmtId="0" fontId="4" fillId="3" borderId="22" xfId="0" applyFont="1"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3" borderId="18" xfId="0" applyFill="1" applyBorder="1" applyAlignment="1">
      <alignment horizontal="center"/>
    </xf>
    <xf numFmtId="0" fontId="0" fillId="3" borderId="10" xfId="0" applyFill="1" applyBorder="1" applyAlignment="1">
      <alignment horizontal="center"/>
    </xf>
    <xf numFmtId="0" fontId="0" fillId="3" borderId="2" xfId="0" applyFill="1" applyBorder="1" applyAlignment="1">
      <alignment horizontal="left" wrapText="1"/>
    </xf>
    <xf numFmtId="0" fontId="0" fillId="3" borderId="7" xfId="0" applyFill="1" applyBorder="1" applyAlignment="1">
      <alignment horizontal="left" wrapText="1"/>
    </xf>
    <xf numFmtId="0" fontId="0" fillId="3" borderId="9" xfId="0" applyFill="1" applyBorder="1" applyAlignment="1">
      <alignment horizontal="left" wrapText="1"/>
    </xf>
    <xf numFmtId="0" fontId="0" fillId="3" borderId="18" xfId="0" applyFill="1" applyBorder="1" applyAlignment="1">
      <alignment horizontal="left" wrapText="1"/>
    </xf>
    <xf numFmtId="0" fontId="0" fillId="3" borderId="10" xfId="0" applyFill="1" applyBorder="1" applyAlignment="1">
      <alignment horizontal="left" wrapText="1"/>
    </xf>
    <xf numFmtId="0" fontId="169" fillId="2" borderId="0" xfId="0" applyFont="1" applyFill="1" applyAlignment="1">
      <alignment horizontal="left"/>
    </xf>
    <xf numFmtId="0" fontId="169" fillId="2" borderId="8" xfId="0" applyFont="1" applyFill="1" applyBorder="1" applyAlignment="1">
      <alignment horizontal="left"/>
    </xf>
    <xf numFmtId="0" fontId="204" fillId="5" borderId="30" xfId="0" applyFont="1" applyFill="1" applyBorder="1" applyAlignment="1">
      <alignment horizontal="center" vertical="center" wrapText="1"/>
    </xf>
    <xf numFmtId="0" fontId="204" fillId="5" borderId="22" xfId="0" applyFont="1" applyFill="1" applyBorder="1" applyAlignment="1">
      <alignment horizontal="center" vertical="center" wrapText="1"/>
    </xf>
    <xf numFmtId="0" fontId="100" fillId="5" borderId="22" xfId="0" applyFont="1" applyFill="1" applyBorder="1" applyAlignment="1">
      <alignment horizontal="center" vertical="center" wrapText="1"/>
    </xf>
    <xf numFmtId="0" fontId="0" fillId="29" borderId="1" xfId="0" applyFill="1" applyBorder="1" applyAlignment="1">
      <alignment horizontal="left" vertical="center" wrapText="1"/>
    </xf>
    <xf numFmtId="0" fontId="0" fillId="29" borderId="41" xfId="0" applyFill="1" applyBorder="1" applyAlignment="1">
      <alignment horizontal="left" vertical="center" wrapText="1"/>
    </xf>
    <xf numFmtId="0" fontId="0" fillId="28" borderId="40" xfId="0" applyFill="1" applyBorder="1" applyAlignment="1">
      <alignment horizontal="left" vertical="center"/>
    </xf>
    <xf numFmtId="0" fontId="0" fillId="28" borderId="1" xfId="0" applyFill="1" applyBorder="1" applyAlignment="1">
      <alignment horizontal="left" vertical="center"/>
    </xf>
    <xf numFmtId="0" fontId="0" fillId="28" borderId="41" xfId="0" applyFill="1" applyBorder="1" applyAlignment="1">
      <alignment horizontal="left" vertical="center"/>
    </xf>
    <xf numFmtId="0" fontId="0" fillId="29" borderId="45" xfId="0" applyFill="1" applyBorder="1" applyAlignment="1">
      <alignment horizontal="left" vertical="center"/>
    </xf>
    <xf numFmtId="0" fontId="0" fillId="29" borderId="47" xfId="0" applyFill="1" applyBorder="1" applyAlignment="1">
      <alignment horizontal="left" vertical="center"/>
    </xf>
    <xf numFmtId="0" fontId="0" fillId="29" borderId="1" xfId="0" applyFill="1" applyBorder="1" applyAlignment="1">
      <alignment horizontal="left" vertical="center"/>
    </xf>
    <xf numFmtId="0" fontId="0" fillId="29" borderId="41" xfId="0" applyFill="1" applyBorder="1" applyAlignment="1">
      <alignment horizontal="left" vertical="center"/>
    </xf>
    <xf numFmtId="0" fontId="0" fillId="28" borderId="42" xfId="0" applyFill="1" applyBorder="1" applyAlignment="1">
      <alignment horizontal="left" vertical="center"/>
    </xf>
    <xf numFmtId="0" fontId="0" fillId="28" borderId="30" xfId="0" applyFill="1" applyBorder="1" applyAlignment="1">
      <alignment horizontal="left" vertical="center"/>
    </xf>
    <xf numFmtId="0" fontId="0" fillId="28" borderId="78" xfId="0" applyFill="1" applyBorder="1" applyAlignment="1">
      <alignment horizontal="left" vertical="center"/>
    </xf>
    <xf numFmtId="0" fontId="148" fillId="5" borderId="29" xfId="0" applyFont="1" applyFill="1" applyBorder="1" applyAlignment="1">
      <alignment horizontal="center" vertical="center" wrapText="1"/>
    </xf>
    <xf numFmtId="0" fontId="148" fillId="5" borderId="52" xfId="0" applyFont="1" applyFill="1" applyBorder="1" applyAlignment="1">
      <alignment horizontal="center" vertical="center" wrapText="1"/>
    </xf>
    <xf numFmtId="0" fontId="0" fillId="29" borderId="21" xfId="0" applyFill="1" applyBorder="1" applyAlignment="1">
      <alignment horizontal="left" wrapText="1"/>
    </xf>
    <xf numFmtId="0" fontId="0" fillId="29" borderId="30" xfId="0" applyFill="1" applyBorder="1" applyAlignment="1">
      <alignment horizontal="left" wrapText="1"/>
    </xf>
    <xf numFmtId="0" fontId="0" fillId="29" borderId="78" xfId="0" applyFill="1" applyBorder="1" applyAlignment="1">
      <alignment horizontal="left" wrapText="1"/>
    </xf>
    <xf numFmtId="0" fontId="148" fillId="5" borderId="80" xfId="0" applyFont="1" applyFill="1" applyBorder="1" applyAlignment="1">
      <alignment horizontal="center" vertical="center" wrapText="1"/>
    </xf>
    <xf numFmtId="0" fontId="148" fillId="5" borderId="81" xfId="0" applyFont="1" applyFill="1" applyBorder="1" applyAlignment="1">
      <alignment horizontal="center" vertical="center" wrapText="1"/>
    </xf>
    <xf numFmtId="0" fontId="0" fillId="29" borderId="1" xfId="0" applyFill="1" applyBorder="1" applyAlignment="1">
      <alignment horizontal="left" wrapText="1"/>
    </xf>
    <xf numFmtId="0" fontId="0" fillId="29" borderId="41" xfId="0" applyFill="1" applyBorder="1" applyAlignment="1">
      <alignment horizontal="left" wrapText="1"/>
    </xf>
    <xf numFmtId="0" fontId="148" fillId="5" borderId="50" xfId="0" applyFont="1" applyFill="1" applyBorder="1" applyAlignment="1">
      <alignment horizontal="center" vertical="center" wrapText="1"/>
    </xf>
    <xf numFmtId="0" fontId="148" fillId="5" borderId="51" xfId="0" applyFont="1" applyFill="1" applyBorder="1" applyAlignment="1">
      <alignment horizontal="center" vertical="center" wrapText="1"/>
    </xf>
    <xf numFmtId="0" fontId="148" fillId="5" borderId="53" xfId="0" applyFont="1" applyFill="1" applyBorder="1" applyAlignment="1">
      <alignment horizontal="center" vertical="center" wrapText="1"/>
    </xf>
    <xf numFmtId="0" fontId="148" fillId="5" borderId="54" xfId="0" applyFont="1" applyFill="1" applyBorder="1" applyAlignment="1">
      <alignment horizontal="center" vertical="center" wrapText="1"/>
    </xf>
    <xf numFmtId="0" fontId="0" fillId="29" borderId="34" xfId="0" applyFill="1" applyBorder="1" applyAlignment="1">
      <alignment horizontal="left" vertical="center" wrapText="1"/>
    </xf>
    <xf numFmtId="0" fontId="0" fillId="29" borderId="38" xfId="0" applyFill="1" applyBorder="1" applyAlignment="1">
      <alignment horizontal="left" vertical="center" wrapText="1"/>
    </xf>
    <xf numFmtId="0" fontId="4" fillId="2" borderId="91"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4" fillId="2" borderId="92" xfId="0" applyFont="1" applyFill="1" applyBorder="1" applyAlignment="1">
      <alignment horizontal="left" vertical="center" wrapText="1"/>
    </xf>
    <xf numFmtId="1" fontId="4" fillId="0" borderId="91" xfId="0" applyNumberFormat="1" applyFont="1" applyBorder="1" applyAlignment="1">
      <alignment horizontal="center" vertical="center"/>
    </xf>
    <xf numFmtId="1" fontId="4" fillId="0" borderId="28" xfId="0" applyNumberFormat="1" applyFont="1" applyBorder="1" applyAlignment="1">
      <alignment horizontal="center" vertical="center"/>
    </xf>
    <xf numFmtId="1" fontId="4" fillId="0" borderId="92" xfId="0" applyNumberFormat="1" applyFont="1" applyBorder="1" applyAlignment="1">
      <alignment horizontal="center" vertical="center"/>
    </xf>
    <xf numFmtId="0" fontId="14" fillId="2" borderId="93" xfId="1" applyFont="1" applyFill="1" applyBorder="1" applyAlignment="1" applyProtection="1">
      <alignment horizontal="center" vertical="center"/>
      <protection locked="0"/>
    </xf>
    <xf numFmtId="0" fontId="14" fillId="2" borderId="83" xfId="1" applyFont="1" applyFill="1" applyBorder="1" applyAlignment="1" applyProtection="1">
      <alignment horizontal="center" vertical="center"/>
      <protection locked="0"/>
    </xf>
    <xf numFmtId="0" fontId="14" fillId="2" borderId="94" xfId="1" applyFont="1" applyFill="1" applyBorder="1" applyAlignment="1" applyProtection="1">
      <alignment horizontal="center" vertical="center"/>
      <protection locked="0"/>
    </xf>
    <xf numFmtId="0" fontId="36" fillId="29" borderId="45" xfId="0" applyFont="1" applyFill="1" applyBorder="1" applyAlignment="1">
      <alignment horizontal="left" vertical="top" wrapText="1"/>
    </xf>
    <xf numFmtId="0" fontId="36" fillId="29" borderId="47" xfId="0" applyFont="1" applyFill="1" applyBorder="1" applyAlignment="1">
      <alignment horizontal="left" vertical="top" wrapText="1"/>
    </xf>
    <xf numFmtId="0" fontId="16" fillId="2" borderId="36" xfId="1" applyFont="1" applyFill="1" applyBorder="1" applyAlignment="1" applyProtection="1">
      <alignment horizontal="center" vertical="center"/>
      <protection locked="0"/>
    </xf>
    <xf numFmtId="0" fontId="16" fillId="2" borderId="40" xfId="1" applyFont="1" applyFill="1" applyBorder="1" applyAlignment="1" applyProtection="1">
      <alignment horizontal="center" vertical="center"/>
      <protection locked="0"/>
    </xf>
    <xf numFmtId="0" fontId="14" fillId="2" borderId="40" xfId="1" applyFont="1" applyFill="1" applyBorder="1" applyAlignment="1" applyProtection="1">
      <alignment horizontal="center" vertical="center"/>
      <protection locked="0"/>
    </xf>
    <xf numFmtId="0" fontId="36" fillId="29" borderId="1" xfId="0" applyFont="1" applyFill="1" applyBorder="1" applyAlignment="1">
      <alignment horizontal="left" vertical="top" wrapText="1"/>
    </xf>
    <xf numFmtId="0" fontId="32" fillId="29" borderId="1" xfId="0" applyFont="1" applyFill="1" applyBorder="1" applyAlignment="1">
      <alignment horizontal="left" vertical="top" wrapText="1"/>
    </xf>
    <xf numFmtId="0" fontId="32" fillId="29" borderId="41" xfId="0" applyFont="1" applyFill="1" applyBorder="1" applyAlignment="1">
      <alignment horizontal="left" vertical="top" wrapText="1"/>
    </xf>
    <xf numFmtId="0" fontId="4" fillId="29" borderId="1" xfId="0" applyFont="1" applyFill="1" applyBorder="1" applyAlignment="1">
      <alignment horizontal="left" vertical="top" wrapText="1"/>
    </xf>
    <xf numFmtId="0" fontId="36" fillId="29" borderId="41" xfId="0" applyFont="1" applyFill="1" applyBorder="1" applyAlignment="1">
      <alignment horizontal="left" vertical="top" wrapText="1"/>
    </xf>
    <xf numFmtId="0" fontId="14" fillId="2" borderId="44" xfId="1" applyFont="1" applyFill="1" applyBorder="1" applyAlignment="1" applyProtection="1">
      <alignment horizontal="center" vertical="center"/>
      <protection locked="0"/>
    </xf>
    <xf numFmtId="0" fontId="4" fillId="0" borderId="1" xfId="0" applyFont="1" applyBorder="1" applyAlignment="1">
      <alignment horizontal="center" vertical="center"/>
    </xf>
    <xf numFmtId="0" fontId="4" fillId="0" borderId="45" xfId="0" applyFont="1" applyBorder="1" applyAlignment="1">
      <alignment horizontal="center" vertical="center"/>
    </xf>
    <xf numFmtId="0" fontId="4" fillId="2" borderId="1" xfId="0" applyFont="1" applyFill="1" applyBorder="1" applyAlignment="1">
      <alignment horizontal="left" vertical="center" wrapText="1"/>
    </xf>
    <xf numFmtId="0" fontId="4" fillId="2" borderId="45" xfId="0" applyFont="1" applyFill="1" applyBorder="1" applyAlignment="1">
      <alignment horizontal="left" vertical="center" wrapText="1"/>
    </xf>
    <xf numFmtId="0" fontId="0" fillId="29" borderId="1" xfId="0" applyFill="1" applyBorder="1" applyAlignment="1">
      <alignment horizontal="left" vertical="top" wrapText="1"/>
    </xf>
    <xf numFmtId="0" fontId="0" fillId="29" borderId="41" xfId="0" applyFill="1" applyBorder="1" applyAlignment="1">
      <alignment horizontal="left" vertical="top" wrapText="1"/>
    </xf>
    <xf numFmtId="1" fontId="4" fillId="0" borderId="1" xfId="0" applyNumberFormat="1" applyFont="1" applyBorder="1" applyAlignment="1">
      <alignment horizontal="center" vertical="center"/>
    </xf>
    <xf numFmtId="0" fontId="14" fillId="2" borderId="82" xfId="1" applyFont="1" applyFill="1" applyBorder="1" applyAlignment="1" applyProtection="1">
      <alignment horizontal="center" vertical="center"/>
      <protection locked="0"/>
    </xf>
    <xf numFmtId="1" fontId="4" fillId="0" borderId="5" xfId="0" applyNumberFormat="1" applyFont="1" applyBorder="1" applyAlignment="1">
      <alignment horizontal="center" vertical="center"/>
    </xf>
    <xf numFmtId="0" fontId="4" fillId="0" borderId="3" xfId="0" applyFont="1" applyBorder="1" applyAlignment="1">
      <alignment horizontal="center" vertical="center"/>
    </xf>
    <xf numFmtId="1" fontId="4" fillId="0" borderId="34" xfId="0" applyNumberFormat="1" applyFont="1" applyBorder="1" applyAlignment="1">
      <alignment horizontal="center" vertical="center"/>
    </xf>
    <xf numFmtId="0" fontId="4" fillId="2" borderId="34" xfId="0" applyFont="1" applyFill="1" applyBorder="1" applyAlignment="1">
      <alignment horizontal="left" vertical="center" wrapText="1"/>
    </xf>
    <xf numFmtId="0" fontId="0" fillId="29" borderId="34" xfId="0" applyFill="1" applyBorder="1" applyAlignment="1">
      <alignment horizontal="left" vertical="top" wrapText="1"/>
    </xf>
    <xf numFmtId="0" fontId="0" fillId="29" borderId="38" xfId="0" applyFill="1" applyBorder="1" applyAlignment="1">
      <alignment horizontal="left" vertical="top" wrapText="1"/>
    </xf>
    <xf numFmtId="0" fontId="0" fillId="40" borderId="0" xfId="0" applyFill="1" applyAlignment="1">
      <alignment horizontal="left" vertical="top"/>
    </xf>
    <xf numFmtId="0" fontId="0" fillId="2" borderId="6" xfId="0" applyFill="1" applyBorder="1" applyAlignment="1" applyProtection="1">
      <alignment horizontal="left" wrapText="1"/>
      <protection locked="0"/>
    </xf>
    <xf numFmtId="0" fontId="0" fillId="2" borderId="2" xfId="0" applyFill="1" applyBorder="1" applyAlignment="1" applyProtection="1">
      <alignment horizontal="left" wrapText="1"/>
      <protection locked="0"/>
    </xf>
    <xf numFmtId="0" fontId="0" fillId="2" borderId="7" xfId="0"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0" fillId="2" borderId="21" xfId="0" applyFill="1" applyBorder="1" applyAlignment="1" applyProtection="1">
      <alignment horizontal="center"/>
      <protection locked="0"/>
    </xf>
    <xf numFmtId="0" fontId="0" fillId="2" borderId="30"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9" borderId="21" xfId="0" applyFill="1" applyBorder="1" applyAlignment="1">
      <alignment horizontal="center"/>
    </xf>
    <xf numFmtId="0" fontId="0" fillId="9" borderId="30" xfId="0" applyFill="1" applyBorder="1" applyAlignment="1">
      <alignment horizontal="center"/>
    </xf>
    <xf numFmtId="0" fontId="0" fillId="9" borderId="22" xfId="0" applyFill="1" applyBorder="1" applyAlignment="1">
      <alignment horizontal="center"/>
    </xf>
    <xf numFmtId="0" fontId="22" fillId="14" borderId="0" xfId="0" applyFont="1" applyFill="1" applyAlignment="1">
      <alignment horizontal="center"/>
    </xf>
    <xf numFmtId="0" fontId="22" fillId="14" borderId="0" xfId="0" applyFont="1" applyFill="1" applyAlignment="1">
      <alignment horizont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wrapText="1"/>
    </xf>
    <xf numFmtId="0" fontId="0" fillId="14" borderId="0" xfId="0" applyFill="1" applyAlignment="1">
      <alignment horizontal="center"/>
    </xf>
    <xf numFmtId="0" fontId="62" fillId="0" borderId="0" xfId="0" applyFont="1" applyAlignment="1">
      <alignment wrapText="1"/>
    </xf>
    <xf numFmtId="0" fontId="76" fillId="14" borderId="0" xfId="0" applyFont="1" applyFill="1" applyAlignment="1">
      <alignment horizontal="center" wrapText="1"/>
    </xf>
    <xf numFmtId="0" fontId="0" fillId="14" borderId="0" xfId="0" applyFill="1" applyAlignment="1">
      <alignment horizontal="center" wrapText="1"/>
    </xf>
    <xf numFmtId="0" fontId="4" fillId="0" borderId="0" xfId="0" applyFont="1" applyAlignment="1">
      <alignment horizontal="center"/>
    </xf>
    <xf numFmtId="0" fontId="4" fillId="35" borderId="0" xfId="0" applyFont="1" applyFill="1" applyAlignment="1">
      <alignment horizontal="center"/>
    </xf>
  </cellXfs>
  <cellStyles count="11">
    <cellStyle name="60% - Accent4 2" xfId="10" xr:uid="{913D27FC-0C6F-449A-9BB1-1C2682400F23}"/>
    <cellStyle name="Comma" xfId="3" builtinId="3"/>
    <cellStyle name="Comma 2" xfId="6" xr:uid="{0F7F0130-B010-4BBD-BD0C-099EF48A1487}"/>
    <cellStyle name="Currency" xfId="4" builtinId="4"/>
    <cellStyle name="Currency 2" xfId="7" xr:uid="{E1CE7DC4-B62E-4FF9-BFC9-3A32F58EDED6}"/>
    <cellStyle name="Hyperlink" xfId="1" builtinId="8"/>
    <cellStyle name="Normal" xfId="0" builtinId="0"/>
    <cellStyle name="Normal 2" xfId="5" xr:uid="{4D1932E3-2B08-47CE-9775-7A5B05BC001A}"/>
    <cellStyle name="Normal 3" xfId="9" xr:uid="{805C707D-1EBE-4CE8-9F8A-162A21295DF4}"/>
    <cellStyle name="Normal_Sources &amp; Uses" xfId="8" xr:uid="{E0732F2F-C6F2-4CEB-B1A8-6D20AC706E1C}"/>
    <cellStyle name="Percent" xfId="2" builtinId="5"/>
  </cellStyles>
  <dxfs count="387">
    <dxf>
      <fill>
        <patternFill>
          <bgColor rgb="FFFF0000"/>
        </patternFill>
      </fill>
    </dxf>
    <dxf>
      <fill>
        <patternFill patternType="darkDown">
          <bgColor theme="0" tint="-0.49998474074526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b/>
        <i val="0"/>
        <strike val="0"/>
        <color rgb="FFC00000"/>
      </font>
    </dxf>
    <dxf>
      <font>
        <b/>
        <i val="0"/>
        <color rgb="FFFF0000"/>
      </font>
    </dxf>
    <dxf>
      <font>
        <b/>
        <i val="0"/>
        <color rgb="FFC00000"/>
      </font>
    </dxf>
    <dxf>
      <font>
        <b/>
        <i val="0"/>
        <strike val="0"/>
        <color rgb="FFC00000"/>
      </font>
    </dxf>
    <dxf>
      <font>
        <color rgb="FF056A38"/>
      </font>
      <fill>
        <patternFill patternType="solid">
          <fgColor auto="1"/>
          <bgColor theme="9" tint="0.79998168889431442"/>
        </patternFill>
      </fill>
    </dxf>
    <dxf>
      <font>
        <color rgb="FFFF0000"/>
      </font>
      <fill>
        <patternFill patternType="solid">
          <fgColor auto="1"/>
          <bgColor rgb="FFFFCCCC"/>
        </patternFill>
      </fill>
    </dxf>
    <dxf>
      <font>
        <color rgb="FF056A38"/>
      </font>
      <fill>
        <patternFill>
          <bgColor theme="9" tint="0.79998168889431442"/>
        </patternFill>
      </fill>
    </dxf>
    <dxf>
      <font>
        <color rgb="FFFF0000"/>
      </font>
      <fill>
        <patternFill>
          <bgColor rgb="FFFFCCCC"/>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1" formatCode="#&quot;%&quot;"/>
    </dxf>
    <dxf>
      <fill>
        <patternFill>
          <bgColor theme="0"/>
        </patternFill>
      </fill>
    </dxf>
    <dxf>
      <fill>
        <patternFill>
          <bgColor theme="0"/>
        </patternFill>
      </fill>
    </dxf>
    <dxf>
      <numFmt numFmtId="191" formatCode="#&quot;%&quot;"/>
    </dxf>
    <dxf>
      <fill>
        <patternFill>
          <bgColor theme="0"/>
        </patternFill>
      </fill>
    </dxf>
    <dxf>
      <fill>
        <patternFill>
          <bgColor theme="0"/>
        </patternFill>
      </fill>
    </dxf>
    <dxf>
      <fill>
        <patternFill>
          <bgColor theme="1"/>
        </patternFill>
      </fill>
    </dxf>
    <dxf>
      <numFmt numFmtId="191" formatCode="#&quot;%&quot;"/>
    </dxf>
    <dxf>
      <fill>
        <patternFill>
          <bgColor theme="1"/>
        </patternFill>
      </fill>
    </dxf>
    <dxf>
      <fill>
        <patternFill>
          <bgColor theme="0"/>
        </patternFill>
      </fill>
    </dxf>
    <dxf>
      <fill>
        <patternFill>
          <bgColor theme="0"/>
        </patternFill>
      </fill>
    </dxf>
    <dxf>
      <numFmt numFmtId="191" formatCode="#&quot;%&quot;"/>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1" formatCode="#&quot;%&quo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FFFF99"/>
      </font>
    </dxf>
    <dxf>
      <fill>
        <patternFill>
          <bgColor rgb="FF00B050"/>
        </patternFill>
      </fill>
    </dxf>
    <dxf>
      <fill>
        <patternFill>
          <bgColor rgb="FF00B05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ill>
        <patternFill>
          <bgColor rgb="FF92D050"/>
        </patternFill>
      </fill>
    </dxf>
    <dxf>
      <font>
        <b/>
        <i val="0"/>
        <color rgb="FFC00000"/>
      </font>
    </dxf>
    <dxf>
      <font>
        <b/>
        <i val="0"/>
        <color rgb="FFC00000"/>
      </font>
    </dxf>
    <dxf>
      <fill>
        <patternFill>
          <bgColor rgb="FFFF0000"/>
        </patternFill>
      </fill>
    </dxf>
    <dxf>
      <font>
        <b/>
        <i val="0"/>
        <color rgb="FFC00000"/>
      </font>
    </dxf>
    <dxf>
      <font>
        <b/>
        <i val="0"/>
        <color rgb="FFC00000"/>
      </font>
    </dxf>
    <dxf>
      <font>
        <b/>
        <i val="0"/>
        <color rgb="FFC00000"/>
      </font>
    </dxf>
    <dxf>
      <font>
        <b/>
        <i val="0"/>
        <color rgb="FFC00000"/>
      </font>
    </dxf>
    <dxf>
      <font>
        <b/>
        <i val="0"/>
        <color rgb="FFC00000"/>
      </font>
    </dxf>
    <dxf>
      <font>
        <color rgb="FFC00000"/>
      </font>
      <fill>
        <patternFill>
          <fgColor rgb="FFFFCCCC"/>
          <bgColor rgb="FFFFCCCC"/>
        </patternFill>
      </fill>
    </dxf>
    <dxf>
      <font>
        <strike val="0"/>
      </font>
      <fill>
        <patternFill>
          <bgColor rgb="FF92D050"/>
        </patternFill>
      </fill>
    </dxf>
    <dxf>
      <font>
        <color rgb="FFC00000"/>
      </font>
      <fill>
        <patternFill>
          <fgColor rgb="FFFFCCCC"/>
          <bgColor rgb="FFFFCCCC"/>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strike val="0"/>
        <color rgb="FFC00000"/>
      </font>
    </dxf>
    <dxf>
      <font>
        <b/>
        <i val="0"/>
        <strike val="0"/>
        <color rgb="FFC00000"/>
      </font>
    </dxf>
    <dxf>
      <font>
        <b/>
        <i val="0"/>
        <strike val="0"/>
        <color rgb="FFC00000"/>
      </font>
    </dxf>
    <dxf>
      <font>
        <b/>
        <i val="0"/>
        <strike val="0"/>
        <color rgb="FFC00000"/>
      </font>
    </dxf>
    <dxf>
      <font>
        <b/>
        <i val="0"/>
        <strike val="0"/>
        <color rgb="FFC00000"/>
      </font>
    </dxf>
    <dxf>
      <font>
        <b/>
        <i val="0"/>
        <color rgb="FFC00000"/>
      </font>
    </dxf>
    <dxf>
      <fill>
        <patternFill>
          <bgColor rgb="FFFFFF00"/>
        </patternFill>
      </fill>
    </dxf>
    <dxf>
      <fill>
        <patternFill>
          <bgColor theme="9" tint="0.39994506668294322"/>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patternType="solid">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border>
        <left style="thin">
          <color auto="1"/>
        </left>
        <right style="thin">
          <color auto="1"/>
        </right>
        <top style="thin">
          <color auto="1"/>
        </top>
        <bottom style="thin">
          <color auto="1"/>
        </bottom>
      </border>
    </dxf>
    <dxf>
      <font>
        <color theme="1"/>
      </font>
      <fill>
        <patternFill patternType="solid">
          <bgColor rgb="FF92D050"/>
        </patternFill>
      </fill>
    </dxf>
    <dxf>
      <font>
        <color theme="1"/>
      </font>
      <fill>
        <patternFill patternType="solid">
          <bgColor theme="2"/>
        </patternFill>
      </fill>
    </dxf>
    <dxf>
      <font>
        <color auto="1"/>
      </font>
    </dxf>
    <dxf>
      <font>
        <color theme="1"/>
      </font>
      <fill>
        <patternFill patternType="solid">
          <bgColor theme="0"/>
        </patternFill>
      </fill>
      <border>
        <left style="thin">
          <color rgb="FF000000"/>
        </left>
        <right style="thin">
          <color rgb="FF000000"/>
        </right>
        <top style="thin">
          <color rgb="FF000000"/>
        </top>
        <bottom style="thin">
          <color rgb="FF000000"/>
        </bottom>
      </border>
    </dxf>
    <dxf>
      <font>
        <b/>
        <i/>
      </font>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auto="1"/>
        <name val="Calibri"/>
        <family val="2"/>
        <scheme val="none"/>
      </font>
      <fill>
        <patternFill patternType="solid">
          <fgColor indexed="64"/>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s>
  <tableStyles count="0" defaultTableStyle="TableStyleMedium2" defaultPivotStyle="PivotStyleLight16"/>
  <colors>
    <mruColors>
      <color rgb="FFFFFF99"/>
      <color rgb="FF056A38"/>
      <color rgb="FFF2F2F2"/>
      <color rgb="FF91262E"/>
      <color rgb="FFFFFFFF"/>
      <color rgb="FFD9D9D9"/>
      <color rgb="FFF2EDDC"/>
      <color rgb="FFFFCCCC"/>
      <color rgb="FF808184"/>
      <color rgb="FFDFD2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447675</xdr:colOff>
      <xdr:row>7</xdr:row>
      <xdr:rowOff>85725</xdr:rowOff>
    </xdr:from>
    <xdr:to>
      <xdr:col>6</xdr:col>
      <xdr:colOff>133985</xdr:colOff>
      <xdr:row>14</xdr:row>
      <xdr:rowOff>173130</xdr:rowOff>
    </xdr:to>
    <xdr:pic>
      <xdr:nvPicPr>
        <xdr:cNvPr id="3" name="image1.jpeg">
          <a:extLst>
            <a:ext uri="{FF2B5EF4-FFF2-40B4-BE49-F238E27FC236}">
              <a16:creationId xmlns:a16="http://schemas.microsoft.com/office/drawing/2014/main" id="{AEBF396C-1FA2-4334-A048-B5493DB111D4}"/>
            </a:ext>
          </a:extLst>
        </xdr:cNvPr>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695450" y="1447800"/>
          <a:ext cx="2040890" cy="15923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F5E532-D07E-4D7B-B835-63FEE36E4080}" name="Table3" displayName="Table3" ref="BA121:BA133" headerRowCount="0" totalsRowShown="0" headerRowDxfId="386" dataDxfId="385">
  <tableColumns count="1">
    <tableColumn id="1" xr3:uid="{59DFED0B-240C-443F-887A-288A7E461CB2}" name="Column1" headerRowDxfId="384" dataDxfId="383">
      <calculatedColumnFormula>_xlfn.XLOOKUP(AZ121,$AX$121:$AX$133,'12. Funding Sources'!$C$11:$C$23,"")</calculatedColumnFormula>
    </tableColumn>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hedacom.sharepoint.com/Master%20Smartdox%20Templates/efrancis/AppData/Local/Microsoft/Windows/INetCache/Content.Outlook/:x:/s/2025-2026HTCTechUpdate/ERxfXJi3HeRMv_lkhB3S0FYBA_Hkf0_DBcpqp_E89QLytw" TargetMode="External"/><Relationship Id="rId1" Type="http://schemas.openxmlformats.org/officeDocument/2006/relationships/hyperlink" Target="https://whedacom.sharepoint.com/Master%20Smartdox%20Templates/efrancis/AppData/Local/Microsoft/Windows/INetCache/Content.Outlook/:x:/s/2025-2026HTCTechUpdate/ERxfXJi3HeRMv_lkhB3S0FYBA_Hkf0_DBcpqp_E89QLytw"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F295F-4ECA-4CF9-B687-99D6A8AAC500}">
  <sheetPr codeName="Sheet14"/>
  <dimension ref="A1:L82"/>
  <sheetViews>
    <sheetView workbookViewId="0"/>
  </sheetViews>
  <sheetFormatPr baseColWidth="10" defaultColWidth="8.83203125" defaultRowHeight="15"/>
  <cols>
    <col min="1" max="1" width="9" style="389" bestFit="1" customWidth="1"/>
    <col min="2" max="2" width="10.1640625" style="389" bestFit="1" customWidth="1"/>
    <col min="3" max="3" width="15.5" style="389" hidden="1" customWidth="1"/>
    <col min="4" max="4" width="16.1640625" style="389" hidden="1" customWidth="1"/>
    <col min="5" max="5" width="11.5" style="390" bestFit="1" customWidth="1"/>
    <col min="6" max="6" width="12.33203125" style="395" hidden="1" customWidth="1"/>
    <col min="7" max="7" width="28.83203125" style="393" bestFit="1" customWidth="1"/>
    <col min="8" max="8" width="101.1640625" style="391" customWidth="1"/>
    <col min="9" max="9" width="20.1640625" style="389" bestFit="1" customWidth="1"/>
    <col min="10" max="10" width="18.5" style="389" bestFit="1" customWidth="1"/>
    <col min="11" max="11" width="13.5" style="389" bestFit="1" customWidth="1"/>
    <col min="12" max="12" width="18.5" style="389" bestFit="1" customWidth="1"/>
    <col min="13" max="16384" width="8.83203125" style="389"/>
  </cols>
  <sheetData>
    <row r="1" spans="1:12" s="386" customFormat="1" ht="16">
      <c r="A1" s="386" t="s">
        <v>0</v>
      </c>
      <c r="B1" s="386" t="s">
        <v>1</v>
      </c>
      <c r="C1" s="386" t="s">
        <v>2</v>
      </c>
      <c r="D1" s="386" t="s">
        <v>3</v>
      </c>
      <c r="E1" s="387" t="s">
        <v>4</v>
      </c>
      <c r="F1" s="394" t="s">
        <v>5</v>
      </c>
      <c r="G1" s="402" t="s">
        <v>6</v>
      </c>
      <c r="H1" s="388" t="s">
        <v>7</v>
      </c>
      <c r="I1" s="386" t="s">
        <v>8</v>
      </c>
      <c r="J1" s="386" t="s">
        <v>9</v>
      </c>
      <c r="K1" s="386" t="s">
        <v>10</v>
      </c>
      <c r="L1" s="386" t="s">
        <v>11</v>
      </c>
    </row>
    <row r="2" spans="1:12" ht="16">
      <c r="B2" s="389" t="s">
        <v>12</v>
      </c>
      <c r="C2" s="389">
        <v>0.85</v>
      </c>
      <c r="D2" s="389" t="s">
        <v>13</v>
      </c>
      <c r="E2" s="390">
        <v>44075</v>
      </c>
      <c r="H2" s="391" t="s">
        <v>14</v>
      </c>
      <c r="I2" s="389" t="s">
        <v>15</v>
      </c>
      <c r="J2" s="389" t="s">
        <v>16</v>
      </c>
      <c r="K2" s="389" t="s">
        <v>15</v>
      </c>
      <c r="L2" s="389" t="s">
        <v>17</v>
      </c>
    </row>
    <row r="3" spans="1:12" ht="16">
      <c r="B3" s="389" t="s">
        <v>18</v>
      </c>
      <c r="C3" s="389" t="s">
        <v>12</v>
      </c>
      <c r="D3" s="389" t="s">
        <v>19</v>
      </c>
      <c r="E3" s="390">
        <v>44076</v>
      </c>
      <c r="H3" s="391" t="s">
        <v>20</v>
      </c>
      <c r="I3" s="389" t="s">
        <v>21</v>
      </c>
      <c r="J3" s="389" t="s">
        <v>22</v>
      </c>
      <c r="K3" s="389" t="s">
        <v>15</v>
      </c>
    </row>
    <row r="4" spans="1:12" ht="32">
      <c r="B4" s="389" t="s">
        <v>23</v>
      </c>
      <c r="C4" s="389" t="s">
        <v>18</v>
      </c>
      <c r="D4" s="389" t="s">
        <v>13</v>
      </c>
      <c r="E4" s="390">
        <v>44076</v>
      </c>
      <c r="G4" s="393" t="s">
        <v>24</v>
      </c>
      <c r="H4" s="391" t="s">
        <v>25</v>
      </c>
      <c r="I4" s="389" t="s">
        <v>26</v>
      </c>
      <c r="J4" s="389" t="s">
        <v>17</v>
      </c>
      <c r="K4" s="389" t="s">
        <v>15</v>
      </c>
      <c r="L4" s="389" t="s">
        <v>17</v>
      </c>
    </row>
    <row r="5" spans="1:12" ht="32">
      <c r="B5" s="389" t="s">
        <v>27</v>
      </c>
      <c r="C5" s="389" t="s">
        <v>23</v>
      </c>
      <c r="D5" s="389" t="s">
        <v>13</v>
      </c>
      <c r="E5" s="390">
        <v>44077</v>
      </c>
      <c r="G5" s="393" t="s">
        <v>28</v>
      </c>
      <c r="H5" s="391" t="s">
        <v>29</v>
      </c>
      <c r="I5" s="389" t="s">
        <v>30</v>
      </c>
      <c r="J5" s="389" t="s">
        <v>17</v>
      </c>
      <c r="K5" s="389" t="s">
        <v>15</v>
      </c>
      <c r="L5" s="389" t="s">
        <v>30</v>
      </c>
    </row>
    <row r="6" spans="1:12" ht="16">
      <c r="B6" s="389" t="s">
        <v>31</v>
      </c>
      <c r="C6" s="389" t="s">
        <v>27</v>
      </c>
      <c r="D6" s="389" t="s">
        <v>19</v>
      </c>
      <c r="E6" s="390">
        <v>44077</v>
      </c>
      <c r="H6" s="391" t="s">
        <v>32</v>
      </c>
      <c r="I6" s="389" t="s">
        <v>30</v>
      </c>
      <c r="J6" s="389" t="s">
        <v>17</v>
      </c>
      <c r="K6" s="389" t="s">
        <v>15</v>
      </c>
      <c r="L6" s="389" t="s">
        <v>30</v>
      </c>
    </row>
    <row r="7" spans="1:12" ht="16">
      <c r="B7" s="389" t="s">
        <v>33</v>
      </c>
      <c r="C7" s="389" t="s">
        <v>31</v>
      </c>
      <c r="D7" s="389" t="s">
        <v>19</v>
      </c>
      <c r="E7" s="390">
        <v>44078</v>
      </c>
      <c r="H7" s="391" t="s">
        <v>34</v>
      </c>
      <c r="I7" s="389" t="s">
        <v>30</v>
      </c>
      <c r="J7" s="389" t="s">
        <v>17</v>
      </c>
      <c r="K7" s="389" t="s">
        <v>15</v>
      </c>
      <c r="L7" s="389" t="s">
        <v>30</v>
      </c>
    </row>
    <row r="8" spans="1:12" ht="32">
      <c r="B8" s="389" t="s">
        <v>35</v>
      </c>
      <c r="C8" s="389" t="s">
        <v>33</v>
      </c>
      <c r="D8" s="389" t="s">
        <v>19</v>
      </c>
      <c r="E8" s="390">
        <v>44078</v>
      </c>
      <c r="H8" s="391" t="s">
        <v>36</v>
      </c>
      <c r="I8" s="389" t="s">
        <v>26</v>
      </c>
      <c r="J8" s="389" t="s">
        <v>17</v>
      </c>
      <c r="K8" s="389" t="s">
        <v>15</v>
      </c>
      <c r="L8" s="389" t="s">
        <v>17</v>
      </c>
    </row>
    <row r="9" spans="1:12" ht="64">
      <c r="B9" s="389" t="s">
        <v>37</v>
      </c>
      <c r="C9" s="389" t="s">
        <v>35</v>
      </c>
      <c r="D9" s="389" t="s">
        <v>19</v>
      </c>
      <c r="E9" s="390">
        <v>44091</v>
      </c>
      <c r="H9" s="391" t="s">
        <v>38</v>
      </c>
      <c r="I9" s="389" t="s">
        <v>39</v>
      </c>
      <c r="J9" s="389" t="s">
        <v>17</v>
      </c>
      <c r="K9" s="389" t="s">
        <v>15</v>
      </c>
      <c r="L9" s="389" t="s">
        <v>39</v>
      </c>
    </row>
    <row r="10" spans="1:12" ht="16">
      <c r="B10" s="389" t="s">
        <v>40</v>
      </c>
      <c r="C10" s="389" t="s">
        <v>37</v>
      </c>
      <c r="D10" s="389" t="s">
        <v>19</v>
      </c>
      <c r="E10" s="390">
        <v>44091</v>
      </c>
      <c r="H10" s="391" t="s">
        <v>41</v>
      </c>
      <c r="I10" s="389" t="s">
        <v>42</v>
      </c>
      <c r="J10" s="389" t="s">
        <v>17</v>
      </c>
      <c r="K10" s="389" t="s">
        <v>15</v>
      </c>
      <c r="L10" s="389" t="s">
        <v>17</v>
      </c>
    </row>
    <row r="11" spans="1:12" ht="80">
      <c r="B11" s="389" t="s">
        <v>43</v>
      </c>
      <c r="C11" s="389" t="s">
        <v>40</v>
      </c>
      <c r="D11" s="389" t="s">
        <v>19</v>
      </c>
      <c r="E11" s="390">
        <v>44095</v>
      </c>
      <c r="H11" s="388" t="s">
        <v>44</v>
      </c>
      <c r="I11" s="389" t="s">
        <v>45</v>
      </c>
      <c r="J11" s="389" t="s">
        <v>42</v>
      </c>
      <c r="K11" s="389" t="s">
        <v>15</v>
      </c>
      <c r="L11" s="389" t="s">
        <v>45</v>
      </c>
    </row>
    <row r="12" spans="1:12" ht="32">
      <c r="B12" s="389" t="s">
        <v>46</v>
      </c>
      <c r="C12" s="389" t="s">
        <v>43</v>
      </c>
      <c r="D12" s="389" t="s">
        <v>19</v>
      </c>
      <c r="E12" s="390">
        <v>44098</v>
      </c>
      <c r="H12" s="391" t="s">
        <v>47</v>
      </c>
      <c r="I12" s="389" t="s">
        <v>45</v>
      </c>
      <c r="J12" s="389" t="s">
        <v>17</v>
      </c>
      <c r="K12" s="389" t="s">
        <v>15</v>
      </c>
    </row>
    <row r="13" spans="1:12" ht="16">
      <c r="B13" s="389" t="s">
        <v>48</v>
      </c>
      <c r="C13" s="389" t="s">
        <v>46</v>
      </c>
      <c r="D13" s="389" t="s">
        <v>13</v>
      </c>
      <c r="E13" s="390">
        <v>44102</v>
      </c>
      <c r="H13" s="391" t="s">
        <v>49</v>
      </c>
      <c r="I13" s="389" t="s">
        <v>50</v>
      </c>
      <c r="J13" s="389" t="s">
        <v>17</v>
      </c>
      <c r="K13" s="389" t="s">
        <v>15</v>
      </c>
      <c r="L13" s="389" t="s">
        <v>17</v>
      </c>
    </row>
    <row r="14" spans="1:12" ht="16">
      <c r="B14" s="389" t="s">
        <v>51</v>
      </c>
      <c r="C14" s="389" t="s">
        <v>48</v>
      </c>
      <c r="D14" s="389" t="s">
        <v>19</v>
      </c>
      <c r="E14" s="390">
        <v>44103</v>
      </c>
      <c r="H14" s="391" t="s">
        <v>52</v>
      </c>
      <c r="I14" s="389" t="s">
        <v>45</v>
      </c>
      <c r="J14" s="389" t="s">
        <v>17</v>
      </c>
      <c r="K14" s="389" t="s">
        <v>15</v>
      </c>
      <c r="L14" s="389" t="s">
        <v>45</v>
      </c>
    </row>
    <row r="15" spans="1:12" ht="16">
      <c r="B15" s="389" t="s">
        <v>53</v>
      </c>
      <c r="C15" s="389" t="s">
        <v>51</v>
      </c>
      <c r="D15" s="389" t="s">
        <v>13</v>
      </c>
      <c r="E15" s="390">
        <v>44110</v>
      </c>
      <c r="H15" s="391" t="s">
        <v>54</v>
      </c>
      <c r="I15" s="389" t="s">
        <v>55</v>
      </c>
      <c r="J15" s="389" t="s">
        <v>17</v>
      </c>
      <c r="K15" s="389" t="s">
        <v>15</v>
      </c>
      <c r="L15" s="389" t="s">
        <v>55</v>
      </c>
    </row>
    <row r="16" spans="1:12" ht="409.6">
      <c r="B16" s="389" t="s">
        <v>56</v>
      </c>
      <c r="C16" s="389" t="s">
        <v>53</v>
      </c>
      <c r="D16" s="389" t="s">
        <v>19</v>
      </c>
      <c r="E16" s="390">
        <v>44111</v>
      </c>
      <c r="H16" s="391" t="s">
        <v>57</v>
      </c>
      <c r="I16" s="389" t="s">
        <v>58</v>
      </c>
      <c r="J16" s="389" t="s">
        <v>42</v>
      </c>
      <c r="K16" s="389" t="s">
        <v>15</v>
      </c>
      <c r="L16" s="389" t="s">
        <v>39</v>
      </c>
    </row>
    <row r="17" spans="2:12" ht="16">
      <c r="B17" s="389" t="s">
        <v>59</v>
      </c>
      <c r="C17" s="389" t="s">
        <v>56</v>
      </c>
      <c r="D17" s="389" t="s">
        <v>13</v>
      </c>
      <c r="E17" s="390">
        <v>44112</v>
      </c>
      <c r="H17" s="391" t="s">
        <v>60</v>
      </c>
      <c r="I17" s="389" t="s">
        <v>42</v>
      </c>
      <c r="J17" s="389" t="s">
        <v>42</v>
      </c>
      <c r="K17" s="389" t="s">
        <v>15</v>
      </c>
      <c r="L17" s="389" t="s">
        <v>42</v>
      </c>
    </row>
    <row r="18" spans="2:12" ht="16">
      <c r="B18" s="389" t="s">
        <v>61</v>
      </c>
      <c r="C18" s="389" t="s">
        <v>59</v>
      </c>
      <c r="D18" s="389" t="s">
        <v>19</v>
      </c>
      <c r="E18" s="390">
        <v>44116</v>
      </c>
      <c r="H18" s="391" t="s">
        <v>62</v>
      </c>
      <c r="I18" s="389" t="s">
        <v>50</v>
      </c>
      <c r="J18" s="389" t="s">
        <v>50</v>
      </c>
      <c r="K18" s="389" t="s">
        <v>15</v>
      </c>
      <c r="L18" s="389" t="s">
        <v>50</v>
      </c>
    </row>
    <row r="19" spans="2:12" ht="16">
      <c r="B19" s="389" t="s">
        <v>63</v>
      </c>
      <c r="C19" s="389" t="s">
        <v>61</v>
      </c>
      <c r="D19" s="389" t="s">
        <v>13</v>
      </c>
      <c r="E19" s="390">
        <v>44117</v>
      </c>
      <c r="H19" s="391" t="s">
        <v>64</v>
      </c>
      <c r="I19" s="389" t="s">
        <v>42</v>
      </c>
      <c r="J19" s="389" t="s">
        <v>42</v>
      </c>
      <c r="K19" s="389" t="s">
        <v>15</v>
      </c>
      <c r="L19" s="389" t="s">
        <v>42</v>
      </c>
    </row>
    <row r="20" spans="2:12" ht="16">
      <c r="B20" s="389" t="s">
        <v>65</v>
      </c>
      <c r="C20" s="389" t="s">
        <v>63</v>
      </c>
      <c r="D20" s="389" t="s">
        <v>19</v>
      </c>
      <c r="E20" s="390">
        <v>44119</v>
      </c>
      <c r="H20" s="391" t="s">
        <v>66</v>
      </c>
      <c r="I20" s="389" t="s">
        <v>42</v>
      </c>
      <c r="J20" s="389" t="s">
        <v>42</v>
      </c>
      <c r="K20" s="389" t="s">
        <v>15</v>
      </c>
      <c r="L20" s="389" t="s">
        <v>50</v>
      </c>
    </row>
    <row r="21" spans="2:12" ht="224">
      <c r="B21" s="389" t="s">
        <v>67</v>
      </c>
      <c r="C21" s="389" t="s">
        <v>65</v>
      </c>
      <c r="D21" s="389" t="s">
        <v>19</v>
      </c>
      <c r="E21" s="390">
        <v>44133</v>
      </c>
      <c r="H21" s="391" t="s">
        <v>68</v>
      </c>
      <c r="I21" s="389" t="s">
        <v>42</v>
      </c>
      <c r="J21" s="389" t="s">
        <v>42</v>
      </c>
      <c r="K21" s="389" t="s">
        <v>15</v>
      </c>
      <c r="L21" s="389" t="s">
        <v>39</v>
      </c>
    </row>
    <row r="22" spans="2:12" ht="409.6">
      <c r="B22" s="389" t="s">
        <v>69</v>
      </c>
      <c r="C22" s="389" t="s">
        <v>67</v>
      </c>
      <c r="D22" s="389" t="s">
        <v>19</v>
      </c>
      <c r="E22" s="390">
        <v>44133</v>
      </c>
      <c r="H22" s="391" t="s">
        <v>70</v>
      </c>
      <c r="I22" s="389" t="s">
        <v>42</v>
      </c>
      <c r="J22" s="389" t="s">
        <v>42</v>
      </c>
      <c r="K22" s="389" t="s">
        <v>15</v>
      </c>
      <c r="L22" s="389" t="s">
        <v>50</v>
      </c>
    </row>
    <row r="23" spans="2:12" ht="32">
      <c r="B23" s="389" t="s">
        <v>71</v>
      </c>
      <c r="C23" s="389" t="s">
        <v>69</v>
      </c>
      <c r="D23" s="389" t="s">
        <v>19</v>
      </c>
      <c r="E23" s="390">
        <v>44146</v>
      </c>
      <c r="G23" s="393" t="s">
        <v>72</v>
      </c>
      <c r="H23" s="391" t="s">
        <v>73</v>
      </c>
      <c r="I23" s="389" t="s">
        <v>50</v>
      </c>
      <c r="J23" s="389" t="s">
        <v>42</v>
      </c>
      <c r="K23" s="389" t="s">
        <v>15</v>
      </c>
      <c r="L23" s="389" t="s">
        <v>50</v>
      </c>
    </row>
    <row r="24" spans="2:12" ht="16">
      <c r="B24" s="389" t="s">
        <v>74</v>
      </c>
      <c r="C24" s="389" t="s">
        <v>71</v>
      </c>
      <c r="D24" s="389" t="s">
        <v>19</v>
      </c>
      <c r="E24" s="390">
        <v>44151</v>
      </c>
      <c r="H24" s="391" t="s">
        <v>75</v>
      </c>
      <c r="I24" s="389" t="s">
        <v>76</v>
      </c>
      <c r="J24" s="389" t="s">
        <v>42</v>
      </c>
      <c r="K24" s="389" t="s">
        <v>15</v>
      </c>
      <c r="L24" s="389" t="s">
        <v>50</v>
      </c>
    </row>
    <row r="25" spans="2:12" ht="32">
      <c r="B25" s="389" t="s">
        <v>77</v>
      </c>
      <c r="C25" s="389" t="s">
        <v>74</v>
      </c>
      <c r="D25" s="389" t="s">
        <v>19</v>
      </c>
      <c r="E25" s="390">
        <v>44153</v>
      </c>
      <c r="G25" s="393" t="s">
        <v>78</v>
      </c>
      <c r="H25" s="391" t="s">
        <v>79</v>
      </c>
      <c r="I25" s="389" t="s">
        <v>39</v>
      </c>
      <c r="J25" s="389" t="s">
        <v>42</v>
      </c>
      <c r="K25" s="389" t="s">
        <v>15</v>
      </c>
      <c r="L25" s="389" t="s">
        <v>50</v>
      </c>
    </row>
    <row r="26" spans="2:12" ht="64">
      <c r="B26" s="389" t="s">
        <v>80</v>
      </c>
      <c r="C26" s="389" t="s">
        <v>77</v>
      </c>
      <c r="D26" s="389" t="s">
        <v>19</v>
      </c>
      <c r="E26" s="390">
        <v>44014</v>
      </c>
      <c r="F26" s="395" t="s">
        <v>22</v>
      </c>
      <c r="G26" s="393" t="s">
        <v>78</v>
      </c>
      <c r="H26" s="391" t="s">
        <v>81</v>
      </c>
      <c r="I26" s="389" t="s">
        <v>50</v>
      </c>
      <c r="J26" s="389" t="s">
        <v>50</v>
      </c>
      <c r="K26" s="389" t="s">
        <v>82</v>
      </c>
      <c r="L26" s="389" t="s">
        <v>50</v>
      </c>
    </row>
    <row r="27" spans="2:12" ht="32">
      <c r="B27" s="389" t="s">
        <v>83</v>
      </c>
      <c r="C27" s="389" t="s">
        <v>84</v>
      </c>
      <c r="D27" s="389" t="s">
        <v>13</v>
      </c>
      <c r="E27" s="390">
        <v>44449</v>
      </c>
      <c r="F27" s="395" t="s">
        <v>22</v>
      </c>
      <c r="G27" s="393" t="s">
        <v>85</v>
      </c>
      <c r="H27" s="391" t="s">
        <v>86</v>
      </c>
      <c r="I27" s="389" t="s">
        <v>87</v>
      </c>
      <c r="J27" s="389" t="s">
        <v>87</v>
      </c>
      <c r="K27" s="389" t="s">
        <v>82</v>
      </c>
    </row>
    <row r="28" spans="2:12" ht="48">
      <c r="B28" s="389" t="s">
        <v>83</v>
      </c>
      <c r="C28" s="389" t="s">
        <v>84</v>
      </c>
      <c r="D28" s="389" t="s">
        <v>13</v>
      </c>
      <c r="E28" s="390">
        <v>44466</v>
      </c>
      <c r="F28" s="395">
        <v>47</v>
      </c>
      <c r="G28" s="393" t="s">
        <v>88</v>
      </c>
      <c r="H28" s="391" t="s">
        <v>89</v>
      </c>
      <c r="I28" s="389" t="s">
        <v>87</v>
      </c>
      <c r="J28" s="389" t="s">
        <v>87</v>
      </c>
      <c r="K28" s="389" t="s">
        <v>82</v>
      </c>
    </row>
    <row r="29" spans="2:12" ht="16">
      <c r="B29" s="389" t="s">
        <v>83</v>
      </c>
      <c r="C29" s="389" t="s">
        <v>84</v>
      </c>
      <c r="D29" s="389" t="s">
        <v>13</v>
      </c>
      <c r="E29" s="390">
        <v>44466</v>
      </c>
      <c r="F29" s="395">
        <v>50</v>
      </c>
      <c r="G29" s="393" t="s">
        <v>90</v>
      </c>
      <c r="H29" s="391" t="s">
        <v>91</v>
      </c>
      <c r="I29" s="389" t="s">
        <v>87</v>
      </c>
      <c r="J29" s="389" t="s">
        <v>87</v>
      </c>
      <c r="K29" s="389" t="s">
        <v>82</v>
      </c>
    </row>
    <row r="30" spans="2:12" ht="16">
      <c r="B30" s="389" t="s">
        <v>83</v>
      </c>
      <c r="C30" s="389" t="s">
        <v>84</v>
      </c>
      <c r="D30" s="389" t="s">
        <v>13</v>
      </c>
      <c r="E30" s="390">
        <v>44466</v>
      </c>
      <c r="F30" s="395">
        <v>51</v>
      </c>
      <c r="G30" s="393" t="s">
        <v>92</v>
      </c>
      <c r="H30" s="391" t="s">
        <v>91</v>
      </c>
      <c r="I30" s="389" t="s">
        <v>87</v>
      </c>
      <c r="J30" s="389" t="s">
        <v>87</v>
      </c>
      <c r="K30" s="389" t="s">
        <v>82</v>
      </c>
    </row>
    <row r="31" spans="2:12" ht="16">
      <c r="B31" s="389" t="s">
        <v>83</v>
      </c>
      <c r="C31" s="389" t="s">
        <v>84</v>
      </c>
      <c r="D31" s="389" t="s">
        <v>13</v>
      </c>
      <c r="E31" s="390">
        <v>44467</v>
      </c>
      <c r="F31" s="395">
        <v>46</v>
      </c>
      <c r="G31" s="393" t="s">
        <v>24</v>
      </c>
      <c r="H31" s="391" t="s">
        <v>93</v>
      </c>
      <c r="I31" s="389" t="s">
        <v>87</v>
      </c>
      <c r="J31" s="389" t="s">
        <v>87</v>
      </c>
      <c r="K31" s="389" t="s">
        <v>94</v>
      </c>
    </row>
    <row r="32" spans="2:12" ht="32">
      <c r="B32" s="389" t="s">
        <v>83</v>
      </c>
      <c r="C32" s="389" t="s">
        <v>84</v>
      </c>
      <c r="D32" s="389" t="s">
        <v>13</v>
      </c>
      <c r="E32" s="390">
        <v>44467</v>
      </c>
      <c r="F32" s="395">
        <v>49</v>
      </c>
      <c r="G32" s="393" t="s">
        <v>95</v>
      </c>
      <c r="H32" s="391" t="s">
        <v>96</v>
      </c>
      <c r="I32" s="389" t="s">
        <v>87</v>
      </c>
      <c r="J32" s="389" t="s">
        <v>87</v>
      </c>
      <c r="K32" s="389" t="s">
        <v>82</v>
      </c>
    </row>
    <row r="33" spans="2:12" ht="16">
      <c r="B33" s="389" t="s">
        <v>83</v>
      </c>
      <c r="C33" s="389" t="s">
        <v>84</v>
      </c>
      <c r="D33" s="389" t="s">
        <v>13</v>
      </c>
      <c r="E33" s="390">
        <v>44467</v>
      </c>
      <c r="F33" s="395">
        <v>53</v>
      </c>
      <c r="G33" s="393" t="s">
        <v>97</v>
      </c>
      <c r="H33" s="392" t="s">
        <v>98</v>
      </c>
      <c r="I33" s="389" t="s">
        <v>87</v>
      </c>
      <c r="J33" s="389" t="s">
        <v>87</v>
      </c>
      <c r="K33" s="389" t="s">
        <v>82</v>
      </c>
    </row>
    <row r="34" spans="2:12" ht="16">
      <c r="B34" s="389" t="s">
        <v>83</v>
      </c>
      <c r="C34" s="389" t="s">
        <v>84</v>
      </c>
      <c r="D34" s="389" t="s">
        <v>13</v>
      </c>
      <c r="E34" s="390">
        <v>44467</v>
      </c>
      <c r="F34" s="395">
        <v>54</v>
      </c>
      <c r="G34" s="393" t="s">
        <v>97</v>
      </c>
      <c r="H34" s="392" t="s">
        <v>99</v>
      </c>
      <c r="I34" s="389" t="s">
        <v>87</v>
      </c>
      <c r="J34" s="389" t="s">
        <v>87</v>
      </c>
      <c r="K34" s="389" t="s">
        <v>82</v>
      </c>
    </row>
    <row r="35" spans="2:12" ht="32">
      <c r="B35" s="389" t="s">
        <v>83</v>
      </c>
      <c r="C35" s="389" t="s">
        <v>84</v>
      </c>
      <c r="D35" s="389" t="s">
        <v>13</v>
      </c>
      <c r="E35" s="390">
        <v>44467</v>
      </c>
      <c r="F35" s="395">
        <v>57</v>
      </c>
      <c r="G35" s="393" t="s">
        <v>100</v>
      </c>
      <c r="H35" s="392" t="s">
        <v>101</v>
      </c>
      <c r="I35" s="389" t="s">
        <v>87</v>
      </c>
      <c r="J35" s="389" t="s">
        <v>87</v>
      </c>
      <c r="K35" s="389" t="s">
        <v>82</v>
      </c>
    </row>
    <row r="36" spans="2:12" ht="16">
      <c r="B36" s="389" t="s">
        <v>83</v>
      </c>
      <c r="C36" s="389" t="s">
        <v>84</v>
      </c>
      <c r="D36" s="389" t="s">
        <v>13</v>
      </c>
      <c r="E36" s="390">
        <v>44467</v>
      </c>
      <c r="F36" s="395">
        <v>58</v>
      </c>
      <c r="G36" s="393" t="s">
        <v>102</v>
      </c>
      <c r="H36" s="391" t="s">
        <v>103</v>
      </c>
      <c r="I36" s="389" t="s">
        <v>87</v>
      </c>
      <c r="J36" s="389" t="s">
        <v>87</v>
      </c>
      <c r="K36" s="389" t="s">
        <v>82</v>
      </c>
    </row>
    <row r="37" spans="2:12" ht="64">
      <c r="B37" s="389" t="s">
        <v>83</v>
      </c>
      <c r="C37" s="389" t="s">
        <v>84</v>
      </c>
      <c r="D37" s="389" t="s">
        <v>13</v>
      </c>
      <c r="E37" s="390">
        <v>44469</v>
      </c>
      <c r="F37" s="395">
        <v>52</v>
      </c>
      <c r="G37" s="393" t="s">
        <v>104</v>
      </c>
      <c r="H37" s="391" t="s">
        <v>105</v>
      </c>
      <c r="I37" s="389" t="s">
        <v>87</v>
      </c>
      <c r="J37" s="389" t="s">
        <v>87</v>
      </c>
      <c r="K37" s="389" t="s">
        <v>82</v>
      </c>
    </row>
    <row r="38" spans="2:12" ht="48">
      <c r="B38" s="389" t="s">
        <v>83</v>
      </c>
      <c r="C38" s="389" t="s">
        <v>84</v>
      </c>
      <c r="D38" s="389" t="s">
        <v>13</v>
      </c>
      <c r="E38" s="390">
        <v>44469</v>
      </c>
      <c r="F38" s="395">
        <v>60</v>
      </c>
      <c r="G38" s="393" t="s">
        <v>106</v>
      </c>
      <c r="H38" s="391" t="s">
        <v>107</v>
      </c>
      <c r="I38" s="389" t="s">
        <v>87</v>
      </c>
      <c r="J38" s="389" t="s">
        <v>87</v>
      </c>
      <c r="K38" s="389" t="s">
        <v>82</v>
      </c>
    </row>
    <row r="39" spans="2:12" ht="96">
      <c r="B39" s="389" t="s">
        <v>83</v>
      </c>
      <c r="E39" s="390">
        <v>44470</v>
      </c>
      <c r="F39" s="403" t="s">
        <v>108</v>
      </c>
      <c r="G39" s="393" t="s">
        <v>109</v>
      </c>
      <c r="H39" s="396" t="s">
        <v>110</v>
      </c>
      <c r="I39" s="389" t="s">
        <v>87</v>
      </c>
      <c r="J39" s="389" t="s">
        <v>87</v>
      </c>
      <c r="K39" s="389" t="s">
        <v>82</v>
      </c>
    </row>
    <row r="40" spans="2:12" ht="32">
      <c r="B40" s="389" t="s">
        <v>83</v>
      </c>
      <c r="E40" s="390">
        <v>44470</v>
      </c>
      <c r="F40" s="395" t="s">
        <v>22</v>
      </c>
      <c r="G40" s="393" t="s">
        <v>111</v>
      </c>
      <c r="H40" s="396" t="s">
        <v>112</v>
      </c>
      <c r="I40" s="389" t="s">
        <v>82</v>
      </c>
      <c r="J40" s="389" t="s">
        <v>82</v>
      </c>
      <c r="K40" s="389" t="s">
        <v>82</v>
      </c>
      <c r="L40" s="389" t="s">
        <v>82</v>
      </c>
    </row>
    <row r="41" spans="2:12" ht="48">
      <c r="B41" s="389" t="s">
        <v>83</v>
      </c>
      <c r="E41" s="390">
        <v>44470</v>
      </c>
      <c r="F41" s="395">
        <v>48</v>
      </c>
      <c r="G41" s="393" t="s">
        <v>24</v>
      </c>
      <c r="H41" s="391" t="s">
        <v>113</v>
      </c>
      <c r="I41" s="389" t="s">
        <v>87</v>
      </c>
      <c r="J41" s="389" t="s">
        <v>87</v>
      </c>
      <c r="K41" s="389" t="s">
        <v>82</v>
      </c>
    </row>
    <row r="42" spans="2:12" ht="32">
      <c r="B42" s="389" t="s">
        <v>83</v>
      </c>
      <c r="E42" s="390">
        <v>44470</v>
      </c>
      <c r="F42" s="395">
        <v>63</v>
      </c>
      <c r="G42" s="393" t="s">
        <v>114</v>
      </c>
      <c r="H42" s="391" t="s">
        <v>115</v>
      </c>
      <c r="I42" s="389" t="s">
        <v>87</v>
      </c>
      <c r="J42" s="389" t="s">
        <v>87</v>
      </c>
      <c r="K42" s="389" t="s">
        <v>82</v>
      </c>
    </row>
    <row r="43" spans="2:12" ht="48">
      <c r="B43" s="389" t="s">
        <v>83</v>
      </c>
      <c r="E43" s="390">
        <v>44473</v>
      </c>
      <c r="F43" s="395">
        <v>61</v>
      </c>
      <c r="G43" s="393" t="s">
        <v>28</v>
      </c>
      <c r="H43" s="391" t="s">
        <v>116</v>
      </c>
      <c r="I43" s="389" t="s">
        <v>87</v>
      </c>
      <c r="J43" s="389" t="s">
        <v>87</v>
      </c>
      <c r="K43" s="389" t="s">
        <v>82</v>
      </c>
    </row>
    <row r="44" spans="2:12" ht="16">
      <c r="B44" s="389" t="s">
        <v>83</v>
      </c>
      <c r="E44" s="390">
        <v>44473</v>
      </c>
      <c r="F44" s="395">
        <v>59</v>
      </c>
      <c r="G44" s="393" t="s">
        <v>117</v>
      </c>
      <c r="H44" s="391" t="s">
        <v>118</v>
      </c>
      <c r="I44" s="389" t="s">
        <v>87</v>
      </c>
      <c r="J44" s="389" t="s">
        <v>87</v>
      </c>
      <c r="K44" s="389" t="s">
        <v>82</v>
      </c>
    </row>
    <row r="45" spans="2:12" ht="16">
      <c r="B45" s="389" t="s">
        <v>119</v>
      </c>
      <c r="E45" s="427">
        <v>44474</v>
      </c>
      <c r="F45" s="428">
        <v>62</v>
      </c>
      <c r="G45" s="429" t="s">
        <v>120</v>
      </c>
      <c r="H45" s="430" t="s">
        <v>121</v>
      </c>
      <c r="I45" s="431" t="s">
        <v>87</v>
      </c>
      <c r="J45" s="431" t="s">
        <v>87</v>
      </c>
      <c r="K45" s="431" t="s">
        <v>82</v>
      </c>
      <c r="L45" s="431"/>
    </row>
    <row r="46" spans="2:12" ht="16">
      <c r="B46" s="389" t="s">
        <v>119</v>
      </c>
      <c r="E46" s="390">
        <v>44474</v>
      </c>
      <c r="F46" s="395">
        <v>64</v>
      </c>
      <c r="G46" s="393" t="s">
        <v>122</v>
      </c>
      <c r="H46" s="391" t="s">
        <v>123</v>
      </c>
      <c r="I46" s="389" t="s">
        <v>87</v>
      </c>
      <c r="J46" s="389" t="s">
        <v>87</v>
      </c>
      <c r="K46" s="389" t="s">
        <v>82</v>
      </c>
    </row>
    <row r="47" spans="2:12" ht="32">
      <c r="B47" s="389" t="s">
        <v>119</v>
      </c>
      <c r="E47" s="390">
        <v>44474</v>
      </c>
      <c r="F47" s="395">
        <v>72</v>
      </c>
      <c r="G47" s="393" t="s">
        <v>124</v>
      </c>
      <c r="H47" s="391" t="s">
        <v>125</v>
      </c>
      <c r="I47" s="389" t="s">
        <v>87</v>
      </c>
      <c r="J47" s="389" t="s">
        <v>87</v>
      </c>
      <c r="K47" s="389" t="s">
        <v>82</v>
      </c>
    </row>
    <row r="48" spans="2:12" ht="32">
      <c r="B48" s="389" t="s">
        <v>119</v>
      </c>
      <c r="E48" s="390">
        <v>44474</v>
      </c>
      <c r="F48" s="395">
        <v>76</v>
      </c>
      <c r="G48" s="393" t="s">
        <v>126</v>
      </c>
      <c r="H48" s="391" t="s">
        <v>127</v>
      </c>
      <c r="I48" s="389" t="s">
        <v>87</v>
      </c>
      <c r="J48" s="389" t="s">
        <v>87</v>
      </c>
      <c r="K48" s="389" t="s">
        <v>82</v>
      </c>
    </row>
    <row r="49" spans="2:12" ht="48">
      <c r="B49" s="389" t="s">
        <v>119</v>
      </c>
      <c r="E49" s="390">
        <v>44475</v>
      </c>
      <c r="F49" s="395">
        <v>67</v>
      </c>
      <c r="G49" s="393" t="s">
        <v>128</v>
      </c>
      <c r="H49" s="391" t="s">
        <v>129</v>
      </c>
      <c r="I49" s="389" t="s">
        <v>87</v>
      </c>
      <c r="J49" s="389" t="s">
        <v>87</v>
      </c>
      <c r="K49" s="389" t="s">
        <v>82</v>
      </c>
    </row>
    <row r="50" spans="2:12" ht="16">
      <c r="B50" s="389" t="s">
        <v>119</v>
      </c>
      <c r="E50" s="390">
        <v>44475</v>
      </c>
      <c r="F50" s="395">
        <v>70</v>
      </c>
      <c r="G50" s="393" t="s">
        <v>130</v>
      </c>
      <c r="H50" s="432" t="s">
        <v>131</v>
      </c>
      <c r="I50" s="389" t="s">
        <v>87</v>
      </c>
      <c r="J50" s="389" t="s">
        <v>87</v>
      </c>
      <c r="K50" s="389" t="s">
        <v>82</v>
      </c>
    </row>
    <row r="51" spans="2:12" ht="16">
      <c r="B51" s="389" t="s">
        <v>119</v>
      </c>
      <c r="E51" s="390">
        <v>44475</v>
      </c>
      <c r="F51" s="395">
        <v>71</v>
      </c>
      <c r="G51" s="393" t="s">
        <v>104</v>
      </c>
      <c r="H51" s="391" t="s">
        <v>132</v>
      </c>
      <c r="I51" s="389" t="s">
        <v>87</v>
      </c>
      <c r="J51" s="389" t="s">
        <v>87</v>
      </c>
      <c r="K51" s="389" t="s">
        <v>82</v>
      </c>
    </row>
    <row r="52" spans="2:12" ht="32">
      <c r="B52" s="389" t="s">
        <v>119</v>
      </c>
      <c r="E52" s="390">
        <v>44477</v>
      </c>
      <c r="F52" s="395" t="s">
        <v>22</v>
      </c>
      <c r="G52" s="393" t="s">
        <v>133</v>
      </c>
      <c r="H52" s="391" t="s">
        <v>134</v>
      </c>
      <c r="I52" s="389" t="s">
        <v>82</v>
      </c>
      <c r="J52" s="389" t="s">
        <v>82</v>
      </c>
      <c r="K52" s="389" t="s">
        <v>82</v>
      </c>
      <c r="L52" s="389" t="s">
        <v>82</v>
      </c>
    </row>
    <row r="53" spans="2:12" ht="16">
      <c r="B53" s="389" t="s">
        <v>119</v>
      </c>
      <c r="E53" s="390">
        <v>44477</v>
      </c>
      <c r="F53" s="395" t="s">
        <v>22</v>
      </c>
      <c r="G53" s="393" t="s">
        <v>135</v>
      </c>
      <c r="H53" s="391" t="s">
        <v>136</v>
      </c>
      <c r="I53" s="389" t="s">
        <v>82</v>
      </c>
      <c r="J53" s="389" t="s">
        <v>82</v>
      </c>
      <c r="K53" s="389" t="s">
        <v>82</v>
      </c>
      <c r="L53" s="389" t="s">
        <v>82</v>
      </c>
    </row>
    <row r="54" spans="2:12" ht="16">
      <c r="B54" s="389" t="s">
        <v>137</v>
      </c>
      <c r="E54" s="390">
        <v>44484</v>
      </c>
      <c r="F54" s="395" t="s">
        <v>22</v>
      </c>
      <c r="G54" s="393" t="s">
        <v>138</v>
      </c>
      <c r="H54" s="391" t="s">
        <v>139</v>
      </c>
      <c r="I54" s="389" t="s">
        <v>140</v>
      </c>
      <c r="J54" s="389" t="s">
        <v>82</v>
      </c>
      <c r="K54" s="389" t="s">
        <v>82</v>
      </c>
      <c r="L54" s="389" t="s">
        <v>82</v>
      </c>
    </row>
    <row r="55" spans="2:12" ht="32">
      <c r="B55" s="389" t="s">
        <v>141</v>
      </c>
      <c r="E55" s="390">
        <v>44484</v>
      </c>
      <c r="F55" s="395" t="s">
        <v>22</v>
      </c>
      <c r="G55" s="393" t="s">
        <v>109</v>
      </c>
      <c r="H55" s="391" t="s">
        <v>142</v>
      </c>
      <c r="I55" s="389" t="s">
        <v>26</v>
      </c>
      <c r="J55" s="389" t="s">
        <v>39</v>
      </c>
      <c r="K55" s="389" t="s">
        <v>82</v>
      </c>
      <c r="L55" s="389" t="s">
        <v>39</v>
      </c>
    </row>
    <row r="56" spans="2:12" ht="32">
      <c r="B56" s="389" t="s">
        <v>141</v>
      </c>
      <c r="E56" s="390">
        <v>44484</v>
      </c>
      <c r="F56" s="395" t="s">
        <v>22</v>
      </c>
      <c r="G56" s="393" t="s">
        <v>109</v>
      </c>
      <c r="H56" s="391" t="s">
        <v>143</v>
      </c>
      <c r="I56" s="389" t="s">
        <v>26</v>
      </c>
      <c r="J56" s="389" t="s">
        <v>39</v>
      </c>
      <c r="K56" s="389" t="s">
        <v>82</v>
      </c>
      <c r="L56" s="389" t="s">
        <v>39</v>
      </c>
    </row>
    <row r="57" spans="2:12" ht="16">
      <c r="B57" s="389" t="s">
        <v>141</v>
      </c>
      <c r="E57" s="390">
        <v>44484</v>
      </c>
      <c r="F57" s="395">
        <v>54</v>
      </c>
      <c r="G57" s="393" t="s">
        <v>97</v>
      </c>
      <c r="H57" s="391" t="s">
        <v>144</v>
      </c>
      <c r="I57" s="389" t="s">
        <v>140</v>
      </c>
      <c r="J57" s="389" t="s">
        <v>82</v>
      </c>
      <c r="K57" s="389" t="s">
        <v>82</v>
      </c>
      <c r="L57" s="389" t="s">
        <v>39</v>
      </c>
    </row>
    <row r="58" spans="2:12" ht="48">
      <c r="B58" s="389" t="s">
        <v>145</v>
      </c>
      <c r="E58" s="390">
        <v>44488</v>
      </c>
      <c r="F58" s="395" t="s">
        <v>22</v>
      </c>
      <c r="G58" s="393" t="s">
        <v>138</v>
      </c>
      <c r="H58" s="391" t="s">
        <v>146</v>
      </c>
      <c r="I58" s="389" t="s">
        <v>39</v>
      </c>
      <c r="J58" s="389" t="s">
        <v>55</v>
      </c>
      <c r="K58" s="389" t="s">
        <v>82</v>
      </c>
      <c r="L58" s="389" t="s">
        <v>39</v>
      </c>
    </row>
    <row r="59" spans="2:12" ht="16">
      <c r="B59" s="389" t="s">
        <v>145</v>
      </c>
      <c r="E59" s="390">
        <v>44488</v>
      </c>
      <c r="F59" s="395" t="s">
        <v>22</v>
      </c>
      <c r="G59" s="393" t="s">
        <v>138</v>
      </c>
      <c r="H59" s="391" t="s">
        <v>147</v>
      </c>
      <c r="I59" s="389" t="s">
        <v>39</v>
      </c>
      <c r="J59" s="389" t="s">
        <v>55</v>
      </c>
      <c r="K59" s="389" t="s">
        <v>82</v>
      </c>
      <c r="L59" s="389" t="s">
        <v>39</v>
      </c>
    </row>
    <row r="60" spans="2:12" ht="16">
      <c r="B60" s="389" t="s">
        <v>145</v>
      </c>
      <c r="E60" s="390">
        <v>44488</v>
      </c>
      <c r="F60" s="395" t="s">
        <v>22</v>
      </c>
      <c r="G60" s="393" t="s">
        <v>109</v>
      </c>
      <c r="H60" s="391" t="s">
        <v>148</v>
      </c>
      <c r="I60" s="389" t="s">
        <v>39</v>
      </c>
      <c r="J60" s="389" t="s">
        <v>55</v>
      </c>
      <c r="K60" s="389" t="s">
        <v>82</v>
      </c>
      <c r="L60" s="389" t="s">
        <v>39</v>
      </c>
    </row>
    <row r="61" spans="2:12" ht="16">
      <c r="B61" s="389" t="s">
        <v>145</v>
      </c>
      <c r="E61" s="390">
        <v>44488</v>
      </c>
      <c r="F61" s="395" t="s">
        <v>22</v>
      </c>
      <c r="G61" s="393" t="s">
        <v>126</v>
      </c>
      <c r="H61" s="391" t="s">
        <v>149</v>
      </c>
      <c r="I61" s="389" t="s">
        <v>39</v>
      </c>
      <c r="J61" s="389" t="s">
        <v>55</v>
      </c>
      <c r="K61" s="389" t="s">
        <v>82</v>
      </c>
      <c r="L61" s="389" t="s">
        <v>39</v>
      </c>
    </row>
    <row r="62" spans="2:12" ht="16">
      <c r="B62" s="389" t="s">
        <v>145</v>
      </c>
      <c r="E62" s="390">
        <v>44488</v>
      </c>
      <c r="F62" s="395" t="s">
        <v>22</v>
      </c>
      <c r="G62" s="393" t="s">
        <v>126</v>
      </c>
      <c r="H62" s="391" t="s">
        <v>150</v>
      </c>
      <c r="I62" s="389" t="s">
        <v>39</v>
      </c>
      <c r="J62" s="389" t="s">
        <v>55</v>
      </c>
      <c r="K62" s="389" t="s">
        <v>82</v>
      </c>
      <c r="L62" s="389" t="s">
        <v>39</v>
      </c>
    </row>
    <row r="63" spans="2:12" ht="48">
      <c r="B63" s="389" t="s">
        <v>151</v>
      </c>
      <c r="E63" s="390">
        <v>44488</v>
      </c>
      <c r="F63" s="395" t="s">
        <v>22</v>
      </c>
      <c r="G63" s="393" t="s">
        <v>152</v>
      </c>
      <c r="H63" s="391" t="s">
        <v>153</v>
      </c>
      <c r="I63" s="389" t="s">
        <v>39</v>
      </c>
      <c r="J63" s="389" t="s">
        <v>55</v>
      </c>
      <c r="K63" s="389" t="s">
        <v>82</v>
      </c>
      <c r="L63" s="389" t="s">
        <v>39</v>
      </c>
    </row>
    <row r="64" spans="2:12" ht="32">
      <c r="B64" s="389" t="s">
        <v>154</v>
      </c>
      <c r="E64" s="390">
        <v>44489</v>
      </c>
      <c r="F64" s="395" t="s">
        <v>22</v>
      </c>
      <c r="G64" s="393" t="s">
        <v>155</v>
      </c>
      <c r="H64" s="391" t="s">
        <v>156</v>
      </c>
      <c r="I64" s="389" t="s">
        <v>39</v>
      </c>
      <c r="J64" s="389" t="s">
        <v>55</v>
      </c>
      <c r="K64" s="389" t="s">
        <v>82</v>
      </c>
      <c r="L64" s="389" t="s">
        <v>39</v>
      </c>
    </row>
    <row r="65" spans="1:12" ht="16">
      <c r="B65" s="389" t="s">
        <v>157</v>
      </c>
      <c r="E65" s="390">
        <v>44490</v>
      </c>
      <c r="F65" s="395" t="s">
        <v>22</v>
      </c>
      <c r="G65" s="393" t="s">
        <v>126</v>
      </c>
      <c r="H65" s="391" t="s">
        <v>158</v>
      </c>
      <c r="I65" s="389" t="s">
        <v>39</v>
      </c>
      <c r="J65" s="389" t="s">
        <v>55</v>
      </c>
      <c r="K65" s="389" t="s">
        <v>82</v>
      </c>
      <c r="L65" s="389" t="s">
        <v>39</v>
      </c>
    </row>
    <row r="66" spans="1:12" ht="16">
      <c r="B66" s="389" t="s">
        <v>157</v>
      </c>
      <c r="E66" s="390">
        <v>44490</v>
      </c>
      <c r="F66" s="395" t="s">
        <v>22</v>
      </c>
      <c r="G66" s="393" t="s">
        <v>159</v>
      </c>
      <c r="H66" s="391" t="s">
        <v>160</v>
      </c>
      <c r="I66" s="389" t="s">
        <v>39</v>
      </c>
      <c r="J66" s="389" t="s">
        <v>55</v>
      </c>
      <c r="K66" s="389" t="s">
        <v>82</v>
      </c>
      <c r="L66" s="389" t="s">
        <v>39</v>
      </c>
    </row>
    <row r="67" spans="1:12" ht="32">
      <c r="B67" s="389" t="s">
        <v>161</v>
      </c>
      <c r="E67" s="390">
        <v>44495</v>
      </c>
      <c r="F67" s="395" t="s">
        <v>22</v>
      </c>
      <c r="G67" s="393" t="s">
        <v>162</v>
      </c>
      <c r="H67" s="391" t="s">
        <v>163</v>
      </c>
      <c r="I67" s="389" t="s">
        <v>39</v>
      </c>
      <c r="J67" s="389" t="s">
        <v>55</v>
      </c>
      <c r="K67" s="389" t="s">
        <v>82</v>
      </c>
      <c r="L67" s="389" t="s">
        <v>39</v>
      </c>
    </row>
    <row r="68" spans="1:12" ht="32">
      <c r="B68" s="389" t="s">
        <v>83</v>
      </c>
      <c r="C68" s="389" t="s">
        <v>84</v>
      </c>
      <c r="D68" s="389" t="s">
        <v>13</v>
      </c>
      <c r="E68" s="390">
        <v>44505</v>
      </c>
      <c r="F68" s="395" t="s">
        <v>22</v>
      </c>
      <c r="G68" s="393" t="s">
        <v>138</v>
      </c>
      <c r="H68" s="391" t="s">
        <v>164</v>
      </c>
      <c r="I68" s="389" t="s">
        <v>39</v>
      </c>
      <c r="J68" s="389" t="s">
        <v>39</v>
      </c>
      <c r="K68" s="389" t="s">
        <v>82</v>
      </c>
      <c r="L68" s="389" t="s">
        <v>39</v>
      </c>
    </row>
    <row r="69" spans="1:12" ht="48">
      <c r="B69" s="389" t="s">
        <v>165</v>
      </c>
      <c r="E69" s="390">
        <v>44775</v>
      </c>
      <c r="F69" s="395" t="s">
        <v>166</v>
      </c>
      <c r="G69" s="393" t="s">
        <v>138</v>
      </c>
      <c r="H69" s="391" t="s">
        <v>167</v>
      </c>
      <c r="I69" s="389" t="s">
        <v>168</v>
      </c>
      <c r="J69" s="389" t="s">
        <v>82</v>
      </c>
      <c r="K69" s="389" t="s">
        <v>82</v>
      </c>
      <c r="L69" s="389" t="s">
        <v>82</v>
      </c>
    </row>
    <row r="70" spans="1:12" ht="32">
      <c r="B70" s="389" t="s">
        <v>169</v>
      </c>
      <c r="E70" s="390">
        <v>44796</v>
      </c>
      <c r="F70" s="395" t="s">
        <v>22</v>
      </c>
      <c r="G70" s="393" t="s">
        <v>124</v>
      </c>
      <c r="H70" s="391" t="s">
        <v>125</v>
      </c>
      <c r="I70" s="389" t="s">
        <v>87</v>
      </c>
      <c r="J70" s="389" t="s">
        <v>87</v>
      </c>
      <c r="K70" s="389" t="s">
        <v>170</v>
      </c>
    </row>
    <row r="71" spans="1:12" ht="16">
      <c r="A71" s="389">
        <v>2024</v>
      </c>
      <c r="B71" s="389" t="s">
        <v>171</v>
      </c>
      <c r="E71" s="390">
        <v>45186</v>
      </c>
      <c r="F71" s="395" t="s">
        <v>22</v>
      </c>
      <c r="G71" s="393" t="s">
        <v>162</v>
      </c>
      <c r="H71" s="391" t="s">
        <v>172</v>
      </c>
      <c r="I71" s="389" t="s">
        <v>87</v>
      </c>
      <c r="J71" s="389" t="s">
        <v>173</v>
      </c>
      <c r="K71" s="389" t="s">
        <v>174</v>
      </c>
      <c r="L71" s="389" t="s">
        <v>174</v>
      </c>
    </row>
    <row r="72" spans="1:12" ht="16">
      <c r="A72" s="389">
        <v>2024</v>
      </c>
      <c r="B72" s="389" t="s">
        <v>175</v>
      </c>
      <c r="E72" s="390">
        <v>45195</v>
      </c>
      <c r="F72" s="395" t="s">
        <v>22</v>
      </c>
      <c r="G72" s="393" t="s">
        <v>162</v>
      </c>
      <c r="H72" s="391" t="s">
        <v>172</v>
      </c>
      <c r="I72" s="389" t="s">
        <v>87</v>
      </c>
      <c r="J72" s="389" t="s">
        <v>173</v>
      </c>
      <c r="K72" s="389" t="s">
        <v>174</v>
      </c>
      <c r="L72" s="389" t="s">
        <v>174</v>
      </c>
    </row>
    <row r="73" spans="1:12" ht="16">
      <c r="A73" s="389">
        <v>2024</v>
      </c>
      <c r="B73" s="389" t="s">
        <v>176</v>
      </c>
      <c r="E73" s="390">
        <v>45195</v>
      </c>
      <c r="F73" s="395" t="s">
        <v>22</v>
      </c>
      <c r="G73" s="393" t="s">
        <v>162</v>
      </c>
      <c r="H73" s="391" t="s">
        <v>172</v>
      </c>
      <c r="I73" s="389" t="s">
        <v>87</v>
      </c>
      <c r="J73" s="389" t="s">
        <v>173</v>
      </c>
      <c r="K73" s="389" t="s">
        <v>174</v>
      </c>
      <c r="L73" s="389" t="s">
        <v>174</v>
      </c>
    </row>
    <row r="74" spans="1:12" ht="16">
      <c r="A74" s="389">
        <v>2024</v>
      </c>
      <c r="B74" s="389" t="s">
        <v>177</v>
      </c>
      <c r="E74" s="390">
        <v>45198</v>
      </c>
      <c r="F74" s="395" t="s">
        <v>22</v>
      </c>
      <c r="G74" s="393" t="s">
        <v>162</v>
      </c>
      <c r="H74" s="391" t="s">
        <v>172</v>
      </c>
      <c r="I74" s="389" t="s">
        <v>87</v>
      </c>
      <c r="J74" s="389" t="s">
        <v>87</v>
      </c>
      <c r="K74" s="389" t="s">
        <v>174</v>
      </c>
      <c r="L74" s="389" t="s">
        <v>174</v>
      </c>
    </row>
    <row r="75" spans="1:12" ht="16">
      <c r="A75" s="389">
        <v>2024</v>
      </c>
      <c r="B75" s="389" t="s">
        <v>178</v>
      </c>
      <c r="E75" s="390">
        <v>45198</v>
      </c>
      <c r="G75" s="393" t="s">
        <v>78</v>
      </c>
      <c r="H75" s="391" t="s">
        <v>179</v>
      </c>
      <c r="I75" s="389" t="s">
        <v>87</v>
      </c>
      <c r="J75" s="389" t="s">
        <v>87</v>
      </c>
      <c r="K75" s="389" t="s">
        <v>174</v>
      </c>
      <c r="L75" s="389" t="s">
        <v>174</v>
      </c>
    </row>
    <row r="76" spans="1:12" ht="16">
      <c r="A76" s="389">
        <v>2024</v>
      </c>
      <c r="B76" s="389" t="s">
        <v>180</v>
      </c>
      <c r="E76" s="390">
        <v>45378</v>
      </c>
      <c r="G76" s="393" t="s">
        <v>181</v>
      </c>
      <c r="H76" s="391" t="s">
        <v>182</v>
      </c>
      <c r="I76" s="389" t="s">
        <v>55</v>
      </c>
      <c r="J76" s="389" t="s">
        <v>55</v>
      </c>
      <c r="K76" s="389" t="s">
        <v>82</v>
      </c>
    </row>
    <row r="77" spans="1:12" ht="48">
      <c r="A77" s="389">
        <v>2025</v>
      </c>
      <c r="B77" s="389" t="s">
        <v>183</v>
      </c>
      <c r="E77" s="390">
        <v>45485</v>
      </c>
      <c r="G77" s="393" t="s">
        <v>184</v>
      </c>
      <c r="H77" s="391" t="s">
        <v>185</v>
      </c>
      <c r="I77" s="389" t="s">
        <v>87</v>
      </c>
      <c r="J77" s="389" t="s">
        <v>55</v>
      </c>
      <c r="K77" s="389" t="s">
        <v>186</v>
      </c>
      <c r="L77" s="801" t="s">
        <v>187</v>
      </c>
    </row>
    <row r="78" spans="1:12" ht="80">
      <c r="A78" s="389">
        <v>2025</v>
      </c>
      <c r="B78" s="389" t="s">
        <v>183</v>
      </c>
      <c r="E78" s="390">
        <v>45492</v>
      </c>
      <c r="G78" s="393" t="s">
        <v>188</v>
      </c>
      <c r="H78" s="391" t="s">
        <v>189</v>
      </c>
      <c r="I78" s="389" t="s">
        <v>190</v>
      </c>
      <c r="J78" s="389" t="s">
        <v>55</v>
      </c>
      <c r="K78" s="389" t="s">
        <v>186</v>
      </c>
      <c r="L78" s="801" t="s">
        <v>187</v>
      </c>
    </row>
    <row r="79" spans="1:12" ht="16">
      <c r="A79" s="389">
        <v>2025</v>
      </c>
      <c r="B79" s="389" t="s">
        <v>183</v>
      </c>
      <c r="E79" s="390">
        <v>45492</v>
      </c>
      <c r="G79" s="393" t="s">
        <v>191</v>
      </c>
      <c r="H79" t="s">
        <v>192</v>
      </c>
      <c r="I79" s="389" t="s">
        <v>193</v>
      </c>
      <c r="J79" s="389" t="s">
        <v>55</v>
      </c>
      <c r="K79" s="389" t="s">
        <v>186</v>
      </c>
      <c r="L79" s="801" t="s">
        <v>187</v>
      </c>
    </row>
    <row r="80" spans="1:12" ht="16">
      <c r="A80" s="389">
        <v>2025</v>
      </c>
      <c r="B80" s="389" t="s">
        <v>183</v>
      </c>
      <c r="E80" s="390">
        <v>45509</v>
      </c>
      <c r="G80" s="393" t="s">
        <v>194</v>
      </c>
      <c r="H80" s="391" t="s">
        <v>195</v>
      </c>
      <c r="I80" s="389" t="s">
        <v>193</v>
      </c>
      <c r="J80" s="389" t="s">
        <v>55</v>
      </c>
      <c r="K80" s="389" t="s">
        <v>186</v>
      </c>
      <c r="L80" s="801" t="s">
        <v>187</v>
      </c>
    </row>
    <row r="81" spans="1:12" ht="16">
      <c r="A81" s="389">
        <v>2025</v>
      </c>
      <c r="B81" s="389" t="s">
        <v>183</v>
      </c>
      <c r="E81" s="390">
        <v>45516</v>
      </c>
      <c r="G81" s="393" t="s">
        <v>196</v>
      </c>
      <c r="H81" s="907" t="s">
        <v>197</v>
      </c>
      <c r="I81" s="389" t="s">
        <v>174</v>
      </c>
      <c r="J81" s="389" t="s">
        <v>198</v>
      </c>
      <c r="K81" s="389" t="s">
        <v>174</v>
      </c>
      <c r="L81" s="389" t="s">
        <v>174</v>
      </c>
    </row>
    <row r="82" spans="1:12" ht="16">
      <c r="A82" s="389">
        <v>2025</v>
      </c>
      <c r="B82" s="389" t="s">
        <v>183</v>
      </c>
      <c r="E82" s="390">
        <v>45516</v>
      </c>
      <c r="G82" s="393" t="s">
        <v>199</v>
      </c>
      <c r="H82" s="907" t="s">
        <v>197</v>
      </c>
      <c r="I82" s="389" t="s">
        <v>174</v>
      </c>
      <c r="J82" s="389" t="s">
        <v>198</v>
      </c>
      <c r="K82" s="389" t="s">
        <v>174</v>
      </c>
      <c r="L82" s="389" t="s">
        <v>174</v>
      </c>
    </row>
  </sheetData>
  <sheetProtection algorithmName="SHA-512" hashValue="DFULUpc7N0EadiEBRzJtoThJ9hiYdTEOofUtbYs9KfvyCnAZAL1ubMyUxoK4oRLXNzMBTACjOZTsUoELmuDVqQ==" saltValue="/lhRp0jWf1xYXLdDdK0Dpg==" spinCount="100000" sheet="1" objects="1" scenarios="1" selectLockedCells="1"/>
  <phoneticPr fontId="12" type="noConversion"/>
  <hyperlinks>
    <hyperlink ref="H81" r:id="rId1" display="HTC Tech Update Requirements List.xlsx (Sharepoint)" xr:uid="{F9A5254D-55A9-43F6-8901-FB8855FFD9FB}"/>
    <hyperlink ref="H82" r:id="rId2" display="HTC Tech Update Requirements List.xlsx (Sharepoint)" xr:uid="{8F3B17AD-FE74-42CD-9E9F-9218801175C3}"/>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5834-7BA5-D040-8BBD-CA3A61C0DF33}">
  <sheetPr codeName="Sheet5">
    <pageSetUpPr fitToPage="1"/>
  </sheetPr>
  <dimension ref="A1:AH481"/>
  <sheetViews>
    <sheetView workbookViewId="0">
      <selection activeCell="D8" sqref="D8:H8"/>
    </sheetView>
  </sheetViews>
  <sheetFormatPr baseColWidth="10" defaultColWidth="8.83203125" defaultRowHeight="15"/>
  <cols>
    <col min="1" max="1" width="5.6640625" style="3" customWidth="1"/>
    <col min="2" max="2" width="30.5" bestFit="1" customWidth="1"/>
    <col min="3" max="4" width="20.83203125" customWidth="1"/>
    <col min="5" max="5" width="21.1640625" customWidth="1"/>
    <col min="6" max="6" width="20.83203125" customWidth="1"/>
    <col min="7" max="7" width="12.5" customWidth="1"/>
    <col min="8" max="8" width="36.5" customWidth="1"/>
    <col min="9" max="9" width="5.33203125" customWidth="1"/>
    <col min="10" max="12" width="8.6640625" style="3" customWidth="1"/>
    <col min="13" max="13" width="9" style="3" customWidth="1"/>
    <col min="14" max="18" width="9" style="131" customWidth="1"/>
    <col min="19" max="31" width="8.83203125" style="131"/>
    <col min="32" max="16384" width="8.83203125" style="3"/>
  </cols>
  <sheetData>
    <row r="1" spans="1:34" ht="29">
      <c r="B1" s="4" t="str">
        <f>'1. TOC'!B1</f>
        <v>WHEDA 2025 Multifamily Application</v>
      </c>
      <c r="C1" s="4"/>
      <c r="D1" s="3"/>
      <c r="E1" s="149" t="str">
        <f>'1. TOC'!L1</f>
        <v>v25.1.9</v>
      </c>
      <c r="F1" s="1086" t="str">
        <f>HYPERLINK("#Table_of_Contents", Table_of_Contents)</f>
        <v>Table of Contents</v>
      </c>
      <c r="G1" s="3"/>
      <c r="H1" s="3"/>
      <c r="I1" s="3"/>
      <c r="AF1" s="131"/>
      <c r="AG1" s="131"/>
      <c r="AH1" s="131"/>
    </row>
    <row r="2" spans="1:34" ht="21">
      <c r="B2" s="1003" t="str">
        <f>_xlfn.CONCAT(IF(ISBLANK(WHEDA_Project_Number),"",_xlfn.CONCAT(WHEDA_Project_Number,"-")), Project_Name, IF(ISBLANK(Credit_percentage_applied_for),"",_xlfn.CONCAT(" (", Credit_percentage_applied_for," HTC)")))</f>
        <v/>
      </c>
      <c r="C2" s="5"/>
      <c r="D2" s="3"/>
      <c r="E2" s="3"/>
      <c r="F2" s="3"/>
      <c r="G2" s="3"/>
      <c r="H2" s="3"/>
      <c r="I2" s="3"/>
      <c r="J2" s="131"/>
      <c r="K2" s="131"/>
      <c r="L2" s="131"/>
      <c r="M2" s="131"/>
      <c r="AF2" s="131"/>
      <c r="AG2" s="131"/>
      <c r="AH2" s="131"/>
    </row>
    <row r="3" spans="1:34" ht="19">
      <c r="A3" s="132"/>
      <c r="C3" s="7"/>
      <c r="D3" s="7"/>
      <c r="E3" s="7"/>
      <c r="F3" s="7"/>
      <c r="G3" s="7"/>
      <c r="H3" s="7"/>
      <c r="I3" s="7"/>
      <c r="J3" s="131"/>
      <c r="K3" s="131"/>
      <c r="L3" s="131"/>
      <c r="M3" s="131"/>
      <c r="AF3" s="131"/>
      <c r="AG3" s="131"/>
      <c r="AH3" s="131"/>
    </row>
    <row r="4" spans="1:34" ht="29">
      <c r="A4" s="1064"/>
      <c r="B4" s="4" t="s">
        <v>1350</v>
      </c>
      <c r="D4" s="3"/>
      <c r="E4" s="3"/>
      <c r="F4" s="3"/>
      <c r="G4" s="3"/>
      <c r="H4" s="3"/>
      <c r="I4" s="3"/>
      <c r="AF4" s="131"/>
      <c r="AG4" s="131"/>
      <c r="AH4" s="131"/>
    </row>
    <row r="5" spans="1:34" ht="62" customHeight="1">
      <c r="A5" s="1064"/>
      <c r="B5" s="1995" t="s">
        <v>3454</v>
      </c>
      <c r="C5" s="1995"/>
      <c r="D5" s="1995"/>
      <c r="E5" s="1995"/>
      <c r="F5" s="1995"/>
      <c r="G5" s="1995"/>
      <c r="H5" s="1995"/>
      <c r="I5" s="1995"/>
      <c r="J5" s="14"/>
      <c r="K5" s="14"/>
      <c r="L5" s="14"/>
      <c r="M5" s="14"/>
      <c r="AF5" s="131"/>
      <c r="AG5" s="131"/>
      <c r="AH5" s="131"/>
    </row>
    <row r="6" spans="1:34" ht="19">
      <c r="A6" s="1065"/>
      <c r="B6" s="8" t="s">
        <v>3455</v>
      </c>
      <c r="C6" s="203"/>
      <c r="D6" s="217"/>
      <c r="E6" s="11"/>
      <c r="F6" s="11"/>
      <c r="G6" s="11"/>
      <c r="H6" s="9"/>
      <c r="I6" s="9"/>
      <c r="J6" s="9"/>
      <c r="K6" s="9"/>
      <c r="L6" s="9"/>
      <c r="M6" s="9"/>
      <c r="AF6" s="131"/>
      <c r="AG6" s="131"/>
      <c r="AH6" s="131"/>
    </row>
    <row r="7" spans="1:34" ht="16">
      <c r="A7" s="1065"/>
      <c r="B7" s="1167"/>
      <c r="C7" s="1181"/>
      <c r="D7" s="1179"/>
      <c r="E7" s="1179"/>
      <c r="F7" s="1179"/>
      <c r="G7" s="1179"/>
      <c r="H7" s="1167"/>
      <c r="I7" s="1167"/>
      <c r="AF7" s="131"/>
      <c r="AG7" s="131"/>
      <c r="AH7" s="131"/>
    </row>
    <row r="8" spans="1:34" ht="16">
      <c r="A8" s="1065"/>
      <c r="B8" s="1167"/>
      <c r="C8" s="1680" t="s">
        <v>3456</v>
      </c>
      <c r="D8" s="1974"/>
      <c r="E8" s="1974"/>
      <c r="F8" s="1974"/>
      <c r="G8" s="1974"/>
      <c r="H8" s="1974"/>
      <c r="I8" s="1167"/>
      <c r="AF8" s="131"/>
      <c r="AG8" s="131"/>
      <c r="AH8" s="131"/>
    </row>
    <row r="9" spans="1:34" ht="16">
      <c r="A9" s="1065"/>
      <c r="B9" s="1167"/>
      <c r="C9" s="1680"/>
      <c r="D9" s="1179"/>
      <c r="E9" s="1680"/>
      <c r="F9" s="1179"/>
      <c r="G9" s="1179"/>
      <c r="H9" s="1167"/>
      <c r="I9" s="1167"/>
      <c r="AF9" s="131"/>
      <c r="AG9" s="131"/>
      <c r="AH9" s="131"/>
    </row>
    <row r="10" spans="1:34" ht="16">
      <c r="A10" s="1065"/>
      <c r="B10" s="1167"/>
      <c r="C10" s="1680" t="s">
        <v>3330</v>
      </c>
      <c r="D10" s="1974"/>
      <c r="E10" s="1974"/>
      <c r="F10" s="1974"/>
      <c r="G10" s="1974"/>
      <c r="H10" s="1974"/>
      <c r="I10" s="1167"/>
      <c r="AF10" s="131"/>
      <c r="AG10" s="131"/>
      <c r="AH10" s="131"/>
    </row>
    <row r="11" spans="1:34" ht="16">
      <c r="A11" s="1065"/>
      <c r="B11" s="1167"/>
      <c r="C11" s="1680" t="s">
        <v>3332</v>
      </c>
      <c r="D11" s="338"/>
      <c r="E11" s="1680" t="s">
        <v>3333</v>
      </c>
      <c r="F11" s="338"/>
      <c r="G11" s="1681" t="s">
        <v>3336</v>
      </c>
      <c r="H11" s="339"/>
      <c r="I11" s="1167"/>
      <c r="AF11" s="131"/>
      <c r="AG11" s="131"/>
      <c r="AH11" s="131"/>
    </row>
    <row r="12" spans="1:34" ht="16">
      <c r="A12" s="1065"/>
      <c r="B12" s="1167"/>
      <c r="C12" s="1680"/>
      <c r="D12" s="1179"/>
      <c r="E12" s="1680"/>
      <c r="F12" s="1179"/>
      <c r="G12" s="1179"/>
      <c r="H12" s="1167"/>
      <c r="I12" s="1167"/>
      <c r="AF12" s="131"/>
      <c r="AG12" s="131"/>
      <c r="AH12" s="131"/>
    </row>
    <row r="13" spans="1:34" ht="16">
      <c r="A13" s="1065"/>
      <c r="B13" s="1167"/>
      <c r="C13" s="1191" t="s">
        <v>3457</v>
      </c>
      <c r="D13" s="1179"/>
      <c r="E13" s="1680"/>
      <c r="F13" s="1179"/>
      <c r="G13" s="1179"/>
      <c r="H13" s="1167"/>
      <c r="I13" s="1167"/>
      <c r="AF13" s="131"/>
      <c r="AG13" s="131"/>
      <c r="AH13" s="131"/>
    </row>
    <row r="14" spans="1:34" ht="16">
      <c r="A14" s="1065"/>
      <c r="B14" s="1178"/>
      <c r="C14" s="1681" t="s">
        <v>1592</v>
      </c>
      <c r="D14" s="338"/>
      <c r="E14" s="1680" t="s">
        <v>3349</v>
      </c>
      <c r="F14" s="338"/>
      <c r="G14" s="1681" t="s">
        <v>3350</v>
      </c>
      <c r="H14" s="216"/>
      <c r="I14" s="1167"/>
      <c r="AF14" s="131"/>
      <c r="AG14" s="131"/>
      <c r="AH14" s="131"/>
    </row>
    <row r="15" spans="1:34" ht="16">
      <c r="A15" s="1065"/>
      <c r="B15" s="1167"/>
      <c r="C15" s="1681" t="s">
        <v>3458</v>
      </c>
      <c r="D15" s="1096"/>
      <c r="E15" s="1681" t="s">
        <v>3459</v>
      </c>
      <c r="F15" s="941"/>
      <c r="G15" s="1681" t="s">
        <v>3460</v>
      </c>
      <c r="H15" s="941"/>
      <c r="I15" s="1167"/>
      <c r="AF15" s="131"/>
      <c r="AG15" s="131"/>
      <c r="AH15" s="131"/>
    </row>
    <row r="16" spans="1:34" ht="16">
      <c r="A16" s="1065"/>
      <c r="B16" s="1167"/>
      <c r="C16" s="1680" t="s">
        <v>3461</v>
      </c>
      <c r="D16" s="1973"/>
      <c r="E16" s="1973"/>
      <c r="F16" s="1179"/>
      <c r="G16" s="1179"/>
      <c r="H16" s="1167"/>
      <c r="I16" s="1167"/>
      <c r="AF16" s="131"/>
      <c r="AG16" s="131"/>
      <c r="AH16" s="131"/>
    </row>
    <row r="17" spans="1:34" ht="16">
      <c r="A17" s="1065"/>
      <c r="B17" s="1167"/>
      <c r="C17" s="1680"/>
      <c r="D17" s="1179"/>
      <c r="E17" s="1179"/>
      <c r="F17" s="1179"/>
      <c r="G17" s="1179"/>
      <c r="H17" s="1167"/>
      <c r="I17" s="1167"/>
      <c r="AF17" s="131"/>
      <c r="AG17" s="131"/>
      <c r="AH17" s="131"/>
    </row>
    <row r="18" spans="1:34" ht="19">
      <c r="A18" s="1065"/>
      <c r="B18" s="8" t="s">
        <v>3462</v>
      </c>
      <c r="C18" s="3"/>
      <c r="D18" s="3"/>
      <c r="E18" s="3"/>
      <c r="F18" s="3"/>
      <c r="G18" s="3"/>
      <c r="H18" s="3"/>
      <c r="I18" s="3"/>
      <c r="AF18" s="131"/>
      <c r="AG18" s="131"/>
      <c r="AH18" s="131"/>
    </row>
    <row r="19" spans="1:34">
      <c r="A19" s="1065"/>
      <c r="B19" s="1167"/>
      <c r="C19" s="1167"/>
      <c r="D19" s="1167"/>
      <c r="E19" s="1167"/>
      <c r="F19" s="1167"/>
      <c r="G19" s="1167"/>
      <c r="H19" s="1167"/>
      <c r="I19" s="1167"/>
      <c r="J19" s="351"/>
      <c r="AF19" s="131"/>
      <c r="AG19" s="131"/>
      <c r="AH19" s="131"/>
    </row>
    <row r="20" spans="1:34" ht="19">
      <c r="A20" s="1065"/>
      <c r="B20" s="1166"/>
      <c r="C20" s="1681" t="s">
        <v>3463</v>
      </c>
      <c r="D20" s="338"/>
      <c r="E20" s="1179"/>
      <c r="F20" s="1179"/>
      <c r="G20" s="1179"/>
      <c r="H20" s="1179"/>
      <c r="I20" s="1167"/>
      <c r="AF20" s="131"/>
      <c r="AG20" s="131"/>
      <c r="AH20" s="131"/>
    </row>
    <row r="21" spans="1:34" ht="16">
      <c r="A21" s="1065"/>
      <c r="B21" s="1167"/>
      <c r="C21" s="1179"/>
      <c r="D21" s="1179"/>
      <c r="E21" s="1190"/>
      <c r="F21" s="1190"/>
      <c r="G21" s="1190"/>
      <c r="H21" s="1190"/>
      <c r="I21" s="1167"/>
      <c r="K21" s="9"/>
      <c r="L21" s="9"/>
      <c r="M21" s="9"/>
      <c r="AF21" s="131"/>
      <c r="AG21" s="131"/>
      <c r="AH21" s="131"/>
    </row>
    <row r="22" spans="1:34" ht="16">
      <c r="A22" s="1065"/>
      <c r="B22" s="1167"/>
      <c r="C22" s="1681" t="s">
        <v>3456</v>
      </c>
      <c r="D22" s="1987"/>
      <c r="E22" s="1987"/>
      <c r="F22" s="1987"/>
      <c r="G22" s="1987"/>
      <c r="H22" s="1987"/>
      <c r="I22" s="1167"/>
      <c r="K22" s="9"/>
      <c r="L22" s="9"/>
      <c r="M22" s="9"/>
      <c r="AF22" s="131"/>
      <c r="AG22" s="131"/>
      <c r="AH22" s="131"/>
    </row>
    <row r="23" spans="1:34" ht="16">
      <c r="A23" s="1065"/>
      <c r="B23" s="1167"/>
      <c r="C23" s="1680"/>
      <c r="D23" s="1179"/>
      <c r="E23" s="1680"/>
      <c r="F23" s="1179"/>
      <c r="G23" s="1179"/>
      <c r="H23" s="1179"/>
      <c r="I23" s="1167"/>
      <c r="K23" s="9"/>
      <c r="L23" s="9"/>
      <c r="M23" s="9"/>
      <c r="AF23" s="131"/>
      <c r="AG23" s="131"/>
      <c r="AH23" s="131"/>
    </row>
    <row r="24" spans="1:34" ht="16">
      <c r="A24" s="1065"/>
      <c r="B24" s="1167"/>
      <c r="C24" s="1680" t="s">
        <v>3330</v>
      </c>
      <c r="D24" s="1987"/>
      <c r="E24" s="1987"/>
      <c r="F24" s="1987"/>
      <c r="G24" s="1987"/>
      <c r="H24" s="1987"/>
      <c r="I24" s="1167"/>
      <c r="K24" s="9"/>
      <c r="L24" s="9"/>
      <c r="M24" s="9"/>
      <c r="AF24" s="131"/>
      <c r="AG24" s="131"/>
      <c r="AH24" s="131"/>
    </row>
    <row r="25" spans="1:34" ht="16">
      <c r="A25" s="1065"/>
      <c r="B25" s="1167"/>
      <c r="C25" s="1680" t="s">
        <v>3332</v>
      </c>
      <c r="D25" s="216"/>
      <c r="E25" s="1680" t="s">
        <v>3333</v>
      </c>
      <c r="F25" s="216"/>
      <c r="G25" s="1681" t="str">
        <f>+G11</f>
        <v xml:space="preserve">Zip Code </v>
      </c>
      <c r="H25" s="225"/>
      <c r="I25" s="1167"/>
      <c r="K25" s="9"/>
      <c r="L25" s="9"/>
      <c r="M25" s="9"/>
      <c r="AF25" s="131"/>
      <c r="AG25" s="131"/>
      <c r="AH25" s="131"/>
    </row>
    <row r="26" spans="1:34" ht="16">
      <c r="A26" s="1065"/>
      <c r="B26" s="1167"/>
      <c r="C26" s="1680"/>
      <c r="D26" s="1179"/>
      <c r="E26" s="1680"/>
      <c r="F26" s="1179"/>
      <c r="G26" s="1179"/>
      <c r="H26" s="1179"/>
      <c r="I26" s="1167"/>
      <c r="AF26" s="131"/>
      <c r="AG26" s="131"/>
      <c r="AH26" s="131"/>
    </row>
    <row r="27" spans="1:34" ht="16">
      <c r="A27" s="1065"/>
      <c r="B27" s="1167"/>
      <c r="C27" s="1191" t="s">
        <v>3457</v>
      </c>
      <c r="D27" s="1179"/>
      <c r="E27" s="1680"/>
      <c r="F27" s="1179"/>
      <c r="G27" s="1179"/>
      <c r="H27" s="1179"/>
      <c r="I27" s="1167"/>
      <c r="AF27" s="131"/>
      <c r="AG27" s="131"/>
      <c r="AH27" s="131"/>
    </row>
    <row r="28" spans="1:34" ht="17">
      <c r="A28" s="1065"/>
      <c r="B28" s="1167"/>
      <c r="C28" s="1192" t="s">
        <v>1592</v>
      </c>
      <c r="D28" s="216"/>
      <c r="E28" s="1680" t="s">
        <v>3349</v>
      </c>
      <c r="F28" s="216"/>
      <c r="G28" s="1681" t="s">
        <v>3350</v>
      </c>
      <c r="H28" s="216"/>
      <c r="I28" s="1167"/>
      <c r="AF28" s="131"/>
      <c r="AG28" s="131"/>
      <c r="AH28" s="131"/>
    </row>
    <row r="29" spans="1:34" ht="16">
      <c r="A29" s="1065"/>
      <c r="B29" s="1167"/>
      <c r="C29" s="1681" t="s">
        <v>3458</v>
      </c>
      <c r="D29" s="1097"/>
      <c r="E29" s="1681" t="s">
        <v>3459</v>
      </c>
      <c r="F29" s="941"/>
      <c r="G29" s="1681" t="s">
        <v>3460</v>
      </c>
      <c r="H29" s="941"/>
      <c r="I29" s="1167"/>
      <c r="K29" s="9"/>
      <c r="L29" s="9"/>
      <c r="M29" s="9"/>
      <c r="AF29" s="131"/>
      <c r="AG29" s="131"/>
      <c r="AH29" s="131"/>
    </row>
    <row r="30" spans="1:34" ht="16">
      <c r="A30" s="1065"/>
      <c r="B30" s="1167"/>
      <c r="C30" s="1680" t="s">
        <v>3461</v>
      </c>
      <c r="D30" s="1988"/>
      <c r="E30" s="1988"/>
      <c r="F30" s="1179"/>
      <c r="G30" s="1179"/>
      <c r="H30" s="1179"/>
      <c r="I30" s="1167"/>
      <c r="K30" s="9"/>
      <c r="L30" s="9"/>
      <c r="M30" s="9"/>
      <c r="AF30" s="131"/>
      <c r="AG30" s="131"/>
      <c r="AH30" s="131"/>
    </row>
    <row r="31" spans="1:34" ht="16">
      <c r="A31" s="1065"/>
      <c r="B31" s="1167"/>
      <c r="C31" s="1179"/>
      <c r="D31" s="1190"/>
      <c r="E31" s="1190"/>
      <c r="F31" s="1190"/>
      <c r="G31" s="1190"/>
      <c r="H31" s="1190"/>
      <c r="I31" s="1178"/>
      <c r="J31" s="9"/>
      <c r="K31" s="9"/>
      <c r="L31" s="9"/>
      <c r="M31" s="9"/>
      <c r="AF31" s="131"/>
      <c r="AG31" s="131"/>
      <c r="AH31" s="131"/>
    </row>
    <row r="32" spans="1:34" ht="19">
      <c r="A32" s="1067"/>
      <c r="B32" s="8" t="s">
        <v>3462</v>
      </c>
      <c r="C32" s="3"/>
      <c r="D32" s="3"/>
      <c r="E32" s="3"/>
      <c r="F32" s="3"/>
      <c r="G32" s="3"/>
      <c r="H32" s="3"/>
      <c r="I32" s="3"/>
      <c r="J32" s="9"/>
      <c r="K32" s="9"/>
      <c r="AF32" s="131"/>
      <c r="AG32" s="131"/>
      <c r="AH32" s="131"/>
    </row>
    <row r="33" spans="1:34">
      <c r="A33" s="1067"/>
      <c r="B33" s="1167"/>
      <c r="C33" s="1167"/>
      <c r="D33" s="1167"/>
      <c r="E33" s="1167"/>
      <c r="F33" s="1167"/>
      <c r="G33" s="1167"/>
      <c r="H33" s="1167"/>
      <c r="I33" s="1167"/>
      <c r="AF33" s="131"/>
      <c r="AG33" s="131"/>
      <c r="AH33" s="131"/>
    </row>
    <row r="34" spans="1:34" ht="19">
      <c r="A34" s="1067"/>
      <c r="B34" s="1166"/>
      <c r="C34" s="1681" t="s">
        <v>3463</v>
      </c>
      <c r="D34" s="216"/>
      <c r="E34" s="1179"/>
      <c r="F34" s="1179"/>
      <c r="G34" s="1179"/>
      <c r="H34" s="1179"/>
      <c r="I34" s="1167"/>
      <c r="AF34" s="131"/>
      <c r="AG34" s="131"/>
      <c r="AH34" s="131"/>
    </row>
    <row r="35" spans="1:34" ht="16" customHeight="1">
      <c r="A35" s="1067"/>
      <c r="B35" s="1167"/>
      <c r="C35" s="1179"/>
      <c r="D35" s="1179"/>
      <c r="E35" s="1190"/>
      <c r="F35" s="1190"/>
      <c r="G35" s="1190"/>
      <c r="H35" s="1190"/>
      <c r="I35" s="1167"/>
      <c r="AF35" s="131"/>
      <c r="AG35" s="131"/>
      <c r="AH35" s="131"/>
    </row>
    <row r="36" spans="1:34" ht="16" customHeight="1">
      <c r="A36" s="1065"/>
      <c r="B36" s="1167"/>
      <c r="C36" s="1681" t="s">
        <v>3456</v>
      </c>
      <c r="D36" s="1987"/>
      <c r="E36" s="1987"/>
      <c r="F36" s="1987"/>
      <c r="G36" s="1987"/>
      <c r="H36" s="1987"/>
      <c r="I36" s="1167"/>
      <c r="AF36" s="131"/>
      <c r="AG36" s="131"/>
      <c r="AH36" s="131"/>
    </row>
    <row r="37" spans="1:34" ht="16" customHeight="1">
      <c r="A37" s="1065"/>
      <c r="B37" s="1167"/>
      <c r="C37" s="1680"/>
      <c r="D37" s="1179"/>
      <c r="E37" s="1680"/>
      <c r="F37" s="1179"/>
      <c r="G37" s="1179"/>
      <c r="H37" s="1179"/>
      <c r="I37" s="1167"/>
      <c r="AF37" s="131"/>
      <c r="AG37" s="131"/>
      <c r="AH37" s="131"/>
    </row>
    <row r="38" spans="1:34" ht="16" customHeight="1">
      <c r="A38" s="1065"/>
      <c r="B38" s="1167"/>
      <c r="C38" s="1680" t="s">
        <v>3330</v>
      </c>
      <c r="D38" s="1987"/>
      <c r="E38" s="1987"/>
      <c r="F38" s="1987"/>
      <c r="G38" s="1987"/>
      <c r="H38" s="1987"/>
      <c r="I38" s="1167"/>
      <c r="AF38" s="131"/>
      <c r="AG38" s="131"/>
      <c r="AH38" s="131"/>
    </row>
    <row r="39" spans="1:34" ht="16">
      <c r="A39" s="1065"/>
      <c r="B39" s="1167"/>
      <c r="C39" s="1680" t="s">
        <v>3332</v>
      </c>
      <c r="D39" s="216"/>
      <c r="E39" s="1680" t="s">
        <v>3333</v>
      </c>
      <c r="F39" s="216"/>
      <c r="G39" s="1681" t="str">
        <f>+G25</f>
        <v xml:space="preserve">Zip Code </v>
      </c>
      <c r="H39" s="225"/>
      <c r="I39" s="1167"/>
      <c r="AF39" s="131"/>
      <c r="AG39" s="131"/>
      <c r="AH39" s="131"/>
    </row>
    <row r="40" spans="1:34" ht="15" customHeight="1">
      <c r="B40" s="1167"/>
      <c r="C40" s="1680"/>
      <c r="D40" s="1179"/>
      <c r="E40" s="1680"/>
      <c r="F40" s="1179"/>
      <c r="G40" s="1179"/>
      <c r="H40" s="1179"/>
      <c r="I40" s="1167"/>
      <c r="AF40" s="131"/>
      <c r="AG40" s="131"/>
      <c r="AH40" s="131"/>
    </row>
    <row r="41" spans="1:34" ht="16" customHeight="1">
      <c r="B41" s="1167"/>
      <c r="C41" s="1191" t="s">
        <v>3457</v>
      </c>
      <c r="D41" s="1179"/>
      <c r="E41" s="1680"/>
      <c r="F41" s="1179"/>
      <c r="G41" s="1179"/>
      <c r="H41" s="1179"/>
      <c r="I41" s="1167"/>
      <c r="AF41" s="131"/>
      <c r="AG41" s="131"/>
      <c r="AH41" s="131"/>
    </row>
    <row r="42" spans="1:34" ht="15" customHeight="1">
      <c r="B42" s="1167"/>
      <c r="C42" s="1192" t="s">
        <v>1592</v>
      </c>
      <c r="D42" s="216"/>
      <c r="E42" s="1680" t="s">
        <v>3349</v>
      </c>
      <c r="F42" s="216"/>
      <c r="G42" s="1681" t="s">
        <v>3350</v>
      </c>
      <c r="H42" s="216"/>
      <c r="I42" s="1167"/>
      <c r="AF42" s="131"/>
      <c r="AG42" s="131"/>
      <c r="AH42" s="131"/>
    </row>
    <row r="43" spans="1:34" ht="16">
      <c r="B43" s="1167"/>
      <c r="C43" s="1681" t="s">
        <v>3458</v>
      </c>
      <c r="D43" s="1097"/>
      <c r="E43" s="1681" t="s">
        <v>3459</v>
      </c>
      <c r="F43" s="941"/>
      <c r="G43" s="1681" t="s">
        <v>3460</v>
      </c>
      <c r="H43" s="941"/>
      <c r="I43" s="1167"/>
      <c r="AF43" s="131"/>
      <c r="AG43" s="131"/>
      <c r="AH43" s="131"/>
    </row>
    <row r="44" spans="1:34" ht="15" customHeight="1">
      <c r="B44" s="1167"/>
      <c r="C44" s="1680" t="s">
        <v>3461</v>
      </c>
      <c r="D44" s="1988"/>
      <c r="E44" s="1987"/>
      <c r="F44" s="1179"/>
      <c r="G44" s="1179"/>
      <c r="H44" s="1179"/>
      <c r="I44" s="1167"/>
      <c r="AF44" s="131"/>
      <c r="AG44" s="131"/>
      <c r="AH44" s="131"/>
    </row>
    <row r="45" spans="1:34" ht="16">
      <c r="B45" s="1167"/>
      <c r="C45" s="1179"/>
      <c r="D45" s="1190"/>
      <c r="E45" s="1190"/>
      <c r="F45" s="1190"/>
      <c r="G45" s="1190"/>
      <c r="H45" s="1190"/>
      <c r="I45" s="1178"/>
    </row>
    <row r="46" spans="1:34" ht="19">
      <c r="B46" s="8" t="s">
        <v>3462</v>
      </c>
      <c r="C46" s="3"/>
      <c r="D46" s="3"/>
      <c r="E46" s="3"/>
      <c r="F46" s="3"/>
      <c r="G46" s="3"/>
      <c r="H46" s="3"/>
      <c r="I46" s="3"/>
    </row>
    <row r="47" spans="1:34" ht="16" customHeight="1">
      <c r="B47" s="1167"/>
      <c r="C47" s="1167"/>
      <c r="D47" s="1167"/>
      <c r="E47" s="1167"/>
      <c r="F47" s="1167"/>
      <c r="G47" s="1167"/>
      <c r="H47" s="1167"/>
      <c r="I47" s="1167"/>
    </row>
    <row r="48" spans="1:34" ht="16" customHeight="1">
      <c r="B48" s="1166"/>
      <c r="C48" s="1681" t="s">
        <v>3463</v>
      </c>
      <c r="D48" s="216"/>
      <c r="E48" s="1179"/>
      <c r="F48" s="1179"/>
      <c r="G48" s="1179"/>
      <c r="H48" s="1179"/>
      <c r="I48" s="1167"/>
    </row>
    <row r="49" spans="2:16" ht="16" customHeight="1">
      <c r="B49" s="1167"/>
      <c r="C49" s="1179"/>
      <c r="D49" s="1179"/>
      <c r="E49" s="1190"/>
      <c r="F49" s="1190"/>
      <c r="G49" s="1190"/>
      <c r="H49" s="1190"/>
      <c r="I49" s="1167"/>
    </row>
    <row r="50" spans="2:16" ht="15" customHeight="1">
      <c r="B50" s="1167"/>
      <c r="C50" s="1192" t="s">
        <v>3456</v>
      </c>
      <c r="D50" s="1987"/>
      <c r="E50" s="1987"/>
      <c r="F50" s="1987"/>
      <c r="G50" s="1987"/>
      <c r="H50" s="1987"/>
      <c r="I50" s="1167"/>
    </row>
    <row r="51" spans="2:16" ht="15" customHeight="1">
      <c r="B51" s="1167"/>
      <c r="C51" s="1680"/>
      <c r="D51" s="1179"/>
      <c r="E51" s="1680"/>
      <c r="F51" s="1179"/>
      <c r="G51" s="1179"/>
      <c r="H51" s="1179"/>
      <c r="I51" s="1167"/>
      <c r="J51" s="1109"/>
    </row>
    <row r="52" spans="2:16" ht="15" customHeight="1">
      <c r="B52" s="1167"/>
      <c r="C52" s="1680" t="s">
        <v>3330</v>
      </c>
      <c r="D52" s="1987"/>
      <c r="E52" s="1987"/>
      <c r="F52" s="1987"/>
      <c r="G52" s="1987"/>
      <c r="H52" s="1987"/>
      <c r="I52" s="1167"/>
      <c r="J52" s="1109"/>
    </row>
    <row r="53" spans="2:16" ht="16">
      <c r="B53" s="1167"/>
      <c r="C53" s="1680" t="s">
        <v>3332</v>
      </c>
      <c r="D53" s="216"/>
      <c r="E53" s="1680" t="s">
        <v>3333</v>
      </c>
      <c r="F53" s="216"/>
      <c r="G53" s="1681" t="str">
        <f>+G39</f>
        <v xml:space="preserve">Zip Code </v>
      </c>
      <c r="H53" s="225"/>
      <c r="I53" s="1167"/>
      <c r="J53" s="1109"/>
    </row>
    <row r="54" spans="2:16" ht="16">
      <c r="B54" s="1167"/>
      <c r="C54" s="1680"/>
      <c r="D54" s="1179"/>
      <c r="E54" s="1680"/>
      <c r="F54" s="1179"/>
      <c r="G54" s="1179"/>
      <c r="H54" s="1179"/>
      <c r="I54" s="1167"/>
      <c r="J54" s="1109"/>
    </row>
    <row r="55" spans="2:16" ht="16">
      <c r="B55" s="1167"/>
      <c r="C55" s="1191" t="s">
        <v>3457</v>
      </c>
      <c r="D55" s="1179"/>
      <c r="E55" s="1680"/>
      <c r="F55" s="1179"/>
      <c r="G55" s="1179"/>
      <c r="H55" s="1179"/>
      <c r="I55" s="1167"/>
    </row>
    <row r="56" spans="2:16" ht="17">
      <c r="B56" s="1167"/>
      <c r="C56" s="1192" t="s">
        <v>1592</v>
      </c>
      <c r="D56" s="216"/>
      <c r="E56" s="1680" t="s">
        <v>3349</v>
      </c>
      <c r="F56" s="216"/>
      <c r="G56" s="1681" t="s">
        <v>3350</v>
      </c>
      <c r="H56" s="216"/>
      <c r="I56" s="1167"/>
    </row>
    <row r="57" spans="2:16" ht="16">
      <c r="B57" s="1167"/>
      <c r="C57" s="1681" t="s">
        <v>3458</v>
      </c>
      <c r="D57" s="1097"/>
      <c r="E57" s="1681" t="s">
        <v>3459</v>
      </c>
      <c r="F57" s="941"/>
      <c r="G57" s="1681" t="s">
        <v>3460</v>
      </c>
      <c r="H57" s="941"/>
      <c r="I57" s="1167"/>
    </row>
    <row r="58" spans="2:16" ht="16">
      <c r="B58" s="1167"/>
      <c r="C58" s="1680" t="s">
        <v>3461</v>
      </c>
      <c r="D58" s="1988"/>
      <c r="E58" s="1987"/>
      <c r="F58" s="1179"/>
      <c r="G58" s="1179"/>
      <c r="H58" s="1179"/>
      <c r="I58" s="1167"/>
    </row>
    <row r="59" spans="2:16" ht="16">
      <c r="B59" s="1167"/>
      <c r="C59" s="1179"/>
      <c r="D59" s="1190"/>
      <c r="E59" s="1190"/>
      <c r="F59" s="1190"/>
      <c r="G59" s="1190"/>
      <c r="H59" s="1190"/>
      <c r="I59" s="1178"/>
    </row>
    <row r="60" spans="2:16" ht="19">
      <c r="B60" s="8" t="s">
        <v>3464</v>
      </c>
      <c r="C60" s="3"/>
      <c r="D60" s="3"/>
      <c r="E60" s="3"/>
      <c r="F60" s="3"/>
      <c r="G60" s="3"/>
      <c r="H60" s="3"/>
      <c r="I60" s="3"/>
      <c r="J60" s="1109"/>
      <c r="K60" s="1109"/>
      <c r="L60" s="1109"/>
      <c r="M60" s="1109"/>
      <c r="N60" s="404"/>
      <c r="O60" s="404"/>
      <c r="P60" s="404"/>
    </row>
    <row r="61" spans="2:16">
      <c r="B61" s="1167"/>
      <c r="C61" s="1167"/>
      <c r="D61" s="1167"/>
      <c r="E61" s="1167"/>
      <c r="F61" s="1167"/>
      <c r="G61" s="1167"/>
      <c r="H61" s="1167"/>
      <c r="I61" s="1167"/>
      <c r="J61" s="1109"/>
      <c r="K61" s="1109"/>
    </row>
    <row r="62" spans="2:16" ht="16">
      <c r="B62" s="2005" t="s">
        <v>719</v>
      </c>
      <c r="C62" s="2005"/>
      <c r="D62" s="2005"/>
      <c r="E62" s="338"/>
      <c r="F62" s="1194" t="b">
        <f>Judgements="Yes"</f>
        <v>0</v>
      </c>
      <c r="G62" s="1167"/>
      <c r="H62" s="1167"/>
      <c r="I62" s="1167"/>
    </row>
    <row r="63" spans="2:16" ht="16">
      <c r="B63" s="2005"/>
      <c r="C63" s="2005"/>
      <c r="D63" s="2005"/>
      <c r="E63" s="1181"/>
      <c r="F63" s="1194"/>
      <c r="G63" s="1167"/>
      <c r="H63" s="1167"/>
      <c r="I63" s="1167"/>
    </row>
    <row r="64" spans="2:16" ht="16">
      <c r="B64" s="1167"/>
      <c r="C64" s="1193"/>
      <c r="D64" s="1193"/>
      <c r="E64" s="1181"/>
      <c r="F64" s="1194"/>
      <c r="G64" s="1167"/>
      <c r="H64" s="1167"/>
      <c r="I64" s="1167"/>
    </row>
    <row r="65" spans="2:9" ht="16">
      <c r="B65" s="2005" t="s">
        <v>722</v>
      </c>
      <c r="C65" s="2005"/>
      <c r="D65" s="2005"/>
      <c r="E65" s="338"/>
      <c r="F65" s="1194" t="b">
        <f>Litigation="Yes"</f>
        <v>0</v>
      </c>
      <c r="G65" s="1167"/>
      <c r="H65" s="1167"/>
      <c r="I65" s="1167"/>
    </row>
    <row r="66" spans="2:9" ht="16">
      <c r="B66" s="2005"/>
      <c r="C66" s="2005"/>
      <c r="D66" s="2005"/>
      <c r="E66" s="1179"/>
      <c r="F66" s="1194"/>
      <c r="G66" s="1167"/>
      <c r="H66" s="1167"/>
      <c r="I66" s="1167"/>
    </row>
    <row r="67" spans="2:9" ht="16">
      <c r="B67" s="1193"/>
      <c r="C67" s="1193"/>
      <c r="D67" s="1193"/>
      <c r="E67" s="1179"/>
      <c r="F67" s="1194"/>
      <c r="G67" s="1167"/>
      <c r="H67" s="1167"/>
      <c r="I67" s="1167"/>
    </row>
    <row r="68" spans="2:9" ht="16">
      <c r="B68" s="2005" t="s">
        <v>724</v>
      </c>
      <c r="C68" s="2005"/>
      <c r="D68" s="2005"/>
      <c r="E68" s="338"/>
      <c r="F68" s="1194" t="b">
        <f>Environmental_Issues="Yes"</f>
        <v>0</v>
      </c>
      <c r="G68" s="1167"/>
      <c r="H68" s="1167"/>
      <c r="I68" s="1167"/>
    </row>
    <row r="69" spans="2:9">
      <c r="B69" s="2005"/>
      <c r="C69" s="2005"/>
      <c r="D69" s="2005"/>
      <c r="E69" s="1167"/>
      <c r="F69" s="1167"/>
      <c r="G69" s="1167"/>
      <c r="H69" s="1167"/>
      <c r="I69" s="1167"/>
    </row>
    <row r="70" spans="2:9" ht="16">
      <c r="B70" s="1193"/>
      <c r="C70" s="1193"/>
      <c r="D70" s="1193"/>
      <c r="E70" s="1167"/>
      <c r="F70" s="1167"/>
      <c r="G70" s="1167"/>
      <c r="H70" s="1167"/>
      <c r="I70" s="1167"/>
    </row>
    <row r="71" spans="2:9" ht="16">
      <c r="B71" s="1167"/>
      <c r="C71" s="1193"/>
      <c r="D71" s="1193"/>
      <c r="E71" s="1681"/>
      <c r="F71" s="1167"/>
      <c r="G71" s="1167"/>
      <c r="H71" s="1167"/>
      <c r="I71" s="1167"/>
    </row>
    <row r="72" spans="2:9" ht="16">
      <c r="B72" s="1167"/>
      <c r="C72" s="1181"/>
      <c r="D72" s="1179"/>
      <c r="E72" s="1167"/>
      <c r="F72" s="1186"/>
      <c r="G72" s="1167"/>
      <c r="H72" s="1167"/>
      <c r="I72" s="1186"/>
    </row>
    <row r="73" spans="2:9">
      <c r="B73" s="1167"/>
      <c r="C73" s="2005" t="s">
        <v>726</v>
      </c>
      <c r="D73" s="2005"/>
      <c r="E73" s="1996"/>
      <c r="F73" s="1997"/>
      <c r="G73" s="1997"/>
      <c r="H73" s="1998"/>
      <c r="I73" s="1167"/>
    </row>
    <row r="74" spans="2:9">
      <c r="B74" s="1167"/>
      <c r="C74" s="2005"/>
      <c r="D74" s="2005"/>
      <c r="E74" s="1999"/>
      <c r="F74" s="2000"/>
      <c r="G74" s="2000"/>
      <c r="H74" s="2001"/>
      <c r="I74" s="1167"/>
    </row>
    <row r="75" spans="2:9">
      <c r="B75" s="1167"/>
      <c r="C75" s="2005"/>
      <c r="D75" s="2005"/>
      <c r="E75" s="1999"/>
      <c r="F75" s="2000"/>
      <c r="G75" s="2000"/>
      <c r="H75" s="2001"/>
      <c r="I75" s="1167"/>
    </row>
    <row r="76" spans="2:9">
      <c r="B76" s="1167"/>
      <c r="C76" s="2005"/>
      <c r="D76" s="2005"/>
      <c r="E76" s="1999"/>
      <c r="F76" s="2000"/>
      <c r="G76" s="2000"/>
      <c r="H76" s="2001"/>
      <c r="I76" s="1708"/>
    </row>
    <row r="77" spans="2:9">
      <c r="B77" s="1167"/>
      <c r="C77" s="2005"/>
      <c r="D77" s="2005"/>
      <c r="E77" s="1999"/>
      <c r="F77" s="2000"/>
      <c r="G77" s="2000"/>
      <c r="H77" s="2001"/>
      <c r="I77" s="1708"/>
    </row>
    <row r="78" spans="2:9" ht="19">
      <c r="B78" s="1166"/>
      <c r="C78" s="2005"/>
      <c r="D78" s="2005"/>
      <c r="E78" s="2002"/>
      <c r="F78" s="2003"/>
      <c r="G78" s="2003"/>
      <c r="H78" s="2004"/>
      <c r="I78" s="1708"/>
    </row>
    <row r="79" spans="2:9">
      <c r="B79" s="1167"/>
      <c r="C79" s="1167"/>
      <c r="D79" s="1167"/>
      <c r="E79" s="1708"/>
      <c r="F79" s="1708"/>
      <c r="G79" s="1708"/>
      <c r="H79" s="1708"/>
      <c r="I79" s="1708"/>
    </row>
    <row r="80" spans="2:9" ht="19">
      <c r="B80" s="8" t="s">
        <v>3465</v>
      </c>
      <c r="C80" s="19"/>
      <c r="D80" s="3"/>
      <c r="E80" s="1109"/>
      <c r="F80" s="1109"/>
      <c r="G80" s="1109"/>
      <c r="H80" s="3"/>
      <c r="I80" s="3"/>
    </row>
    <row r="81" spans="2:13">
      <c r="B81" s="1167"/>
      <c r="C81" s="1195"/>
      <c r="D81" s="1167"/>
      <c r="E81" s="1167"/>
      <c r="F81" s="1167"/>
      <c r="G81" s="1167"/>
      <c r="H81" s="1167"/>
      <c r="I81" s="1167"/>
    </row>
    <row r="82" spans="2:13">
      <c r="B82" s="1167"/>
      <c r="C82" s="1984"/>
      <c r="D82" s="1989"/>
      <c r="E82" s="1989"/>
      <c r="F82" s="1989"/>
      <c r="G82" s="1989"/>
      <c r="H82" s="1990"/>
      <c r="I82" s="1167"/>
    </row>
    <row r="83" spans="2:13">
      <c r="B83" s="1167"/>
      <c r="C83" s="1985"/>
      <c r="D83" s="1991"/>
      <c r="E83" s="1991"/>
      <c r="F83" s="1991"/>
      <c r="G83" s="1991"/>
      <c r="H83" s="1992"/>
      <c r="I83" s="1167"/>
    </row>
    <row r="84" spans="2:13">
      <c r="B84" s="1167"/>
      <c r="C84" s="1985"/>
      <c r="D84" s="1991"/>
      <c r="E84" s="1991"/>
      <c r="F84" s="1991"/>
      <c r="G84" s="1991"/>
      <c r="H84" s="1992"/>
      <c r="I84" s="1167"/>
    </row>
    <row r="85" spans="2:13">
      <c r="B85" s="1167"/>
      <c r="C85" s="1985"/>
      <c r="D85" s="1991"/>
      <c r="E85" s="1991"/>
      <c r="F85" s="1991"/>
      <c r="G85" s="1991"/>
      <c r="H85" s="1992"/>
      <c r="I85" s="1167"/>
    </row>
    <row r="86" spans="2:13">
      <c r="B86" s="1167"/>
      <c r="C86" s="1985"/>
      <c r="D86" s="1991"/>
      <c r="E86" s="1991"/>
      <c r="F86" s="1991"/>
      <c r="G86" s="1991"/>
      <c r="H86" s="1992"/>
      <c r="I86" s="1167"/>
    </row>
    <row r="87" spans="2:13">
      <c r="B87" s="1167"/>
      <c r="C87" s="1985"/>
      <c r="D87" s="1991"/>
      <c r="E87" s="1991"/>
      <c r="F87" s="1991"/>
      <c r="G87" s="1991"/>
      <c r="H87" s="1992"/>
      <c r="I87" s="1167"/>
    </row>
    <row r="88" spans="2:13">
      <c r="B88" s="1167"/>
      <c r="C88" s="1985"/>
      <c r="D88" s="1991"/>
      <c r="E88" s="1991"/>
      <c r="F88" s="1991"/>
      <c r="G88" s="1991"/>
      <c r="H88" s="1992"/>
      <c r="I88" s="1167"/>
    </row>
    <row r="89" spans="2:13">
      <c r="B89" s="1167"/>
      <c r="C89" s="1986"/>
      <c r="D89" s="1993"/>
      <c r="E89" s="1993"/>
      <c r="F89" s="1993"/>
      <c r="G89" s="1993"/>
      <c r="H89" s="1994"/>
      <c r="I89" s="1167"/>
    </row>
    <row r="90" spans="2:13">
      <c r="B90" s="1167"/>
      <c r="C90" s="1195"/>
      <c r="D90" s="1167"/>
      <c r="E90" s="1167"/>
      <c r="F90" s="1167"/>
      <c r="G90" s="1167"/>
      <c r="H90" s="1167"/>
      <c r="I90" s="1678"/>
    </row>
    <row r="91" spans="2:13">
      <c r="B91" s="3"/>
      <c r="C91" s="19"/>
      <c r="D91" s="3"/>
      <c r="E91" s="3"/>
      <c r="F91" s="3"/>
      <c r="G91" s="3"/>
      <c r="H91" s="1715"/>
      <c r="I91" s="1715"/>
      <c r="J91" s="131"/>
      <c r="K91" s="131"/>
      <c r="L91" s="131"/>
      <c r="M91" s="131"/>
    </row>
    <row r="92" spans="2:13">
      <c r="B92" s="16" t="s">
        <v>3466</v>
      </c>
      <c r="C92" s="20"/>
      <c r="D92" s="7"/>
      <c r="E92" s="7"/>
      <c r="F92" s="7"/>
      <c r="G92" s="7"/>
      <c r="H92" s="1711"/>
      <c r="I92" s="1711"/>
      <c r="J92" s="131"/>
      <c r="K92" s="131"/>
      <c r="L92" s="131"/>
      <c r="M92" s="131"/>
    </row>
    <row r="93" spans="2:13" ht="19">
      <c r="B93" s="8" t="s">
        <v>3467</v>
      </c>
      <c r="C93" s="19"/>
      <c r="D93" s="3"/>
      <c r="E93" s="1109"/>
      <c r="F93" s="1109"/>
      <c r="G93" s="1109"/>
      <c r="H93" s="1711"/>
      <c r="I93" s="1711"/>
    </row>
    <row r="94" spans="2:13">
      <c r="B94" s="1167"/>
      <c r="C94" s="1195"/>
      <c r="D94" s="1167"/>
      <c r="E94" s="1167"/>
      <c r="F94" s="1167"/>
      <c r="G94" s="1167"/>
      <c r="H94" s="1678"/>
      <c r="I94" s="1678"/>
    </row>
    <row r="95" spans="2:13">
      <c r="B95" s="1167"/>
      <c r="C95" s="1984"/>
      <c r="D95" s="1958"/>
      <c r="E95" s="1958"/>
      <c r="F95" s="1958"/>
      <c r="G95" s="1958"/>
      <c r="H95" s="1959"/>
      <c r="I95" s="1678"/>
    </row>
    <row r="96" spans="2:13">
      <c r="B96" s="1167"/>
      <c r="C96" s="1985"/>
      <c r="D96" s="1961"/>
      <c r="E96" s="1961"/>
      <c r="F96" s="1961"/>
      <c r="G96" s="1961"/>
      <c r="H96" s="1962"/>
      <c r="I96" s="1678"/>
    </row>
    <row r="97" spans="2:9">
      <c r="B97" s="1167"/>
      <c r="C97" s="1985"/>
      <c r="D97" s="1961"/>
      <c r="E97" s="1961"/>
      <c r="F97" s="1961"/>
      <c r="G97" s="1961"/>
      <c r="H97" s="1962"/>
      <c r="I97" s="1678"/>
    </row>
    <row r="98" spans="2:9">
      <c r="B98" s="1167"/>
      <c r="C98" s="1986"/>
      <c r="D98" s="1964"/>
      <c r="E98" s="1964"/>
      <c r="F98" s="1964"/>
      <c r="G98" s="1964"/>
      <c r="H98" s="1965"/>
      <c r="I98" s="1678"/>
    </row>
    <row r="99" spans="2:9">
      <c r="B99" s="1167"/>
      <c r="C99" s="1195"/>
      <c r="D99" s="1167"/>
      <c r="E99" s="1167"/>
      <c r="F99" s="1167"/>
      <c r="G99" s="1167"/>
      <c r="H99" s="1678"/>
      <c r="I99" s="1678"/>
    </row>
    <row r="100" spans="2:9" ht="16">
      <c r="B100" s="3"/>
      <c r="C100" s="219"/>
      <c r="D100" s="217"/>
      <c r="E100" s="3"/>
      <c r="F100" s="3"/>
      <c r="G100" s="3"/>
      <c r="H100" s="1711"/>
      <c r="I100" s="1711"/>
    </row>
    <row r="101" spans="2:9">
      <c r="B101" s="3"/>
      <c r="C101" s="3"/>
      <c r="D101" s="3"/>
      <c r="E101" s="3"/>
      <c r="F101" s="3"/>
      <c r="G101" s="3"/>
      <c r="H101" s="3"/>
      <c r="I101" s="3"/>
    </row>
    <row r="102" spans="2:9">
      <c r="B102" s="3"/>
      <c r="C102" s="3"/>
      <c r="D102" s="3"/>
      <c r="E102" s="3"/>
      <c r="F102" s="3"/>
      <c r="G102" s="3"/>
      <c r="H102" s="3"/>
      <c r="I102" s="3"/>
    </row>
    <row r="103" spans="2:9">
      <c r="B103" s="3"/>
      <c r="C103" s="3"/>
      <c r="D103" s="3"/>
      <c r="E103" s="3"/>
      <c r="F103" s="3"/>
      <c r="G103" s="3"/>
      <c r="H103" s="3"/>
      <c r="I103" s="3"/>
    </row>
    <row r="104" spans="2:9">
      <c r="B104" s="3"/>
      <c r="C104" s="3"/>
      <c r="D104" s="3"/>
      <c r="E104" s="3"/>
      <c r="F104" s="3"/>
      <c r="G104" s="3"/>
      <c r="H104" s="3"/>
      <c r="I104" s="3"/>
    </row>
    <row r="105" spans="2:9">
      <c r="B105" s="3"/>
      <c r="C105" s="3"/>
      <c r="D105" s="3"/>
      <c r="E105" s="3"/>
      <c r="F105" s="3"/>
      <c r="G105" s="3"/>
      <c r="H105" s="3"/>
      <c r="I105" s="3"/>
    </row>
    <row r="106" spans="2:9">
      <c r="B106" s="3"/>
      <c r="C106" s="3"/>
      <c r="D106" s="3"/>
      <c r="E106" s="3"/>
      <c r="F106" s="3"/>
      <c r="G106" s="3"/>
      <c r="H106" s="3"/>
      <c r="I106" s="3"/>
    </row>
    <row r="107" spans="2:9">
      <c r="B107" s="3"/>
      <c r="C107" s="3"/>
      <c r="D107" s="3"/>
      <c r="E107" s="3"/>
      <c r="F107" s="3"/>
      <c r="G107" s="3"/>
      <c r="H107" s="3"/>
      <c r="I107" s="3"/>
    </row>
    <row r="108" spans="2:9">
      <c r="B108" s="3"/>
      <c r="C108" s="3"/>
      <c r="D108" s="3"/>
      <c r="E108" s="3"/>
      <c r="F108" s="3"/>
      <c r="G108" s="3"/>
      <c r="H108" s="3"/>
      <c r="I108" s="3"/>
    </row>
    <row r="109" spans="2:9">
      <c r="B109" s="3"/>
      <c r="C109" s="3"/>
      <c r="D109" s="3"/>
      <c r="E109" s="3"/>
      <c r="F109" s="3"/>
      <c r="G109" s="3"/>
      <c r="H109" s="3"/>
      <c r="I109" s="3"/>
    </row>
    <row r="110" spans="2:9">
      <c r="B110" s="3"/>
      <c r="C110" s="3"/>
      <c r="D110" s="3"/>
      <c r="E110" s="3"/>
      <c r="F110" s="3"/>
      <c r="G110" s="3"/>
      <c r="H110" s="3"/>
      <c r="I110" s="3"/>
    </row>
    <row r="111" spans="2:9">
      <c r="B111" s="3"/>
      <c r="C111" s="3"/>
      <c r="D111" s="3"/>
      <c r="E111" s="3"/>
      <c r="F111" s="3"/>
      <c r="G111" s="3"/>
      <c r="H111" s="3"/>
      <c r="I111" s="3"/>
    </row>
    <row r="112" spans="2:9">
      <c r="B112" s="3"/>
      <c r="C112" s="3"/>
      <c r="D112" s="3"/>
      <c r="E112" s="3"/>
      <c r="F112" s="3"/>
      <c r="G112" s="3"/>
      <c r="H112" s="3"/>
      <c r="I112" s="3"/>
    </row>
    <row r="113" spans="2:9">
      <c r="B113" s="3"/>
      <c r="C113" s="3"/>
      <c r="D113" s="3"/>
      <c r="E113" s="3"/>
      <c r="F113" s="3"/>
      <c r="G113" s="3"/>
      <c r="H113" s="3"/>
      <c r="I113" s="3"/>
    </row>
    <row r="114" spans="2:9">
      <c r="B114" s="3"/>
      <c r="C114" s="3"/>
      <c r="D114" s="3"/>
      <c r="E114" s="3"/>
      <c r="F114" s="3"/>
      <c r="G114" s="3"/>
      <c r="H114" s="3"/>
      <c r="I114" s="3"/>
    </row>
    <row r="115" spans="2:9">
      <c r="B115" s="3"/>
      <c r="C115" s="3"/>
      <c r="D115" s="3"/>
      <c r="E115" s="3"/>
      <c r="F115" s="3"/>
      <c r="G115" s="3"/>
      <c r="H115" s="3"/>
      <c r="I115" s="3"/>
    </row>
    <row r="116" spans="2:9">
      <c r="B116" s="3"/>
      <c r="C116" s="3"/>
      <c r="D116" s="3"/>
      <c r="E116" s="3"/>
      <c r="F116" s="3"/>
      <c r="G116" s="3"/>
      <c r="H116" s="3"/>
      <c r="I116" s="3"/>
    </row>
    <row r="117" spans="2:9">
      <c r="B117" s="3"/>
      <c r="C117" s="3"/>
      <c r="D117" s="3"/>
      <c r="E117" s="3"/>
      <c r="F117" s="3"/>
      <c r="G117" s="3"/>
      <c r="H117" s="3"/>
      <c r="I117" s="3"/>
    </row>
    <row r="118" spans="2:9">
      <c r="B118" s="3"/>
      <c r="C118" s="3"/>
      <c r="D118" s="3"/>
      <c r="E118" s="3"/>
      <c r="F118" s="3"/>
      <c r="G118" s="3"/>
      <c r="H118" s="3"/>
      <c r="I118" s="3"/>
    </row>
    <row r="119" spans="2:9">
      <c r="B119" s="3"/>
      <c r="C119" s="3"/>
      <c r="D119" s="3"/>
      <c r="E119" s="3"/>
      <c r="F119" s="3"/>
      <c r="G119" s="3"/>
      <c r="H119" s="3"/>
      <c r="I119" s="3"/>
    </row>
    <row r="120" spans="2:9">
      <c r="B120" s="3"/>
      <c r="C120" s="3"/>
      <c r="D120" s="3"/>
      <c r="E120" s="3"/>
      <c r="F120" s="3"/>
      <c r="G120" s="3"/>
      <c r="H120" s="3"/>
      <c r="I120" s="3"/>
    </row>
    <row r="121" spans="2:9">
      <c r="B121" s="3"/>
      <c r="C121" s="3"/>
      <c r="D121" s="3"/>
      <c r="E121" s="3"/>
      <c r="F121" s="3"/>
      <c r="G121" s="3"/>
      <c r="H121" s="3"/>
      <c r="I121" s="3"/>
    </row>
    <row r="122" spans="2:9">
      <c r="B122" s="3"/>
      <c r="C122" s="3"/>
      <c r="D122" s="3"/>
      <c r="E122" s="3"/>
      <c r="F122" s="3"/>
      <c r="G122" s="3"/>
      <c r="H122" s="3"/>
      <c r="I122" s="3"/>
    </row>
    <row r="123" spans="2:9">
      <c r="B123" s="3"/>
      <c r="C123" s="3"/>
      <c r="D123" s="3"/>
      <c r="E123" s="3"/>
      <c r="F123" s="3"/>
      <c r="G123" s="3"/>
      <c r="H123" s="3"/>
      <c r="I123" s="3"/>
    </row>
    <row r="124" spans="2:9">
      <c r="B124" s="3"/>
      <c r="C124" s="3"/>
      <c r="D124" s="3"/>
      <c r="E124" s="3"/>
      <c r="F124" s="3"/>
      <c r="G124" s="3"/>
      <c r="H124" s="3"/>
      <c r="I124" s="3"/>
    </row>
    <row r="125" spans="2:9">
      <c r="B125" s="3"/>
      <c r="C125" s="3"/>
      <c r="D125" s="3"/>
      <c r="E125" s="3"/>
      <c r="F125" s="3"/>
      <c r="G125" s="3"/>
      <c r="H125" s="3"/>
      <c r="I125" s="3"/>
    </row>
    <row r="126" spans="2:9">
      <c r="B126" s="3"/>
      <c r="C126" s="3"/>
      <c r="D126" s="3"/>
      <c r="E126" s="3"/>
      <c r="F126" s="3"/>
      <c r="G126" s="3"/>
      <c r="H126" s="3"/>
      <c r="I126" s="3"/>
    </row>
    <row r="127" spans="2:9">
      <c r="B127" s="3"/>
      <c r="C127" s="3"/>
      <c r="D127" s="3"/>
      <c r="E127" s="3"/>
      <c r="F127" s="3"/>
      <c r="G127" s="3"/>
      <c r="H127" s="3"/>
      <c r="I127" s="3"/>
    </row>
    <row r="128" spans="2:9">
      <c r="B128" s="3"/>
      <c r="C128" s="3"/>
      <c r="D128" s="3"/>
      <c r="E128" s="3"/>
      <c r="F128" s="3"/>
      <c r="G128" s="3"/>
      <c r="H128" s="3"/>
      <c r="I128" s="3"/>
    </row>
    <row r="129" spans="2:9">
      <c r="B129" s="3"/>
      <c r="C129" s="3"/>
      <c r="D129" s="3"/>
      <c r="E129" s="3"/>
      <c r="F129" s="3"/>
      <c r="G129" s="3"/>
      <c r="H129" s="3"/>
      <c r="I129" s="3"/>
    </row>
    <row r="130" spans="2:9">
      <c r="B130" s="3"/>
      <c r="C130" s="3"/>
      <c r="D130" s="3"/>
      <c r="E130" s="3"/>
      <c r="F130" s="3"/>
      <c r="G130" s="3"/>
      <c r="H130" s="3"/>
      <c r="I130" s="3"/>
    </row>
    <row r="131" spans="2:9">
      <c r="B131" s="3"/>
      <c r="C131" s="3"/>
      <c r="D131" s="3"/>
      <c r="E131" s="3"/>
      <c r="F131" s="3"/>
      <c r="G131" s="3"/>
      <c r="H131" s="3"/>
      <c r="I131" s="3"/>
    </row>
    <row r="132" spans="2:9">
      <c r="B132" s="3"/>
      <c r="C132" s="3"/>
      <c r="D132" s="3"/>
      <c r="E132" s="3"/>
      <c r="F132" s="3"/>
      <c r="G132" s="3"/>
      <c r="H132" s="3"/>
      <c r="I132" s="3"/>
    </row>
    <row r="133" spans="2:9">
      <c r="B133" s="3"/>
      <c r="C133" s="3"/>
      <c r="D133" s="3"/>
      <c r="E133" s="3"/>
      <c r="F133" s="3"/>
      <c r="G133" s="3"/>
      <c r="H133" s="3"/>
      <c r="I133" s="3"/>
    </row>
    <row r="134" spans="2:9">
      <c r="B134" s="3"/>
      <c r="C134" s="3"/>
      <c r="D134" s="3"/>
      <c r="E134" s="3"/>
      <c r="F134" s="3"/>
      <c r="G134" s="3"/>
      <c r="H134" s="3"/>
      <c r="I134" s="3"/>
    </row>
    <row r="135" spans="2:9">
      <c r="B135" s="3"/>
      <c r="C135" s="3"/>
      <c r="D135" s="3"/>
      <c r="E135" s="3"/>
      <c r="F135" s="3"/>
      <c r="G135" s="3"/>
      <c r="H135" s="3"/>
      <c r="I135" s="3"/>
    </row>
    <row r="136" spans="2:9">
      <c r="B136" s="3"/>
      <c r="C136" s="3"/>
      <c r="D136" s="3"/>
      <c r="E136" s="3"/>
      <c r="F136" s="3"/>
      <c r="G136" s="3"/>
      <c r="H136" s="3"/>
      <c r="I136" s="3"/>
    </row>
    <row r="137" spans="2:9">
      <c r="B137" s="3"/>
      <c r="C137" s="3"/>
      <c r="D137" s="3"/>
      <c r="E137" s="3"/>
      <c r="F137" s="3"/>
      <c r="G137" s="3"/>
      <c r="H137" s="3"/>
      <c r="I137" s="3"/>
    </row>
    <row r="138" spans="2:9">
      <c r="B138" s="3"/>
      <c r="C138" s="3"/>
      <c r="D138" s="3"/>
      <c r="E138" s="3"/>
      <c r="F138" s="3"/>
      <c r="G138" s="3"/>
      <c r="H138" s="3"/>
      <c r="I138" s="3"/>
    </row>
    <row r="139" spans="2:9">
      <c r="B139" s="3"/>
      <c r="C139" s="3"/>
      <c r="D139" s="3"/>
      <c r="E139" s="3"/>
      <c r="F139" s="3"/>
      <c r="G139" s="3"/>
      <c r="H139" s="3"/>
      <c r="I139" s="3"/>
    </row>
    <row r="140" spans="2:9">
      <c r="B140" s="3"/>
      <c r="C140" s="3"/>
      <c r="D140" s="3"/>
      <c r="E140" s="3"/>
      <c r="F140" s="3"/>
      <c r="G140" s="3"/>
      <c r="H140" s="3"/>
      <c r="I140" s="3"/>
    </row>
    <row r="141" spans="2:9">
      <c r="B141" s="3"/>
      <c r="C141" s="3"/>
      <c r="D141" s="3"/>
      <c r="E141" s="3"/>
      <c r="F141" s="3"/>
      <c r="G141" s="3"/>
      <c r="H141" s="3"/>
      <c r="I141" s="3"/>
    </row>
    <row r="142" spans="2:9">
      <c r="B142" s="3"/>
      <c r="C142" s="3"/>
      <c r="D142" s="3"/>
      <c r="E142" s="3"/>
      <c r="F142" s="3"/>
      <c r="G142" s="3"/>
      <c r="H142" s="3"/>
      <c r="I142" s="3"/>
    </row>
    <row r="143" spans="2:9">
      <c r="B143" s="3"/>
      <c r="C143" s="3"/>
      <c r="D143" s="3"/>
      <c r="E143" s="3"/>
      <c r="F143" s="3"/>
      <c r="G143" s="3"/>
      <c r="H143" s="3"/>
      <c r="I143" s="3"/>
    </row>
    <row r="144" spans="2:9">
      <c r="B144" s="3"/>
      <c r="C144" s="3"/>
      <c r="D144" s="3"/>
      <c r="E144" s="3"/>
      <c r="F144" s="3"/>
      <c r="G144" s="3"/>
      <c r="H144" s="3"/>
      <c r="I144" s="3"/>
    </row>
    <row r="145" spans="2:9">
      <c r="B145" s="3"/>
      <c r="C145" s="3"/>
      <c r="D145" s="3"/>
      <c r="E145" s="3"/>
      <c r="F145" s="3"/>
      <c r="G145" s="3"/>
      <c r="H145" s="3"/>
      <c r="I145" s="3"/>
    </row>
    <row r="146" spans="2:9">
      <c r="B146" s="3"/>
      <c r="C146" s="3"/>
      <c r="D146" s="3"/>
      <c r="E146" s="3"/>
      <c r="F146" s="3"/>
      <c r="G146" s="3"/>
      <c r="H146" s="3"/>
      <c r="I146" s="3"/>
    </row>
    <row r="147" spans="2:9">
      <c r="B147" s="3"/>
      <c r="C147" s="3"/>
      <c r="D147" s="3"/>
      <c r="E147" s="3"/>
      <c r="F147" s="3"/>
      <c r="G147" s="3"/>
      <c r="H147" s="3"/>
      <c r="I147" s="3"/>
    </row>
    <row r="148" spans="2:9">
      <c r="B148" s="3"/>
      <c r="C148" s="3"/>
      <c r="D148" s="3"/>
      <c r="E148" s="3"/>
      <c r="F148" s="3"/>
      <c r="G148" s="3"/>
      <c r="H148" s="3"/>
      <c r="I148" s="3"/>
    </row>
    <row r="149" spans="2:9">
      <c r="B149" s="3"/>
      <c r="C149" s="3"/>
      <c r="D149" s="3"/>
      <c r="E149" s="3"/>
      <c r="F149" s="3"/>
      <c r="G149" s="3"/>
      <c r="H149" s="3"/>
      <c r="I149" s="3"/>
    </row>
    <row r="150" spans="2:9">
      <c r="B150" s="3"/>
      <c r="C150" s="3"/>
      <c r="D150" s="3"/>
      <c r="E150" s="3"/>
      <c r="F150" s="3"/>
      <c r="G150" s="3"/>
      <c r="H150" s="3"/>
      <c r="I150" s="3"/>
    </row>
    <row r="151" spans="2:9">
      <c r="B151" s="3"/>
      <c r="C151" s="3"/>
      <c r="D151" s="3"/>
      <c r="E151" s="3"/>
      <c r="F151" s="3"/>
      <c r="G151" s="3"/>
      <c r="H151" s="3"/>
      <c r="I151" s="3"/>
    </row>
    <row r="152" spans="2:9">
      <c r="B152" s="3"/>
      <c r="C152" s="3"/>
      <c r="D152" s="3"/>
      <c r="E152" s="3"/>
      <c r="F152" s="3"/>
      <c r="G152" s="3"/>
      <c r="H152" s="3"/>
      <c r="I152" s="3"/>
    </row>
    <row r="153" spans="2:9">
      <c r="B153" s="3"/>
      <c r="C153" s="3"/>
      <c r="D153" s="3"/>
      <c r="E153" s="3"/>
      <c r="F153" s="3"/>
      <c r="G153" s="3"/>
      <c r="H153" s="3"/>
      <c r="I153" s="3"/>
    </row>
    <row r="154" spans="2:9">
      <c r="B154" s="3"/>
      <c r="C154" s="3"/>
      <c r="D154" s="3"/>
      <c r="E154" s="3"/>
      <c r="F154" s="3"/>
      <c r="G154" s="3"/>
      <c r="H154" s="3"/>
      <c r="I154" s="3"/>
    </row>
    <row r="155" spans="2:9">
      <c r="B155" s="3"/>
      <c r="C155" s="3"/>
      <c r="D155" s="3"/>
      <c r="E155" s="3"/>
      <c r="F155" s="3"/>
      <c r="G155" s="3"/>
      <c r="H155" s="3"/>
      <c r="I155" s="3"/>
    </row>
    <row r="156" spans="2:9">
      <c r="B156" s="3"/>
      <c r="C156" s="3"/>
      <c r="D156" s="3"/>
      <c r="E156" s="3"/>
      <c r="F156" s="3"/>
      <c r="G156" s="3"/>
      <c r="H156" s="3"/>
      <c r="I156" s="3"/>
    </row>
    <row r="157" spans="2:9">
      <c r="B157" s="3"/>
      <c r="C157" s="3"/>
      <c r="D157" s="3"/>
      <c r="E157" s="3"/>
      <c r="F157" s="3"/>
      <c r="G157" s="3"/>
      <c r="H157" s="3"/>
      <c r="I157" s="3"/>
    </row>
    <row r="158" spans="2:9">
      <c r="B158" s="3"/>
      <c r="C158" s="3"/>
      <c r="D158" s="3"/>
      <c r="E158" s="3"/>
      <c r="F158" s="3"/>
      <c r="G158" s="3"/>
      <c r="H158" s="3"/>
      <c r="I158" s="3"/>
    </row>
    <row r="159" spans="2:9">
      <c r="B159" s="3"/>
      <c r="C159" s="3"/>
      <c r="D159" s="3"/>
      <c r="E159" s="3"/>
      <c r="F159" s="3"/>
      <c r="G159" s="3"/>
      <c r="H159" s="3"/>
      <c r="I159" s="3"/>
    </row>
    <row r="160" spans="2:9">
      <c r="B160" s="3"/>
      <c r="C160" s="3"/>
      <c r="D160" s="3"/>
      <c r="E160" s="3"/>
      <c r="F160" s="3"/>
      <c r="G160" s="3"/>
      <c r="H160" s="3"/>
      <c r="I160" s="3"/>
    </row>
    <row r="161" spans="2:9">
      <c r="B161" s="3"/>
      <c r="C161" s="3"/>
      <c r="D161" s="3"/>
      <c r="E161" s="3"/>
      <c r="F161" s="3"/>
      <c r="G161" s="3"/>
      <c r="H161" s="3"/>
      <c r="I161" s="3"/>
    </row>
    <row r="162" spans="2:9">
      <c r="B162" s="3"/>
      <c r="C162" s="3"/>
      <c r="D162" s="3"/>
      <c r="E162" s="3"/>
      <c r="F162" s="3"/>
      <c r="G162" s="3"/>
      <c r="H162" s="3"/>
      <c r="I162" s="3"/>
    </row>
    <row r="163" spans="2:9">
      <c r="B163" s="3"/>
      <c r="C163" s="3"/>
      <c r="D163" s="3"/>
      <c r="E163" s="3"/>
      <c r="F163" s="3"/>
      <c r="G163" s="3"/>
      <c r="H163" s="3"/>
      <c r="I163" s="3"/>
    </row>
    <row r="164" spans="2:9">
      <c r="B164" s="3"/>
      <c r="C164" s="3"/>
      <c r="D164" s="3"/>
      <c r="E164" s="3"/>
      <c r="F164" s="3"/>
      <c r="G164" s="3"/>
      <c r="H164" s="3"/>
      <c r="I164" s="3"/>
    </row>
    <row r="165" spans="2:9">
      <c r="B165" s="3"/>
      <c r="C165" s="3"/>
      <c r="D165" s="3"/>
      <c r="E165" s="3"/>
      <c r="F165" s="3"/>
      <c r="G165" s="3"/>
      <c r="H165" s="3"/>
      <c r="I165" s="3"/>
    </row>
    <row r="166" spans="2:9">
      <c r="B166" s="3"/>
      <c r="C166" s="3"/>
      <c r="D166" s="3"/>
      <c r="E166" s="3"/>
      <c r="F166" s="3"/>
      <c r="G166" s="3"/>
      <c r="H166" s="3"/>
      <c r="I166" s="3"/>
    </row>
    <row r="167" spans="2:9">
      <c r="B167" s="3"/>
      <c r="C167" s="3"/>
      <c r="D167" s="3"/>
      <c r="E167" s="3"/>
      <c r="F167" s="3"/>
      <c r="G167" s="3"/>
      <c r="H167" s="3"/>
      <c r="I167" s="3"/>
    </row>
    <row r="168" spans="2:9">
      <c r="B168" s="3"/>
      <c r="C168" s="3"/>
      <c r="D168" s="3"/>
      <c r="E168" s="3"/>
      <c r="F168" s="3"/>
      <c r="G168" s="3"/>
      <c r="H168" s="3"/>
      <c r="I168" s="3"/>
    </row>
    <row r="169" spans="2:9">
      <c r="B169" s="3"/>
      <c r="C169" s="3"/>
      <c r="D169" s="3"/>
      <c r="E169" s="3"/>
      <c r="F169" s="3"/>
      <c r="G169" s="3"/>
      <c r="H169" s="3"/>
      <c r="I169" s="3"/>
    </row>
    <row r="170" spans="2:9">
      <c r="B170" s="3"/>
      <c r="C170" s="3"/>
      <c r="D170" s="3"/>
      <c r="E170" s="3"/>
      <c r="F170" s="3"/>
      <c r="G170" s="3"/>
      <c r="H170" s="3"/>
      <c r="I170" s="3"/>
    </row>
    <row r="171" spans="2:9">
      <c r="B171" s="3"/>
      <c r="C171" s="3"/>
      <c r="D171" s="3"/>
      <c r="E171" s="3"/>
      <c r="F171" s="3"/>
      <c r="G171" s="3"/>
      <c r="H171" s="3"/>
      <c r="I171" s="3"/>
    </row>
    <row r="172" spans="2:9">
      <c r="B172" s="3"/>
      <c r="C172" s="3"/>
      <c r="D172" s="3"/>
      <c r="E172" s="3"/>
      <c r="F172" s="3"/>
      <c r="G172" s="3"/>
      <c r="H172" s="3"/>
      <c r="I172" s="3"/>
    </row>
    <row r="173" spans="2:9">
      <c r="B173" s="3"/>
      <c r="C173" s="3"/>
      <c r="D173" s="3"/>
      <c r="E173" s="3"/>
      <c r="F173" s="3"/>
      <c r="G173" s="3"/>
      <c r="H173" s="3"/>
      <c r="I173" s="3"/>
    </row>
    <row r="174" spans="2:9">
      <c r="B174" s="3"/>
      <c r="C174" s="3"/>
      <c r="D174" s="3"/>
      <c r="E174" s="3"/>
      <c r="F174" s="3"/>
      <c r="G174" s="3"/>
      <c r="H174" s="3"/>
      <c r="I174" s="3"/>
    </row>
    <row r="175" spans="2:9">
      <c r="B175" s="3"/>
      <c r="C175" s="3"/>
      <c r="D175" s="3"/>
      <c r="E175" s="3"/>
      <c r="F175" s="3"/>
      <c r="G175" s="3"/>
      <c r="H175" s="3"/>
      <c r="I175" s="3"/>
    </row>
    <row r="176" spans="2:9">
      <c r="B176" s="3"/>
      <c r="C176" s="3"/>
      <c r="D176" s="3"/>
      <c r="E176" s="3"/>
      <c r="F176" s="3"/>
      <c r="G176" s="3"/>
      <c r="H176" s="3"/>
      <c r="I176" s="3"/>
    </row>
    <row r="177" spans="2:9">
      <c r="B177" s="3"/>
      <c r="C177" s="3"/>
      <c r="D177" s="3"/>
      <c r="E177" s="3"/>
      <c r="F177" s="3"/>
      <c r="G177" s="3"/>
      <c r="H177" s="3"/>
      <c r="I177" s="3"/>
    </row>
    <row r="178" spans="2:9">
      <c r="B178" s="3"/>
      <c r="C178" s="3"/>
      <c r="D178" s="3"/>
      <c r="E178" s="3"/>
      <c r="F178" s="3"/>
      <c r="G178" s="3"/>
      <c r="H178" s="3"/>
      <c r="I178" s="3"/>
    </row>
    <row r="179" spans="2:9">
      <c r="B179" s="3"/>
      <c r="C179" s="3"/>
      <c r="D179" s="3"/>
      <c r="E179" s="3"/>
      <c r="F179" s="3"/>
      <c r="G179" s="3"/>
      <c r="H179" s="3"/>
      <c r="I179" s="3"/>
    </row>
    <row r="180" spans="2:9">
      <c r="B180" s="3"/>
      <c r="C180" s="3"/>
      <c r="D180" s="3"/>
      <c r="E180" s="3"/>
      <c r="F180" s="3"/>
      <c r="G180" s="3"/>
      <c r="H180" s="3"/>
      <c r="I180" s="3"/>
    </row>
    <row r="181" spans="2:9">
      <c r="B181" s="3"/>
      <c r="C181" s="3"/>
      <c r="D181" s="3"/>
      <c r="E181" s="3"/>
      <c r="F181" s="3"/>
      <c r="G181" s="3"/>
      <c r="H181" s="3"/>
      <c r="I181" s="3"/>
    </row>
    <row r="182" spans="2:9">
      <c r="B182" s="3"/>
      <c r="C182" s="3"/>
      <c r="D182" s="3"/>
      <c r="E182" s="3"/>
      <c r="F182" s="3"/>
      <c r="G182" s="3"/>
      <c r="H182" s="3"/>
      <c r="I182" s="3"/>
    </row>
    <row r="183" spans="2:9">
      <c r="B183" s="3"/>
      <c r="C183" s="3"/>
      <c r="D183" s="3"/>
      <c r="E183" s="3"/>
      <c r="F183" s="3"/>
      <c r="G183" s="3"/>
      <c r="H183" s="3"/>
      <c r="I183" s="3"/>
    </row>
    <row r="184" spans="2:9">
      <c r="B184" s="3"/>
      <c r="C184" s="3"/>
      <c r="D184" s="3"/>
      <c r="E184" s="3"/>
      <c r="F184" s="3"/>
      <c r="G184" s="3"/>
      <c r="H184" s="3"/>
      <c r="I184" s="3"/>
    </row>
    <row r="185" spans="2:9">
      <c r="B185" s="3"/>
      <c r="C185" s="3"/>
      <c r="D185" s="3"/>
      <c r="E185" s="3"/>
      <c r="F185" s="3"/>
      <c r="G185" s="3"/>
      <c r="H185" s="3"/>
      <c r="I185" s="3"/>
    </row>
    <row r="186" spans="2:9">
      <c r="B186" s="3"/>
      <c r="C186" s="3"/>
      <c r="D186" s="3"/>
      <c r="E186" s="3"/>
      <c r="F186" s="3"/>
      <c r="G186" s="3"/>
      <c r="H186" s="3"/>
      <c r="I186" s="3"/>
    </row>
    <row r="187" spans="2:9">
      <c r="B187" s="3"/>
      <c r="C187" s="3"/>
      <c r="D187" s="3"/>
      <c r="E187" s="3"/>
      <c r="F187" s="3"/>
      <c r="G187" s="3"/>
      <c r="H187" s="3"/>
      <c r="I187" s="3"/>
    </row>
    <row r="188" spans="2:9">
      <c r="B188" s="3"/>
      <c r="C188" s="3"/>
      <c r="D188" s="3"/>
      <c r="E188" s="3"/>
      <c r="F188" s="3"/>
      <c r="G188" s="3"/>
      <c r="H188" s="3"/>
      <c r="I188" s="3"/>
    </row>
    <row r="189" spans="2:9">
      <c r="B189" s="3"/>
      <c r="C189" s="3"/>
      <c r="D189" s="3"/>
      <c r="E189" s="3"/>
      <c r="F189" s="3"/>
      <c r="G189" s="3"/>
      <c r="H189" s="3"/>
      <c r="I189" s="3"/>
    </row>
    <row r="190" spans="2:9">
      <c r="B190" s="3"/>
      <c r="C190" s="3"/>
      <c r="D190" s="3"/>
      <c r="E190" s="3"/>
      <c r="F190" s="3"/>
      <c r="G190" s="3"/>
      <c r="H190" s="3"/>
      <c r="I190" s="3"/>
    </row>
    <row r="191" spans="2:9">
      <c r="B191" s="3"/>
      <c r="C191" s="3"/>
      <c r="D191" s="3"/>
      <c r="E191" s="3"/>
      <c r="F191" s="3"/>
      <c r="G191" s="3"/>
      <c r="H191" s="3"/>
      <c r="I191" s="3"/>
    </row>
    <row r="192" spans="2:9">
      <c r="B192" s="3"/>
      <c r="C192" s="3"/>
      <c r="D192" s="3"/>
      <c r="E192" s="3"/>
      <c r="F192" s="3"/>
      <c r="G192" s="3"/>
      <c r="H192" s="3"/>
      <c r="I192" s="3"/>
    </row>
    <row r="193" spans="2:9">
      <c r="B193" s="3"/>
      <c r="C193" s="3"/>
      <c r="D193" s="3"/>
      <c r="E193" s="3"/>
      <c r="F193" s="3"/>
      <c r="G193" s="3"/>
      <c r="H193" s="3"/>
      <c r="I193" s="3"/>
    </row>
    <row r="194" spans="2:9">
      <c r="B194" s="3"/>
      <c r="C194" s="3"/>
      <c r="D194" s="3"/>
      <c r="E194" s="3"/>
      <c r="F194" s="3"/>
      <c r="G194" s="3"/>
      <c r="H194" s="3"/>
      <c r="I194" s="3"/>
    </row>
    <row r="195" spans="2:9">
      <c r="B195" s="3"/>
      <c r="C195" s="3"/>
      <c r="D195" s="3"/>
      <c r="E195" s="3"/>
      <c r="F195" s="3"/>
      <c r="G195" s="3"/>
      <c r="H195" s="3"/>
      <c r="I195" s="3"/>
    </row>
    <row r="196" spans="2:9">
      <c r="B196" s="3"/>
      <c r="C196" s="3"/>
      <c r="D196" s="3"/>
      <c r="E196" s="3"/>
      <c r="F196" s="3"/>
      <c r="G196" s="3"/>
      <c r="H196" s="3"/>
      <c r="I196" s="3"/>
    </row>
    <row r="197" spans="2:9">
      <c r="B197" s="3"/>
      <c r="C197" s="3"/>
      <c r="D197" s="3"/>
      <c r="E197" s="3"/>
      <c r="F197" s="3"/>
      <c r="G197" s="3"/>
      <c r="H197" s="3"/>
      <c r="I197" s="3"/>
    </row>
    <row r="198" spans="2:9">
      <c r="B198" s="3"/>
      <c r="C198" s="3"/>
      <c r="D198" s="3"/>
      <c r="E198" s="3"/>
      <c r="F198" s="3"/>
      <c r="G198" s="3"/>
      <c r="H198" s="3"/>
      <c r="I198" s="3"/>
    </row>
    <row r="199" spans="2:9">
      <c r="B199" s="3"/>
      <c r="C199" s="3"/>
      <c r="D199" s="3"/>
      <c r="E199" s="3"/>
      <c r="F199" s="3"/>
      <c r="G199" s="3"/>
      <c r="H199" s="3"/>
      <c r="I199" s="3"/>
    </row>
    <row r="200" spans="2:9">
      <c r="B200" s="3"/>
      <c r="C200" s="3"/>
      <c r="D200" s="3"/>
      <c r="E200" s="3"/>
      <c r="F200" s="3"/>
      <c r="G200" s="3"/>
      <c r="H200" s="3"/>
      <c r="I200" s="3"/>
    </row>
    <row r="201" spans="2:9">
      <c r="B201" s="3"/>
      <c r="C201" s="3"/>
      <c r="D201" s="3"/>
      <c r="E201" s="3"/>
      <c r="F201" s="3"/>
      <c r="G201" s="3"/>
      <c r="H201" s="3"/>
      <c r="I201" s="3"/>
    </row>
    <row r="202" spans="2:9">
      <c r="B202" s="3"/>
      <c r="C202" s="3"/>
      <c r="D202" s="3"/>
      <c r="E202" s="3"/>
      <c r="F202" s="3"/>
      <c r="G202" s="3"/>
      <c r="H202" s="3"/>
      <c r="I202" s="3"/>
    </row>
    <row r="203" spans="2:9">
      <c r="B203" s="3"/>
      <c r="C203" s="3"/>
      <c r="D203" s="3"/>
      <c r="E203" s="3"/>
      <c r="F203" s="3"/>
      <c r="G203" s="3"/>
      <c r="H203" s="3"/>
      <c r="I203" s="3"/>
    </row>
    <row r="204" spans="2:9">
      <c r="B204" s="3"/>
      <c r="C204" s="3"/>
      <c r="D204" s="3"/>
      <c r="E204" s="3"/>
      <c r="F204" s="3"/>
      <c r="G204" s="3"/>
      <c r="H204" s="3"/>
      <c r="I204" s="3"/>
    </row>
    <row r="205" spans="2:9">
      <c r="B205" s="3"/>
      <c r="C205" s="3"/>
      <c r="D205" s="3"/>
      <c r="E205" s="3"/>
      <c r="F205" s="3"/>
      <c r="G205" s="3"/>
      <c r="H205" s="3"/>
      <c r="I205" s="3"/>
    </row>
    <row r="206" spans="2:9">
      <c r="B206" s="3"/>
      <c r="C206" s="3"/>
      <c r="D206" s="3"/>
      <c r="E206" s="3"/>
      <c r="F206" s="3"/>
      <c r="G206" s="3"/>
      <c r="H206" s="3"/>
      <c r="I206" s="3"/>
    </row>
    <row r="207" spans="2:9">
      <c r="B207" s="3"/>
      <c r="C207" s="3"/>
      <c r="D207" s="3"/>
      <c r="E207" s="3"/>
      <c r="F207" s="3"/>
      <c r="G207" s="3"/>
      <c r="H207" s="3"/>
      <c r="I207" s="3"/>
    </row>
    <row r="208" spans="2:9">
      <c r="B208" s="3"/>
      <c r="C208" s="3"/>
      <c r="D208" s="3"/>
      <c r="E208" s="3"/>
      <c r="F208" s="3"/>
      <c r="G208" s="3"/>
      <c r="H208" s="3"/>
      <c r="I208" s="3"/>
    </row>
    <row r="209" spans="2:9">
      <c r="B209" s="3"/>
      <c r="C209" s="3"/>
      <c r="D209" s="3"/>
      <c r="E209" s="3"/>
      <c r="F209" s="3"/>
      <c r="G209" s="3"/>
      <c r="H209" s="3"/>
      <c r="I209" s="3"/>
    </row>
    <row r="210" spans="2:9">
      <c r="B210" s="3"/>
      <c r="C210" s="3"/>
      <c r="D210" s="3"/>
      <c r="E210" s="3"/>
      <c r="F210" s="3"/>
      <c r="G210" s="3"/>
      <c r="H210" s="3"/>
      <c r="I210" s="3"/>
    </row>
    <row r="211" spans="2:9">
      <c r="B211" s="3"/>
      <c r="C211" s="3"/>
      <c r="D211" s="3"/>
      <c r="E211" s="3"/>
      <c r="F211" s="3"/>
      <c r="G211" s="3"/>
      <c r="H211" s="3"/>
      <c r="I211" s="3"/>
    </row>
    <row r="212" spans="2:9">
      <c r="B212" s="3"/>
      <c r="C212" s="3"/>
      <c r="D212" s="3"/>
      <c r="E212" s="3"/>
      <c r="F212" s="3"/>
      <c r="G212" s="3"/>
      <c r="H212" s="3"/>
      <c r="I212" s="3"/>
    </row>
    <row r="213" spans="2:9">
      <c r="B213" s="3"/>
      <c r="C213" s="3"/>
      <c r="D213" s="3"/>
      <c r="E213" s="3"/>
      <c r="F213" s="3"/>
      <c r="G213" s="3"/>
      <c r="H213" s="3"/>
      <c r="I213" s="3"/>
    </row>
    <row r="214" spans="2:9">
      <c r="B214" s="3"/>
      <c r="C214" s="3"/>
      <c r="D214" s="3"/>
      <c r="E214" s="3"/>
      <c r="F214" s="3"/>
      <c r="G214" s="3"/>
      <c r="H214" s="3"/>
      <c r="I214" s="3"/>
    </row>
    <row r="215" spans="2:9">
      <c r="B215" s="3"/>
      <c r="C215" s="3"/>
      <c r="D215" s="3"/>
      <c r="E215" s="3"/>
      <c r="F215" s="3"/>
      <c r="G215" s="3"/>
      <c r="H215" s="3"/>
      <c r="I215" s="3"/>
    </row>
    <row r="216" spans="2:9">
      <c r="B216" s="3"/>
      <c r="C216" s="3"/>
      <c r="D216" s="3"/>
      <c r="E216" s="3"/>
      <c r="F216" s="3"/>
      <c r="G216" s="3"/>
      <c r="H216" s="3"/>
      <c r="I216" s="3"/>
    </row>
    <row r="217" spans="2:9">
      <c r="B217" s="3"/>
      <c r="C217" s="3"/>
      <c r="D217" s="3"/>
      <c r="E217" s="3"/>
      <c r="F217" s="3"/>
      <c r="G217" s="3"/>
      <c r="H217" s="3"/>
      <c r="I217" s="3"/>
    </row>
    <row r="218" spans="2:9">
      <c r="B218" s="3"/>
      <c r="C218" s="3"/>
      <c r="D218" s="3"/>
      <c r="E218" s="3"/>
      <c r="F218" s="3"/>
      <c r="G218" s="3"/>
      <c r="H218" s="3"/>
      <c r="I218" s="3"/>
    </row>
    <row r="219" spans="2:9">
      <c r="B219" s="3"/>
      <c r="C219" s="3"/>
      <c r="D219" s="3"/>
      <c r="E219" s="3"/>
      <c r="F219" s="3"/>
      <c r="G219" s="3"/>
      <c r="H219" s="3"/>
      <c r="I219" s="3"/>
    </row>
    <row r="220" spans="2:9">
      <c r="B220" s="3"/>
      <c r="C220" s="3"/>
      <c r="D220" s="3"/>
      <c r="E220" s="3"/>
      <c r="F220" s="3"/>
      <c r="G220" s="3"/>
      <c r="H220" s="3"/>
      <c r="I220" s="3"/>
    </row>
    <row r="221" spans="2:9">
      <c r="B221" s="3"/>
      <c r="C221" s="3"/>
      <c r="D221" s="3"/>
      <c r="E221" s="3"/>
      <c r="F221" s="3"/>
      <c r="G221" s="3"/>
      <c r="H221" s="3"/>
      <c r="I221" s="3"/>
    </row>
    <row r="222" spans="2:9">
      <c r="B222" s="3"/>
      <c r="C222" s="3"/>
      <c r="D222" s="3"/>
      <c r="E222" s="3"/>
      <c r="F222" s="3"/>
      <c r="G222" s="3"/>
      <c r="H222" s="3"/>
      <c r="I222" s="3"/>
    </row>
    <row r="223" spans="2:9">
      <c r="B223" s="3"/>
      <c r="C223" s="3"/>
      <c r="D223" s="3"/>
      <c r="E223" s="3"/>
      <c r="F223" s="3"/>
      <c r="G223" s="3"/>
      <c r="H223" s="3"/>
      <c r="I223" s="3"/>
    </row>
    <row r="224" spans="2:9">
      <c r="B224" s="3"/>
      <c r="C224" s="3"/>
      <c r="D224" s="3"/>
      <c r="E224" s="3"/>
      <c r="F224" s="3"/>
      <c r="G224" s="3"/>
      <c r="H224" s="3"/>
      <c r="I224" s="3"/>
    </row>
    <row r="225" spans="2:9">
      <c r="B225" s="3"/>
      <c r="C225" s="3"/>
      <c r="D225" s="3"/>
      <c r="E225" s="3"/>
      <c r="F225" s="3"/>
      <c r="G225" s="3"/>
      <c r="H225" s="3"/>
      <c r="I225" s="3"/>
    </row>
    <row r="226" spans="2:9">
      <c r="B226" s="3"/>
      <c r="C226" s="3"/>
      <c r="D226" s="3"/>
      <c r="E226" s="3"/>
      <c r="F226" s="3"/>
      <c r="G226" s="3"/>
      <c r="H226" s="3"/>
      <c r="I226" s="3"/>
    </row>
    <row r="227" spans="2:9">
      <c r="B227" s="3"/>
      <c r="C227" s="3"/>
      <c r="D227" s="3"/>
      <c r="E227" s="3"/>
      <c r="F227" s="3"/>
      <c r="G227" s="3"/>
      <c r="H227" s="3"/>
      <c r="I227" s="3"/>
    </row>
    <row r="228" spans="2:9">
      <c r="B228" s="3"/>
      <c r="C228" s="3"/>
      <c r="D228" s="3"/>
      <c r="E228" s="3"/>
      <c r="F228" s="3"/>
      <c r="G228" s="3"/>
      <c r="H228" s="3"/>
      <c r="I228" s="3"/>
    </row>
    <row r="229" spans="2:9">
      <c r="B229" s="3"/>
      <c r="C229" s="3"/>
      <c r="D229" s="3"/>
      <c r="E229" s="3"/>
      <c r="F229" s="3"/>
      <c r="G229" s="3"/>
      <c r="H229" s="3"/>
      <c r="I229" s="3"/>
    </row>
    <row r="230" spans="2:9">
      <c r="B230" s="3"/>
      <c r="C230" s="3"/>
      <c r="D230" s="3"/>
      <c r="E230" s="3"/>
      <c r="F230" s="3"/>
      <c r="G230" s="3"/>
      <c r="H230" s="3"/>
      <c r="I230" s="3"/>
    </row>
    <row r="231" spans="2:9">
      <c r="B231" s="3"/>
      <c r="C231" s="3"/>
      <c r="D231" s="3"/>
      <c r="E231" s="3"/>
      <c r="F231" s="3"/>
      <c r="G231" s="3"/>
      <c r="H231" s="3"/>
      <c r="I231" s="3"/>
    </row>
    <row r="232" spans="2:9">
      <c r="B232" s="3"/>
      <c r="C232" s="3"/>
      <c r="D232" s="3"/>
      <c r="E232" s="3"/>
      <c r="F232" s="3"/>
      <c r="G232" s="3"/>
      <c r="H232" s="3"/>
      <c r="I232" s="3"/>
    </row>
    <row r="233" spans="2:9">
      <c r="B233" s="3"/>
      <c r="C233" s="3"/>
      <c r="D233" s="3"/>
      <c r="E233" s="3"/>
      <c r="F233" s="3"/>
      <c r="G233" s="3"/>
      <c r="H233" s="3"/>
      <c r="I233" s="3"/>
    </row>
    <row r="234" spans="2:9">
      <c r="B234" s="3"/>
      <c r="C234" s="3"/>
      <c r="D234" s="3"/>
      <c r="E234" s="3"/>
      <c r="F234" s="3"/>
      <c r="G234" s="3"/>
      <c r="H234" s="3"/>
      <c r="I234" s="3"/>
    </row>
    <row r="235" spans="2:9">
      <c r="B235" s="3"/>
      <c r="C235" s="3"/>
      <c r="D235" s="3"/>
      <c r="E235" s="3"/>
      <c r="F235" s="3"/>
      <c r="G235" s="3"/>
      <c r="H235" s="3"/>
      <c r="I235" s="3"/>
    </row>
    <row r="236" spans="2:9">
      <c r="B236" s="3"/>
      <c r="C236" s="3"/>
      <c r="D236" s="3"/>
      <c r="E236" s="3"/>
      <c r="F236" s="3"/>
      <c r="G236" s="3"/>
      <c r="H236" s="3"/>
      <c r="I236" s="3"/>
    </row>
    <row r="237" spans="2:9">
      <c r="B237" s="3"/>
      <c r="C237" s="3"/>
      <c r="D237" s="3"/>
      <c r="E237" s="3"/>
      <c r="F237" s="3"/>
      <c r="G237" s="3"/>
      <c r="H237" s="3"/>
      <c r="I237" s="3"/>
    </row>
    <row r="238" spans="2:9">
      <c r="B238" s="3"/>
      <c r="C238" s="3"/>
      <c r="D238" s="3"/>
      <c r="E238" s="3"/>
      <c r="F238" s="3"/>
      <c r="G238" s="3"/>
      <c r="H238" s="3"/>
      <c r="I238" s="3"/>
    </row>
    <row r="239" spans="2:9">
      <c r="B239" s="3"/>
      <c r="C239" s="3"/>
      <c r="D239" s="3"/>
      <c r="E239" s="3"/>
      <c r="F239" s="3"/>
      <c r="G239" s="3"/>
      <c r="H239" s="3"/>
      <c r="I239" s="3"/>
    </row>
    <row r="240" spans="2:9">
      <c r="B240" s="3"/>
      <c r="C240" s="3"/>
      <c r="D240" s="3"/>
      <c r="E240" s="3"/>
      <c r="F240" s="3"/>
      <c r="G240" s="3"/>
      <c r="H240" s="3"/>
      <c r="I240" s="3"/>
    </row>
    <row r="241" spans="2:9">
      <c r="B241" s="3"/>
      <c r="C241" s="3"/>
      <c r="D241" s="3"/>
      <c r="E241" s="3"/>
      <c r="F241" s="3"/>
      <c r="G241" s="3"/>
      <c r="H241" s="3"/>
      <c r="I241" s="3"/>
    </row>
    <row r="242" spans="2:9">
      <c r="B242" s="3"/>
      <c r="C242" s="3"/>
      <c r="D242" s="3"/>
      <c r="E242" s="3"/>
      <c r="F242" s="3"/>
      <c r="G242" s="3"/>
      <c r="H242" s="3"/>
      <c r="I242" s="3"/>
    </row>
    <row r="243" spans="2:9">
      <c r="B243" s="3"/>
      <c r="C243" s="3"/>
      <c r="D243" s="3"/>
      <c r="E243" s="3"/>
      <c r="F243" s="3"/>
      <c r="G243" s="3"/>
      <c r="H243" s="3"/>
      <c r="I243" s="3"/>
    </row>
    <row r="244" spans="2:9">
      <c r="B244" s="3"/>
      <c r="C244" s="3"/>
      <c r="D244" s="3"/>
      <c r="E244" s="3"/>
      <c r="F244" s="3"/>
      <c r="G244" s="3"/>
      <c r="H244" s="3"/>
      <c r="I244" s="3"/>
    </row>
    <row r="245" spans="2:9">
      <c r="B245" s="3"/>
      <c r="C245" s="3"/>
      <c r="D245" s="3"/>
      <c r="E245" s="3"/>
      <c r="F245" s="3"/>
      <c r="G245" s="3"/>
      <c r="H245" s="3"/>
      <c r="I245" s="3"/>
    </row>
    <row r="246" spans="2:9">
      <c r="B246" s="3"/>
      <c r="C246" s="3"/>
      <c r="D246" s="3"/>
      <c r="E246" s="3"/>
      <c r="F246" s="3"/>
      <c r="G246" s="3"/>
      <c r="H246" s="3"/>
      <c r="I246" s="3"/>
    </row>
    <row r="247" spans="2:9">
      <c r="B247" s="3"/>
      <c r="C247" s="3"/>
      <c r="D247" s="3"/>
      <c r="E247" s="3"/>
      <c r="F247" s="3"/>
      <c r="G247" s="3"/>
      <c r="H247" s="3"/>
      <c r="I247" s="3"/>
    </row>
    <row r="248" spans="2:9">
      <c r="B248" s="3"/>
      <c r="C248" s="3"/>
      <c r="D248" s="3"/>
      <c r="E248" s="3"/>
      <c r="F248" s="3"/>
      <c r="G248" s="3"/>
      <c r="H248" s="3"/>
      <c r="I248" s="3"/>
    </row>
    <row r="249" spans="2:9">
      <c r="B249" s="3"/>
      <c r="C249" s="3"/>
      <c r="D249" s="3"/>
      <c r="E249" s="3"/>
      <c r="F249" s="3"/>
      <c r="G249" s="3"/>
      <c r="H249" s="3"/>
      <c r="I249" s="3"/>
    </row>
    <row r="250" spans="2:9">
      <c r="B250" s="3"/>
      <c r="C250" s="3"/>
      <c r="D250" s="3"/>
      <c r="E250" s="3"/>
      <c r="F250" s="3"/>
      <c r="G250" s="3"/>
      <c r="H250" s="3"/>
      <c r="I250" s="3"/>
    </row>
    <row r="251" spans="2:9">
      <c r="B251" s="3"/>
      <c r="C251" s="3"/>
      <c r="D251" s="3"/>
      <c r="E251" s="3"/>
      <c r="F251" s="3"/>
      <c r="G251" s="3"/>
      <c r="H251" s="3"/>
      <c r="I251" s="3"/>
    </row>
    <row r="252" spans="2:9">
      <c r="B252" s="3"/>
      <c r="C252" s="3"/>
      <c r="D252" s="3"/>
      <c r="E252" s="3"/>
      <c r="F252" s="3"/>
      <c r="G252" s="3"/>
      <c r="H252" s="3"/>
      <c r="I252" s="3"/>
    </row>
    <row r="253" spans="2:9">
      <c r="B253" s="3"/>
      <c r="C253" s="3"/>
      <c r="D253" s="3"/>
      <c r="E253" s="3"/>
      <c r="F253" s="3"/>
      <c r="G253" s="3"/>
      <c r="H253" s="3"/>
      <c r="I253" s="3"/>
    </row>
    <row r="254" spans="2:9">
      <c r="B254" s="3"/>
      <c r="C254" s="3"/>
      <c r="D254" s="3"/>
      <c r="E254" s="3"/>
      <c r="F254" s="3"/>
      <c r="G254" s="3"/>
      <c r="H254" s="3"/>
      <c r="I254" s="3"/>
    </row>
    <row r="255" spans="2:9">
      <c r="B255" s="3"/>
      <c r="C255" s="3"/>
      <c r="D255" s="3"/>
      <c r="E255" s="3"/>
      <c r="F255" s="3"/>
      <c r="G255" s="3"/>
      <c r="H255" s="3"/>
      <c r="I255" s="3"/>
    </row>
    <row r="256" spans="2:9">
      <c r="B256" s="3"/>
      <c r="C256" s="3"/>
      <c r="D256" s="3"/>
      <c r="E256" s="3"/>
      <c r="F256" s="3"/>
      <c r="G256" s="3"/>
      <c r="H256" s="3"/>
      <c r="I256" s="3"/>
    </row>
    <row r="257" spans="2:9">
      <c r="B257" s="3"/>
      <c r="C257" s="3"/>
      <c r="D257" s="3"/>
      <c r="E257" s="3"/>
      <c r="F257" s="3"/>
      <c r="G257" s="3"/>
      <c r="H257" s="3"/>
      <c r="I257" s="3"/>
    </row>
    <row r="258" spans="2:9">
      <c r="B258" s="3"/>
      <c r="C258" s="3"/>
      <c r="D258" s="3"/>
      <c r="E258" s="3"/>
      <c r="F258" s="3"/>
      <c r="G258" s="3"/>
      <c r="H258" s="3"/>
      <c r="I258" s="3"/>
    </row>
    <row r="259" spans="2:9">
      <c r="B259" s="3"/>
      <c r="C259" s="3"/>
      <c r="D259" s="3"/>
      <c r="E259" s="3"/>
      <c r="F259" s="3"/>
      <c r="G259" s="3"/>
      <c r="H259" s="3"/>
      <c r="I259" s="3"/>
    </row>
    <row r="260" spans="2:9">
      <c r="B260" s="3"/>
      <c r="C260" s="3"/>
      <c r="D260" s="3"/>
      <c r="E260" s="3"/>
      <c r="F260" s="3"/>
      <c r="G260" s="3"/>
      <c r="H260" s="3"/>
      <c r="I260" s="3"/>
    </row>
    <row r="261" spans="2:9">
      <c r="B261" s="3"/>
      <c r="C261" s="3"/>
      <c r="D261" s="3"/>
      <c r="E261" s="3"/>
      <c r="F261" s="3"/>
      <c r="G261" s="3"/>
      <c r="H261" s="3"/>
      <c r="I261" s="3"/>
    </row>
    <row r="262" spans="2:9">
      <c r="B262" s="3"/>
      <c r="C262" s="3"/>
      <c r="D262" s="3"/>
      <c r="E262" s="3"/>
      <c r="F262" s="3"/>
      <c r="G262" s="3"/>
      <c r="H262" s="3"/>
      <c r="I262" s="3"/>
    </row>
    <row r="263" spans="2:9">
      <c r="B263" s="3"/>
      <c r="C263" s="3"/>
      <c r="D263" s="3"/>
      <c r="E263" s="3"/>
      <c r="F263" s="3"/>
      <c r="G263" s="3"/>
      <c r="H263" s="3"/>
      <c r="I263" s="3"/>
    </row>
    <row r="264" spans="2:9">
      <c r="B264" s="3"/>
      <c r="C264" s="3"/>
      <c r="D264" s="3"/>
      <c r="E264" s="3"/>
      <c r="F264" s="3"/>
      <c r="G264" s="3"/>
      <c r="H264" s="3"/>
      <c r="I264" s="3"/>
    </row>
    <row r="265" spans="2:9">
      <c r="B265" s="3"/>
      <c r="C265" s="3"/>
      <c r="D265" s="3"/>
      <c r="E265" s="3"/>
      <c r="F265" s="3"/>
      <c r="G265" s="3"/>
      <c r="H265" s="3"/>
      <c r="I265" s="3"/>
    </row>
    <row r="266" spans="2:9">
      <c r="B266" s="3"/>
      <c r="C266" s="3"/>
      <c r="D266" s="3"/>
      <c r="E266" s="3"/>
      <c r="F266" s="3"/>
      <c r="G266" s="3"/>
      <c r="H266" s="3"/>
      <c r="I266" s="3"/>
    </row>
    <row r="267" spans="2:9">
      <c r="B267" s="3"/>
      <c r="C267" s="3"/>
      <c r="D267" s="3"/>
      <c r="E267" s="3"/>
      <c r="F267" s="3"/>
      <c r="G267" s="3"/>
      <c r="H267" s="3"/>
      <c r="I267" s="3"/>
    </row>
    <row r="268" spans="2:9">
      <c r="B268" s="3"/>
      <c r="C268" s="3"/>
      <c r="D268" s="3"/>
      <c r="E268" s="3"/>
      <c r="F268" s="3"/>
      <c r="G268" s="3"/>
      <c r="H268" s="3"/>
      <c r="I268" s="3"/>
    </row>
    <row r="269" spans="2:9">
      <c r="B269" s="3"/>
      <c r="C269" s="3"/>
      <c r="D269" s="3"/>
      <c r="E269" s="3"/>
      <c r="F269" s="3"/>
      <c r="G269" s="3"/>
      <c r="H269" s="3"/>
      <c r="I269" s="3"/>
    </row>
    <row r="270" spans="2:9">
      <c r="B270" s="3"/>
      <c r="C270" s="3"/>
      <c r="D270" s="3"/>
      <c r="E270" s="3"/>
      <c r="F270" s="3"/>
      <c r="G270" s="3"/>
      <c r="H270" s="3"/>
      <c r="I270" s="3"/>
    </row>
    <row r="271" spans="2:9">
      <c r="B271" s="3"/>
      <c r="C271" s="3"/>
      <c r="D271" s="3"/>
      <c r="E271" s="3"/>
      <c r="F271" s="3"/>
      <c r="G271" s="3"/>
      <c r="H271" s="3"/>
      <c r="I271" s="3"/>
    </row>
    <row r="272" spans="2:9">
      <c r="B272" s="3"/>
      <c r="C272" s="3"/>
      <c r="D272" s="3"/>
      <c r="E272" s="3"/>
      <c r="F272" s="3"/>
      <c r="G272" s="3"/>
      <c r="H272" s="3"/>
      <c r="I272" s="3"/>
    </row>
    <row r="273" spans="2:9">
      <c r="B273" s="3"/>
      <c r="C273" s="3"/>
      <c r="D273" s="3"/>
      <c r="E273" s="3"/>
      <c r="F273" s="3"/>
      <c r="G273" s="3"/>
      <c r="H273" s="3"/>
      <c r="I273" s="3"/>
    </row>
    <row r="274" spans="2:9">
      <c r="B274" s="3"/>
      <c r="C274" s="3"/>
      <c r="D274" s="3"/>
      <c r="E274" s="3"/>
      <c r="F274" s="3"/>
      <c r="G274" s="3"/>
      <c r="H274" s="3"/>
      <c r="I274" s="3"/>
    </row>
    <row r="275" spans="2:9">
      <c r="B275" s="3"/>
      <c r="C275" s="3"/>
      <c r="D275" s="3"/>
      <c r="E275" s="3"/>
      <c r="F275" s="3"/>
      <c r="G275" s="3"/>
      <c r="H275" s="3"/>
      <c r="I275" s="3"/>
    </row>
    <row r="276" spans="2:9">
      <c r="B276" s="3"/>
      <c r="C276" s="3"/>
      <c r="D276" s="3"/>
      <c r="E276" s="3"/>
      <c r="F276" s="3"/>
      <c r="G276" s="3"/>
      <c r="H276" s="3"/>
      <c r="I276" s="3"/>
    </row>
    <row r="277" spans="2:9">
      <c r="B277" s="3"/>
      <c r="C277" s="3"/>
      <c r="D277" s="3"/>
      <c r="E277" s="3"/>
      <c r="F277" s="3"/>
      <c r="G277" s="3"/>
      <c r="H277" s="3"/>
      <c r="I277" s="3"/>
    </row>
    <row r="278" spans="2:9">
      <c r="B278" s="3"/>
      <c r="C278" s="3"/>
      <c r="D278" s="3"/>
      <c r="E278" s="3"/>
      <c r="F278" s="3"/>
      <c r="G278" s="3"/>
      <c r="H278" s="3"/>
      <c r="I278" s="3"/>
    </row>
    <row r="279" spans="2:9">
      <c r="B279" s="3"/>
      <c r="C279" s="3"/>
      <c r="D279" s="3"/>
      <c r="E279" s="3"/>
      <c r="F279" s="3"/>
      <c r="G279" s="3"/>
      <c r="H279" s="3"/>
      <c r="I279" s="3"/>
    </row>
    <row r="280" spans="2:9">
      <c r="B280" s="3"/>
      <c r="C280" s="3"/>
      <c r="D280" s="3"/>
      <c r="E280" s="3"/>
      <c r="F280" s="3"/>
      <c r="G280" s="3"/>
      <c r="H280" s="3"/>
      <c r="I280" s="3"/>
    </row>
    <row r="281" spans="2:9">
      <c r="B281" s="3"/>
      <c r="C281" s="3"/>
      <c r="D281" s="3"/>
      <c r="E281" s="3"/>
      <c r="F281" s="3"/>
      <c r="G281" s="3"/>
      <c r="H281" s="3"/>
      <c r="I281" s="3"/>
    </row>
    <row r="282" spans="2:9">
      <c r="B282" s="3"/>
      <c r="C282" s="3"/>
      <c r="D282" s="3"/>
      <c r="E282" s="3"/>
      <c r="F282" s="3"/>
      <c r="G282" s="3"/>
      <c r="H282" s="3"/>
      <c r="I282" s="3"/>
    </row>
    <row r="283" spans="2:9">
      <c r="B283" s="3"/>
      <c r="C283" s="3"/>
      <c r="D283" s="3"/>
      <c r="E283" s="3"/>
      <c r="F283" s="3"/>
      <c r="G283" s="3"/>
      <c r="H283" s="3"/>
      <c r="I283" s="3"/>
    </row>
    <row r="284" spans="2:9">
      <c r="B284" s="3"/>
      <c r="C284" s="3"/>
      <c r="D284" s="3"/>
      <c r="E284" s="3"/>
      <c r="F284" s="3"/>
      <c r="G284" s="3"/>
      <c r="H284" s="3"/>
      <c r="I284" s="3"/>
    </row>
    <row r="285" spans="2:9">
      <c r="B285" s="3"/>
      <c r="C285" s="3"/>
      <c r="D285" s="3"/>
      <c r="E285" s="3"/>
      <c r="F285" s="3"/>
      <c r="G285" s="3"/>
      <c r="H285" s="3"/>
      <c r="I285" s="3"/>
    </row>
    <row r="286" spans="2:9">
      <c r="B286" s="3"/>
      <c r="C286" s="3"/>
      <c r="D286" s="3"/>
      <c r="E286" s="3"/>
      <c r="F286" s="3"/>
      <c r="G286" s="3"/>
      <c r="H286" s="3"/>
      <c r="I286" s="3"/>
    </row>
    <row r="287" spans="2:9">
      <c r="B287" s="3"/>
      <c r="C287" s="3"/>
      <c r="D287" s="3"/>
      <c r="E287" s="3"/>
      <c r="F287" s="3"/>
      <c r="G287" s="3"/>
      <c r="H287" s="3"/>
      <c r="I287" s="3"/>
    </row>
    <row r="288" spans="2:9">
      <c r="B288" s="3"/>
      <c r="C288" s="3"/>
      <c r="D288" s="3"/>
      <c r="E288" s="3"/>
      <c r="F288" s="3"/>
      <c r="G288" s="3"/>
      <c r="H288" s="3"/>
      <c r="I288" s="3"/>
    </row>
    <row r="289" spans="2:9">
      <c r="B289" s="3"/>
      <c r="C289" s="3"/>
      <c r="D289" s="3"/>
      <c r="E289" s="3"/>
      <c r="F289" s="3"/>
      <c r="G289" s="3"/>
      <c r="H289" s="3"/>
      <c r="I289" s="3"/>
    </row>
    <row r="290" spans="2:9">
      <c r="B290" s="3"/>
      <c r="C290" s="3"/>
      <c r="D290" s="3"/>
      <c r="E290" s="3"/>
      <c r="F290" s="3"/>
      <c r="G290" s="3"/>
      <c r="H290" s="3"/>
      <c r="I290" s="3"/>
    </row>
    <row r="291" spans="2:9">
      <c r="B291" s="3"/>
      <c r="C291" s="3"/>
      <c r="D291" s="3"/>
      <c r="E291" s="3"/>
      <c r="F291" s="3"/>
      <c r="G291" s="3"/>
      <c r="H291" s="3"/>
      <c r="I291" s="3"/>
    </row>
    <row r="292" spans="2:9">
      <c r="B292" s="3"/>
      <c r="C292" s="3"/>
      <c r="D292" s="3"/>
      <c r="E292" s="3"/>
      <c r="F292" s="3"/>
      <c r="G292" s="3"/>
      <c r="H292" s="3"/>
      <c r="I292" s="3"/>
    </row>
    <row r="293" spans="2:9">
      <c r="B293" s="3"/>
      <c r="C293" s="3"/>
      <c r="D293" s="3"/>
      <c r="E293" s="3"/>
      <c r="F293" s="3"/>
      <c r="G293" s="3"/>
      <c r="H293" s="3"/>
      <c r="I293" s="3"/>
    </row>
    <row r="294" spans="2:9">
      <c r="B294" s="3"/>
      <c r="C294" s="3"/>
      <c r="D294" s="3"/>
      <c r="E294" s="3"/>
      <c r="F294" s="3"/>
      <c r="G294" s="3"/>
      <c r="H294" s="3"/>
      <c r="I294" s="3"/>
    </row>
    <row r="295" spans="2:9">
      <c r="B295" s="3"/>
      <c r="C295" s="3"/>
      <c r="D295" s="3"/>
      <c r="E295" s="3"/>
      <c r="F295" s="3"/>
      <c r="G295" s="3"/>
      <c r="H295" s="3"/>
      <c r="I295" s="3"/>
    </row>
    <row r="296" spans="2:9">
      <c r="B296" s="3"/>
      <c r="C296" s="3"/>
      <c r="D296" s="3"/>
      <c r="E296" s="3"/>
      <c r="F296" s="3"/>
      <c r="G296" s="3"/>
      <c r="H296" s="3"/>
      <c r="I296" s="3"/>
    </row>
    <row r="297" spans="2:9">
      <c r="B297" s="3"/>
      <c r="C297" s="3"/>
      <c r="D297" s="3"/>
      <c r="E297" s="3"/>
      <c r="F297" s="3"/>
      <c r="G297" s="3"/>
      <c r="H297" s="3"/>
      <c r="I297" s="3"/>
    </row>
    <row r="298" spans="2:9">
      <c r="B298" s="3"/>
      <c r="C298" s="3"/>
      <c r="D298" s="3"/>
      <c r="E298" s="3"/>
      <c r="F298" s="3"/>
      <c r="G298" s="3"/>
      <c r="H298" s="3"/>
      <c r="I298" s="3"/>
    </row>
    <row r="299" spans="2:9">
      <c r="B299" s="3"/>
      <c r="C299" s="3"/>
      <c r="D299" s="3"/>
      <c r="E299" s="3"/>
      <c r="F299" s="3"/>
      <c r="G299" s="3"/>
      <c r="H299" s="3"/>
      <c r="I299" s="3"/>
    </row>
    <row r="300" spans="2:9">
      <c r="B300" s="3"/>
      <c r="C300" s="3"/>
      <c r="D300" s="3"/>
      <c r="E300" s="3"/>
      <c r="F300" s="3"/>
      <c r="G300" s="3"/>
      <c r="H300" s="3"/>
      <c r="I300" s="3"/>
    </row>
    <row r="301" spans="2:9">
      <c r="B301" s="3"/>
      <c r="C301" s="3"/>
      <c r="D301" s="3"/>
      <c r="E301" s="3"/>
      <c r="F301" s="3"/>
      <c r="G301" s="3"/>
      <c r="H301" s="3"/>
      <c r="I301" s="3"/>
    </row>
    <row r="302" spans="2:9">
      <c r="B302" s="3"/>
      <c r="C302" s="3"/>
      <c r="D302" s="3"/>
      <c r="E302" s="3"/>
      <c r="F302" s="3"/>
      <c r="G302" s="3"/>
      <c r="H302" s="3"/>
      <c r="I302" s="3"/>
    </row>
    <row r="303" spans="2:9">
      <c r="B303" s="3"/>
      <c r="C303" s="3"/>
      <c r="D303" s="3"/>
      <c r="E303" s="3"/>
      <c r="F303" s="3"/>
      <c r="G303" s="3"/>
      <c r="H303" s="3"/>
      <c r="I303" s="3"/>
    </row>
    <row r="304" spans="2:9">
      <c r="B304" s="3"/>
      <c r="C304" s="3"/>
      <c r="D304" s="3"/>
      <c r="E304" s="3"/>
      <c r="F304" s="3"/>
      <c r="G304" s="3"/>
      <c r="H304" s="3"/>
      <c r="I304" s="3"/>
    </row>
    <row r="305" spans="2:9">
      <c r="B305" s="3"/>
      <c r="C305" s="3"/>
      <c r="D305" s="3"/>
      <c r="E305" s="3"/>
      <c r="F305" s="3"/>
      <c r="G305" s="3"/>
      <c r="H305" s="3"/>
      <c r="I305" s="3"/>
    </row>
    <row r="306" spans="2:9">
      <c r="B306" s="3"/>
      <c r="C306" s="3"/>
      <c r="D306" s="3"/>
      <c r="E306" s="3"/>
      <c r="F306" s="3"/>
      <c r="G306" s="3"/>
      <c r="H306" s="3"/>
      <c r="I306" s="3"/>
    </row>
    <row r="307" spans="2:9">
      <c r="B307" s="3"/>
      <c r="C307" s="3"/>
      <c r="D307" s="3"/>
      <c r="E307" s="3"/>
      <c r="F307" s="3"/>
      <c r="G307" s="3"/>
      <c r="H307" s="3"/>
      <c r="I307" s="3"/>
    </row>
    <row r="308" spans="2:9">
      <c r="B308" s="3"/>
      <c r="C308" s="3"/>
      <c r="D308" s="3"/>
      <c r="E308" s="3"/>
      <c r="F308" s="3"/>
      <c r="G308" s="3"/>
      <c r="H308" s="3"/>
      <c r="I308" s="3"/>
    </row>
    <row r="309" spans="2:9">
      <c r="B309" s="3"/>
      <c r="C309" s="3"/>
      <c r="D309" s="3"/>
      <c r="E309" s="3"/>
      <c r="F309" s="3"/>
      <c r="G309" s="3"/>
      <c r="H309" s="3"/>
      <c r="I309" s="3"/>
    </row>
    <row r="310" spans="2:9">
      <c r="B310" s="3"/>
      <c r="C310" s="3"/>
      <c r="D310" s="3"/>
      <c r="E310" s="3"/>
      <c r="F310" s="3"/>
      <c r="G310" s="3"/>
      <c r="H310" s="3"/>
      <c r="I310" s="3"/>
    </row>
    <row r="311" spans="2:9">
      <c r="B311" s="3"/>
      <c r="C311" s="3"/>
      <c r="D311" s="3"/>
      <c r="E311" s="3"/>
      <c r="F311" s="3"/>
      <c r="G311" s="3"/>
      <c r="H311" s="3"/>
      <c r="I311" s="3"/>
    </row>
    <row r="312" spans="2:9">
      <c r="B312" s="3"/>
      <c r="C312" s="3"/>
      <c r="D312" s="3"/>
      <c r="E312" s="3"/>
      <c r="F312" s="3"/>
      <c r="G312" s="3"/>
      <c r="H312" s="3"/>
      <c r="I312" s="3"/>
    </row>
    <row r="313" spans="2:9">
      <c r="B313" s="3"/>
      <c r="C313" s="3"/>
      <c r="D313" s="3"/>
      <c r="E313" s="3"/>
      <c r="F313" s="3"/>
      <c r="G313" s="3"/>
      <c r="H313" s="3"/>
      <c r="I313" s="3"/>
    </row>
    <row r="314" spans="2:9">
      <c r="B314" s="3"/>
      <c r="C314" s="3"/>
      <c r="D314" s="3"/>
      <c r="E314" s="3"/>
      <c r="F314" s="3"/>
      <c r="G314" s="3"/>
      <c r="H314" s="3"/>
      <c r="I314" s="3"/>
    </row>
    <row r="315" spans="2:9">
      <c r="B315" s="3"/>
      <c r="C315" s="3"/>
      <c r="D315" s="3"/>
      <c r="E315" s="3"/>
      <c r="F315" s="3"/>
      <c r="G315" s="3"/>
      <c r="H315" s="3"/>
      <c r="I315" s="3"/>
    </row>
    <row r="316" spans="2:9">
      <c r="B316" s="3"/>
      <c r="C316" s="3"/>
      <c r="D316" s="3"/>
      <c r="E316" s="3"/>
      <c r="F316" s="3"/>
      <c r="G316" s="3"/>
      <c r="H316" s="3"/>
      <c r="I316" s="3"/>
    </row>
    <row r="317" spans="2:9">
      <c r="B317" s="3"/>
      <c r="C317" s="3"/>
      <c r="D317" s="3"/>
      <c r="E317" s="3"/>
      <c r="F317" s="3"/>
      <c r="G317" s="3"/>
      <c r="H317" s="3"/>
      <c r="I317" s="3"/>
    </row>
    <row r="318" spans="2:9">
      <c r="B318" s="3"/>
      <c r="C318" s="3"/>
      <c r="D318" s="3"/>
      <c r="E318" s="3"/>
      <c r="F318" s="3"/>
      <c r="G318" s="3"/>
      <c r="H318" s="3"/>
      <c r="I318" s="3"/>
    </row>
    <row r="319" spans="2:9">
      <c r="B319" s="3"/>
      <c r="C319" s="3"/>
      <c r="D319" s="3"/>
      <c r="E319" s="3"/>
      <c r="F319" s="3"/>
      <c r="G319" s="3"/>
      <c r="H319" s="3"/>
      <c r="I319" s="3"/>
    </row>
    <row r="320" spans="2:9">
      <c r="B320" s="3"/>
      <c r="C320" s="3"/>
      <c r="D320" s="3"/>
      <c r="E320" s="3"/>
      <c r="F320" s="3"/>
      <c r="G320" s="3"/>
      <c r="H320" s="3"/>
      <c r="I320" s="3"/>
    </row>
    <row r="321" spans="2:9">
      <c r="B321" s="3"/>
      <c r="C321" s="3"/>
      <c r="D321" s="3"/>
      <c r="E321" s="3"/>
      <c r="F321" s="3"/>
      <c r="G321" s="3"/>
      <c r="H321" s="3"/>
      <c r="I321" s="3"/>
    </row>
    <row r="322" spans="2:9">
      <c r="B322" s="3"/>
      <c r="C322" s="3"/>
      <c r="D322" s="3"/>
      <c r="E322" s="3"/>
      <c r="F322" s="3"/>
      <c r="G322" s="3"/>
      <c r="H322" s="3"/>
      <c r="I322" s="3"/>
    </row>
    <row r="323" spans="2:9">
      <c r="B323" s="3"/>
      <c r="C323" s="3"/>
      <c r="D323" s="3"/>
      <c r="E323" s="3"/>
      <c r="F323" s="3"/>
      <c r="G323" s="3"/>
      <c r="H323" s="3"/>
      <c r="I323" s="3"/>
    </row>
    <row r="324" spans="2:9">
      <c r="B324" s="3"/>
      <c r="C324" s="3"/>
      <c r="D324" s="3"/>
      <c r="E324" s="3"/>
      <c r="F324" s="3"/>
      <c r="G324" s="3"/>
      <c r="H324" s="3"/>
      <c r="I324" s="3"/>
    </row>
    <row r="325" spans="2:9">
      <c r="B325" s="3"/>
      <c r="C325" s="3"/>
      <c r="D325" s="3"/>
      <c r="E325" s="3"/>
      <c r="F325" s="3"/>
      <c r="G325" s="3"/>
      <c r="H325" s="3"/>
      <c r="I325" s="3"/>
    </row>
    <row r="326" spans="2:9">
      <c r="B326" s="3"/>
      <c r="C326" s="3"/>
      <c r="D326" s="3"/>
      <c r="E326" s="3"/>
      <c r="F326" s="3"/>
      <c r="G326" s="3"/>
      <c r="H326" s="3"/>
      <c r="I326" s="3"/>
    </row>
    <row r="327" spans="2:9">
      <c r="B327" s="3"/>
      <c r="C327" s="3"/>
      <c r="D327" s="3"/>
      <c r="E327" s="3"/>
      <c r="F327" s="3"/>
      <c r="G327" s="3"/>
      <c r="H327" s="3"/>
      <c r="I327" s="3"/>
    </row>
    <row r="328" spans="2:9">
      <c r="B328" s="3"/>
      <c r="C328" s="3"/>
      <c r="D328" s="3"/>
      <c r="E328" s="3"/>
      <c r="F328" s="3"/>
      <c r="G328" s="3"/>
      <c r="H328" s="3"/>
      <c r="I328" s="3"/>
    </row>
    <row r="329" spans="2:9">
      <c r="B329" s="3"/>
      <c r="C329" s="3"/>
      <c r="D329" s="3"/>
      <c r="E329" s="3"/>
      <c r="F329" s="3"/>
      <c r="G329" s="3"/>
      <c r="H329" s="3"/>
      <c r="I329" s="3"/>
    </row>
    <row r="330" spans="2:9">
      <c r="B330" s="3"/>
      <c r="C330" s="3"/>
      <c r="D330" s="3"/>
      <c r="E330" s="3"/>
      <c r="F330" s="3"/>
      <c r="G330" s="3"/>
      <c r="H330" s="3"/>
      <c r="I330" s="3"/>
    </row>
    <row r="331" spans="2:9">
      <c r="B331" s="3"/>
      <c r="C331" s="3"/>
      <c r="D331" s="3"/>
      <c r="E331" s="3"/>
      <c r="F331" s="3"/>
      <c r="G331" s="3"/>
      <c r="H331" s="3"/>
      <c r="I331" s="3"/>
    </row>
    <row r="332" spans="2:9">
      <c r="B332" s="3"/>
      <c r="C332" s="3"/>
      <c r="D332" s="3"/>
      <c r="E332" s="3"/>
      <c r="F332" s="3"/>
      <c r="G332" s="3"/>
      <c r="H332" s="3"/>
      <c r="I332" s="3"/>
    </row>
    <row r="333" spans="2:9">
      <c r="B333" s="3"/>
      <c r="C333" s="3"/>
      <c r="D333" s="3"/>
      <c r="E333" s="3"/>
      <c r="F333" s="3"/>
      <c r="G333" s="3"/>
      <c r="H333" s="3"/>
      <c r="I333" s="3"/>
    </row>
    <row r="334" spans="2:9">
      <c r="B334" s="3"/>
      <c r="C334" s="3"/>
      <c r="D334" s="3"/>
      <c r="E334" s="3"/>
      <c r="F334" s="3"/>
      <c r="G334" s="3"/>
      <c r="H334" s="3"/>
      <c r="I334" s="3"/>
    </row>
    <row r="335" spans="2:9">
      <c r="B335" s="3"/>
      <c r="C335" s="3"/>
      <c r="D335" s="3"/>
      <c r="E335" s="3"/>
      <c r="F335" s="3"/>
      <c r="G335" s="3"/>
      <c r="H335" s="3"/>
      <c r="I335" s="3"/>
    </row>
    <row r="336" spans="2:9">
      <c r="B336" s="3"/>
      <c r="C336" s="3"/>
      <c r="D336" s="3"/>
      <c r="E336" s="3"/>
      <c r="F336" s="3"/>
      <c r="G336" s="3"/>
      <c r="H336" s="3"/>
      <c r="I336" s="3"/>
    </row>
    <row r="337" spans="2:9">
      <c r="B337" s="3"/>
      <c r="C337" s="3"/>
      <c r="D337" s="3"/>
      <c r="E337" s="3"/>
      <c r="F337" s="3"/>
      <c r="G337" s="3"/>
      <c r="H337" s="3"/>
      <c r="I337" s="3"/>
    </row>
    <row r="338" spans="2:9">
      <c r="B338" s="3"/>
      <c r="C338" s="3"/>
      <c r="D338" s="3"/>
      <c r="E338" s="3"/>
      <c r="F338" s="3"/>
      <c r="G338" s="3"/>
      <c r="H338" s="3"/>
      <c r="I338" s="3"/>
    </row>
    <row r="339" spans="2:9">
      <c r="B339" s="3"/>
      <c r="C339" s="3"/>
      <c r="D339" s="3"/>
      <c r="E339" s="3"/>
      <c r="F339" s="3"/>
      <c r="G339" s="3"/>
      <c r="H339" s="3"/>
      <c r="I339" s="3"/>
    </row>
    <row r="340" spans="2:9">
      <c r="B340" s="3"/>
      <c r="C340" s="3"/>
      <c r="D340" s="3"/>
      <c r="E340" s="3"/>
      <c r="F340" s="3"/>
      <c r="G340" s="3"/>
      <c r="H340" s="3"/>
      <c r="I340" s="3"/>
    </row>
    <row r="341" spans="2:9">
      <c r="B341" s="3"/>
      <c r="C341" s="3"/>
      <c r="D341" s="3"/>
      <c r="E341" s="3"/>
      <c r="F341" s="3"/>
      <c r="G341" s="3"/>
      <c r="H341" s="3"/>
      <c r="I341" s="3"/>
    </row>
    <row r="342" spans="2:9">
      <c r="B342" s="3"/>
      <c r="C342" s="3"/>
      <c r="D342" s="3"/>
      <c r="E342" s="3"/>
      <c r="F342" s="3"/>
      <c r="G342" s="3"/>
      <c r="H342" s="3"/>
      <c r="I342" s="3"/>
    </row>
    <row r="343" spans="2:9">
      <c r="B343" s="3"/>
      <c r="C343" s="3"/>
      <c r="D343" s="3"/>
      <c r="E343" s="3"/>
      <c r="F343" s="3"/>
      <c r="G343" s="3"/>
      <c r="H343" s="3"/>
      <c r="I343" s="3"/>
    </row>
    <row r="344" spans="2:9">
      <c r="B344" s="3"/>
      <c r="C344" s="3"/>
      <c r="D344" s="3"/>
      <c r="E344" s="3"/>
      <c r="F344" s="3"/>
      <c r="G344" s="3"/>
      <c r="H344" s="3"/>
      <c r="I344" s="3"/>
    </row>
    <row r="345" spans="2:9">
      <c r="B345" s="3"/>
      <c r="C345" s="3"/>
      <c r="D345" s="3"/>
      <c r="E345" s="3"/>
      <c r="F345" s="3"/>
      <c r="G345" s="3"/>
      <c r="H345" s="3"/>
      <c r="I345" s="3"/>
    </row>
    <row r="346" spans="2:9">
      <c r="B346" s="3"/>
      <c r="C346" s="3"/>
      <c r="D346" s="3"/>
      <c r="E346" s="3"/>
      <c r="F346" s="3"/>
      <c r="G346" s="3"/>
      <c r="H346" s="3"/>
      <c r="I346" s="3"/>
    </row>
    <row r="347" spans="2:9">
      <c r="B347" s="3"/>
      <c r="C347" s="3"/>
      <c r="D347" s="3"/>
      <c r="E347" s="3"/>
      <c r="F347" s="3"/>
      <c r="G347" s="3"/>
      <c r="H347" s="3"/>
      <c r="I347" s="3"/>
    </row>
    <row r="348" spans="2:9">
      <c r="B348" s="3"/>
      <c r="C348" s="3"/>
      <c r="D348" s="3"/>
      <c r="E348" s="3"/>
      <c r="F348" s="3"/>
      <c r="G348" s="3"/>
      <c r="H348" s="3"/>
      <c r="I348" s="3"/>
    </row>
    <row r="349" spans="2:9">
      <c r="B349" s="3"/>
      <c r="C349" s="3"/>
      <c r="D349" s="3"/>
      <c r="E349" s="3"/>
      <c r="F349" s="3"/>
      <c r="G349" s="3"/>
      <c r="H349" s="3"/>
      <c r="I349" s="3"/>
    </row>
    <row r="350" spans="2:9">
      <c r="B350" s="3"/>
      <c r="C350" s="3"/>
      <c r="D350" s="3"/>
      <c r="E350" s="3"/>
      <c r="F350" s="3"/>
      <c r="G350" s="3"/>
      <c r="H350" s="3"/>
      <c r="I350" s="3"/>
    </row>
    <row r="351" spans="2:9">
      <c r="B351" s="3"/>
      <c r="C351" s="3"/>
      <c r="D351" s="3"/>
      <c r="E351" s="3"/>
      <c r="F351" s="3"/>
      <c r="G351" s="3"/>
      <c r="H351" s="3"/>
      <c r="I351" s="3"/>
    </row>
    <row r="352" spans="2:9">
      <c r="B352" s="3"/>
      <c r="C352" s="3"/>
      <c r="D352" s="3"/>
      <c r="E352" s="3"/>
      <c r="F352" s="3"/>
      <c r="G352" s="3"/>
      <c r="H352" s="3"/>
      <c r="I352" s="3"/>
    </row>
    <row r="353" spans="2:9">
      <c r="B353" s="3"/>
      <c r="C353" s="3"/>
      <c r="D353" s="3"/>
      <c r="E353" s="3"/>
      <c r="F353" s="3"/>
      <c r="G353" s="3"/>
      <c r="H353" s="3"/>
      <c r="I353" s="3"/>
    </row>
    <row r="354" spans="2:9">
      <c r="B354" s="3"/>
      <c r="C354" s="3"/>
      <c r="D354" s="3"/>
      <c r="E354" s="3"/>
      <c r="F354" s="3"/>
      <c r="G354" s="3"/>
      <c r="H354" s="3"/>
      <c r="I354" s="3"/>
    </row>
    <row r="355" spans="2:9">
      <c r="B355" s="3"/>
      <c r="C355" s="3"/>
      <c r="D355" s="3"/>
      <c r="E355" s="3"/>
      <c r="F355" s="3"/>
      <c r="G355" s="3"/>
      <c r="H355" s="3"/>
      <c r="I355" s="3"/>
    </row>
    <row r="356" spans="2:9">
      <c r="B356" s="3"/>
      <c r="C356" s="3"/>
      <c r="D356" s="3"/>
      <c r="E356" s="3"/>
      <c r="F356" s="3"/>
      <c r="G356" s="3"/>
      <c r="H356" s="3"/>
      <c r="I356" s="3"/>
    </row>
    <row r="357" spans="2:9">
      <c r="B357" s="3"/>
      <c r="C357" s="3"/>
      <c r="D357" s="3"/>
      <c r="E357" s="3"/>
      <c r="F357" s="3"/>
      <c r="G357" s="3"/>
      <c r="H357" s="3"/>
      <c r="I357" s="3"/>
    </row>
    <row r="358" spans="2:9">
      <c r="B358" s="3"/>
      <c r="C358" s="3"/>
      <c r="D358" s="3"/>
      <c r="E358" s="3"/>
      <c r="F358" s="3"/>
      <c r="G358" s="3"/>
      <c r="H358" s="3"/>
      <c r="I358" s="3"/>
    </row>
    <row r="359" spans="2:9">
      <c r="B359" s="3"/>
      <c r="C359" s="3"/>
      <c r="D359" s="3"/>
      <c r="E359" s="3"/>
      <c r="F359" s="3"/>
      <c r="G359" s="3"/>
      <c r="H359" s="3"/>
      <c r="I359" s="3"/>
    </row>
    <row r="360" spans="2:9">
      <c r="B360" s="3"/>
      <c r="C360" s="3"/>
      <c r="D360" s="3"/>
      <c r="E360" s="3"/>
      <c r="F360" s="3"/>
      <c r="G360" s="3"/>
      <c r="H360" s="3"/>
      <c r="I360" s="3"/>
    </row>
    <row r="361" spans="2:9">
      <c r="B361" s="3"/>
      <c r="C361" s="3"/>
      <c r="D361" s="3"/>
      <c r="E361" s="3"/>
      <c r="F361" s="3"/>
      <c r="G361" s="3"/>
      <c r="H361" s="3"/>
      <c r="I361" s="3"/>
    </row>
    <row r="362" spans="2:9">
      <c r="B362" s="3"/>
      <c r="C362" s="3"/>
      <c r="D362" s="3"/>
      <c r="E362" s="3"/>
      <c r="F362" s="3"/>
      <c r="G362" s="3"/>
      <c r="H362" s="3"/>
      <c r="I362" s="3"/>
    </row>
    <row r="363" spans="2:9">
      <c r="B363" s="3"/>
      <c r="C363" s="3"/>
      <c r="D363" s="3"/>
      <c r="E363" s="3"/>
      <c r="F363" s="3"/>
      <c r="G363" s="3"/>
      <c r="H363" s="3"/>
      <c r="I363" s="3"/>
    </row>
    <row r="364" spans="2:9">
      <c r="B364" s="3"/>
      <c r="C364" s="3"/>
      <c r="D364" s="3"/>
      <c r="E364" s="3"/>
      <c r="F364" s="3"/>
      <c r="G364" s="3"/>
      <c r="H364" s="3"/>
      <c r="I364" s="3"/>
    </row>
    <row r="365" spans="2:9">
      <c r="B365" s="3"/>
      <c r="C365" s="3"/>
      <c r="D365" s="3"/>
      <c r="E365" s="3"/>
      <c r="F365" s="3"/>
      <c r="G365" s="3"/>
      <c r="H365" s="3"/>
      <c r="I365" s="3"/>
    </row>
    <row r="366" spans="2:9">
      <c r="B366" s="3"/>
      <c r="C366" s="3"/>
      <c r="D366" s="3"/>
      <c r="E366" s="3"/>
      <c r="F366" s="3"/>
      <c r="G366" s="3"/>
      <c r="H366" s="3"/>
      <c r="I366" s="3"/>
    </row>
    <row r="367" spans="2:9">
      <c r="B367" s="3"/>
      <c r="C367" s="3"/>
      <c r="D367" s="3"/>
      <c r="E367" s="3"/>
      <c r="F367" s="3"/>
      <c r="G367" s="3"/>
      <c r="H367" s="3"/>
      <c r="I367" s="3"/>
    </row>
    <row r="368" spans="2:9">
      <c r="B368" s="3"/>
      <c r="C368" s="3"/>
      <c r="D368" s="3"/>
      <c r="E368" s="3"/>
      <c r="F368" s="3"/>
      <c r="G368" s="3"/>
      <c r="H368" s="3"/>
      <c r="I368" s="3"/>
    </row>
    <row r="369" spans="2:9">
      <c r="B369" s="3"/>
      <c r="C369" s="3"/>
      <c r="D369" s="3"/>
      <c r="E369" s="3"/>
      <c r="F369" s="3"/>
      <c r="G369" s="3"/>
      <c r="H369" s="3"/>
      <c r="I369" s="3"/>
    </row>
    <row r="370" spans="2:9">
      <c r="B370" s="3"/>
      <c r="C370" s="3"/>
      <c r="D370" s="3"/>
      <c r="E370" s="3"/>
      <c r="F370" s="3"/>
      <c r="G370" s="3"/>
      <c r="H370" s="3"/>
      <c r="I370" s="3"/>
    </row>
    <row r="371" spans="2:9">
      <c r="B371" s="3"/>
      <c r="C371" s="3"/>
      <c r="D371" s="3"/>
      <c r="E371" s="3"/>
      <c r="F371" s="3"/>
      <c r="G371" s="3"/>
      <c r="H371" s="3"/>
      <c r="I371" s="3"/>
    </row>
    <row r="372" spans="2:9">
      <c r="B372" s="3"/>
      <c r="C372" s="3"/>
      <c r="D372" s="3"/>
      <c r="E372" s="3"/>
      <c r="F372" s="3"/>
      <c r="G372" s="3"/>
      <c r="H372" s="3"/>
      <c r="I372" s="3"/>
    </row>
    <row r="373" spans="2:9">
      <c r="B373" s="3"/>
      <c r="C373" s="3"/>
      <c r="D373" s="3"/>
      <c r="E373" s="3"/>
      <c r="F373" s="3"/>
      <c r="G373" s="3"/>
      <c r="H373" s="3"/>
      <c r="I373" s="3"/>
    </row>
    <row r="374" spans="2:9">
      <c r="B374" s="3"/>
      <c r="C374" s="3"/>
      <c r="D374" s="3"/>
      <c r="E374" s="3"/>
      <c r="F374" s="3"/>
      <c r="G374" s="3"/>
      <c r="H374" s="3"/>
      <c r="I374" s="3"/>
    </row>
    <row r="375" spans="2:9">
      <c r="B375" s="3"/>
      <c r="C375" s="3"/>
      <c r="D375" s="3"/>
      <c r="E375" s="3"/>
      <c r="F375" s="3"/>
      <c r="G375" s="3"/>
      <c r="H375" s="3"/>
      <c r="I375" s="3"/>
    </row>
    <row r="376" spans="2:9">
      <c r="B376" s="3"/>
      <c r="C376" s="3"/>
      <c r="D376" s="3"/>
      <c r="E376" s="3"/>
      <c r="F376" s="3"/>
      <c r="G376" s="3"/>
      <c r="H376" s="3"/>
      <c r="I376" s="3"/>
    </row>
    <row r="377" spans="2:9">
      <c r="B377" s="3"/>
      <c r="C377" s="3"/>
      <c r="D377" s="3"/>
      <c r="E377" s="3"/>
      <c r="F377" s="3"/>
      <c r="G377" s="3"/>
      <c r="H377" s="3"/>
      <c r="I377" s="3"/>
    </row>
    <row r="378" spans="2:9">
      <c r="B378" s="3"/>
      <c r="C378" s="3"/>
      <c r="D378" s="3"/>
      <c r="E378" s="3"/>
      <c r="F378" s="3"/>
      <c r="G378" s="3"/>
      <c r="H378" s="3"/>
      <c r="I378" s="3"/>
    </row>
    <row r="379" spans="2:9">
      <c r="B379" s="3"/>
      <c r="C379" s="3"/>
      <c r="D379" s="3"/>
      <c r="E379" s="3"/>
      <c r="F379" s="3"/>
      <c r="G379" s="3"/>
      <c r="H379" s="3"/>
      <c r="I379" s="3"/>
    </row>
    <row r="380" spans="2:9">
      <c r="B380" s="3"/>
      <c r="C380" s="3"/>
      <c r="D380" s="3"/>
      <c r="E380" s="3"/>
      <c r="F380" s="3"/>
      <c r="G380" s="3"/>
      <c r="H380" s="3"/>
      <c r="I380" s="3"/>
    </row>
    <row r="381" spans="2:9">
      <c r="B381" s="3"/>
      <c r="C381" s="3"/>
      <c r="D381" s="3"/>
      <c r="E381" s="3"/>
      <c r="F381" s="3"/>
      <c r="G381" s="3"/>
      <c r="H381" s="3"/>
      <c r="I381" s="3"/>
    </row>
    <row r="382" spans="2:9">
      <c r="B382" s="3"/>
      <c r="C382" s="3"/>
      <c r="D382" s="3"/>
      <c r="E382" s="3"/>
      <c r="F382" s="3"/>
      <c r="G382" s="3"/>
      <c r="H382" s="3"/>
      <c r="I382" s="3"/>
    </row>
    <row r="383" spans="2:9">
      <c r="B383" s="3"/>
      <c r="C383" s="3"/>
      <c r="D383" s="3"/>
      <c r="E383" s="3"/>
      <c r="F383" s="3"/>
      <c r="G383" s="3"/>
      <c r="H383" s="3"/>
      <c r="I383" s="3"/>
    </row>
    <row r="384" spans="2:9">
      <c r="B384" s="3"/>
      <c r="C384" s="3"/>
      <c r="D384" s="3"/>
      <c r="E384" s="3"/>
      <c r="F384" s="3"/>
      <c r="G384" s="3"/>
      <c r="H384" s="3"/>
      <c r="I384" s="3"/>
    </row>
    <row r="385" spans="2:9">
      <c r="B385" s="3"/>
      <c r="C385" s="3"/>
      <c r="D385" s="3"/>
      <c r="E385" s="3"/>
      <c r="F385" s="3"/>
      <c r="G385" s="3"/>
      <c r="H385" s="3"/>
      <c r="I385" s="3"/>
    </row>
    <row r="386" spans="2:9">
      <c r="B386" s="3"/>
      <c r="C386" s="3"/>
      <c r="D386" s="3"/>
      <c r="E386" s="3"/>
      <c r="F386" s="3"/>
      <c r="G386" s="3"/>
      <c r="H386" s="3"/>
      <c r="I386" s="3"/>
    </row>
    <row r="387" spans="2:9">
      <c r="B387" s="3"/>
      <c r="C387" s="3"/>
      <c r="D387" s="3"/>
      <c r="E387" s="3"/>
      <c r="F387" s="3"/>
      <c r="G387" s="3"/>
      <c r="H387" s="3"/>
      <c r="I387" s="3"/>
    </row>
    <row r="388" spans="2:9">
      <c r="B388" s="3"/>
      <c r="C388" s="3"/>
      <c r="D388" s="3"/>
      <c r="E388" s="3"/>
      <c r="F388" s="3"/>
      <c r="G388" s="3"/>
      <c r="H388" s="3"/>
      <c r="I388" s="3"/>
    </row>
    <row r="389" spans="2:9">
      <c r="B389" s="3"/>
      <c r="C389" s="3"/>
      <c r="D389" s="3"/>
      <c r="E389" s="3"/>
      <c r="F389" s="3"/>
      <c r="G389" s="3"/>
      <c r="H389" s="3"/>
      <c r="I389" s="3"/>
    </row>
    <row r="390" spans="2:9">
      <c r="B390" s="3"/>
      <c r="C390" s="3"/>
      <c r="D390" s="3"/>
      <c r="E390" s="3"/>
      <c r="F390" s="3"/>
      <c r="G390" s="3"/>
      <c r="H390" s="3"/>
      <c r="I390" s="3"/>
    </row>
    <row r="391" spans="2:9">
      <c r="B391" s="3"/>
      <c r="C391" s="3"/>
      <c r="D391" s="3"/>
      <c r="E391" s="3"/>
      <c r="F391" s="3"/>
      <c r="G391" s="3"/>
      <c r="H391" s="3"/>
      <c r="I391" s="3"/>
    </row>
    <row r="392" spans="2:9">
      <c r="B392" s="3"/>
      <c r="C392" s="3"/>
      <c r="D392" s="3"/>
      <c r="E392" s="3"/>
      <c r="F392" s="3"/>
      <c r="G392" s="3"/>
      <c r="H392" s="3"/>
      <c r="I392" s="3"/>
    </row>
    <row r="393" spans="2:9">
      <c r="B393" s="3"/>
      <c r="C393" s="3"/>
      <c r="D393" s="3"/>
      <c r="E393" s="3"/>
      <c r="F393" s="3"/>
      <c r="G393" s="3"/>
      <c r="H393" s="3"/>
      <c r="I393" s="3"/>
    </row>
    <row r="394" spans="2:9">
      <c r="B394" s="3"/>
      <c r="C394" s="3"/>
      <c r="D394" s="3"/>
      <c r="E394" s="3"/>
      <c r="F394" s="3"/>
      <c r="G394" s="3"/>
      <c r="H394" s="3"/>
      <c r="I394" s="3"/>
    </row>
    <row r="395" spans="2:9">
      <c r="B395" s="3"/>
      <c r="C395" s="3"/>
      <c r="D395" s="3"/>
      <c r="E395" s="3"/>
      <c r="F395" s="3"/>
      <c r="G395" s="3"/>
      <c r="H395" s="3"/>
      <c r="I395" s="3"/>
    </row>
    <row r="396" spans="2:9">
      <c r="B396" s="3"/>
      <c r="C396" s="3"/>
      <c r="D396" s="3"/>
      <c r="E396" s="3"/>
      <c r="F396" s="3"/>
      <c r="G396" s="3"/>
      <c r="H396" s="3"/>
      <c r="I396" s="3"/>
    </row>
    <row r="397" spans="2:9">
      <c r="B397" s="3"/>
      <c r="C397" s="3"/>
      <c r="D397" s="3"/>
      <c r="E397" s="3"/>
      <c r="F397" s="3"/>
      <c r="G397" s="3"/>
      <c r="H397" s="3"/>
      <c r="I397" s="3"/>
    </row>
    <row r="398" spans="2:9">
      <c r="B398" s="3"/>
      <c r="C398" s="3"/>
      <c r="D398" s="3"/>
      <c r="E398" s="3"/>
      <c r="F398" s="3"/>
      <c r="G398" s="3"/>
      <c r="H398" s="3"/>
      <c r="I398" s="3"/>
    </row>
    <row r="399" spans="2:9">
      <c r="B399" s="3"/>
      <c r="C399" s="3"/>
      <c r="D399" s="3"/>
      <c r="E399" s="3"/>
      <c r="F399" s="3"/>
      <c r="G399" s="3"/>
      <c r="H399" s="3"/>
      <c r="I399" s="3"/>
    </row>
    <row r="400" spans="2:9">
      <c r="B400" s="3"/>
      <c r="C400" s="3"/>
      <c r="D400" s="3"/>
      <c r="E400" s="3"/>
      <c r="F400" s="3"/>
      <c r="G400" s="3"/>
      <c r="H400" s="3"/>
      <c r="I400" s="3"/>
    </row>
    <row r="401" spans="2:9">
      <c r="B401" s="3"/>
      <c r="C401" s="3"/>
      <c r="D401" s="3"/>
      <c r="E401" s="3"/>
      <c r="F401" s="3"/>
      <c r="G401" s="3"/>
      <c r="H401" s="3"/>
      <c r="I401" s="3"/>
    </row>
    <row r="402" spans="2:9">
      <c r="B402" s="3"/>
      <c r="C402" s="3"/>
      <c r="D402" s="3"/>
      <c r="E402" s="3"/>
      <c r="F402" s="3"/>
      <c r="G402" s="3"/>
      <c r="H402" s="3"/>
      <c r="I402" s="3"/>
    </row>
    <row r="403" spans="2:9">
      <c r="B403" s="3"/>
      <c r="C403" s="3"/>
      <c r="D403" s="3"/>
      <c r="E403" s="3"/>
      <c r="F403" s="3"/>
      <c r="G403" s="3"/>
      <c r="H403" s="3"/>
      <c r="I403" s="3"/>
    </row>
    <row r="404" spans="2:9">
      <c r="B404" s="3"/>
      <c r="C404" s="3"/>
      <c r="D404" s="3"/>
      <c r="E404" s="3"/>
      <c r="F404" s="3"/>
      <c r="G404" s="3"/>
      <c r="H404" s="3"/>
      <c r="I404" s="3"/>
    </row>
    <row r="405" spans="2:9">
      <c r="B405" s="3"/>
      <c r="C405" s="3"/>
      <c r="D405" s="3"/>
      <c r="E405" s="3"/>
      <c r="F405" s="3"/>
      <c r="G405" s="3"/>
      <c r="H405" s="3"/>
      <c r="I405" s="3"/>
    </row>
    <row r="406" spans="2:9">
      <c r="B406" s="3"/>
      <c r="C406" s="3"/>
      <c r="D406" s="3"/>
      <c r="E406" s="3"/>
      <c r="F406" s="3"/>
      <c r="G406" s="3"/>
      <c r="H406" s="3"/>
      <c r="I406" s="3"/>
    </row>
    <row r="407" spans="2:9">
      <c r="B407" s="3"/>
      <c r="C407" s="3"/>
      <c r="D407" s="3"/>
      <c r="E407" s="3"/>
      <c r="F407" s="3"/>
      <c r="G407" s="3"/>
      <c r="H407" s="3"/>
      <c r="I407" s="3"/>
    </row>
    <row r="408" spans="2:9">
      <c r="B408" s="3"/>
      <c r="C408" s="3"/>
      <c r="D408" s="3"/>
      <c r="E408" s="3"/>
      <c r="F408" s="3"/>
      <c r="G408" s="3"/>
      <c r="H408" s="3"/>
      <c r="I408" s="3"/>
    </row>
    <row r="409" spans="2:9">
      <c r="B409" s="3"/>
      <c r="C409" s="3"/>
      <c r="D409" s="3"/>
      <c r="E409" s="3"/>
      <c r="F409" s="3"/>
      <c r="G409" s="3"/>
      <c r="H409" s="3"/>
      <c r="I409" s="3"/>
    </row>
    <row r="410" spans="2:9">
      <c r="B410" s="3"/>
      <c r="C410" s="3"/>
      <c r="D410" s="3"/>
      <c r="E410" s="3"/>
      <c r="F410" s="3"/>
      <c r="G410" s="3"/>
      <c r="H410" s="3"/>
      <c r="I410" s="3"/>
    </row>
    <row r="411" spans="2:9">
      <c r="B411" s="3"/>
      <c r="C411" s="3"/>
      <c r="D411" s="3"/>
      <c r="E411" s="3"/>
      <c r="F411" s="3"/>
      <c r="G411" s="3"/>
      <c r="H411" s="3"/>
      <c r="I411" s="3"/>
    </row>
    <row r="412" spans="2:9">
      <c r="B412" s="3"/>
      <c r="C412" s="3"/>
      <c r="D412" s="3"/>
      <c r="E412" s="3"/>
      <c r="F412" s="3"/>
      <c r="G412" s="3"/>
      <c r="H412" s="3"/>
      <c r="I412" s="3"/>
    </row>
    <row r="413" spans="2:9">
      <c r="B413" s="3"/>
      <c r="C413" s="3"/>
      <c r="D413" s="3"/>
      <c r="E413" s="3"/>
      <c r="F413" s="3"/>
      <c r="G413" s="3"/>
      <c r="H413" s="3"/>
      <c r="I413" s="3"/>
    </row>
    <row r="414" spans="2:9">
      <c r="B414" s="3"/>
      <c r="C414" s="3"/>
      <c r="D414" s="3"/>
      <c r="E414" s="3"/>
      <c r="F414" s="3"/>
      <c r="G414" s="3"/>
      <c r="H414" s="3"/>
      <c r="I414" s="3"/>
    </row>
    <row r="415" spans="2:9">
      <c r="B415" s="3"/>
      <c r="C415" s="3"/>
      <c r="D415" s="3"/>
      <c r="E415" s="3"/>
      <c r="F415" s="3"/>
      <c r="G415" s="3"/>
      <c r="H415" s="3"/>
      <c r="I415" s="3"/>
    </row>
    <row r="416" spans="2:9">
      <c r="B416" s="3"/>
      <c r="C416" s="3"/>
      <c r="D416" s="3"/>
      <c r="E416" s="3"/>
      <c r="F416" s="3"/>
      <c r="G416" s="3"/>
      <c r="H416" s="3"/>
      <c r="I416" s="3"/>
    </row>
    <row r="417" spans="2:9">
      <c r="B417" s="3"/>
      <c r="C417" s="3"/>
      <c r="D417" s="3"/>
      <c r="E417" s="3"/>
      <c r="F417" s="3"/>
      <c r="G417" s="3"/>
      <c r="H417" s="3"/>
      <c r="I417" s="3"/>
    </row>
    <row r="418" spans="2:9">
      <c r="B418" s="3"/>
      <c r="C418" s="3"/>
      <c r="D418" s="3"/>
      <c r="E418" s="3"/>
      <c r="F418" s="3"/>
      <c r="G418" s="3"/>
      <c r="H418" s="3"/>
      <c r="I418" s="3"/>
    </row>
    <row r="419" spans="2:9">
      <c r="B419" s="3"/>
      <c r="C419" s="3"/>
      <c r="D419" s="3"/>
      <c r="E419" s="3"/>
      <c r="F419" s="3"/>
      <c r="G419" s="3"/>
      <c r="H419" s="3"/>
      <c r="I419" s="3"/>
    </row>
    <row r="420" spans="2:9">
      <c r="B420" s="3"/>
      <c r="C420" s="3"/>
      <c r="D420" s="3"/>
      <c r="E420" s="3"/>
      <c r="F420" s="3"/>
      <c r="G420" s="3"/>
      <c r="H420" s="3"/>
      <c r="I420" s="3"/>
    </row>
    <row r="421" spans="2:9">
      <c r="B421" s="3"/>
      <c r="C421" s="3"/>
      <c r="D421" s="3"/>
      <c r="E421" s="3"/>
      <c r="F421" s="3"/>
      <c r="G421" s="3"/>
      <c r="H421" s="3"/>
      <c r="I421" s="3"/>
    </row>
    <row r="422" spans="2:9">
      <c r="B422" s="3"/>
      <c r="C422" s="3"/>
      <c r="D422" s="3"/>
      <c r="E422" s="3"/>
      <c r="F422" s="3"/>
      <c r="G422" s="3"/>
      <c r="H422" s="3"/>
      <c r="I422" s="3"/>
    </row>
    <row r="423" spans="2:9">
      <c r="B423" s="3"/>
      <c r="C423" s="3"/>
      <c r="D423" s="3"/>
      <c r="E423" s="3"/>
      <c r="F423" s="3"/>
      <c r="G423" s="3"/>
      <c r="H423" s="3"/>
      <c r="I423" s="3"/>
    </row>
    <row r="424" spans="2:9">
      <c r="B424" s="3"/>
      <c r="C424" s="3"/>
      <c r="D424" s="3"/>
      <c r="E424" s="3"/>
      <c r="F424" s="3"/>
      <c r="G424" s="3"/>
      <c r="H424" s="3"/>
      <c r="I424" s="3"/>
    </row>
    <row r="425" spans="2:9">
      <c r="B425" s="3"/>
      <c r="C425" s="3"/>
      <c r="D425" s="3"/>
      <c r="E425" s="3"/>
      <c r="F425" s="3"/>
      <c r="G425" s="3"/>
      <c r="H425" s="3"/>
      <c r="I425" s="3"/>
    </row>
    <row r="426" spans="2:9">
      <c r="B426" s="3"/>
      <c r="C426" s="3"/>
      <c r="D426" s="3"/>
      <c r="E426" s="3"/>
      <c r="F426" s="3"/>
      <c r="G426" s="3"/>
      <c r="H426" s="3"/>
      <c r="I426" s="3"/>
    </row>
    <row r="427" spans="2:9">
      <c r="B427" s="3"/>
      <c r="C427" s="3"/>
      <c r="D427" s="3"/>
      <c r="E427" s="3"/>
      <c r="F427" s="3"/>
      <c r="G427" s="3"/>
      <c r="H427" s="3"/>
      <c r="I427" s="3"/>
    </row>
    <row r="428" spans="2:9">
      <c r="B428" s="3"/>
      <c r="C428" s="3"/>
      <c r="D428" s="3"/>
      <c r="E428" s="3"/>
      <c r="F428" s="3"/>
      <c r="G428" s="3"/>
      <c r="H428" s="3"/>
      <c r="I428" s="3"/>
    </row>
    <row r="429" spans="2:9">
      <c r="B429" s="3"/>
      <c r="C429" s="3"/>
      <c r="D429" s="3"/>
      <c r="E429" s="3"/>
      <c r="F429" s="3"/>
      <c r="G429" s="3"/>
      <c r="H429" s="3"/>
      <c r="I429" s="3"/>
    </row>
    <row r="430" spans="2:9">
      <c r="B430" s="3"/>
      <c r="C430" s="3"/>
      <c r="D430" s="3"/>
      <c r="E430" s="3"/>
      <c r="F430" s="3"/>
      <c r="G430" s="3"/>
      <c r="H430" s="3"/>
      <c r="I430" s="3"/>
    </row>
    <row r="431" spans="2:9">
      <c r="B431" s="3"/>
      <c r="C431" s="3"/>
      <c r="D431" s="3"/>
      <c r="E431" s="3"/>
      <c r="F431" s="3"/>
      <c r="G431" s="3"/>
      <c r="H431" s="3"/>
      <c r="I431" s="3"/>
    </row>
    <row r="432" spans="2:9">
      <c r="B432" s="3"/>
      <c r="C432" s="3"/>
      <c r="D432" s="3"/>
      <c r="E432" s="3"/>
      <c r="F432" s="3"/>
      <c r="G432" s="3"/>
      <c r="H432" s="3"/>
      <c r="I432" s="3"/>
    </row>
    <row r="433" spans="2:9">
      <c r="B433" s="3"/>
      <c r="C433" s="3"/>
      <c r="D433" s="3"/>
      <c r="E433" s="3"/>
      <c r="F433" s="3"/>
      <c r="G433" s="3"/>
      <c r="H433" s="3"/>
      <c r="I433" s="3"/>
    </row>
    <row r="434" spans="2:9">
      <c r="B434" s="3"/>
      <c r="C434" s="3"/>
      <c r="D434" s="3"/>
      <c r="E434" s="3"/>
      <c r="F434" s="3"/>
      <c r="G434" s="3"/>
      <c r="H434" s="3"/>
      <c r="I434" s="3"/>
    </row>
    <row r="435" spans="2:9">
      <c r="B435" s="3"/>
      <c r="C435" s="3"/>
      <c r="D435" s="3"/>
      <c r="E435" s="3"/>
      <c r="F435" s="3"/>
      <c r="G435" s="3"/>
      <c r="H435" s="3"/>
      <c r="I435" s="3"/>
    </row>
    <row r="436" spans="2:9">
      <c r="B436" s="3"/>
      <c r="C436" s="3"/>
      <c r="D436" s="3"/>
      <c r="E436" s="3"/>
      <c r="F436" s="3"/>
      <c r="G436" s="3"/>
      <c r="H436" s="3"/>
      <c r="I436" s="3"/>
    </row>
    <row r="437" spans="2:9">
      <c r="B437" s="3"/>
      <c r="C437" s="3"/>
      <c r="D437" s="3"/>
      <c r="E437" s="3"/>
      <c r="F437" s="3"/>
      <c r="G437" s="3"/>
      <c r="H437" s="3"/>
      <c r="I437" s="3"/>
    </row>
    <row r="438" spans="2:9">
      <c r="B438" s="3"/>
      <c r="C438" s="3"/>
      <c r="D438" s="3"/>
      <c r="E438" s="3"/>
      <c r="F438" s="3"/>
      <c r="G438" s="3"/>
      <c r="H438" s="3"/>
      <c r="I438" s="3"/>
    </row>
    <row r="439" spans="2:9">
      <c r="B439" s="3"/>
      <c r="C439" s="3"/>
      <c r="D439" s="3"/>
      <c r="E439" s="3"/>
      <c r="F439" s="3"/>
      <c r="G439" s="3"/>
      <c r="H439" s="3"/>
      <c r="I439" s="3"/>
    </row>
    <row r="440" spans="2:9">
      <c r="B440" s="3"/>
      <c r="C440" s="3"/>
      <c r="D440" s="3"/>
      <c r="E440" s="3"/>
      <c r="F440" s="3"/>
      <c r="G440" s="3"/>
      <c r="H440" s="3"/>
      <c r="I440" s="3"/>
    </row>
    <row r="441" spans="2:9">
      <c r="B441" s="3"/>
      <c r="C441" s="3"/>
      <c r="D441" s="3"/>
      <c r="E441" s="3"/>
      <c r="F441" s="3"/>
      <c r="G441" s="3"/>
      <c r="H441" s="3"/>
      <c r="I441" s="3"/>
    </row>
    <row r="442" spans="2:9">
      <c r="B442" s="3"/>
      <c r="C442" s="3"/>
      <c r="D442" s="3"/>
      <c r="E442" s="3"/>
      <c r="F442" s="3"/>
      <c r="G442" s="3"/>
      <c r="H442" s="3"/>
      <c r="I442" s="3"/>
    </row>
    <row r="443" spans="2:9">
      <c r="B443" s="3"/>
      <c r="C443" s="3"/>
      <c r="D443" s="3"/>
      <c r="E443" s="3"/>
      <c r="F443" s="3"/>
      <c r="G443" s="3"/>
      <c r="H443" s="3"/>
      <c r="I443" s="3"/>
    </row>
    <row r="444" spans="2:9">
      <c r="B444" s="3"/>
      <c r="C444" s="3"/>
      <c r="D444" s="3"/>
      <c r="E444" s="3"/>
      <c r="F444" s="3"/>
      <c r="G444" s="3"/>
      <c r="H444" s="3"/>
      <c r="I444" s="3"/>
    </row>
    <row r="445" spans="2:9">
      <c r="B445" s="3"/>
      <c r="C445" s="3"/>
      <c r="D445" s="3"/>
      <c r="E445" s="3"/>
      <c r="F445" s="3"/>
      <c r="G445" s="3"/>
      <c r="H445" s="3"/>
      <c r="I445" s="3"/>
    </row>
    <row r="446" spans="2:9">
      <c r="B446" s="3"/>
      <c r="C446" s="3"/>
      <c r="D446" s="3"/>
      <c r="E446" s="3"/>
      <c r="F446" s="3"/>
      <c r="G446" s="3"/>
      <c r="H446" s="3"/>
      <c r="I446" s="3"/>
    </row>
    <row r="447" spans="2:9">
      <c r="B447" s="3"/>
      <c r="C447" s="3"/>
      <c r="D447" s="3"/>
      <c r="E447" s="3"/>
      <c r="F447" s="3"/>
      <c r="G447" s="3"/>
      <c r="H447" s="3"/>
      <c r="I447" s="3"/>
    </row>
    <row r="448" spans="2:9">
      <c r="B448" s="3"/>
      <c r="C448" s="3"/>
      <c r="D448" s="3"/>
      <c r="E448" s="3"/>
      <c r="F448" s="3"/>
      <c r="G448" s="3"/>
      <c r="H448" s="3"/>
      <c r="I448" s="3"/>
    </row>
    <row r="449" spans="2:9">
      <c r="B449" s="3"/>
      <c r="C449" s="3"/>
      <c r="D449" s="3"/>
      <c r="E449" s="3"/>
      <c r="F449" s="3"/>
      <c r="G449" s="3"/>
      <c r="H449" s="3"/>
      <c r="I449" s="3"/>
    </row>
    <row r="450" spans="2:9">
      <c r="B450" s="3"/>
      <c r="C450" s="3"/>
      <c r="D450" s="3"/>
      <c r="E450" s="3"/>
      <c r="F450" s="3"/>
      <c r="G450" s="3"/>
      <c r="H450" s="3"/>
      <c r="I450" s="3"/>
    </row>
    <row r="451" spans="2:9">
      <c r="B451" s="3"/>
      <c r="C451" s="3"/>
      <c r="D451" s="3"/>
      <c r="E451" s="3"/>
      <c r="F451" s="3"/>
      <c r="G451" s="3"/>
      <c r="H451" s="3"/>
      <c r="I451" s="3"/>
    </row>
    <row r="452" spans="2:9">
      <c r="B452" s="3"/>
      <c r="C452" s="3"/>
      <c r="D452" s="3"/>
      <c r="E452" s="3"/>
      <c r="F452" s="3"/>
      <c r="G452" s="3"/>
      <c r="H452" s="3"/>
      <c r="I452" s="3"/>
    </row>
    <row r="453" spans="2:9">
      <c r="B453" s="3"/>
      <c r="C453" s="3"/>
      <c r="D453" s="3"/>
      <c r="E453" s="3"/>
      <c r="F453" s="3"/>
      <c r="G453" s="3"/>
      <c r="H453" s="3"/>
      <c r="I453" s="3"/>
    </row>
    <row r="454" spans="2:9">
      <c r="B454" s="3"/>
      <c r="C454" s="3"/>
      <c r="D454" s="3"/>
      <c r="E454" s="3"/>
      <c r="F454" s="3"/>
      <c r="G454" s="3"/>
      <c r="H454" s="3"/>
      <c r="I454" s="3"/>
    </row>
    <row r="455" spans="2:9">
      <c r="B455" s="3"/>
      <c r="C455" s="3"/>
      <c r="D455" s="3"/>
      <c r="E455" s="3"/>
      <c r="F455" s="3"/>
      <c r="G455" s="3"/>
      <c r="H455" s="3"/>
      <c r="I455" s="3"/>
    </row>
    <row r="456" spans="2:9">
      <c r="B456" s="3"/>
      <c r="C456" s="3"/>
      <c r="D456" s="3"/>
      <c r="E456" s="3"/>
      <c r="F456" s="3"/>
      <c r="G456" s="3"/>
      <c r="H456" s="3"/>
      <c r="I456" s="3"/>
    </row>
    <row r="457" spans="2:9">
      <c r="B457" s="3"/>
      <c r="C457" s="3"/>
      <c r="D457" s="3"/>
      <c r="E457" s="3"/>
      <c r="F457" s="3"/>
      <c r="G457" s="3"/>
      <c r="H457" s="3"/>
      <c r="I457" s="3"/>
    </row>
    <row r="458" spans="2:9">
      <c r="B458" s="3"/>
      <c r="C458" s="3"/>
      <c r="D458" s="3"/>
      <c r="E458" s="3"/>
      <c r="F458" s="3"/>
      <c r="G458" s="3"/>
      <c r="H458" s="3"/>
      <c r="I458" s="3"/>
    </row>
    <row r="459" spans="2:9">
      <c r="B459" s="3"/>
      <c r="C459" s="3"/>
      <c r="D459" s="3"/>
      <c r="E459" s="3"/>
      <c r="F459" s="3"/>
      <c r="G459" s="3"/>
      <c r="H459" s="3"/>
      <c r="I459" s="3"/>
    </row>
    <row r="460" spans="2:9">
      <c r="B460" s="3"/>
      <c r="C460" s="3"/>
      <c r="D460" s="3"/>
      <c r="E460" s="3"/>
      <c r="F460" s="3"/>
      <c r="G460" s="3"/>
      <c r="H460" s="3"/>
      <c r="I460" s="3"/>
    </row>
    <row r="461" spans="2:9">
      <c r="B461" s="3"/>
      <c r="C461" s="3"/>
      <c r="D461" s="3"/>
      <c r="E461" s="3"/>
      <c r="F461" s="3"/>
      <c r="G461" s="3"/>
      <c r="H461" s="3"/>
      <c r="I461" s="3"/>
    </row>
    <row r="462" spans="2:9">
      <c r="B462" s="3"/>
      <c r="C462" s="3"/>
      <c r="D462" s="3"/>
      <c r="E462" s="3"/>
      <c r="F462" s="3"/>
      <c r="G462" s="3"/>
      <c r="H462" s="3"/>
      <c r="I462" s="3"/>
    </row>
    <row r="463" spans="2:9">
      <c r="B463" s="3"/>
      <c r="C463" s="3"/>
      <c r="D463" s="3"/>
      <c r="E463" s="3"/>
      <c r="F463" s="3"/>
      <c r="G463" s="3"/>
      <c r="H463" s="3"/>
      <c r="I463" s="3"/>
    </row>
    <row r="464" spans="2:9">
      <c r="B464" s="3"/>
      <c r="C464" s="3"/>
      <c r="D464" s="3"/>
      <c r="E464" s="3"/>
      <c r="F464" s="3"/>
      <c r="G464" s="3"/>
      <c r="H464" s="3"/>
      <c r="I464" s="3"/>
    </row>
    <row r="465" spans="2:7">
      <c r="B465" s="3"/>
      <c r="C465" s="3"/>
      <c r="D465" s="3"/>
      <c r="E465" s="3"/>
      <c r="F465" s="3"/>
      <c r="G465" s="3"/>
    </row>
    <row r="466" spans="2:7">
      <c r="B466" s="3"/>
      <c r="C466" s="3"/>
      <c r="D466" s="3"/>
      <c r="E466" s="3"/>
      <c r="F466" s="3"/>
      <c r="G466" s="3"/>
    </row>
    <row r="467" spans="2:7">
      <c r="B467" s="3"/>
      <c r="C467" s="3"/>
      <c r="D467" s="3"/>
      <c r="E467" s="3"/>
      <c r="F467" s="3"/>
      <c r="G467" s="3"/>
    </row>
    <row r="468" spans="2:7">
      <c r="B468" s="3"/>
      <c r="C468" s="3"/>
      <c r="D468" s="3"/>
      <c r="E468" s="3"/>
      <c r="F468" s="3"/>
      <c r="G468" s="3"/>
    </row>
    <row r="469" spans="2:7">
      <c r="B469" s="3"/>
      <c r="C469" s="3"/>
      <c r="D469" s="3"/>
      <c r="E469" s="3"/>
      <c r="F469" s="3"/>
      <c r="G469" s="3"/>
    </row>
    <row r="470" spans="2:7">
      <c r="B470" s="3"/>
      <c r="C470" s="3"/>
      <c r="D470" s="3"/>
      <c r="E470" s="3"/>
      <c r="F470" s="3"/>
      <c r="G470" s="3"/>
    </row>
    <row r="471" spans="2:7">
      <c r="B471" s="3"/>
      <c r="C471" s="3"/>
      <c r="D471" s="3"/>
      <c r="E471" s="3"/>
      <c r="F471" s="3"/>
      <c r="G471" s="3"/>
    </row>
    <row r="472" spans="2:7">
      <c r="B472" s="3"/>
      <c r="C472" s="3"/>
      <c r="D472" s="3"/>
      <c r="E472" s="3"/>
      <c r="F472" s="3"/>
      <c r="G472" s="3"/>
    </row>
    <row r="473" spans="2:7">
      <c r="B473" s="3"/>
      <c r="C473" s="3"/>
      <c r="D473" s="3"/>
      <c r="E473" s="3"/>
      <c r="F473" s="3"/>
      <c r="G473" s="3"/>
    </row>
    <row r="474" spans="2:7">
      <c r="B474" s="3"/>
      <c r="C474" s="3"/>
      <c r="D474" s="3"/>
      <c r="E474" s="3"/>
      <c r="F474" s="3"/>
      <c r="G474" s="3"/>
    </row>
    <row r="475" spans="2:7">
      <c r="B475" s="3"/>
      <c r="C475" s="3"/>
      <c r="D475" s="3"/>
      <c r="E475" s="3"/>
      <c r="F475" s="3"/>
      <c r="G475" s="3"/>
    </row>
    <row r="476" spans="2:7">
      <c r="B476" s="3"/>
      <c r="C476" s="3"/>
      <c r="D476" s="3"/>
      <c r="E476" s="3"/>
      <c r="F476" s="3"/>
      <c r="G476" s="3"/>
    </row>
    <row r="477" spans="2:7">
      <c r="B477" s="3"/>
      <c r="C477" s="3"/>
      <c r="D477" s="3"/>
      <c r="E477" s="3"/>
      <c r="F477" s="3"/>
      <c r="G477" s="3"/>
    </row>
    <row r="478" spans="2:7">
      <c r="B478" s="3"/>
      <c r="C478" s="3"/>
      <c r="D478" s="3"/>
      <c r="E478" s="3"/>
      <c r="F478" s="3"/>
      <c r="G478" s="3"/>
    </row>
    <row r="479" spans="2:7">
      <c r="B479" s="3"/>
      <c r="C479" s="3"/>
      <c r="D479" s="3"/>
      <c r="E479" s="3"/>
      <c r="F479" s="3"/>
      <c r="G479" s="3"/>
    </row>
    <row r="480" spans="2:7">
      <c r="B480" s="3"/>
      <c r="C480" s="3"/>
      <c r="D480" s="3"/>
      <c r="E480" s="3"/>
      <c r="F480" s="3"/>
      <c r="G480" s="3"/>
    </row>
    <row r="481" spans="2:7">
      <c r="B481" s="3"/>
      <c r="C481" s="3"/>
      <c r="D481" s="3"/>
      <c r="E481" s="3"/>
      <c r="F481" s="3"/>
      <c r="G481" s="3"/>
    </row>
  </sheetData>
  <sheetProtection algorithmName="SHA-512" hashValue="ieFYuCNxsqCcPczYIbAuAjvGxLUPlFxzKsfJ0NC/7VesxYvpk5nh+CtYuKuK37s0u40zT0J3VZQ5vfdl2V7M9w==" saltValue="T2rLAt+by6kSkYH1mSU6iQ==" spinCount="100000" sheet="1" objects="1" scenarios="1" selectLockedCells="1"/>
  <mergeCells count="20">
    <mergeCell ref="B5:I5"/>
    <mergeCell ref="D10:H10"/>
    <mergeCell ref="D8:H8"/>
    <mergeCell ref="D22:H22"/>
    <mergeCell ref="E73:H78"/>
    <mergeCell ref="C73:D78"/>
    <mergeCell ref="B65:D66"/>
    <mergeCell ref="B68:D69"/>
    <mergeCell ref="B62:D63"/>
    <mergeCell ref="D36:H36"/>
    <mergeCell ref="D38:H38"/>
    <mergeCell ref="D44:E44"/>
    <mergeCell ref="D50:H50"/>
    <mergeCell ref="D52:H52"/>
    <mergeCell ref="D58:E58"/>
    <mergeCell ref="C95:H98"/>
    <mergeCell ref="D16:E16"/>
    <mergeCell ref="D24:H24"/>
    <mergeCell ref="D30:E30"/>
    <mergeCell ref="C82:H89"/>
  </mergeCells>
  <conditionalFormatting sqref="D22:H22 D25 F25 H25 F28 D28:D30">
    <cfRule type="expression" dxfId="372" priority="4">
      <formula>$D$20="Yes"</formula>
    </cfRule>
  </conditionalFormatting>
  <conditionalFormatting sqref="D24:H24">
    <cfRule type="expression" dxfId="371" priority="5">
      <formula>$D$20="Yes"</formula>
    </cfRule>
  </conditionalFormatting>
  <conditionalFormatting sqref="D36:H36 D38:H38 D39 F39 H39 F42 D42:D44">
    <cfRule type="expression" dxfId="370" priority="3">
      <formula>$D$34="Yes"</formula>
    </cfRule>
  </conditionalFormatting>
  <conditionalFormatting sqref="D50:H50 D52:H52 D53 F53 H53 F56 D56:D58">
    <cfRule type="expression" dxfId="369" priority="2">
      <formula>$D$48="Yes"</formula>
    </cfRule>
  </conditionalFormatting>
  <conditionalFormatting sqref="E73:H78">
    <cfRule type="expression" dxfId="368" priority="1">
      <formula>OR($F$62,$F$65,$F$68)</formula>
    </cfRule>
  </conditionalFormatting>
  <dataValidations count="3">
    <dataValidation type="custom" allowBlank="1" showInputMessage="1" showErrorMessage="1" sqref="D16:E16 D30:E30 D44:E44 D58:E58" xr:uid="{C69B9788-F244-384F-9B64-DEB2B2481D2B}">
      <formula1>ISNUMBER(MATCH("*@*.???",D16,0))</formula1>
    </dataValidation>
    <dataValidation type="custom" allowBlank="1" showInputMessage="1" showErrorMessage="1" sqref="F1 A4:A37" xr:uid="{1E10444A-1DE3-461E-9A7F-CB10DF622EC6}">
      <formula1>"&lt;0&gt;0"</formula1>
    </dataValidation>
    <dataValidation type="custom" allowBlank="1" showInputMessage="1" showErrorMessage="1" errorTitle="Phone Number Error" error="Please enter phone number with numeric values only." sqref="D57 D29 D43 D15" xr:uid="{1A5D23FB-E617-49A9-B45B-8D5E96C5E2C3}">
      <formula1>ISNUMBER(D15)</formula1>
    </dataValidation>
  </dataValidations>
  <pageMargins left="0.7" right="0.7" top="0.75" bottom="0.75" header="0.3" footer="0.3"/>
  <pageSetup scale="43" orientation="portrait" copies="5" r:id="rId1"/>
  <headerFooter>
    <oddHeader>&amp;L&amp;G</oddHeader>
    <oddFooter>&amp;LVersion - 2023.0.01&amp;CWHEDA MULTIFAMILY APPLICATION&amp;R&amp;P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D1A49CFE-32C2-3747-B1A2-52691CA3D193}">
          <x14:formula1>
            <xm:f>'Dropdown Lists'!$A$2:$A$3</xm:f>
          </x14:formula1>
          <xm:sqref>H72 D48 D20 E62 E65 E68 D34</xm:sqref>
        </x14:dataValidation>
        <x14:dataValidation type="list" allowBlank="1" showInputMessage="1" showErrorMessage="1" xr:uid="{04746F3D-D8D5-4308-997F-E654EF172CC6}">
          <x14:formula1>
            <xm:f>'Dropdown Lists'!$U$3:$U$53</xm:f>
          </x14:formula1>
          <xm:sqref>F53 F25 F39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5F20-F3F2-5441-86B3-7D8AB73E1D82}">
  <sheetPr codeName="Sheet6">
    <pageSetUpPr fitToPage="1"/>
  </sheetPr>
  <dimension ref="A1:R121"/>
  <sheetViews>
    <sheetView workbookViewId="0">
      <selection activeCell="E6" sqref="E6"/>
    </sheetView>
  </sheetViews>
  <sheetFormatPr baseColWidth="10" defaultColWidth="8.83203125" defaultRowHeight="15"/>
  <cols>
    <col min="1" max="1" width="5.6640625" style="3" customWidth="1"/>
    <col min="2" max="2" width="19" style="3" customWidth="1"/>
    <col min="3" max="3" width="38.5" style="3" customWidth="1"/>
    <col min="4" max="4" width="20.83203125" style="3" customWidth="1"/>
    <col min="5" max="5" width="29.5" style="3" customWidth="1"/>
    <col min="6" max="6" width="25.83203125" style="3" customWidth="1"/>
    <col min="7" max="7" width="8" style="3" bestFit="1" customWidth="1"/>
    <col min="8" max="8" width="20.83203125" style="3" customWidth="1"/>
    <col min="9" max="9" width="8.83203125" style="3"/>
    <col min="10" max="10" width="15.83203125" style="3" bestFit="1" customWidth="1"/>
    <col min="11" max="11" width="14.83203125" style="131" customWidth="1"/>
    <col min="12" max="12" width="19.5" style="131" bestFit="1" customWidth="1"/>
    <col min="13" max="13" width="14.83203125" style="131" customWidth="1"/>
    <col min="14" max="14" width="23.83203125" style="3" bestFit="1" customWidth="1"/>
    <col min="15" max="15" width="14.5" style="3" customWidth="1"/>
    <col min="16" max="16" width="2" style="3" bestFit="1" customWidth="1"/>
    <col min="17" max="17" width="15" style="3" customWidth="1"/>
    <col min="18" max="16384" width="8.83203125" style="3"/>
  </cols>
  <sheetData>
    <row r="1" spans="1:18" ht="29">
      <c r="B1" s="4" t="str">
        <f>'1. TOC'!B1</f>
        <v>WHEDA 2025 Multifamily Application</v>
      </c>
      <c r="C1" s="4"/>
      <c r="E1" s="149" t="str">
        <f>'1. TOC'!L1</f>
        <v>v25.1.9</v>
      </c>
      <c r="F1" s="1086" t="str">
        <f>HYPERLINK("#Table_of_Contents", Table_of_Contents)</f>
        <v>Table of Contents</v>
      </c>
    </row>
    <row r="2" spans="1:18" ht="21">
      <c r="B2" s="1014" t="str">
        <f>_xlfn.CONCAT(IF(ISBLANK(WHEDA_Project_Number),"",_xlfn.CONCAT(WHEDA_Project_Number,"-")), Project_Name, IF(ISBLANK(Credit_percentage_applied_for),"",_xlfn.CONCAT(" (", Credit_percentage_applied_for," HTC)")))</f>
        <v/>
      </c>
      <c r="C2" s="5"/>
      <c r="F2"/>
      <c r="I2"/>
    </row>
    <row r="3" spans="1:18" ht="19">
      <c r="A3" s="132"/>
      <c r="B3" s="13"/>
      <c r="C3" s="7"/>
      <c r="D3" s="7"/>
      <c r="E3" s="7"/>
      <c r="F3" s="7"/>
      <c r="G3" s="7"/>
      <c r="H3" s="7"/>
      <c r="I3" s="7"/>
    </row>
    <row r="4" spans="1:18" ht="29">
      <c r="A4" s="1064"/>
      <c r="B4" s="4" t="s">
        <v>730</v>
      </c>
    </row>
    <row r="5" spans="1:18" ht="16">
      <c r="A5" s="1064"/>
      <c r="B5" s="1167"/>
      <c r="C5" s="1167"/>
      <c r="D5" s="1167"/>
      <c r="E5" s="1167"/>
      <c r="F5" s="1167"/>
      <c r="G5" s="1167"/>
      <c r="H5" s="1167"/>
      <c r="I5" s="1167"/>
    </row>
    <row r="6" spans="1:18" ht="16" customHeight="1">
      <c r="A6" s="1064"/>
      <c r="B6" s="1167"/>
      <c r="C6" s="1196"/>
      <c r="D6" s="1680" t="s">
        <v>3468</v>
      </c>
      <c r="E6" s="340"/>
      <c r="F6" s="1196"/>
      <c r="G6" s="1196"/>
      <c r="H6" s="1196"/>
      <c r="I6" s="1196"/>
      <c r="J6" s="14"/>
      <c r="K6" s="1486"/>
      <c r="L6" s="1486"/>
    </row>
    <row r="7" spans="1:18" ht="16">
      <c r="A7" s="1064"/>
      <c r="B7" s="1167"/>
      <c r="C7" s="2006" t="s">
        <v>3469</v>
      </c>
      <c r="D7" s="2006"/>
      <c r="E7" s="340"/>
      <c r="F7" s="1196"/>
      <c r="G7" s="1196"/>
      <c r="H7" s="1196"/>
      <c r="I7" s="1196"/>
      <c r="J7" s="14"/>
      <c r="K7" s="1486"/>
      <c r="L7" s="1486"/>
    </row>
    <row r="8" spans="1:18" ht="16">
      <c r="A8" s="1064"/>
      <c r="B8" s="1167"/>
      <c r="C8" s="1197"/>
      <c r="D8" s="1197"/>
      <c r="E8" s="1196"/>
      <c r="F8" s="1196"/>
      <c r="G8" s="1196"/>
      <c r="H8" s="1196"/>
      <c r="I8" s="1196"/>
      <c r="J8" s="14"/>
      <c r="K8" s="1486"/>
      <c r="L8" s="1486"/>
    </row>
    <row r="9" spans="1:18" ht="16" customHeight="1">
      <c r="A9" s="1065"/>
      <c r="B9" s="2006" t="s">
        <v>3470</v>
      </c>
      <c r="C9" s="2006"/>
      <c r="D9" s="2006"/>
      <c r="E9" s="2019"/>
      <c r="F9" s="2019"/>
      <c r="G9" s="1196"/>
      <c r="H9" s="1196"/>
      <c r="I9" s="1196"/>
      <c r="J9" s="14"/>
      <c r="K9" s="1486"/>
      <c r="L9" s="1486"/>
    </row>
    <row r="10" spans="1:18" ht="16">
      <c r="A10" s="1065"/>
      <c r="B10" s="1167"/>
      <c r="C10" s="1181"/>
      <c r="D10" s="1181"/>
      <c r="E10" s="2019"/>
      <c r="F10" s="2019"/>
      <c r="G10" s="1181"/>
      <c r="H10" s="1181"/>
      <c r="I10" s="1181"/>
      <c r="J10" s="15"/>
      <c r="K10" s="1487"/>
      <c r="L10" s="1487"/>
    </row>
    <row r="11" spans="1:18" ht="16" customHeight="1">
      <c r="A11" s="1065"/>
      <c r="B11" s="1167"/>
      <c r="C11" s="1198"/>
      <c r="D11" s="1198"/>
      <c r="E11" s="2019"/>
      <c r="F11" s="2019"/>
      <c r="G11" s="1179"/>
      <c r="H11" s="1167"/>
      <c r="I11" s="1167"/>
    </row>
    <row r="12" spans="1:18" ht="19">
      <c r="A12" s="1065"/>
      <c r="B12" s="1166"/>
      <c r="C12" s="1166"/>
      <c r="D12" s="1166"/>
      <c r="E12" s="1166"/>
      <c r="F12" s="1166"/>
      <c r="G12" s="1190"/>
      <c r="H12" s="1178"/>
      <c r="I12" s="1178"/>
      <c r="J12" s="9"/>
    </row>
    <row r="13" spans="1:18" ht="16">
      <c r="A13" s="1065"/>
      <c r="B13" s="1198"/>
      <c r="C13" s="1198" t="s">
        <v>3471</v>
      </c>
      <c r="D13" s="1179"/>
      <c r="E13" s="1179"/>
      <c r="F13" s="1167"/>
      <c r="G13" s="1179"/>
      <c r="H13" s="1167"/>
      <c r="I13" s="1167"/>
    </row>
    <row r="14" spans="1:18" ht="16">
      <c r="A14" s="1065"/>
      <c r="B14" s="1167"/>
      <c r="C14" s="1167"/>
      <c r="D14" s="1681" t="s">
        <v>3472</v>
      </c>
      <c r="E14" s="338"/>
      <c r="F14" s="1167"/>
      <c r="G14" s="1179"/>
      <c r="H14" s="1167"/>
      <c r="I14" s="1167"/>
    </row>
    <row r="15" spans="1:18" ht="16">
      <c r="A15" s="1065"/>
      <c r="B15" s="1167"/>
      <c r="C15" s="1167"/>
      <c r="D15" s="1681" t="s">
        <v>3473</v>
      </c>
      <c r="E15" s="338"/>
      <c r="F15" s="1167"/>
      <c r="G15" s="1179"/>
      <c r="H15" s="1167"/>
      <c r="I15" s="1167"/>
      <c r="N15" s="9"/>
      <c r="O15" s="9"/>
      <c r="P15" s="9"/>
      <c r="Q15" s="9"/>
      <c r="R15" s="9"/>
    </row>
    <row r="16" spans="1:18" ht="16">
      <c r="A16" s="1065"/>
      <c r="B16" s="1167"/>
      <c r="C16" s="1167"/>
      <c r="D16" s="1681" t="s">
        <v>3474</v>
      </c>
      <c r="E16" s="338"/>
      <c r="F16" s="1167"/>
      <c r="G16" s="1179"/>
      <c r="H16" s="1179"/>
      <c r="I16" s="1167"/>
      <c r="Q16" s="9"/>
      <c r="R16" s="9"/>
    </row>
    <row r="17" spans="1:18" ht="16">
      <c r="A17" s="1065"/>
      <c r="B17" s="1167"/>
      <c r="C17" s="1167"/>
      <c r="D17" s="1680" t="s">
        <v>3475</v>
      </c>
      <c r="E17" s="338"/>
      <c r="F17" s="1167"/>
      <c r="G17" s="1681"/>
      <c r="H17" s="1167"/>
      <c r="I17" s="1167"/>
      <c r="Q17" s="9"/>
      <c r="R17" s="9"/>
    </row>
    <row r="18" spans="1:18" ht="16">
      <c r="A18" s="1065"/>
      <c r="B18" s="1167"/>
      <c r="C18" s="1167"/>
      <c r="D18" s="1680" t="s">
        <v>3476</v>
      </c>
      <c r="E18" s="338"/>
      <c r="F18" s="1167"/>
      <c r="G18" s="1681"/>
      <c r="H18" s="1167"/>
      <c r="I18" s="1167"/>
      <c r="Q18" s="9"/>
      <c r="R18" s="9"/>
    </row>
    <row r="19" spans="1:18" ht="16">
      <c r="A19" s="1065"/>
      <c r="B19" s="1167"/>
      <c r="C19" s="1680"/>
      <c r="D19" s="1179"/>
      <c r="E19" s="1680"/>
      <c r="F19" s="1167"/>
      <c r="G19" s="1681"/>
      <c r="H19" s="1167"/>
      <c r="I19" s="1167"/>
      <c r="Q19" s="9"/>
      <c r="R19" s="9"/>
    </row>
    <row r="20" spans="1:18" ht="16">
      <c r="A20" s="1065"/>
      <c r="B20" s="1167"/>
      <c r="C20" s="2006" t="s">
        <v>3477</v>
      </c>
      <c r="D20" s="2006"/>
      <c r="E20" s="1684"/>
      <c r="F20" s="1179"/>
      <c r="G20" s="1179"/>
      <c r="H20" s="1167"/>
      <c r="I20" s="1167"/>
      <c r="Q20" s="9"/>
      <c r="R20" s="9"/>
    </row>
    <row r="21" spans="1:18" ht="15.75" customHeight="1">
      <c r="A21" s="1065"/>
      <c r="B21" s="1167"/>
      <c r="C21" s="1191"/>
      <c r="D21" s="1681" t="s">
        <v>3478</v>
      </c>
      <c r="E21" s="1996"/>
      <c r="F21" s="2020"/>
      <c r="G21" s="1179"/>
      <c r="H21" s="1167"/>
      <c r="I21" s="1167"/>
      <c r="Q21" s="9"/>
      <c r="R21" s="9"/>
    </row>
    <row r="22" spans="1:18" ht="16">
      <c r="A22" s="1065"/>
      <c r="B22" s="1178"/>
      <c r="C22" s="1192"/>
      <c r="D22" s="1179"/>
      <c r="E22" s="1996"/>
      <c r="F22" s="2020"/>
      <c r="G22" s="1681"/>
      <c r="H22" s="1179"/>
      <c r="I22" s="1167"/>
      <c r="Q22" s="9"/>
      <c r="R22" s="9"/>
    </row>
    <row r="23" spans="1:18" ht="16">
      <c r="A23" s="1065"/>
      <c r="B23" s="1167"/>
      <c r="C23" s="1167"/>
      <c r="D23" s="1167"/>
      <c r="E23" s="2021"/>
      <c r="F23" s="2019"/>
      <c r="G23" s="1681"/>
      <c r="H23" s="1201"/>
      <c r="I23" s="1167"/>
      <c r="Q23" s="9"/>
      <c r="R23" s="9"/>
    </row>
    <row r="24" spans="1:18" ht="16">
      <c r="A24" s="1065"/>
      <c r="B24" s="1167"/>
      <c r="C24" s="1167"/>
      <c r="D24" s="1167"/>
      <c r="E24" s="1167"/>
      <c r="F24" s="1179"/>
      <c r="G24" s="1179"/>
      <c r="H24" s="1167"/>
      <c r="I24" s="1167"/>
      <c r="Q24" s="9"/>
      <c r="R24" s="9"/>
    </row>
    <row r="25" spans="1:18" ht="19">
      <c r="A25" s="1065"/>
      <c r="B25" s="1166"/>
      <c r="C25" s="2022" t="s">
        <v>3479</v>
      </c>
      <c r="D25" s="2022"/>
      <c r="E25" s="1684"/>
      <c r="F25" s="1179"/>
      <c r="G25" s="1179"/>
      <c r="H25" s="1179"/>
      <c r="I25" s="1167"/>
      <c r="Q25" s="9"/>
      <c r="R25" s="9"/>
    </row>
    <row r="26" spans="1:18" ht="16">
      <c r="A26" s="1065"/>
      <c r="B26" s="1167"/>
      <c r="C26" s="2017" t="s">
        <v>3480</v>
      </c>
      <c r="D26" s="2017"/>
      <c r="E26" s="2018"/>
      <c r="F26" s="2018"/>
      <c r="G26" s="1190"/>
      <c r="H26" s="1190"/>
      <c r="I26" s="1167"/>
    </row>
    <row r="27" spans="1:18" ht="16">
      <c r="A27" s="1065"/>
      <c r="B27" s="1167"/>
      <c r="C27" s="1167"/>
      <c r="D27" s="1167"/>
      <c r="E27" s="2018"/>
      <c r="F27" s="2018"/>
      <c r="G27" s="1179"/>
      <c r="H27" s="1179"/>
      <c r="I27" s="1167"/>
    </row>
    <row r="28" spans="1:18" ht="16">
      <c r="A28" s="1065"/>
      <c r="B28" s="1167"/>
      <c r="C28" s="1167"/>
      <c r="D28" s="1167"/>
      <c r="E28" s="2018"/>
      <c r="F28" s="2018"/>
      <c r="G28" s="1179"/>
      <c r="H28" s="1179"/>
      <c r="I28" s="1167"/>
    </row>
    <row r="29" spans="1:18" ht="16">
      <c r="A29" s="1065"/>
      <c r="B29" s="1167"/>
      <c r="C29" s="2006" t="s">
        <v>3481</v>
      </c>
      <c r="D29" s="2006"/>
      <c r="E29" s="362"/>
      <c r="F29" s="1179"/>
      <c r="G29" s="1179"/>
      <c r="H29" s="1179"/>
      <c r="I29" s="1167"/>
    </row>
    <row r="30" spans="1:18" ht="16">
      <c r="A30" s="1065"/>
      <c r="B30" s="1167"/>
      <c r="C30" s="2011" t="s">
        <v>3482</v>
      </c>
      <c r="D30" s="2011"/>
      <c r="E30" s="221"/>
      <c r="F30" s="1190"/>
      <c r="G30" s="1681"/>
      <c r="H30" s="1179"/>
      <c r="I30" s="1167"/>
    </row>
    <row r="31" spans="1:18" ht="16">
      <c r="A31" s="1065"/>
      <c r="B31" s="1167"/>
      <c r="C31" s="1167"/>
      <c r="D31" s="1167"/>
      <c r="E31" s="1167"/>
      <c r="F31" s="1167"/>
      <c r="G31" s="1179"/>
      <c r="H31" s="1179"/>
      <c r="I31" s="1167"/>
    </row>
    <row r="32" spans="1:18" ht="16">
      <c r="A32" s="1065"/>
      <c r="B32" s="1179"/>
      <c r="C32" s="1167"/>
      <c r="D32" s="1680" t="s">
        <v>3483</v>
      </c>
      <c r="E32" s="2013"/>
      <c r="F32" s="2014"/>
      <c r="G32" s="1179"/>
      <c r="H32" s="1179"/>
      <c r="I32" s="1167"/>
    </row>
    <row r="33" spans="1:16" ht="16">
      <c r="A33" s="1065"/>
      <c r="B33" s="1179"/>
      <c r="C33" s="1680"/>
      <c r="D33" s="1179"/>
      <c r="E33" s="2013"/>
      <c r="F33" s="2014"/>
      <c r="G33" s="1179"/>
      <c r="H33" s="1179"/>
      <c r="I33" s="1167"/>
      <c r="N33" s="9"/>
      <c r="O33" s="9"/>
      <c r="P33" s="9"/>
    </row>
    <row r="34" spans="1:16" ht="16">
      <c r="A34" s="1065"/>
      <c r="B34" s="1179"/>
      <c r="C34" s="1680"/>
      <c r="D34" s="1179"/>
      <c r="E34" s="2015"/>
      <c r="F34" s="2016"/>
      <c r="G34" s="1179"/>
      <c r="H34" s="1179"/>
      <c r="I34" s="1167"/>
      <c r="N34" s="9"/>
      <c r="O34" s="9"/>
      <c r="P34" s="9"/>
    </row>
    <row r="35" spans="1:16" ht="16">
      <c r="A35" s="1065"/>
      <c r="B35" s="1179"/>
      <c r="C35" s="1179"/>
      <c r="D35" s="1179"/>
      <c r="E35" s="1179"/>
      <c r="F35" s="1179"/>
      <c r="G35" s="1179"/>
      <c r="H35" s="1179"/>
      <c r="I35" s="1167"/>
      <c r="N35" s="9"/>
      <c r="O35" s="9"/>
      <c r="P35" s="9"/>
    </row>
    <row r="36" spans="1:16" ht="16">
      <c r="A36" s="1065"/>
      <c r="B36" s="1179"/>
      <c r="C36" s="1185" t="str">
        <f>IF('4. Project Description'!D6="Acquisition/Rehab", "Acquisition/Rehab Information", "N/A - Only Required for Acquisition/Rehab Projects")</f>
        <v>N/A - Only Required for Acquisition/Rehab Projects</v>
      </c>
      <c r="D36" s="1681"/>
      <c r="E36" s="1167"/>
      <c r="F36" s="1167"/>
      <c r="G36" s="1179"/>
      <c r="H36" s="1179"/>
      <c r="I36" s="1167"/>
      <c r="N36" s="9"/>
      <c r="O36" s="9"/>
      <c r="P36" s="9"/>
    </row>
    <row r="37" spans="1:16" ht="16">
      <c r="A37" s="1065"/>
      <c r="B37" s="1167"/>
      <c r="C37" s="1167"/>
      <c r="D37" s="1681" t="s">
        <v>3484</v>
      </c>
      <c r="E37" s="791"/>
      <c r="F37" s="1167"/>
      <c r="G37" s="1179"/>
      <c r="H37" s="1179"/>
      <c r="I37" s="1167"/>
      <c r="N37" s="9"/>
      <c r="O37" s="9"/>
      <c r="P37" s="9"/>
    </row>
    <row r="38" spans="1:16" ht="16">
      <c r="A38" s="1065"/>
      <c r="B38" s="1167"/>
      <c r="C38" s="1167"/>
      <c r="D38" s="1681" t="s">
        <v>3485</v>
      </c>
      <c r="E38" s="791"/>
      <c r="F38" s="1167"/>
      <c r="G38" s="1179"/>
      <c r="H38" s="1179"/>
      <c r="I38" s="1167"/>
      <c r="N38" s="9"/>
      <c r="O38" s="9"/>
      <c r="P38" s="9"/>
    </row>
    <row r="39" spans="1:16" ht="16">
      <c r="A39" s="1065"/>
      <c r="B39" s="1167"/>
      <c r="C39" s="1167"/>
      <c r="D39" s="1681" t="s">
        <v>3486</v>
      </c>
      <c r="E39" s="75"/>
      <c r="F39" s="1199"/>
      <c r="G39" s="1179"/>
      <c r="H39" s="1179"/>
      <c r="I39" s="1167"/>
      <c r="N39" s="9"/>
      <c r="O39" s="9"/>
      <c r="P39" s="9"/>
    </row>
    <row r="40" spans="1:16" ht="16">
      <c r="A40" s="1065"/>
      <c r="B40" s="1167"/>
      <c r="C40" s="1167"/>
      <c r="D40" s="1681" t="s">
        <v>3487</v>
      </c>
      <c r="E40" s="791"/>
      <c r="F40" s="1199"/>
      <c r="G40" s="1179"/>
      <c r="H40" s="1179"/>
      <c r="I40" s="1167"/>
      <c r="N40" s="9"/>
      <c r="O40" s="9"/>
      <c r="P40" s="9"/>
    </row>
    <row r="41" spans="1:16" ht="16">
      <c r="A41" s="1065"/>
      <c r="B41" s="1167"/>
      <c r="C41" s="1681"/>
      <c r="D41" s="1681"/>
      <c r="E41" s="1681"/>
      <c r="F41" s="1199"/>
      <c r="G41" s="1179"/>
      <c r="H41" s="1179"/>
      <c r="I41" s="1167"/>
      <c r="N41" s="9"/>
      <c r="O41" s="9"/>
      <c r="P41" s="9"/>
    </row>
    <row r="42" spans="1:16" ht="16">
      <c r="A42" s="1065"/>
      <c r="B42" s="1199"/>
      <c r="C42" s="1199"/>
      <c r="D42" s="1199"/>
      <c r="E42" s="1681"/>
      <c r="F42" s="1199"/>
      <c r="G42" s="1179"/>
      <c r="H42" s="1179"/>
      <c r="I42" s="1167"/>
      <c r="N42" s="9"/>
      <c r="O42" s="9"/>
      <c r="P42" s="9"/>
    </row>
    <row r="43" spans="1:16" ht="16">
      <c r="A43" s="1065"/>
      <c r="B43" s="1185"/>
      <c r="C43" s="1185" t="s">
        <v>3488</v>
      </c>
      <c r="D43" s="1167"/>
      <c r="E43" s="1167"/>
      <c r="F43" s="1167"/>
      <c r="G43" s="1179"/>
      <c r="H43" s="1179"/>
      <c r="I43" s="1167"/>
      <c r="N43" s="9"/>
      <c r="O43" s="9"/>
      <c r="P43" s="9"/>
    </row>
    <row r="44" spans="1:16" ht="15.75" customHeight="1">
      <c r="A44" s="1065"/>
      <c r="B44" s="1167"/>
      <c r="C44" s="2012" t="s">
        <v>3489</v>
      </c>
      <c r="D44" s="2012"/>
      <c r="E44" s="2007"/>
      <c r="F44" s="1179"/>
      <c r="G44" s="1179"/>
      <c r="H44" s="1179"/>
      <c r="I44" s="1167"/>
      <c r="J44" s="9"/>
      <c r="N44" s="9"/>
      <c r="O44" s="9"/>
      <c r="P44" s="9"/>
    </row>
    <row r="45" spans="1:16" ht="16">
      <c r="A45" s="1067"/>
      <c r="B45" s="1167"/>
      <c r="C45" s="2012"/>
      <c r="D45" s="2012"/>
      <c r="E45" s="2008"/>
      <c r="F45" s="1179"/>
      <c r="G45" s="1179"/>
      <c r="H45" s="1179"/>
      <c r="I45" s="1167"/>
      <c r="J45" s="9"/>
      <c r="N45" s="9"/>
      <c r="O45" s="9"/>
      <c r="P45" s="9"/>
    </row>
    <row r="46" spans="1:16" ht="16">
      <c r="A46" s="1067"/>
      <c r="B46" s="1167"/>
      <c r="C46" s="1682"/>
      <c r="D46" s="1682"/>
      <c r="E46" s="1179"/>
      <c r="F46" s="1179"/>
      <c r="G46" s="1179"/>
      <c r="H46" s="1179"/>
      <c r="I46" s="1167"/>
      <c r="J46" s="9"/>
      <c r="N46" s="9"/>
      <c r="O46" s="9"/>
      <c r="P46" s="9"/>
    </row>
    <row r="47" spans="1:16" ht="16">
      <c r="A47" s="1067"/>
      <c r="B47" s="1167"/>
      <c r="C47" s="2023" t="str">
        <f>IF(E44="Yes","Briefly describe the situation ","Not required to be completed at this time ")</f>
        <v xml:space="preserve">Not required to be completed at this time </v>
      </c>
      <c r="D47" s="2023"/>
      <c r="E47" s="1996"/>
      <c r="F47" s="2024"/>
      <c r="G47" s="1179"/>
      <c r="H47" s="1179"/>
      <c r="I47" s="1167"/>
      <c r="J47" s="9"/>
      <c r="N47" s="9"/>
      <c r="O47" s="9"/>
      <c r="P47" s="9"/>
    </row>
    <row r="48" spans="1:16" ht="16">
      <c r="A48" s="1067"/>
      <c r="B48" s="1167"/>
      <c r="C48" s="1167"/>
      <c r="D48" s="1167"/>
      <c r="E48" s="2025"/>
      <c r="F48" s="2026"/>
      <c r="G48" s="1179"/>
      <c r="H48" s="1179"/>
      <c r="I48" s="1167"/>
      <c r="J48" s="9"/>
      <c r="N48" s="9"/>
      <c r="O48" s="9"/>
      <c r="P48" s="9"/>
    </row>
    <row r="49" spans="1:16" ht="16">
      <c r="A49" s="1067"/>
      <c r="B49" s="1167"/>
      <c r="C49" s="1167"/>
      <c r="D49" s="1167"/>
      <c r="E49" s="2027"/>
      <c r="F49" s="2018"/>
      <c r="G49" s="1179"/>
      <c r="H49" s="1179"/>
      <c r="I49" s="1167"/>
      <c r="J49" s="9"/>
      <c r="N49" s="9"/>
      <c r="O49" s="9"/>
      <c r="P49" s="9"/>
    </row>
    <row r="50" spans="1:16" ht="16">
      <c r="A50" s="1067"/>
      <c r="B50" s="1167"/>
      <c r="C50" s="1179"/>
      <c r="D50" s="1179"/>
      <c r="E50" s="1179"/>
      <c r="F50" s="1179"/>
      <c r="G50" s="1179"/>
      <c r="H50" s="1179"/>
      <c r="I50" s="1167"/>
      <c r="J50" s="9"/>
      <c r="N50" s="9"/>
      <c r="O50" s="9"/>
      <c r="P50" s="9"/>
    </row>
    <row r="51" spans="1:16" ht="16">
      <c r="A51" s="1065"/>
      <c r="B51" s="1167"/>
      <c r="C51" s="2022" t="s">
        <v>3490</v>
      </c>
      <c r="D51" s="2022"/>
      <c r="E51" s="2028"/>
      <c r="F51" s="2029"/>
      <c r="G51" s="1179"/>
      <c r="H51" s="1179"/>
      <c r="I51" s="1167"/>
      <c r="J51" s="9"/>
      <c r="N51" s="9"/>
      <c r="O51" s="9"/>
      <c r="P51" s="9"/>
    </row>
    <row r="52" spans="1:16" ht="16">
      <c r="A52" s="1065"/>
      <c r="B52" s="1167"/>
      <c r="C52" s="1179"/>
      <c r="D52" s="1179"/>
      <c r="E52" s="2030"/>
      <c r="F52" s="2031"/>
      <c r="G52" s="1179"/>
      <c r="H52" s="1179"/>
      <c r="I52" s="1167"/>
      <c r="J52" s="9"/>
      <c r="N52" s="9"/>
      <c r="O52" s="9"/>
      <c r="P52" s="9"/>
    </row>
    <row r="53" spans="1:16" ht="16">
      <c r="A53" s="1065"/>
      <c r="B53" s="1167"/>
      <c r="C53" s="1167"/>
      <c r="D53" s="1167"/>
      <c r="E53" s="2032"/>
      <c r="F53" s="2033"/>
      <c r="G53" s="1179"/>
      <c r="H53" s="1179"/>
      <c r="I53" s="1167"/>
      <c r="J53" s="9"/>
      <c r="N53" s="9"/>
      <c r="O53" s="9"/>
      <c r="P53" s="9"/>
    </row>
    <row r="54" spans="1:16" ht="16">
      <c r="A54" s="1065"/>
      <c r="B54" s="1167"/>
      <c r="C54" s="1680"/>
      <c r="D54" s="1179"/>
      <c r="E54" s="1680"/>
      <c r="F54" s="1179"/>
      <c r="G54" s="1179"/>
      <c r="H54" s="1179"/>
      <c r="I54" s="1167"/>
      <c r="J54" s="9"/>
      <c r="N54" s="9"/>
      <c r="O54" s="9"/>
      <c r="P54" s="9"/>
    </row>
    <row r="55" spans="1:16" ht="15.5" customHeight="1">
      <c r="B55" s="1167"/>
      <c r="C55" s="1680"/>
      <c r="D55" s="1681" t="s">
        <v>3491</v>
      </c>
      <c r="E55" s="2028"/>
      <c r="F55" s="2028"/>
      <c r="G55" s="2028"/>
      <c r="H55" s="2035"/>
      <c r="I55" s="1167"/>
      <c r="J55" s="9"/>
      <c r="N55" s="9"/>
      <c r="O55" s="9"/>
      <c r="P55" s="9"/>
    </row>
    <row r="56" spans="1:16" ht="16">
      <c r="B56" s="1167"/>
      <c r="C56" s="1680" t="s">
        <v>3492</v>
      </c>
      <c r="D56" s="1683">
        <f>LEN(Property_Description)</f>
        <v>0</v>
      </c>
      <c r="E56" s="2028"/>
      <c r="F56" s="2028"/>
      <c r="G56" s="2028"/>
      <c r="H56" s="2035"/>
      <c r="I56" s="1167"/>
      <c r="J56" s="9"/>
      <c r="N56" s="9"/>
      <c r="O56" s="9"/>
      <c r="P56" s="9"/>
    </row>
    <row r="57" spans="1:16" ht="16">
      <c r="B57" s="1167"/>
      <c r="C57" s="1191"/>
      <c r="D57" s="1681"/>
      <c r="E57" s="2028"/>
      <c r="F57" s="2028"/>
      <c r="G57" s="2028"/>
      <c r="H57" s="2035"/>
      <c r="I57" s="1167"/>
      <c r="J57" s="9"/>
      <c r="N57" s="9"/>
      <c r="O57" s="9"/>
      <c r="P57" s="9"/>
    </row>
    <row r="58" spans="1:16" ht="16">
      <c r="B58" s="1167"/>
      <c r="C58" s="1191"/>
      <c r="D58" s="1681"/>
      <c r="E58" s="2028"/>
      <c r="F58" s="2028"/>
      <c r="G58" s="2028"/>
      <c r="H58" s="2035"/>
      <c r="I58" s="1167"/>
      <c r="J58" s="9"/>
      <c r="N58" s="9"/>
      <c r="O58" s="9"/>
      <c r="P58" s="9"/>
    </row>
    <row r="59" spans="1:16" ht="16">
      <c r="B59" s="1167"/>
      <c r="C59" s="1191"/>
      <c r="D59" s="1681"/>
      <c r="E59" s="2028"/>
      <c r="F59" s="2028"/>
      <c r="G59" s="2028"/>
      <c r="H59" s="2035"/>
      <c r="I59" s="1167"/>
      <c r="J59" s="9"/>
      <c r="N59" s="9"/>
      <c r="O59" s="9"/>
      <c r="P59" s="9"/>
    </row>
    <row r="60" spans="1:16" ht="16">
      <c r="B60" s="1167"/>
      <c r="C60" s="1191"/>
      <c r="D60" s="1681"/>
      <c r="E60" s="2028"/>
      <c r="F60" s="2028"/>
      <c r="G60" s="2028"/>
      <c r="H60" s="2035"/>
      <c r="I60" s="1167"/>
      <c r="J60" s="9"/>
      <c r="N60" s="9"/>
      <c r="O60" s="9"/>
      <c r="P60" s="9"/>
    </row>
    <row r="61" spans="1:16" ht="16">
      <c r="B61" s="1167"/>
      <c r="C61" s="1191"/>
      <c r="D61" s="1681"/>
      <c r="E61" s="2028"/>
      <c r="F61" s="2028"/>
      <c r="G61" s="2028"/>
      <c r="H61" s="2035"/>
      <c r="I61" s="1167"/>
      <c r="J61" s="9"/>
      <c r="N61" s="9"/>
      <c r="O61" s="9"/>
      <c r="P61" s="9"/>
    </row>
    <row r="62" spans="1:16" ht="16">
      <c r="B62" s="1167"/>
      <c r="C62" s="1191"/>
      <c r="D62" s="1681"/>
      <c r="E62" s="2028"/>
      <c r="F62" s="2028"/>
      <c r="G62" s="2028"/>
      <c r="H62" s="2035"/>
      <c r="I62" s="1167"/>
      <c r="J62" s="9"/>
      <c r="N62" s="9"/>
      <c r="O62" s="9"/>
      <c r="P62" s="9"/>
    </row>
    <row r="63" spans="1:16" ht="16">
      <c r="B63" s="1167"/>
      <c r="C63" s="1192"/>
      <c r="D63" s="1179"/>
      <c r="E63" s="2028"/>
      <c r="F63" s="2028"/>
      <c r="G63" s="2028"/>
      <c r="H63" s="2035"/>
      <c r="I63" s="1167"/>
      <c r="J63" s="9"/>
      <c r="N63" s="9"/>
      <c r="O63" s="9"/>
      <c r="P63" s="9"/>
    </row>
    <row r="64" spans="1:16" ht="16">
      <c r="B64" s="1167"/>
      <c r="C64" s="1191"/>
      <c r="D64" s="1681"/>
      <c r="E64" s="2028"/>
      <c r="F64" s="2028"/>
      <c r="G64" s="2028"/>
      <c r="H64" s="2035"/>
      <c r="I64" s="1167"/>
      <c r="J64" s="9"/>
      <c r="N64" s="9"/>
      <c r="O64" s="9"/>
      <c r="P64" s="9"/>
    </row>
    <row r="65" spans="2:16" ht="16">
      <c r="B65" s="1167"/>
      <c r="C65" s="1191"/>
      <c r="D65" s="1681"/>
      <c r="E65" s="2028"/>
      <c r="F65" s="2028"/>
      <c r="G65" s="2028"/>
      <c r="H65" s="2035"/>
      <c r="I65" s="1167"/>
      <c r="J65" s="9"/>
      <c r="N65" s="9"/>
      <c r="O65" s="9"/>
      <c r="P65" s="9"/>
    </row>
    <row r="66" spans="2:16" ht="16">
      <c r="B66" s="1167"/>
      <c r="C66" s="1191"/>
      <c r="D66" s="1681"/>
      <c r="E66" s="2028"/>
      <c r="F66" s="2028"/>
      <c r="G66" s="2028"/>
      <c r="H66" s="2035"/>
      <c r="I66" s="1167"/>
      <c r="J66" s="9"/>
      <c r="N66" s="9"/>
      <c r="O66" s="9"/>
      <c r="P66" s="9"/>
    </row>
    <row r="67" spans="2:16" ht="16">
      <c r="B67" s="1167"/>
      <c r="C67" s="1191"/>
      <c r="D67" s="1681"/>
      <c r="E67" s="2028"/>
      <c r="F67" s="2028"/>
      <c r="G67" s="2028"/>
      <c r="H67" s="2035"/>
      <c r="I67" s="1167"/>
      <c r="J67" s="9"/>
      <c r="N67" s="9"/>
      <c r="O67" s="9"/>
      <c r="P67" s="9"/>
    </row>
    <row r="68" spans="2:16" ht="16">
      <c r="B68" s="1167"/>
      <c r="C68" s="1191"/>
      <c r="D68" s="1681"/>
      <c r="E68" s="2028"/>
      <c r="F68" s="2028"/>
      <c r="G68" s="2028"/>
      <c r="H68" s="2035"/>
      <c r="I68" s="1167"/>
      <c r="J68" s="9"/>
      <c r="N68" s="9"/>
      <c r="O68" s="9"/>
      <c r="P68" s="9"/>
    </row>
    <row r="69" spans="2:16" ht="16">
      <c r="B69" s="1167"/>
      <c r="C69" s="1191"/>
      <c r="D69" s="1681"/>
      <c r="E69" s="2028"/>
      <c r="F69" s="2028"/>
      <c r="G69" s="2028"/>
      <c r="H69" s="2035"/>
      <c r="I69" s="1167"/>
      <c r="J69" s="9"/>
      <c r="N69" s="9"/>
      <c r="O69" s="9"/>
      <c r="P69" s="9"/>
    </row>
    <row r="70" spans="2:16" ht="16">
      <c r="B70" s="1167"/>
      <c r="C70" s="1191"/>
      <c r="D70" s="1681"/>
      <c r="E70" s="2028"/>
      <c r="F70" s="2028"/>
      <c r="G70" s="2028"/>
      <c r="H70" s="2035"/>
      <c r="I70" s="1167"/>
      <c r="J70" s="9"/>
      <c r="N70" s="9"/>
      <c r="O70" s="9"/>
      <c r="P70" s="9"/>
    </row>
    <row r="71" spans="2:16" ht="16">
      <c r="B71" s="1167"/>
      <c r="C71" s="1192"/>
      <c r="D71" s="1179"/>
      <c r="E71" s="2028"/>
      <c r="F71" s="2028"/>
      <c r="G71" s="2028"/>
      <c r="H71" s="2035"/>
      <c r="I71" s="1167"/>
      <c r="J71" s="9"/>
      <c r="N71" s="9"/>
      <c r="O71" s="9"/>
      <c r="P71" s="9"/>
    </row>
    <row r="72" spans="2:16" ht="16">
      <c r="B72" s="1167"/>
      <c r="C72" s="1191"/>
      <c r="D72" s="1681"/>
      <c r="E72" s="2028"/>
      <c r="F72" s="2028"/>
      <c r="G72" s="2028"/>
      <c r="H72" s="2035"/>
      <c r="I72" s="1167"/>
      <c r="J72" s="9"/>
      <c r="N72" s="9"/>
      <c r="O72" s="9"/>
      <c r="P72" s="9"/>
    </row>
    <row r="73" spans="2:16" ht="16">
      <c r="B73" s="1167"/>
      <c r="C73" s="1191"/>
      <c r="D73" s="1681"/>
      <c r="E73" s="2028"/>
      <c r="F73" s="2028"/>
      <c r="G73" s="2028"/>
      <c r="H73" s="2035"/>
      <c r="I73" s="1167"/>
      <c r="J73" s="9"/>
      <c r="N73" s="9"/>
      <c r="O73" s="9"/>
      <c r="P73" s="9"/>
    </row>
    <row r="74" spans="2:16" ht="16">
      <c r="B74" s="1167"/>
      <c r="C74" s="1191"/>
      <c r="D74" s="1681"/>
      <c r="E74" s="2028"/>
      <c r="F74" s="2028"/>
      <c r="G74" s="2028"/>
      <c r="H74" s="2035"/>
      <c r="I74" s="1167"/>
      <c r="J74" s="9"/>
      <c r="N74" s="9"/>
      <c r="O74" s="9"/>
      <c r="P74" s="9"/>
    </row>
    <row r="75" spans="2:16" ht="16">
      <c r="B75" s="1167"/>
      <c r="C75" s="1191"/>
      <c r="D75" s="1681"/>
      <c r="E75" s="2028"/>
      <c r="F75" s="2028"/>
      <c r="G75" s="2028"/>
      <c r="H75" s="2035"/>
      <c r="I75" s="1167"/>
      <c r="J75" s="9"/>
      <c r="N75" s="9"/>
      <c r="O75" s="9"/>
      <c r="P75" s="9"/>
    </row>
    <row r="76" spans="2:16" ht="16">
      <c r="B76" s="1167"/>
      <c r="C76" s="1191"/>
      <c r="D76" s="1681"/>
      <c r="E76" s="2028"/>
      <c r="F76" s="2028"/>
      <c r="G76" s="2028"/>
      <c r="H76" s="2035"/>
      <c r="I76" s="1167"/>
      <c r="J76" s="9"/>
      <c r="N76" s="9"/>
      <c r="O76" s="9"/>
      <c r="P76" s="9"/>
    </row>
    <row r="77" spans="2:16" ht="16">
      <c r="B77" s="1167"/>
      <c r="C77" s="1191"/>
      <c r="D77" s="1681"/>
      <c r="E77" s="2028"/>
      <c r="F77" s="2028"/>
      <c r="G77" s="2028"/>
      <c r="H77" s="2035"/>
      <c r="I77" s="1167"/>
      <c r="J77" s="9"/>
      <c r="N77" s="9"/>
      <c r="O77" s="9"/>
      <c r="P77" s="9"/>
    </row>
    <row r="78" spans="2:16" ht="16">
      <c r="B78" s="1167"/>
      <c r="C78" s="1191"/>
      <c r="D78" s="1681"/>
      <c r="E78" s="2028"/>
      <c r="F78" s="2028"/>
      <c r="G78" s="2028"/>
      <c r="H78" s="2035"/>
      <c r="I78" s="1167"/>
      <c r="J78" s="9"/>
      <c r="N78" s="9"/>
      <c r="O78" s="9"/>
      <c r="P78" s="9"/>
    </row>
    <row r="79" spans="2:16" ht="16">
      <c r="B79" s="1167"/>
      <c r="C79" s="1192"/>
      <c r="D79" s="1179"/>
      <c r="E79" s="2028"/>
      <c r="F79" s="2028"/>
      <c r="G79" s="2028"/>
      <c r="H79" s="2035"/>
      <c r="I79" s="1167"/>
      <c r="J79" s="9"/>
      <c r="N79" s="9"/>
      <c r="O79" s="9"/>
      <c r="P79" s="9"/>
    </row>
    <row r="80" spans="2:16" ht="16">
      <c r="B80" s="1167"/>
      <c r="C80" s="1191"/>
      <c r="D80" s="1681"/>
      <c r="E80" s="2028"/>
      <c r="F80" s="2028"/>
      <c r="G80" s="2028"/>
      <c r="H80" s="2035"/>
      <c r="I80" s="1167"/>
      <c r="J80" s="9"/>
      <c r="N80" s="9"/>
      <c r="O80" s="9"/>
      <c r="P80" s="9"/>
    </row>
    <row r="81" spans="2:16" ht="16">
      <c r="B81" s="1167"/>
      <c r="C81" s="1191"/>
      <c r="D81" s="1681"/>
      <c r="E81" s="2028"/>
      <c r="F81" s="2028"/>
      <c r="G81" s="2028"/>
      <c r="H81" s="2035"/>
      <c r="I81" s="1167"/>
      <c r="J81" s="9"/>
      <c r="N81" s="9"/>
      <c r="O81" s="9"/>
      <c r="P81" s="9"/>
    </row>
    <row r="82" spans="2:16" ht="16">
      <c r="B82" s="1167"/>
      <c r="C82" s="1191"/>
      <c r="D82" s="1681"/>
      <c r="E82" s="2028"/>
      <c r="F82" s="2028"/>
      <c r="G82" s="2028"/>
      <c r="H82" s="2035"/>
      <c r="I82" s="1167"/>
      <c r="J82" s="9"/>
      <c r="N82" s="9"/>
      <c r="O82" s="9"/>
      <c r="P82" s="9"/>
    </row>
    <row r="83" spans="2:16" ht="16">
      <c r="B83" s="1167"/>
      <c r="C83" s="1191"/>
      <c r="D83" s="1681"/>
      <c r="E83" s="2028"/>
      <c r="F83" s="2028"/>
      <c r="G83" s="2028"/>
      <c r="H83" s="2035"/>
      <c r="I83" s="1167"/>
      <c r="J83" s="9"/>
      <c r="N83" s="9"/>
      <c r="O83" s="9"/>
      <c r="P83" s="9"/>
    </row>
    <row r="84" spans="2:16" ht="16">
      <c r="B84" s="1167"/>
      <c r="C84" s="1191"/>
      <c r="D84" s="1681"/>
      <c r="E84" s="2028"/>
      <c r="F84" s="2028"/>
      <c r="G84" s="2028"/>
      <c r="H84" s="2035"/>
      <c r="I84" s="1167"/>
      <c r="J84" s="9"/>
      <c r="N84" s="9"/>
      <c r="O84" s="9"/>
      <c r="P84" s="9"/>
    </row>
    <row r="85" spans="2:16" ht="16">
      <c r="B85" s="1167"/>
      <c r="C85" s="1191"/>
      <c r="D85" s="1681"/>
      <c r="E85" s="2028"/>
      <c r="F85" s="2028"/>
      <c r="G85" s="2028"/>
      <c r="H85" s="2035"/>
      <c r="I85" s="1167"/>
      <c r="J85" s="9"/>
      <c r="N85" s="9"/>
      <c r="O85" s="9"/>
      <c r="P85" s="9"/>
    </row>
    <row r="86" spans="2:16" ht="16">
      <c r="B86" s="1167"/>
      <c r="C86" s="1191"/>
      <c r="D86" s="1681"/>
      <c r="E86" s="2028"/>
      <c r="F86" s="2028"/>
      <c r="G86" s="2028"/>
      <c r="H86" s="2035"/>
      <c r="I86" s="1167"/>
      <c r="J86" s="9"/>
      <c r="N86" s="9"/>
      <c r="O86" s="9"/>
      <c r="P86" s="9"/>
    </row>
    <row r="87" spans="2:16" ht="16">
      <c r="B87" s="1167"/>
      <c r="C87" s="1192"/>
      <c r="D87" s="1179"/>
      <c r="E87" s="2028"/>
      <c r="F87" s="2028"/>
      <c r="G87" s="2028"/>
      <c r="H87" s="2035"/>
      <c r="I87" s="1167"/>
      <c r="J87" s="9"/>
      <c r="N87" s="9"/>
      <c r="O87" s="9"/>
      <c r="P87" s="9"/>
    </row>
    <row r="88" spans="2:16" ht="16">
      <c r="B88" s="1167"/>
      <c r="C88" s="1681"/>
      <c r="D88" s="1200"/>
      <c r="E88" s="2036"/>
      <c r="F88" s="2036"/>
      <c r="G88" s="2036"/>
      <c r="H88" s="2037"/>
      <c r="I88" s="1167"/>
      <c r="J88" s="9"/>
      <c r="N88" s="9"/>
      <c r="O88" s="9"/>
      <c r="P88" s="9"/>
    </row>
    <row r="89" spans="2:16" ht="16">
      <c r="B89" s="1167"/>
      <c r="C89" s="1167"/>
      <c r="D89" s="1167"/>
      <c r="E89" s="1167"/>
      <c r="F89" s="1167"/>
      <c r="G89" s="1167"/>
      <c r="H89" s="1179"/>
      <c r="I89" s="1167"/>
      <c r="J89" s="9"/>
      <c r="N89" s="9"/>
      <c r="O89" s="9"/>
      <c r="P89" s="9"/>
    </row>
    <row r="90" spans="2:16" ht="19">
      <c r="B90" s="8" t="s">
        <v>3493</v>
      </c>
      <c r="F90" s="217"/>
      <c r="G90" s="217"/>
      <c r="H90" s="217"/>
      <c r="J90" s="9"/>
      <c r="N90" s="9"/>
      <c r="O90" s="9"/>
      <c r="P90" s="9"/>
    </row>
    <row r="91" spans="2:16">
      <c r="B91" s="1167"/>
      <c r="C91" s="1167"/>
      <c r="D91" s="1167"/>
      <c r="E91" s="1167"/>
      <c r="F91" s="1167"/>
      <c r="G91" s="1167"/>
      <c r="H91" s="1167"/>
      <c r="I91" s="1167"/>
      <c r="J91" s="9"/>
      <c r="N91" s="9"/>
      <c r="O91" s="9"/>
      <c r="P91" s="9"/>
    </row>
    <row r="92" spans="2:16">
      <c r="B92" s="1167"/>
      <c r="C92" s="2034"/>
      <c r="D92" s="2034"/>
      <c r="E92" s="2034"/>
      <c r="F92" s="95" t="s">
        <v>3494</v>
      </c>
      <c r="G92" s="1167"/>
      <c r="H92" s="1167"/>
      <c r="I92" s="1167"/>
      <c r="J92" s="9"/>
      <c r="N92" s="9"/>
      <c r="O92" s="9"/>
      <c r="P92" s="9"/>
    </row>
    <row r="93" spans="2:16">
      <c r="B93" s="1167"/>
      <c r="C93" s="2009" t="s">
        <v>3495</v>
      </c>
      <c r="D93" s="2009"/>
      <c r="E93" s="2009"/>
      <c r="F93" s="639"/>
      <c r="G93" s="1167"/>
      <c r="H93" s="1167"/>
      <c r="I93" s="1167"/>
      <c r="J93" s="9"/>
    </row>
    <row r="94" spans="2:16">
      <c r="B94" s="1167"/>
      <c r="C94" s="2009" t="s">
        <v>3496</v>
      </c>
      <c r="D94" s="2009"/>
      <c r="E94" s="2009"/>
      <c r="F94" s="639"/>
      <c r="G94" s="1167"/>
      <c r="H94" s="1167"/>
      <c r="I94" s="1167"/>
      <c r="J94" s="9"/>
    </row>
    <row r="95" spans="2:16">
      <c r="B95" s="1167"/>
      <c r="C95" s="2009" t="s">
        <v>3497</v>
      </c>
      <c r="D95" s="2009"/>
      <c r="E95" s="2009"/>
      <c r="F95" s="639"/>
      <c r="G95" s="1167"/>
      <c r="H95" s="1167"/>
      <c r="I95" s="1167"/>
      <c r="J95" s="9"/>
    </row>
    <row r="96" spans="2:16">
      <c r="B96" s="1167"/>
      <c r="C96" s="2010" t="s">
        <v>3498</v>
      </c>
      <c r="D96" s="2010"/>
      <c r="E96" s="2010"/>
      <c r="F96" s="639"/>
      <c r="G96" s="1167"/>
      <c r="H96" s="1167"/>
      <c r="I96" s="1167"/>
      <c r="J96" s="9"/>
    </row>
    <row r="97" spans="2:9">
      <c r="B97" s="1167"/>
      <c r="C97" s="2010" t="s">
        <v>3499</v>
      </c>
      <c r="D97" s="2010"/>
      <c r="E97" s="2010"/>
      <c r="F97" s="639"/>
      <c r="G97" s="1167"/>
      <c r="H97" s="1167"/>
      <c r="I97" s="1167"/>
    </row>
    <row r="98" spans="2:9">
      <c r="B98" s="1167"/>
      <c r="C98" s="2009" t="s">
        <v>3500</v>
      </c>
      <c r="D98" s="2009"/>
      <c r="E98" s="2009"/>
      <c r="F98" s="639"/>
      <c r="G98" s="1167"/>
      <c r="H98" s="1167"/>
      <c r="I98" s="1167"/>
    </row>
    <row r="99" spans="2:9">
      <c r="B99" s="1167"/>
      <c r="C99" s="2010" t="s">
        <v>3501</v>
      </c>
      <c r="D99" s="2010"/>
      <c r="E99" s="2010"/>
      <c r="F99" s="639"/>
      <c r="G99" s="1167"/>
      <c r="H99" s="1167"/>
      <c r="I99" s="1167"/>
    </row>
    <row r="100" spans="2:9">
      <c r="B100" s="1167"/>
      <c r="C100" s="1167" t="s">
        <v>3502</v>
      </c>
      <c r="D100" s="1167"/>
      <c r="E100" s="1167"/>
      <c r="F100" s="1167"/>
      <c r="G100" s="1167"/>
      <c r="H100" s="1167"/>
      <c r="I100" s="1167"/>
    </row>
    <row r="101" spans="2:9" ht="16">
      <c r="B101" s="1167"/>
      <c r="C101" s="1167"/>
      <c r="D101" s="1167"/>
      <c r="E101" s="1167"/>
      <c r="F101" s="1167"/>
      <c r="G101" s="1179"/>
      <c r="H101" s="1179"/>
      <c r="I101" s="1167"/>
    </row>
    <row r="102" spans="2:9" ht="19">
      <c r="B102" s="8" t="s">
        <v>3465</v>
      </c>
      <c r="E102" s="1109"/>
      <c r="F102" s="1109"/>
      <c r="G102" s="1109"/>
    </row>
    <row r="103" spans="2:9">
      <c r="B103" s="1167"/>
      <c r="C103" s="1167"/>
      <c r="D103" s="1167"/>
      <c r="E103" s="1167"/>
      <c r="F103" s="1167"/>
      <c r="G103" s="1167"/>
      <c r="H103" s="1167"/>
      <c r="I103" s="1167"/>
    </row>
    <row r="104" spans="2:9">
      <c r="B104" s="1167"/>
      <c r="C104" s="1957"/>
      <c r="D104" s="1958"/>
      <c r="E104" s="1958"/>
      <c r="F104" s="1958"/>
      <c r="G104" s="1958"/>
      <c r="H104" s="1959"/>
      <c r="I104" s="1167"/>
    </row>
    <row r="105" spans="2:9">
      <c r="B105" s="1167"/>
      <c r="C105" s="1960"/>
      <c r="D105" s="1961"/>
      <c r="E105" s="1961"/>
      <c r="F105" s="1961"/>
      <c r="G105" s="1961"/>
      <c r="H105" s="1962"/>
      <c r="I105" s="1167"/>
    </row>
    <row r="106" spans="2:9">
      <c r="B106" s="1167"/>
      <c r="C106" s="1960"/>
      <c r="D106" s="1961"/>
      <c r="E106" s="1961"/>
      <c r="F106" s="1961"/>
      <c r="G106" s="1961"/>
      <c r="H106" s="1962"/>
      <c r="I106" s="1167"/>
    </row>
    <row r="107" spans="2:9">
      <c r="B107" s="1167"/>
      <c r="C107" s="1960"/>
      <c r="D107" s="1961"/>
      <c r="E107" s="1961"/>
      <c r="F107" s="1961"/>
      <c r="G107" s="1961"/>
      <c r="H107" s="1962"/>
      <c r="I107" s="1167"/>
    </row>
    <row r="108" spans="2:9">
      <c r="B108" s="1167"/>
      <c r="C108" s="1960"/>
      <c r="D108" s="1961"/>
      <c r="E108" s="1961"/>
      <c r="F108" s="1961"/>
      <c r="G108" s="1961"/>
      <c r="H108" s="1962"/>
      <c r="I108" s="1167"/>
    </row>
    <row r="109" spans="2:9">
      <c r="B109" s="1167"/>
      <c r="C109" s="1960"/>
      <c r="D109" s="1961"/>
      <c r="E109" s="1961"/>
      <c r="F109" s="1961"/>
      <c r="G109" s="1961"/>
      <c r="H109" s="1962"/>
      <c r="I109" s="1167"/>
    </row>
    <row r="110" spans="2:9">
      <c r="B110" s="1167"/>
      <c r="C110" s="1960"/>
      <c r="D110" s="1961"/>
      <c r="E110" s="1961"/>
      <c r="F110" s="1961"/>
      <c r="G110" s="1961"/>
      <c r="H110" s="1962"/>
      <c r="I110" s="1167"/>
    </row>
    <row r="111" spans="2:9">
      <c r="B111" s="1167"/>
      <c r="C111" s="1963"/>
      <c r="D111" s="1964"/>
      <c r="E111" s="1964"/>
      <c r="F111" s="1964"/>
      <c r="G111" s="1964"/>
      <c r="H111" s="1965"/>
      <c r="I111" s="1167"/>
    </row>
    <row r="112" spans="2:9">
      <c r="B112" s="1167"/>
      <c r="C112" s="1167"/>
      <c r="D112" s="1167"/>
      <c r="E112" s="1167"/>
      <c r="F112" s="1167"/>
      <c r="G112" s="1167"/>
      <c r="H112" s="1167"/>
      <c r="I112" s="1167"/>
    </row>
    <row r="114" spans="2:9">
      <c r="B114" s="16" t="s">
        <v>3371</v>
      </c>
      <c r="C114" s="7"/>
      <c r="D114" s="7"/>
      <c r="E114" s="7"/>
      <c r="F114" s="7"/>
      <c r="G114" s="7"/>
      <c r="H114" s="7"/>
      <c r="I114" s="7"/>
    </row>
    <row r="115" spans="2:9" ht="19">
      <c r="B115" s="8" t="s">
        <v>3467</v>
      </c>
      <c r="E115" s="1109"/>
      <c r="F115" s="1109"/>
      <c r="G115" s="1109"/>
    </row>
    <row r="116" spans="2:9">
      <c r="B116" s="1167"/>
      <c r="C116" s="1167"/>
      <c r="D116" s="1167"/>
      <c r="E116" s="1167"/>
      <c r="F116" s="1167"/>
      <c r="G116" s="1167"/>
      <c r="H116" s="1167"/>
      <c r="I116" s="1167"/>
    </row>
    <row r="117" spans="2:9">
      <c r="B117" s="1167"/>
      <c r="C117" s="1957"/>
      <c r="D117" s="1958"/>
      <c r="E117" s="1958"/>
      <c r="F117" s="1958"/>
      <c r="G117" s="1958"/>
      <c r="H117" s="1959"/>
      <c r="I117" s="1167"/>
    </row>
    <row r="118" spans="2:9">
      <c r="B118" s="1167"/>
      <c r="C118" s="1960"/>
      <c r="D118" s="1961"/>
      <c r="E118" s="1961"/>
      <c r="F118" s="1961"/>
      <c r="G118" s="1961"/>
      <c r="H118" s="1962"/>
      <c r="I118" s="1167"/>
    </row>
    <row r="119" spans="2:9">
      <c r="B119" s="1167"/>
      <c r="C119" s="1960"/>
      <c r="D119" s="1961"/>
      <c r="E119" s="1961"/>
      <c r="F119" s="1961"/>
      <c r="G119" s="1961"/>
      <c r="H119" s="1962"/>
      <c r="I119" s="1167"/>
    </row>
    <row r="120" spans="2:9">
      <c r="B120" s="1167"/>
      <c r="C120" s="1963"/>
      <c r="D120" s="1964"/>
      <c r="E120" s="1964"/>
      <c r="F120" s="1964"/>
      <c r="G120" s="1964"/>
      <c r="H120" s="1965"/>
      <c r="I120" s="1167"/>
    </row>
    <row r="121" spans="2:9">
      <c r="B121" s="1167"/>
      <c r="C121" s="1167"/>
      <c r="D121" s="1167"/>
      <c r="E121" s="1167"/>
      <c r="F121" s="1167"/>
      <c r="G121" s="1167"/>
      <c r="H121" s="1167"/>
      <c r="I121" s="1167"/>
    </row>
  </sheetData>
  <sheetProtection algorithmName="SHA-512" hashValue="B1ddv9n/EkzSg02CJ/zX8/Oa1EQOhaajVDvU86GFcXNzyngXRmGs95vdZ23VO0ZI1IGqQqFM1RwtKB+syVaGRw==" saltValue="0lvVrHir1h4izFIG21Zlyg==" spinCount="100000" sheet="1" objects="1" scenarios="1" selectLockedCells="1"/>
  <mergeCells count="28">
    <mergeCell ref="C25:D25"/>
    <mergeCell ref="C117:H120"/>
    <mergeCell ref="C47:D47"/>
    <mergeCell ref="E47:F49"/>
    <mergeCell ref="C51:D51"/>
    <mergeCell ref="E51:F53"/>
    <mergeCell ref="C104:H111"/>
    <mergeCell ref="C92:E92"/>
    <mergeCell ref="C93:E93"/>
    <mergeCell ref="C94:E94"/>
    <mergeCell ref="C95:E95"/>
    <mergeCell ref="E55:H88"/>
    <mergeCell ref="C7:D7"/>
    <mergeCell ref="E44:E45"/>
    <mergeCell ref="C98:E98"/>
    <mergeCell ref="C99:E99"/>
    <mergeCell ref="C96:E96"/>
    <mergeCell ref="C97:E97"/>
    <mergeCell ref="C29:D29"/>
    <mergeCell ref="C30:D30"/>
    <mergeCell ref="C44:D45"/>
    <mergeCell ref="E32:F34"/>
    <mergeCell ref="C26:D26"/>
    <mergeCell ref="E26:F28"/>
    <mergeCell ref="B9:D9"/>
    <mergeCell ref="E9:F11"/>
    <mergeCell ref="C20:D20"/>
    <mergeCell ref="E21:F23"/>
  </mergeCells>
  <conditionalFormatting sqref="E29:E30">
    <cfRule type="expression" dxfId="367" priority="19">
      <formula>$E$25="Yes"</formula>
    </cfRule>
  </conditionalFormatting>
  <conditionalFormatting sqref="E9:F11">
    <cfRule type="expression" dxfId="365" priority="215">
      <formula>$E$7&lt;$E$6</formula>
    </cfRule>
  </conditionalFormatting>
  <conditionalFormatting sqref="E21:F23">
    <cfRule type="expression" dxfId="364" priority="22">
      <formula>$E$20="Yes"</formula>
    </cfRule>
  </conditionalFormatting>
  <conditionalFormatting sqref="E26:F28">
    <cfRule type="expression" dxfId="363" priority="21">
      <formula>$E$25="Yes"</formula>
    </cfRule>
  </conditionalFormatting>
  <conditionalFormatting sqref="E32:F34">
    <cfRule type="expression" dxfId="362" priority="18">
      <formula>$E$25="Yes"</formula>
    </cfRule>
  </conditionalFormatting>
  <conditionalFormatting sqref="E47:F49">
    <cfRule type="expression" dxfId="361" priority="11">
      <formula>IF($E$44="Yes",TRUE,FALSE)</formula>
    </cfRule>
  </conditionalFormatting>
  <dataValidations count="9">
    <dataValidation type="list" allowBlank="1" showInputMessage="1" showErrorMessage="1" sqref="E20 E25 E44 E29:E30 E14:E18" xr:uid="{28F3C095-F713-4681-8956-B6AC1C2E19A5}">
      <formula1>YesNo</formula1>
    </dataValidation>
    <dataValidation type="custom" allowBlank="1" showInputMessage="1" showErrorMessage="1" sqref="F1 A4:A52" xr:uid="{E0018970-2E38-4C63-AC92-D01067A3D4B7}">
      <formula1>"&lt;0&gt;0"</formula1>
    </dataValidation>
    <dataValidation type="textLength" allowBlank="1" showInputMessage="1" showErrorMessage="1" errorTitle="Maximum character limit exceeded." error="The maximum character count for this field is 5000. Please reduce the character count on this field." sqref="E55" xr:uid="{910833B2-2180-4EC2-A5F8-B0EB4346DEC2}">
      <formula1>0</formula1>
      <formula2>5000</formula2>
    </dataValidation>
    <dataValidation type="custom" allowBlank="1" showInputMessage="1" showErrorMessage="1" errorTitle="Total Site Acreage Error" error="Please enter acreage as numeric value only." sqref="E6" xr:uid="{58950BC6-8788-4141-AD04-C2B20FCEBF17}">
      <formula1>ISNUMBER(E6)</formula1>
    </dataValidation>
    <dataValidation type="custom" allowBlank="1" showInputMessage="1" showErrorMessage="1" errorTitle="Total Buildable Acreage Error" error="Please enter acreage as numeric value only." sqref="E7" xr:uid="{427B2295-DC19-4DBA-8494-3E9DDC58E6A8}">
      <formula1>ISNUMBER(E7)</formula1>
    </dataValidation>
    <dataValidation type="custom" allowBlank="1" showInputMessage="1" showErrorMessage="1" errorTitle="Year Built Error" error="Please enter year built as numeric value only." sqref="E37" xr:uid="{F1BABC2F-76B0-4D80-971D-B7CA50420AD2}">
      <formula1>ISNUMBER(E37)</formula1>
    </dataValidation>
    <dataValidation type="custom" allowBlank="1" showInputMessage="1" showErrorMessage="1" errorTitle="Number of exisiting units error" error="Please enter numeric value only." sqref="E38:E40 B42:D42" xr:uid="{AB768A0C-9304-402B-92C3-0382849D5B10}">
      <formula1>ISNUMBER(B38)</formula1>
    </dataValidation>
    <dataValidation type="custom" allowBlank="1" showInputMessage="1" showErrorMessage="1" errorTitle="Current Occupancy Error" error="Please enter numeric value only." sqref="F39:F42 E40" xr:uid="{1DE073CC-2064-4854-8FE1-F21B52BA9432}">
      <formula1>ISNUMBER(E39)</formula1>
    </dataValidation>
    <dataValidation type="custom" allowBlank="1" showInputMessage="1" showErrorMessage="1" errorTitle="Distance in Miles Error" error="Please enter distance as numeric value to the closest tenth of a mile." sqref="F93:F99" xr:uid="{185083A2-A7E3-4447-B14D-F752DADED95E}">
      <formula1>ISNUMBER(F93)</formula1>
    </dataValidation>
  </dataValidations>
  <pageMargins left="0.7" right="0.7" top="0.75" bottom="0.75" header="0.3" footer="0.3"/>
  <pageSetup scale="37" orientation="portrait" copies="5" r:id="rId1"/>
  <headerFooter>
    <oddHeader>&amp;L&amp;G</oddHeader>
    <oddFooter>&amp;LVersion - 2023.0.01&amp;CWHEDA MULTIFAMILY APPLICATION&amp;R&amp;P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46DD940E-92BF-480B-91E7-21DD487F3B4F}">
            <xm:f>'4. Project Description'!$D$6="Acquisition/Rehab"</xm:f>
            <x14:dxf>
              <fill>
                <patternFill>
                  <bgColor rgb="FF92D050"/>
                </patternFill>
              </fill>
            </x14:dxf>
          </x14:cfRule>
          <xm:sqref>E37:E40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6A7B-CF2D-42DD-95B0-D771BF3AA1D6}">
  <sheetPr codeName="Sheet1">
    <pageSetUpPr fitToPage="1"/>
  </sheetPr>
  <dimension ref="A1:AL103"/>
  <sheetViews>
    <sheetView workbookViewId="0">
      <selection activeCell="D6" sqref="D6:H6"/>
    </sheetView>
  </sheetViews>
  <sheetFormatPr baseColWidth="10" defaultColWidth="9.1640625" defaultRowHeight="15"/>
  <cols>
    <col min="1" max="1" width="4.33203125" style="3" customWidth="1"/>
    <col min="2" max="2" width="7.5" style="3" customWidth="1"/>
    <col min="3" max="3" width="81.5" style="3" customWidth="1"/>
    <col min="4" max="4" width="20.5" style="18" customWidth="1"/>
    <col min="5" max="5" width="18.5" style="3" customWidth="1"/>
    <col min="6" max="6" width="16" style="3" customWidth="1"/>
    <col min="7" max="7" width="18.5" style="3" bestFit="1" customWidth="1"/>
    <col min="8" max="8" width="17.5" style="3" customWidth="1"/>
    <col min="9" max="9" width="18.1640625" style="3" bestFit="1" customWidth="1"/>
    <col min="10" max="10" width="16.5" style="3" customWidth="1"/>
    <col min="11" max="11" width="5" style="3" customWidth="1"/>
    <col min="12" max="12" width="19.5" style="3" bestFit="1" customWidth="1"/>
    <col min="13" max="13" width="14.5" style="3" customWidth="1"/>
    <col min="14" max="14" width="23.83203125" style="3" bestFit="1" customWidth="1"/>
    <col min="15" max="15" width="18" style="3" customWidth="1"/>
    <col min="16" max="38" width="9.1640625" style="131"/>
    <col min="39" max="16384" width="9.1640625" style="3"/>
  </cols>
  <sheetData>
    <row r="1" spans="1:13" ht="29">
      <c r="B1" s="4" t="str">
        <f>'1. TOC'!B1</f>
        <v>WHEDA 2025 Multifamily Application</v>
      </c>
      <c r="D1" s="149" t="str">
        <f>'1. TOC'!L1</f>
        <v>v25.1.9</v>
      </c>
      <c r="F1" s="1086" t="str">
        <f>HYPERLINK("#Table_of_Contents", Table_of_Contents)</f>
        <v>Table of Contents</v>
      </c>
    </row>
    <row r="2" spans="1:13" ht="19">
      <c r="A2" s="5"/>
      <c r="B2" s="935" t="str">
        <f>_xlfn.CONCAT(IF(ISBLANK(WHEDA_Project_Number),"",_xlfn.CONCAT(WHEDA_Project_Number,"-")), Project_Name, IF(ISBLANK(Credit_percentage_applied_for),"",_xlfn.CONCAT(" (", Credit_percentage_applied_for," HTC)")))</f>
        <v/>
      </c>
      <c r="D2" s="3"/>
    </row>
    <row r="3" spans="1:13" ht="19">
      <c r="A3" s="975"/>
      <c r="B3" s="13"/>
      <c r="C3" s="7"/>
      <c r="D3" s="7"/>
      <c r="E3" s="7"/>
      <c r="F3" s="7"/>
      <c r="G3" s="7"/>
      <c r="H3" s="7"/>
      <c r="I3" s="7"/>
      <c r="J3" s="7"/>
      <c r="K3" s="7"/>
    </row>
    <row r="4" spans="1:13" ht="29">
      <c r="B4" s="4" t="s">
        <v>754</v>
      </c>
    </row>
    <row r="5" spans="1:13">
      <c r="B5" s="1167"/>
      <c r="C5" s="1167"/>
      <c r="D5" s="1167"/>
      <c r="E5" s="1167"/>
      <c r="F5" s="1167"/>
      <c r="G5" s="1167"/>
      <c r="H5" s="1167"/>
      <c r="I5" s="1167"/>
      <c r="J5" s="1167"/>
      <c r="K5" s="1167"/>
    </row>
    <row r="6" spans="1:13" ht="16">
      <c r="B6" s="1167"/>
      <c r="C6" s="1180" t="s">
        <v>3503</v>
      </c>
      <c r="D6" s="2038"/>
      <c r="E6" s="2039"/>
      <c r="F6" s="2039"/>
      <c r="G6" s="2039"/>
      <c r="H6" s="2040"/>
      <c r="I6" s="1167"/>
      <c r="J6" s="1167"/>
      <c r="K6" s="1167"/>
    </row>
    <row r="7" spans="1:13">
      <c r="B7" s="1167"/>
      <c r="C7" s="1167"/>
      <c r="D7" s="1167"/>
      <c r="E7" s="1167"/>
      <c r="F7" s="1167"/>
      <c r="G7" s="1167"/>
      <c r="H7" s="1167"/>
      <c r="I7" s="1167"/>
      <c r="J7" s="1167"/>
      <c r="K7" s="1167"/>
    </row>
    <row r="8" spans="1:13" ht="16">
      <c r="B8" s="1167"/>
      <c r="C8" s="1191" t="s">
        <v>3504</v>
      </c>
      <c r="D8" s="1180"/>
      <c r="E8" s="1167"/>
      <c r="F8" s="1167"/>
      <c r="G8" s="1167"/>
      <c r="H8" s="1167"/>
      <c r="I8" s="1167"/>
      <c r="J8" s="1167"/>
      <c r="K8" s="1167"/>
    </row>
    <row r="9" spans="1:13" ht="16">
      <c r="B9" s="1167"/>
      <c r="C9" s="1180" t="s">
        <v>3505</v>
      </c>
      <c r="D9" s="2038"/>
      <c r="E9" s="2039"/>
      <c r="F9" s="2039"/>
      <c r="G9" s="2039"/>
      <c r="H9" s="2040"/>
      <c r="I9" s="1167"/>
      <c r="J9" s="1167"/>
      <c r="K9" s="1167"/>
    </row>
    <row r="10" spans="1:13" ht="16">
      <c r="B10" s="1167"/>
      <c r="C10" s="1192"/>
      <c r="D10" s="1192"/>
      <c r="E10" s="1192"/>
      <c r="F10" s="1192"/>
      <c r="G10" s="1192"/>
      <c r="H10" s="1192"/>
      <c r="I10" s="1167"/>
      <c r="J10" s="1167"/>
      <c r="K10" s="1167"/>
    </row>
    <row r="11" spans="1:13" ht="16">
      <c r="B11" s="1167"/>
      <c r="C11" s="1680" t="s">
        <v>3330</v>
      </c>
      <c r="D11" s="2041"/>
      <c r="E11" s="2042"/>
      <c r="F11" s="2042"/>
      <c r="G11" s="2042"/>
      <c r="H11" s="2043"/>
      <c r="I11" s="1167"/>
      <c r="J11" s="1167"/>
      <c r="K11" s="1167"/>
    </row>
    <row r="12" spans="1:13" ht="16">
      <c r="B12" s="1167"/>
      <c r="C12" s="1680" t="s">
        <v>3332</v>
      </c>
      <c r="D12" s="942"/>
      <c r="E12" s="1680" t="s">
        <v>3333</v>
      </c>
      <c r="F12" s="942"/>
      <c r="G12" s="1681" t="s">
        <v>3506</v>
      </c>
      <c r="H12" s="943"/>
      <c r="I12" s="1167"/>
      <c r="J12" s="1167"/>
      <c r="K12" s="1167"/>
    </row>
    <row r="13" spans="1:13" ht="16">
      <c r="B13" s="1167"/>
      <c r="C13" s="1680"/>
      <c r="D13" s="1179"/>
      <c r="E13" s="1680"/>
      <c r="F13" s="1179"/>
      <c r="G13" s="1681"/>
      <c r="H13" s="1209"/>
      <c r="I13" s="1167"/>
      <c r="J13" s="1167"/>
      <c r="K13" s="1167"/>
    </row>
    <row r="14" spans="1:13" ht="16">
      <c r="B14" s="1167"/>
      <c r="C14" s="1191" t="s">
        <v>3507</v>
      </c>
      <c r="D14" s="1179"/>
      <c r="E14" s="1680"/>
      <c r="F14" s="1179"/>
      <c r="G14" s="1681"/>
      <c r="H14" s="1179"/>
      <c r="I14" s="1167"/>
      <c r="J14" s="1167"/>
      <c r="K14" s="1167"/>
    </row>
    <row r="15" spans="1:13" ht="17">
      <c r="B15" s="1167"/>
      <c r="C15" s="1192" t="s">
        <v>1592</v>
      </c>
      <c r="D15" s="216"/>
      <c r="E15" s="1680" t="s">
        <v>3349</v>
      </c>
      <c r="F15" s="216"/>
      <c r="G15" s="1681" t="s">
        <v>3350</v>
      </c>
      <c r="H15" s="216"/>
      <c r="I15" s="1179"/>
      <c r="J15" s="1680"/>
      <c r="K15" s="1179"/>
      <c r="L15" s="217"/>
      <c r="M15" s="217"/>
    </row>
    <row r="16" spans="1:13" ht="16">
      <c r="B16" s="1167"/>
      <c r="C16" s="1681" t="s">
        <v>3458</v>
      </c>
      <c r="D16" s="940"/>
      <c r="E16" s="1681" t="s">
        <v>3459</v>
      </c>
      <c r="F16" s="941"/>
      <c r="G16" s="1681" t="s">
        <v>3460</v>
      </c>
      <c r="H16" s="941"/>
      <c r="I16" s="1179"/>
      <c r="J16" s="1680"/>
      <c r="K16" s="1179"/>
      <c r="L16" s="217"/>
      <c r="M16" s="217"/>
    </row>
    <row r="17" spans="2:13" ht="16">
      <c r="B17" s="1167"/>
      <c r="C17" s="1680" t="s">
        <v>3461</v>
      </c>
      <c r="D17" s="2044"/>
      <c r="E17" s="2045"/>
      <c r="F17" s="2046"/>
      <c r="G17" s="1179"/>
      <c r="H17" s="1179"/>
      <c r="I17" s="1179"/>
      <c r="J17" s="1680"/>
      <c r="K17" s="1179"/>
      <c r="L17" s="217"/>
      <c r="M17" s="217"/>
    </row>
    <row r="18" spans="2:13">
      <c r="B18" s="1167"/>
      <c r="C18" s="1180"/>
      <c r="D18" s="1180"/>
      <c r="E18" s="1167"/>
      <c r="F18" s="1167"/>
      <c r="G18" s="1167"/>
      <c r="H18" s="1167"/>
      <c r="I18" s="1167"/>
      <c r="J18" s="1167"/>
      <c r="K18" s="1167"/>
    </row>
    <row r="19" spans="2:13">
      <c r="B19" s="1167"/>
      <c r="C19" s="1167"/>
      <c r="D19" s="1167"/>
      <c r="E19" s="1167"/>
      <c r="F19" s="1167"/>
      <c r="G19" s="1167"/>
      <c r="H19" s="1167"/>
      <c r="I19" s="1167"/>
      <c r="J19" s="1167"/>
      <c r="K19" s="1167"/>
    </row>
    <row r="20" spans="2:13" ht="48">
      <c r="B20" s="1167"/>
      <c r="C20" s="1202" t="s">
        <v>3508</v>
      </c>
      <c r="D20" s="338"/>
      <c r="E20" s="1167"/>
      <c r="F20" s="1167"/>
      <c r="G20" s="1167"/>
      <c r="H20" s="1167"/>
      <c r="I20" s="1167"/>
      <c r="J20" s="1167"/>
      <c r="K20" s="1167"/>
    </row>
    <row r="21" spans="2:13" ht="16">
      <c r="B21" s="1167"/>
      <c r="C21" s="1180" t="s">
        <v>3509</v>
      </c>
      <c r="D21" s="220"/>
      <c r="E21" s="1167"/>
      <c r="F21" s="1167"/>
      <c r="G21" s="1167"/>
      <c r="H21" s="1167"/>
      <c r="I21" s="1167"/>
      <c r="J21" s="1167"/>
      <c r="K21" s="1167"/>
    </row>
    <row r="22" spans="2:13">
      <c r="B22" s="1167"/>
      <c r="C22" s="1202"/>
      <c r="D22" s="1167"/>
      <c r="E22" s="1167"/>
      <c r="F22" s="1167"/>
      <c r="G22" s="1167"/>
      <c r="H22" s="1167"/>
      <c r="I22" s="1167"/>
      <c r="J22" s="1167"/>
      <c r="K22" s="1167"/>
    </row>
    <row r="23" spans="2:13" ht="16">
      <c r="B23" s="1167"/>
      <c r="C23" s="1180" t="s">
        <v>3510</v>
      </c>
      <c r="D23" s="338"/>
      <c r="E23" s="1167"/>
      <c r="F23" s="1167"/>
      <c r="G23" s="1197"/>
      <c r="H23" s="1167"/>
      <c r="I23" s="1167"/>
      <c r="J23" s="1167"/>
      <c r="K23" s="1167"/>
    </row>
    <row r="24" spans="2:13">
      <c r="B24" s="1167"/>
      <c r="C24" s="1180" t="s">
        <v>3511</v>
      </c>
      <c r="D24" s="1167"/>
      <c r="E24" s="1167"/>
      <c r="F24" s="1167"/>
      <c r="G24" s="1167"/>
      <c r="H24" s="1167"/>
      <c r="I24" s="1167"/>
      <c r="J24" s="1167"/>
      <c r="K24" s="1167"/>
    </row>
    <row r="25" spans="2:13" ht="16.5" customHeight="1">
      <c r="B25" s="1167"/>
      <c r="C25" s="1189" t="s">
        <v>3512</v>
      </c>
      <c r="D25" s="223"/>
      <c r="E25" s="1167"/>
      <c r="F25" s="1208" t="s">
        <v>3513</v>
      </c>
      <c r="G25" s="222"/>
      <c r="H25" s="1167"/>
      <c r="I25" s="1167"/>
      <c r="J25" s="1167"/>
      <c r="K25" s="1167"/>
    </row>
    <row r="26" spans="2:13">
      <c r="B26" s="1167"/>
      <c r="C26" s="1180" t="s">
        <v>3514</v>
      </c>
      <c r="D26" s="1167"/>
      <c r="E26" s="1167"/>
      <c r="F26" s="1167"/>
      <c r="G26" s="1210"/>
      <c r="H26" s="1167"/>
      <c r="I26" s="1167"/>
      <c r="J26" s="1167"/>
      <c r="K26" s="1167"/>
    </row>
    <row r="27" spans="2:13" ht="16">
      <c r="B27" s="1167"/>
      <c r="C27" s="1180" t="s">
        <v>3515</v>
      </c>
      <c r="D27" s="223"/>
      <c r="E27" s="1167"/>
      <c r="F27" s="1180" t="s">
        <v>3516</v>
      </c>
      <c r="G27" s="348"/>
      <c r="H27" s="1167"/>
      <c r="I27" s="1167"/>
      <c r="J27" s="1167"/>
      <c r="K27" s="1167"/>
    </row>
    <row r="28" spans="2:13" ht="20.25" customHeight="1">
      <c r="B28" s="1167"/>
      <c r="C28" s="1202"/>
      <c r="D28" s="1167"/>
      <c r="E28" s="1167"/>
      <c r="F28" s="1167"/>
      <c r="G28" s="1167"/>
      <c r="H28" s="1167"/>
      <c r="I28" s="1167"/>
      <c r="J28" s="1167"/>
      <c r="K28" s="1167"/>
    </row>
    <row r="29" spans="2:13" ht="16">
      <c r="B29" s="1167"/>
      <c r="C29" s="1203" t="s">
        <v>3517</v>
      </c>
      <c r="D29" s="1167"/>
      <c r="E29" s="1167"/>
      <c r="F29" s="1167"/>
      <c r="G29" s="1167"/>
      <c r="H29" s="1167"/>
      <c r="I29" s="1167"/>
      <c r="J29" s="1167"/>
      <c r="K29" s="1167"/>
    </row>
    <row r="30" spans="2:13" ht="16">
      <c r="B30" s="1167"/>
      <c r="C30" s="1681" t="s">
        <v>3518</v>
      </c>
      <c r="D30" s="222"/>
      <c r="E30" s="1167"/>
      <c r="F30" s="1167"/>
      <c r="G30" s="1167"/>
      <c r="H30" s="1167"/>
      <c r="I30" s="1167"/>
      <c r="J30" s="1167"/>
      <c r="K30" s="1167"/>
    </row>
    <row r="31" spans="2:13" ht="16">
      <c r="B31" s="1167"/>
      <c r="C31" s="1681" t="s">
        <v>3519</v>
      </c>
      <c r="D31" s="222"/>
      <c r="E31" s="1167"/>
      <c r="F31" s="1167"/>
      <c r="G31" s="1167"/>
      <c r="H31" s="1167"/>
      <c r="I31" s="1167"/>
      <c r="J31" s="1167"/>
      <c r="K31" s="1167"/>
      <c r="L31" s="9" t="s">
        <v>3520</v>
      </c>
    </row>
    <row r="32" spans="2:13">
      <c r="B32" s="1167"/>
      <c r="C32" s="1202"/>
      <c r="D32" s="1167"/>
      <c r="E32" s="1167"/>
      <c r="F32" s="1167"/>
      <c r="G32" s="1167"/>
      <c r="H32" s="1167"/>
      <c r="I32" s="1167"/>
      <c r="J32" s="1167"/>
      <c r="K32" s="1167"/>
      <c r="L32" s="9" t="b">
        <f>OR('4. Project Description'!$D$6="Adaptive Reuse",'4. Project Description'!$D$6="Acquisition/Rehab",'4. Project Description'!$D$6="Acquisition/New Construction",'4. Project Description'!$D$6="Adaptive Reuse/New Construction")</f>
        <v>0</v>
      </c>
    </row>
    <row r="33" spans="2:11" ht="16">
      <c r="B33" s="1167"/>
      <c r="C33" s="1204" t="s">
        <v>3521</v>
      </c>
      <c r="D33" s="1167"/>
      <c r="E33" s="1167"/>
      <c r="F33" s="1167"/>
      <c r="G33" s="1167"/>
      <c r="H33" s="1167"/>
      <c r="I33" s="1167"/>
      <c r="J33" s="1167"/>
      <c r="K33" s="1167"/>
    </row>
    <row r="34" spans="2:11" ht="16">
      <c r="B34" s="1167"/>
      <c r="C34" s="1681" t="s">
        <v>3522</v>
      </c>
      <c r="D34" s="220"/>
      <c r="E34" s="1167"/>
      <c r="F34" s="1167"/>
      <c r="G34" s="1167"/>
      <c r="H34" s="1167"/>
      <c r="I34" s="1167"/>
      <c r="J34" s="1167"/>
      <c r="K34" s="1167"/>
    </row>
    <row r="35" spans="2:11" ht="16">
      <c r="B35" s="1167"/>
      <c r="C35" s="1681" t="s">
        <v>3523</v>
      </c>
      <c r="D35" s="216"/>
      <c r="E35" s="1167"/>
      <c r="F35" s="1167"/>
      <c r="G35" s="1167"/>
      <c r="H35" s="1167"/>
      <c r="I35" s="1167"/>
      <c r="J35" s="1167"/>
      <c r="K35" s="1167"/>
    </row>
    <row r="36" spans="2:11" ht="10.5" customHeight="1">
      <c r="B36" s="1167"/>
      <c r="C36" s="1180"/>
      <c r="D36" s="1167"/>
      <c r="E36" s="1167"/>
      <c r="F36" s="1167"/>
      <c r="G36" s="1167"/>
      <c r="H36" s="1167"/>
      <c r="I36" s="1167"/>
      <c r="J36" s="1167"/>
      <c r="K36" s="1167"/>
    </row>
    <row r="37" spans="2:11" ht="16.5" customHeight="1">
      <c r="B37" s="1167"/>
      <c r="C37" s="2047" t="s">
        <v>3524</v>
      </c>
      <c r="D37" s="2048"/>
      <c r="E37" s="2048"/>
      <c r="F37" s="2048"/>
      <c r="G37" s="2048"/>
      <c r="H37" s="2048"/>
      <c r="I37" s="2048"/>
      <c r="J37" s="2048"/>
      <c r="K37" s="1167"/>
    </row>
    <row r="38" spans="2:11">
      <c r="B38" s="1167"/>
      <c r="C38" s="2048"/>
      <c r="D38" s="2048"/>
      <c r="E38" s="2048"/>
      <c r="F38" s="2048"/>
      <c r="G38" s="2048"/>
      <c r="H38" s="2048"/>
      <c r="I38" s="2048"/>
      <c r="J38" s="2048"/>
      <c r="K38" s="1167"/>
    </row>
    <row r="39" spans="2:11">
      <c r="B39" s="1167"/>
      <c r="C39" s="2048"/>
      <c r="D39" s="2048"/>
      <c r="E39" s="2048"/>
      <c r="F39" s="2048"/>
      <c r="G39" s="2048"/>
      <c r="H39" s="2048"/>
      <c r="I39" s="2048"/>
      <c r="J39" s="2048"/>
      <c r="K39" s="1167"/>
    </row>
    <row r="40" spans="2:11" ht="16.5" customHeight="1">
      <c r="B40" s="1167"/>
      <c r="C40" s="2048"/>
      <c r="D40" s="2048"/>
      <c r="E40" s="2048"/>
      <c r="F40" s="2048"/>
      <c r="G40" s="2048"/>
      <c r="H40" s="2048"/>
      <c r="I40" s="2048"/>
      <c r="J40" s="2048"/>
      <c r="K40" s="1167"/>
    </row>
    <row r="41" spans="2:11">
      <c r="B41" s="1167"/>
      <c r="C41" s="1709"/>
      <c r="D41" s="1709"/>
      <c r="E41" s="1709"/>
      <c r="F41" s="1709"/>
      <c r="G41" s="1709"/>
      <c r="H41" s="1709"/>
      <c r="I41" s="1709"/>
      <c r="J41" s="1709"/>
      <c r="K41" s="1167"/>
    </row>
    <row r="42" spans="2:11" ht="16">
      <c r="B42" s="1167"/>
      <c r="C42" s="1205" t="s">
        <v>3525</v>
      </c>
      <c r="D42" s="1167"/>
      <c r="E42" s="1167"/>
      <c r="F42" s="1167"/>
      <c r="G42" s="1167"/>
      <c r="H42" s="1167"/>
      <c r="I42" s="1167"/>
      <c r="J42" s="1167"/>
      <c r="K42" s="1167"/>
    </row>
    <row r="43" spans="2:11" ht="16">
      <c r="B43" s="1167"/>
      <c r="C43" s="1206" t="s">
        <v>3526</v>
      </c>
      <c r="D43" s="1167"/>
      <c r="E43" s="1167"/>
      <c r="F43" s="1167"/>
      <c r="G43" s="1167"/>
      <c r="H43" s="1167"/>
      <c r="I43" s="1167"/>
      <c r="J43" s="1167"/>
      <c r="K43" s="1167"/>
    </row>
    <row r="44" spans="2:11" ht="12.75" customHeight="1">
      <c r="B44" s="1167"/>
      <c r="C44" s="2049" t="str">
        <f>HYPERLINK("https://tools.usps.com/zip-code-lookup.htm?byaddress", "USPS Lookup to verify the Address, City, and Zip Code.")</f>
        <v>USPS Lookup to verify the Address, City, and Zip Code.</v>
      </c>
      <c r="D44" s="2049"/>
      <c r="E44" s="1167"/>
      <c r="F44" s="1167"/>
      <c r="G44" s="1167"/>
      <c r="H44" s="1167"/>
      <c r="I44" s="1167"/>
      <c r="J44" s="1167"/>
      <c r="K44" s="1167"/>
    </row>
    <row r="45" spans="2:11" ht="13.5" customHeight="1">
      <c r="B45" s="1167"/>
      <c r="C45" s="2050"/>
      <c r="D45" s="2050"/>
      <c r="E45" s="1167"/>
      <c r="F45" s="1167"/>
      <c r="G45" s="1167"/>
      <c r="H45" s="1167"/>
      <c r="I45" s="1167"/>
      <c r="J45" s="1167"/>
      <c r="K45" s="1167"/>
    </row>
    <row r="46" spans="2:11" ht="48">
      <c r="B46" s="1167"/>
      <c r="C46" s="846" t="s">
        <v>507</v>
      </c>
      <c r="D46" s="1721" t="s">
        <v>510</v>
      </c>
      <c r="E46" s="1721" t="s">
        <v>514</v>
      </c>
      <c r="F46" s="1721" t="s">
        <v>3527</v>
      </c>
      <c r="G46" s="1721" t="s">
        <v>3528</v>
      </c>
      <c r="H46" s="1721" t="s">
        <v>3529</v>
      </c>
      <c r="I46" s="1721" t="s">
        <v>3530</v>
      </c>
      <c r="J46" s="1721" t="s">
        <v>3531</v>
      </c>
      <c r="K46" s="1167"/>
    </row>
    <row r="47" spans="2:11" ht="16">
      <c r="B47" s="1167"/>
      <c r="C47" s="1482">
        <f>'3. Project Location'!D8</f>
        <v>0</v>
      </c>
      <c r="D47" s="1482">
        <f>'3. Project Location'!D11</f>
        <v>0</v>
      </c>
      <c r="E47" s="1482">
        <f>'3. Project Location'!F12</f>
        <v>0</v>
      </c>
      <c r="F47" s="1677"/>
      <c r="G47" s="1677"/>
      <c r="H47" s="1677"/>
      <c r="I47" s="1677"/>
      <c r="J47" s="1677"/>
      <c r="K47" s="1167"/>
    </row>
    <row r="48" spans="2:11" ht="16">
      <c r="B48" s="1167"/>
      <c r="C48" s="1685"/>
      <c r="D48" s="96"/>
      <c r="E48" s="220"/>
      <c r="F48" s="220"/>
      <c r="G48" s="220"/>
      <c r="H48" s="222"/>
      <c r="I48" s="96"/>
      <c r="J48" s="220"/>
      <c r="K48" s="1167"/>
    </row>
    <row r="49" spans="2:11" ht="16">
      <c r="B49" s="1167"/>
      <c r="C49" s="1685"/>
      <c r="D49" s="96"/>
      <c r="E49" s="220"/>
      <c r="F49" s="220"/>
      <c r="G49" s="220"/>
      <c r="H49" s="222"/>
      <c r="I49" s="96"/>
      <c r="J49" s="220"/>
      <c r="K49" s="1167"/>
    </row>
    <row r="50" spans="2:11" ht="16">
      <c r="B50" s="1167"/>
      <c r="C50" s="1685"/>
      <c r="D50" s="96"/>
      <c r="E50" s="220"/>
      <c r="F50" s="220"/>
      <c r="G50" s="220"/>
      <c r="H50" s="222"/>
      <c r="I50" s="96"/>
      <c r="J50" s="220"/>
      <c r="K50" s="1167"/>
    </row>
    <row r="51" spans="2:11" ht="16">
      <c r="B51" s="1167"/>
      <c r="C51" s="1685"/>
      <c r="D51" s="96"/>
      <c r="E51" s="220"/>
      <c r="F51" s="220"/>
      <c r="G51" s="220"/>
      <c r="H51" s="222"/>
      <c r="I51" s="96"/>
      <c r="J51" s="220"/>
      <c r="K51" s="1167"/>
    </row>
    <row r="52" spans="2:11" ht="16">
      <c r="B52" s="1167"/>
      <c r="C52" s="1685"/>
      <c r="D52" s="96"/>
      <c r="E52" s="220"/>
      <c r="F52" s="220"/>
      <c r="G52" s="220"/>
      <c r="H52" s="222"/>
      <c r="I52" s="96"/>
      <c r="J52" s="220"/>
      <c r="K52" s="1167"/>
    </row>
    <row r="53" spans="2:11" ht="16">
      <c r="B53" s="1167"/>
      <c r="C53" s="1685"/>
      <c r="D53" s="96"/>
      <c r="E53" s="220"/>
      <c r="F53" s="220"/>
      <c r="G53" s="220"/>
      <c r="H53" s="222"/>
      <c r="I53" s="96"/>
      <c r="J53" s="220"/>
      <c r="K53" s="1167"/>
    </row>
    <row r="54" spans="2:11" ht="16">
      <c r="B54" s="1167"/>
      <c r="C54" s="1685"/>
      <c r="D54" s="96"/>
      <c r="E54" s="220"/>
      <c r="F54" s="220"/>
      <c r="G54" s="220"/>
      <c r="H54" s="222"/>
      <c r="I54" s="96"/>
      <c r="J54" s="220"/>
      <c r="K54" s="1167"/>
    </row>
    <row r="55" spans="2:11" ht="16">
      <c r="B55" s="1167"/>
      <c r="C55" s="1685"/>
      <c r="D55" s="96"/>
      <c r="E55" s="220"/>
      <c r="F55" s="220"/>
      <c r="G55" s="220"/>
      <c r="H55" s="222"/>
      <c r="I55" s="96"/>
      <c r="J55" s="220"/>
      <c r="K55" s="1167"/>
    </row>
    <row r="56" spans="2:11" ht="16">
      <c r="B56" s="1167"/>
      <c r="C56" s="1685"/>
      <c r="D56" s="96"/>
      <c r="E56" s="220"/>
      <c r="F56" s="220"/>
      <c r="G56" s="220"/>
      <c r="H56" s="222"/>
      <c r="I56" s="96"/>
      <c r="J56" s="220"/>
      <c r="K56" s="1167"/>
    </row>
    <row r="57" spans="2:11" ht="16">
      <c r="B57" s="1167"/>
      <c r="C57" s="1685"/>
      <c r="D57" s="96"/>
      <c r="E57" s="220"/>
      <c r="F57" s="220"/>
      <c r="G57" s="220"/>
      <c r="H57" s="222"/>
      <c r="I57" s="96"/>
      <c r="J57" s="220"/>
      <c r="K57" s="1167"/>
    </row>
    <row r="58" spans="2:11" ht="16">
      <c r="B58" s="1167"/>
      <c r="C58" s="1685"/>
      <c r="D58" s="96"/>
      <c r="E58" s="220"/>
      <c r="F58" s="220"/>
      <c r="G58" s="220"/>
      <c r="H58" s="222"/>
      <c r="I58" s="96"/>
      <c r="J58" s="220"/>
      <c r="K58" s="1167"/>
    </row>
    <row r="59" spans="2:11" ht="16">
      <c r="B59" s="1167"/>
      <c r="C59" s="1685"/>
      <c r="D59" s="96"/>
      <c r="E59" s="220"/>
      <c r="F59" s="220"/>
      <c r="G59" s="220"/>
      <c r="H59" s="222"/>
      <c r="I59" s="96"/>
      <c r="J59" s="220"/>
      <c r="K59" s="1167"/>
    </row>
    <row r="60" spans="2:11" ht="16">
      <c r="B60" s="1167"/>
      <c r="C60" s="1685"/>
      <c r="D60" s="96"/>
      <c r="E60" s="220"/>
      <c r="F60" s="220"/>
      <c r="G60" s="220"/>
      <c r="H60" s="222"/>
      <c r="I60" s="96"/>
      <c r="J60" s="220"/>
      <c r="K60" s="1167"/>
    </row>
    <row r="61" spans="2:11" ht="16">
      <c r="B61" s="1167"/>
      <c r="C61" s="1685"/>
      <c r="D61" s="96"/>
      <c r="E61" s="220"/>
      <c r="F61" s="220"/>
      <c r="G61" s="220"/>
      <c r="H61" s="222"/>
      <c r="I61" s="96"/>
      <c r="J61" s="220"/>
      <c r="K61" s="1167"/>
    </row>
    <row r="62" spans="2:11" ht="16">
      <c r="B62" s="1167"/>
      <c r="C62" s="1685"/>
      <c r="D62" s="96"/>
      <c r="E62" s="220"/>
      <c r="F62" s="220"/>
      <c r="G62" s="220"/>
      <c r="H62" s="222"/>
      <c r="I62" s="96"/>
      <c r="J62" s="220"/>
      <c r="K62" s="1167"/>
    </row>
    <row r="63" spans="2:11" ht="16">
      <c r="B63" s="1167"/>
      <c r="C63" s="1685"/>
      <c r="D63" s="96"/>
      <c r="E63" s="220"/>
      <c r="F63" s="220"/>
      <c r="G63" s="220"/>
      <c r="H63" s="222"/>
      <c r="I63" s="96"/>
      <c r="J63" s="220"/>
      <c r="K63" s="1167"/>
    </row>
    <row r="64" spans="2:11" ht="16">
      <c r="B64" s="1167"/>
      <c r="C64" s="1685"/>
      <c r="D64" s="96"/>
      <c r="E64" s="220"/>
      <c r="F64" s="220"/>
      <c r="G64" s="220"/>
      <c r="H64" s="222"/>
      <c r="I64" s="96"/>
      <c r="J64" s="220"/>
      <c r="K64" s="1167"/>
    </row>
    <row r="65" spans="2:11" ht="16">
      <c r="B65" s="1167"/>
      <c r="C65" s="1685"/>
      <c r="D65" s="96"/>
      <c r="E65" s="220"/>
      <c r="F65" s="220"/>
      <c r="G65" s="220"/>
      <c r="H65" s="222"/>
      <c r="I65" s="96"/>
      <c r="J65" s="220"/>
      <c r="K65" s="1167"/>
    </row>
    <row r="66" spans="2:11" ht="16">
      <c r="B66" s="1167"/>
      <c r="C66" s="1685"/>
      <c r="D66" s="96"/>
      <c r="E66" s="220"/>
      <c r="F66" s="220"/>
      <c r="G66" s="220"/>
      <c r="H66" s="222"/>
      <c r="I66" s="96"/>
      <c r="J66" s="220"/>
      <c r="K66" s="1167"/>
    </row>
    <row r="67" spans="2:11" ht="16">
      <c r="B67" s="1167"/>
      <c r="C67" s="1685"/>
      <c r="D67" s="96"/>
      <c r="E67" s="220"/>
      <c r="F67" s="220"/>
      <c r="G67" s="220"/>
      <c r="H67" s="222"/>
      <c r="I67" s="96"/>
      <c r="J67" s="220"/>
      <c r="K67" s="1167"/>
    </row>
    <row r="68" spans="2:11" ht="16">
      <c r="B68" s="1167"/>
      <c r="C68" s="1685"/>
      <c r="D68" s="96"/>
      <c r="E68" s="220"/>
      <c r="F68" s="220"/>
      <c r="G68" s="220"/>
      <c r="H68" s="222"/>
      <c r="I68" s="96"/>
      <c r="J68" s="220"/>
      <c r="K68" s="1167"/>
    </row>
    <row r="69" spans="2:11" ht="16">
      <c r="B69" s="1167"/>
      <c r="C69" s="1685"/>
      <c r="D69" s="96"/>
      <c r="E69" s="220"/>
      <c r="F69" s="220"/>
      <c r="G69" s="220"/>
      <c r="H69" s="222"/>
      <c r="I69" s="96"/>
      <c r="J69" s="220"/>
      <c r="K69" s="1167"/>
    </row>
    <row r="70" spans="2:11" ht="16">
      <c r="B70" s="1167"/>
      <c r="C70" s="1685"/>
      <c r="D70" s="96"/>
      <c r="E70" s="220"/>
      <c r="F70" s="220"/>
      <c r="G70" s="220"/>
      <c r="H70" s="222"/>
      <c r="I70" s="96"/>
      <c r="J70" s="220"/>
      <c r="K70" s="1167"/>
    </row>
    <row r="71" spans="2:11" ht="16">
      <c r="B71" s="1167"/>
      <c r="C71" s="1685"/>
      <c r="D71" s="96"/>
      <c r="E71" s="220"/>
      <c r="F71" s="220"/>
      <c r="G71" s="220"/>
      <c r="H71" s="222"/>
      <c r="I71" s="96"/>
      <c r="J71" s="220"/>
      <c r="K71" s="1167"/>
    </row>
    <row r="72" spans="2:11" ht="16">
      <c r="B72" s="1167"/>
      <c r="C72" s="1685"/>
      <c r="D72" s="96"/>
      <c r="E72" s="220"/>
      <c r="F72" s="220"/>
      <c r="G72" s="220"/>
      <c r="H72" s="222"/>
      <c r="I72" s="96"/>
      <c r="J72" s="220"/>
      <c r="K72" s="1167"/>
    </row>
    <row r="73" spans="2:11" ht="16">
      <c r="B73" s="1167"/>
      <c r="C73" s="1685"/>
      <c r="D73" s="96"/>
      <c r="E73" s="220"/>
      <c r="F73" s="220"/>
      <c r="G73" s="220"/>
      <c r="H73" s="222"/>
      <c r="I73" s="96"/>
      <c r="J73" s="220"/>
      <c r="K73" s="1167"/>
    </row>
    <row r="74" spans="2:11" ht="16">
      <c r="B74" s="1167"/>
      <c r="C74" s="1685"/>
      <c r="D74" s="96"/>
      <c r="E74" s="220"/>
      <c r="F74" s="220"/>
      <c r="G74" s="220"/>
      <c r="H74" s="222"/>
      <c r="I74" s="96"/>
      <c r="J74" s="220"/>
      <c r="K74" s="1167"/>
    </row>
    <row r="75" spans="2:11" ht="16">
      <c r="B75" s="1167"/>
      <c r="C75" s="1685"/>
      <c r="D75" s="96"/>
      <c r="E75" s="220"/>
      <c r="F75" s="220"/>
      <c r="G75" s="220"/>
      <c r="H75" s="222"/>
      <c r="I75" s="96"/>
      <c r="J75" s="220"/>
      <c r="K75" s="1167"/>
    </row>
    <row r="76" spans="2:11" ht="16">
      <c r="B76" s="1167"/>
      <c r="C76" s="1685"/>
      <c r="D76" s="96"/>
      <c r="E76" s="220"/>
      <c r="F76" s="220"/>
      <c r="G76" s="220"/>
      <c r="H76" s="222"/>
      <c r="I76" s="96"/>
      <c r="J76" s="220"/>
      <c r="K76" s="1167"/>
    </row>
    <row r="77" spans="2:11" ht="16">
      <c r="B77" s="1167"/>
      <c r="C77" s="1685"/>
      <c r="D77" s="96"/>
      <c r="E77" s="220"/>
      <c r="F77" s="220"/>
      <c r="G77" s="220"/>
      <c r="H77" s="222"/>
      <c r="I77" s="96"/>
      <c r="J77" s="220"/>
      <c r="K77" s="1167"/>
    </row>
    <row r="78" spans="2:11" ht="16">
      <c r="B78" s="1167"/>
      <c r="C78" s="1685"/>
      <c r="D78" s="96"/>
      <c r="E78" s="220"/>
      <c r="F78" s="220"/>
      <c r="G78" s="220"/>
      <c r="H78" s="222"/>
      <c r="I78" s="96"/>
      <c r="J78" s="220"/>
      <c r="K78" s="1167"/>
    </row>
    <row r="79" spans="2:11" ht="16">
      <c r="B79" s="1167"/>
      <c r="C79" s="1685"/>
      <c r="D79" s="96"/>
      <c r="E79" s="220"/>
      <c r="F79" s="220"/>
      <c r="G79" s="220"/>
      <c r="H79" s="222"/>
      <c r="I79" s="96"/>
      <c r="J79" s="220"/>
      <c r="K79" s="1167"/>
    </row>
    <row r="80" spans="2:11" ht="16">
      <c r="B80" s="1167"/>
      <c r="C80" s="1685"/>
      <c r="D80" s="96"/>
      <c r="E80" s="220"/>
      <c r="F80" s="220"/>
      <c r="G80" s="220"/>
      <c r="H80" s="222"/>
      <c r="I80" s="96"/>
      <c r="J80" s="220"/>
      <c r="K80" s="1167"/>
    </row>
    <row r="81" spans="2:11">
      <c r="B81" s="1167"/>
      <c r="C81" s="1167"/>
      <c r="D81" s="1207"/>
      <c r="E81" s="1167"/>
      <c r="F81" s="1167"/>
      <c r="G81" s="1167"/>
      <c r="H81" s="1167"/>
      <c r="I81" s="1167"/>
      <c r="J81" s="1167"/>
      <c r="K81" s="1167"/>
    </row>
    <row r="82" spans="2:11" ht="19">
      <c r="B82" s="8" t="s">
        <v>3364</v>
      </c>
      <c r="C82" s="17"/>
      <c r="D82" s="17"/>
      <c r="F82" s="1109"/>
      <c r="G82" s="1109"/>
      <c r="H82" s="1109"/>
    </row>
    <row r="83" spans="2:11">
      <c r="B83" s="1167"/>
      <c r="C83" s="1170" t="s">
        <v>3532</v>
      </c>
      <c r="D83" s="1167"/>
      <c r="E83" s="1167"/>
      <c r="F83" s="1167"/>
      <c r="G83" s="1167"/>
      <c r="H83" s="1167"/>
      <c r="I83" s="1167"/>
      <c r="J83" s="1167"/>
      <c r="K83" s="1167"/>
    </row>
    <row r="84" spans="2:11">
      <c r="B84" s="1167"/>
      <c r="C84" s="1957"/>
      <c r="D84" s="1958"/>
      <c r="E84" s="1958"/>
      <c r="F84" s="1959"/>
      <c r="G84" s="1167"/>
      <c r="H84" s="1167"/>
      <c r="I84" s="1167"/>
      <c r="J84" s="1167"/>
      <c r="K84" s="1167"/>
    </row>
    <row r="85" spans="2:11">
      <c r="B85" s="1167"/>
      <c r="C85" s="1960"/>
      <c r="D85" s="1961"/>
      <c r="E85" s="1961"/>
      <c r="F85" s="1962"/>
      <c r="G85" s="1167"/>
      <c r="H85" s="1167"/>
      <c r="I85" s="1167"/>
      <c r="J85" s="1167"/>
      <c r="K85" s="1167"/>
    </row>
    <row r="86" spans="2:11">
      <c r="B86" s="1167"/>
      <c r="C86" s="1960"/>
      <c r="D86" s="1961"/>
      <c r="E86" s="1961"/>
      <c r="F86" s="1962"/>
      <c r="G86" s="1167"/>
      <c r="H86" s="1167"/>
      <c r="I86" s="1167"/>
      <c r="J86" s="1167"/>
      <c r="K86" s="1167"/>
    </row>
    <row r="87" spans="2:11">
      <c r="B87" s="1167"/>
      <c r="C87" s="1960"/>
      <c r="D87" s="1961"/>
      <c r="E87" s="1961"/>
      <c r="F87" s="1962"/>
      <c r="G87" s="1167"/>
      <c r="H87" s="1167"/>
      <c r="I87" s="1167"/>
      <c r="J87" s="1167"/>
      <c r="K87" s="1167"/>
    </row>
    <row r="88" spans="2:11">
      <c r="B88" s="1167"/>
      <c r="C88" s="1960"/>
      <c r="D88" s="1961"/>
      <c r="E88" s="1961"/>
      <c r="F88" s="1962"/>
      <c r="G88" s="1167"/>
      <c r="H88" s="1167"/>
      <c r="I88" s="1167"/>
      <c r="J88" s="1167"/>
      <c r="K88" s="1167"/>
    </row>
    <row r="89" spans="2:11">
      <c r="B89" s="1167"/>
      <c r="C89" s="1960"/>
      <c r="D89" s="1961"/>
      <c r="E89" s="1961"/>
      <c r="F89" s="1962"/>
      <c r="G89" s="1167"/>
      <c r="H89" s="1167"/>
      <c r="I89" s="1167"/>
      <c r="J89" s="1167"/>
      <c r="K89" s="1167"/>
    </row>
    <row r="90" spans="2:11">
      <c r="B90" s="1167"/>
      <c r="C90" s="1960"/>
      <c r="D90" s="1961"/>
      <c r="E90" s="1961"/>
      <c r="F90" s="1962"/>
      <c r="G90" s="1167"/>
      <c r="H90" s="1167"/>
      <c r="I90" s="1167"/>
      <c r="J90" s="1167"/>
      <c r="K90" s="1167"/>
    </row>
    <row r="91" spans="2:11">
      <c r="B91" s="1167"/>
      <c r="C91" s="1963"/>
      <c r="D91" s="1964"/>
      <c r="E91" s="1964"/>
      <c r="F91" s="1965"/>
      <c r="G91" s="1167"/>
      <c r="H91" s="1167"/>
      <c r="I91" s="1167"/>
      <c r="J91" s="1167"/>
      <c r="K91" s="1167"/>
    </row>
    <row r="92" spans="2:11">
      <c r="B92" s="1167"/>
      <c r="C92" s="1167"/>
      <c r="D92" s="1167"/>
      <c r="E92" s="1167"/>
      <c r="F92" s="1167"/>
      <c r="G92" s="1167"/>
      <c r="H92" s="1167"/>
      <c r="I92" s="1167"/>
      <c r="J92" s="1167"/>
      <c r="K92" s="1167"/>
    </row>
    <row r="93" spans="2:11" ht="16">
      <c r="D93" s="3"/>
      <c r="F93" s="203"/>
      <c r="K93" s="74"/>
    </row>
    <row r="94" spans="2:11">
      <c r="B94" s="16" t="s">
        <v>3371</v>
      </c>
      <c r="C94" s="7"/>
      <c r="D94" s="7"/>
      <c r="E94" s="7"/>
      <c r="F94" s="7"/>
      <c r="G94" s="7"/>
      <c r="H94" s="7"/>
      <c r="I94" s="7"/>
      <c r="J94" s="7"/>
    </row>
    <row r="95" spans="2:11" ht="19">
      <c r="B95" s="8" t="s">
        <v>3372</v>
      </c>
      <c r="D95" s="3"/>
      <c r="F95" s="1109"/>
      <c r="G95" s="1109"/>
      <c r="H95" s="1109"/>
    </row>
    <row r="96" spans="2:11">
      <c r="B96" s="1167"/>
      <c r="C96" s="1167"/>
      <c r="D96" s="1167"/>
      <c r="E96" s="1167"/>
      <c r="F96" s="1167"/>
      <c r="G96" s="1167"/>
      <c r="H96" s="1167"/>
      <c r="I96" s="1167"/>
      <c r="J96" s="1167"/>
      <c r="K96" s="1167"/>
    </row>
    <row r="97" spans="2:11">
      <c r="B97" s="1167"/>
      <c r="C97" s="1981"/>
      <c r="D97" s="1981"/>
      <c r="E97" s="1981"/>
      <c r="F97" s="1981"/>
      <c r="G97" s="1167"/>
      <c r="H97" s="1167"/>
      <c r="I97" s="1167"/>
      <c r="J97" s="1167"/>
      <c r="K97" s="1167"/>
    </row>
    <row r="98" spans="2:11">
      <c r="B98" s="1167"/>
      <c r="C98" s="1981"/>
      <c r="D98" s="1981"/>
      <c r="E98" s="1981"/>
      <c r="F98" s="1981"/>
      <c r="G98" s="1167"/>
      <c r="H98" s="1167"/>
      <c r="I98" s="1167"/>
      <c r="J98" s="1167"/>
      <c r="K98" s="1167"/>
    </row>
    <row r="99" spans="2:11">
      <c r="B99" s="1167"/>
      <c r="C99" s="1981"/>
      <c r="D99" s="1981"/>
      <c r="E99" s="1981"/>
      <c r="F99" s="1981"/>
      <c r="G99" s="1167"/>
      <c r="H99" s="1167"/>
      <c r="I99" s="1167"/>
      <c r="J99" s="1167"/>
      <c r="K99" s="1167"/>
    </row>
    <row r="100" spans="2:11">
      <c r="B100" s="1167"/>
      <c r="C100" s="1981"/>
      <c r="D100" s="1981"/>
      <c r="E100" s="1981"/>
      <c r="F100" s="1981"/>
      <c r="G100" s="1167"/>
      <c r="H100" s="1167"/>
      <c r="I100" s="1167"/>
      <c r="J100" s="1167"/>
      <c r="K100" s="1167"/>
    </row>
    <row r="101" spans="2:11">
      <c r="B101" s="1167"/>
      <c r="C101" s="1167"/>
      <c r="D101" s="1167"/>
      <c r="E101" s="1167"/>
      <c r="F101" s="1167"/>
      <c r="G101" s="1167"/>
      <c r="H101" s="1167"/>
      <c r="I101" s="1167"/>
      <c r="J101" s="1167"/>
      <c r="K101" s="1167"/>
    </row>
    <row r="102" spans="2:11" ht="16">
      <c r="D102" s="219"/>
      <c r="F102" s="217"/>
    </row>
    <row r="103" spans="2:11" ht="16">
      <c r="D103" s="224"/>
      <c r="E103" s="224"/>
      <c r="F103" s="217"/>
    </row>
  </sheetData>
  <sheetProtection algorithmName="SHA-512" hashValue="EnGIKJqzq3cBtSO2Qhyi1lanw7aE6TGdXwqWfnmDlTbX6LJ4giVOjHvWI46HH+LCbC9Jh5P8laF0Y3Ydt4m3yA==" saltValue="k7LRZsR9Kln6qcMitjLBvw==" spinCount="100000" sheet="1" objects="1" scenarios="1" selectLockedCells="1"/>
  <mergeCells count="8">
    <mergeCell ref="D6:H6"/>
    <mergeCell ref="D11:H11"/>
    <mergeCell ref="C97:F100"/>
    <mergeCell ref="C84:F91"/>
    <mergeCell ref="D17:F17"/>
    <mergeCell ref="D9:H9"/>
    <mergeCell ref="C37:J40"/>
    <mergeCell ref="C44:D45"/>
  </mergeCells>
  <phoneticPr fontId="12" type="noConversion"/>
  <conditionalFormatting sqref="D21">
    <cfRule type="expression" dxfId="327" priority="41">
      <formula>$D$20="Yes"</formula>
    </cfRule>
  </conditionalFormatting>
  <conditionalFormatting sqref="D25">
    <cfRule type="expression" dxfId="326" priority="40">
      <formula>$D$23="Yes"</formula>
    </cfRule>
  </conditionalFormatting>
  <conditionalFormatting sqref="D27">
    <cfRule type="expression" dxfId="325" priority="38">
      <formula>$D$23="No"</formula>
    </cfRule>
  </conditionalFormatting>
  <conditionalFormatting sqref="G25">
    <cfRule type="expression" dxfId="323" priority="39">
      <formula>$D$23="Yes"</formula>
    </cfRule>
  </conditionalFormatting>
  <conditionalFormatting sqref="G27">
    <cfRule type="expression" dxfId="322" priority="37">
      <formula>$D$23="No"</formula>
    </cfRule>
  </conditionalFormatting>
  <dataValidations count="6">
    <dataValidation type="list" allowBlank="1" showInputMessage="1" showErrorMessage="1" sqref="D23 D20 D35" xr:uid="{87A8DFD9-BE79-42E2-9EFC-5E54BFB2B13D}">
      <formula1>YesNo</formula1>
    </dataValidation>
    <dataValidation type="list" allowBlank="1" showInputMessage="1" showErrorMessage="1" sqref="I47:I80" xr:uid="{0897125A-E995-4D75-804E-E0CFF41F819D}">
      <formula1>TypeOfControl</formula1>
    </dataValidation>
    <dataValidation type="custom" allowBlank="1" showInputMessage="1" showErrorMessage="1" sqref="F1 C44" xr:uid="{FC0A6955-2F2A-4BCC-ADB9-6AB4E398A8E7}">
      <formula1>"&lt;0&gt;0"</formula1>
    </dataValidation>
    <dataValidation type="custom" allowBlank="1" showInputMessage="1" showErrorMessage="1" sqref="D17" xr:uid="{6519AF26-E1E2-45AD-AEAA-8E6C4A540404}">
      <formula1>ISNUMBER(MATCH("*@*.?*",D17,0))</formula1>
    </dataValidation>
    <dataValidation type="custom" allowBlank="1" showInputMessage="1" showErrorMessage="1" errorTitle="Numeric Value Error" error="Please enter numeric values only." sqref="D34 F47:G80" xr:uid="{3A801808-ABBD-4A00-B0EA-B36991057975}">
      <formula1>ISNUMBER(D34)</formula1>
    </dataValidation>
    <dataValidation type="custom" allowBlank="1" showInputMessage="1" showErrorMessage="1" errorTitle="Phone Number Error" error="Please enter phone number with numeric values only." sqref="D16" xr:uid="{6EF6DFBE-7039-4B69-A7A6-43FB6E7741C6}">
      <formula1>ISNUMBER(D16)</formula1>
    </dataValidation>
  </dataValidations>
  <pageMargins left="0.7" right="0.7" top="0.75" bottom="0.75" header="0.3" footer="0.3"/>
  <pageSetup scale="40" orientation="portrait" r:id="rId1"/>
  <headerFooter>
    <oddHeader>&amp;L&amp;G</oddHeader>
    <oddFooter>&amp;LVersion - 2023.0.01&amp;CWHEDA MULTIFAMILY APPLICATION&amp;R&amp;P of &amp;N</oddFooter>
  </headerFooter>
  <colBreaks count="1" manualBreakCount="1">
    <brk id="11" min="3" max="87"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3" id="{89229EDF-C603-428C-ABA2-11D0D288815D}">
            <xm:f>IF('3. Project Location'!$H$6&gt;1,TRUE,FALSE)</xm:f>
            <x14:dxf>
              <font>
                <color theme="1"/>
              </font>
              <fill>
                <patternFill patternType="solid">
                  <bgColor rgb="FF92D050"/>
                </patternFill>
              </fill>
            </x14:dxf>
          </x14:cfRule>
          <xm:sqref>C48:J48</xm:sqref>
        </x14:conditionalFormatting>
        <x14:conditionalFormatting xmlns:xm="http://schemas.microsoft.com/office/excel/2006/main">
          <x14:cfRule type="expression" priority="34" id="{952A1C09-20A8-4F61-9A12-B59570BD7856}">
            <xm:f>IF('3. Project Location'!$H$6&gt;2,TRUE,FALSE)</xm:f>
            <x14:dxf>
              <font>
                <color theme="1"/>
              </font>
              <fill>
                <patternFill patternType="solid">
                  <bgColor rgb="FF92D050"/>
                </patternFill>
              </fill>
            </x14:dxf>
          </x14:cfRule>
          <xm:sqref>C49:J49</xm:sqref>
        </x14:conditionalFormatting>
        <x14:conditionalFormatting xmlns:xm="http://schemas.microsoft.com/office/excel/2006/main">
          <x14:cfRule type="expression" priority="32" id="{03A08FB2-3B37-4B2A-B86E-38365F5DD8D6}">
            <xm:f>IF('3. Project Location'!$H$6&gt;3,TRUE,FALSE)</xm:f>
            <x14:dxf>
              <font>
                <color theme="1"/>
              </font>
              <fill>
                <patternFill patternType="solid">
                  <bgColor rgb="FF92D050"/>
                </patternFill>
              </fill>
            </x14:dxf>
          </x14:cfRule>
          <xm:sqref>C50:J50</xm:sqref>
        </x14:conditionalFormatting>
        <x14:conditionalFormatting xmlns:xm="http://schemas.microsoft.com/office/excel/2006/main">
          <x14:cfRule type="expression" priority="31" id="{7A2C714E-58A9-4CCA-B354-0A494576A584}">
            <xm:f>IF('3. Project Location'!$H$6&gt;4,TRUE,FALSE)</xm:f>
            <x14:dxf>
              <font>
                <color theme="1"/>
              </font>
              <fill>
                <patternFill patternType="solid">
                  <bgColor rgb="FF92D050"/>
                </patternFill>
              </fill>
            </x14:dxf>
          </x14:cfRule>
          <xm:sqref>C51:J51</xm:sqref>
        </x14:conditionalFormatting>
        <x14:conditionalFormatting xmlns:xm="http://schemas.microsoft.com/office/excel/2006/main">
          <x14:cfRule type="expression" priority="30" id="{8D695A81-98F4-4EED-8A13-952D5508AD37}">
            <xm:f>IF('3. Project Location'!$H$6&gt;5,TRUE,FALSE)</xm:f>
            <x14:dxf>
              <font>
                <color theme="1"/>
              </font>
              <fill>
                <patternFill patternType="solid">
                  <bgColor rgb="FF92D050"/>
                </patternFill>
              </fill>
            </x14:dxf>
          </x14:cfRule>
          <xm:sqref>C52:J52</xm:sqref>
        </x14:conditionalFormatting>
        <x14:conditionalFormatting xmlns:xm="http://schemas.microsoft.com/office/excel/2006/main">
          <x14:cfRule type="expression" priority="29" id="{2936EBC8-037A-422E-8431-B4D086E0AC87}">
            <xm:f>IF('3. Project Location'!$H$6&gt;6,TRUE,FALSE)</xm:f>
            <x14:dxf>
              <font>
                <color theme="1"/>
              </font>
              <fill>
                <patternFill patternType="solid">
                  <bgColor rgb="FF92D050"/>
                </patternFill>
              </fill>
            </x14:dxf>
          </x14:cfRule>
          <xm:sqref>C53:J53</xm:sqref>
        </x14:conditionalFormatting>
        <x14:conditionalFormatting xmlns:xm="http://schemas.microsoft.com/office/excel/2006/main">
          <x14:cfRule type="expression" priority="28" id="{3F3C722C-C117-4720-8453-FAE79476DF39}">
            <xm:f>IF('3. Project Location'!$H$6&gt;7,TRUE,FALSE)</xm:f>
            <x14:dxf>
              <font>
                <color theme="1"/>
              </font>
              <fill>
                <patternFill patternType="solid">
                  <bgColor rgb="FF92D050"/>
                </patternFill>
              </fill>
            </x14:dxf>
          </x14:cfRule>
          <xm:sqref>C54:J54</xm:sqref>
        </x14:conditionalFormatting>
        <x14:conditionalFormatting xmlns:xm="http://schemas.microsoft.com/office/excel/2006/main">
          <x14:cfRule type="expression" priority="27" id="{2589DB97-EFC6-4256-80F7-98EE09A49FE1}">
            <xm:f>IF('3. Project Location'!$H$6&gt;8,TRUE,FALSE)</xm:f>
            <x14:dxf>
              <font>
                <color theme="1"/>
              </font>
              <fill>
                <patternFill patternType="solid">
                  <bgColor rgb="FF92D050"/>
                </patternFill>
              </fill>
            </x14:dxf>
          </x14:cfRule>
          <xm:sqref>C55:J55</xm:sqref>
        </x14:conditionalFormatting>
        <x14:conditionalFormatting xmlns:xm="http://schemas.microsoft.com/office/excel/2006/main">
          <x14:cfRule type="expression" priority="26" id="{F2942133-2A64-43A1-B778-EE3CECA85F24}">
            <xm:f>IF('3. Project Location'!$H$6&gt;9,TRUE,FALSE)</xm:f>
            <x14:dxf>
              <font>
                <color theme="1"/>
              </font>
              <fill>
                <patternFill patternType="solid">
                  <bgColor rgb="FF92D050"/>
                </patternFill>
              </fill>
            </x14:dxf>
          </x14:cfRule>
          <xm:sqref>C56:J56</xm:sqref>
        </x14:conditionalFormatting>
        <x14:conditionalFormatting xmlns:xm="http://schemas.microsoft.com/office/excel/2006/main">
          <x14:cfRule type="expression" priority="24" id="{BD5B9074-D19E-4557-B3E8-681C80BFEE09}">
            <xm:f>IF('3. Project Location'!$H$6&gt;10,TRUE,FALSE)</xm:f>
            <x14:dxf>
              <font>
                <color theme="1"/>
              </font>
              <fill>
                <patternFill patternType="solid">
                  <bgColor rgb="FF92D050"/>
                </patternFill>
              </fill>
            </x14:dxf>
          </x14:cfRule>
          <xm:sqref>C57:J57</xm:sqref>
        </x14:conditionalFormatting>
        <x14:conditionalFormatting xmlns:xm="http://schemas.microsoft.com/office/excel/2006/main">
          <x14:cfRule type="expression" priority="23" id="{BA683C03-7430-4E8F-8C22-D36659CD1D46}">
            <xm:f>IF('3. Project Location'!$H$6&gt;11,TRUE,FALSE)</xm:f>
            <x14:dxf>
              <font>
                <color theme="1"/>
              </font>
              <fill>
                <patternFill patternType="solid">
                  <bgColor rgb="FF92D050"/>
                </patternFill>
              </fill>
            </x14:dxf>
          </x14:cfRule>
          <xm:sqref>C58:J58</xm:sqref>
        </x14:conditionalFormatting>
        <x14:conditionalFormatting xmlns:xm="http://schemas.microsoft.com/office/excel/2006/main">
          <x14:cfRule type="expression" priority="22" id="{3C0FBD25-7303-4E84-ACB2-C61AA62E716A}">
            <xm:f>IF('3. Project Location'!$H$6&gt;12,TRUE,FALSE)</xm:f>
            <x14:dxf>
              <font>
                <color theme="1"/>
              </font>
              <fill>
                <patternFill patternType="solid">
                  <bgColor rgb="FF92D050"/>
                </patternFill>
              </fill>
            </x14:dxf>
          </x14:cfRule>
          <xm:sqref>C59:J59</xm:sqref>
        </x14:conditionalFormatting>
        <x14:conditionalFormatting xmlns:xm="http://schemas.microsoft.com/office/excel/2006/main">
          <x14:cfRule type="expression" priority="21" id="{C7C4FAE1-470E-4F80-85E1-1869B34983EB}">
            <xm:f>IF('3. Project Location'!$H$6&gt;13,TRUE,FALSE)</xm:f>
            <x14:dxf>
              <font>
                <color theme="1"/>
              </font>
              <fill>
                <patternFill patternType="solid">
                  <bgColor rgb="FF92D050"/>
                </patternFill>
              </fill>
            </x14:dxf>
          </x14:cfRule>
          <xm:sqref>C60:J60</xm:sqref>
        </x14:conditionalFormatting>
        <x14:conditionalFormatting xmlns:xm="http://schemas.microsoft.com/office/excel/2006/main">
          <x14:cfRule type="expression" priority="20" id="{B21CF67D-0B84-46CC-B235-A67649BFE8B4}">
            <xm:f>IF('3. Project Location'!$H$6&gt;14,TRUE,FALSE)</xm:f>
            <x14:dxf>
              <font>
                <color theme="1"/>
              </font>
              <fill>
                <patternFill patternType="solid">
                  <bgColor rgb="FF92D050"/>
                </patternFill>
              </fill>
            </x14:dxf>
          </x14:cfRule>
          <xm:sqref>C61:J61</xm:sqref>
        </x14:conditionalFormatting>
        <x14:conditionalFormatting xmlns:xm="http://schemas.microsoft.com/office/excel/2006/main">
          <x14:cfRule type="expression" priority="19" id="{0569E9C9-4E0D-444F-9E64-5758A331E187}">
            <xm:f>IF('3. Project Location'!$H$6&gt;15,TRUE,FALSE)</xm:f>
            <x14:dxf>
              <font>
                <color theme="1"/>
              </font>
              <fill>
                <patternFill patternType="solid">
                  <bgColor rgb="FF92D050"/>
                </patternFill>
              </fill>
            </x14:dxf>
          </x14:cfRule>
          <xm:sqref>C62:J62</xm:sqref>
        </x14:conditionalFormatting>
        <x14:conditionalFormatting xmlns:xm="http://schemas.microsoft.com/office/excel/2006/main">
          <x14:cfRule type="expression" priority="18" id="{0C47038A-4759-4C51-AD4B-B6EA286AFC9F}">
            <xm:f>IF('3. Project Location'!$H$6&gt;16,TRUE,FALSE)</xm:f>
            <x14:dxf>
              <font>
                <color theme="1"/>
              </font>
              <fill>
                <patternFill patternType="solid">
                  <bgColor rgb="FF92D050"/>
                </patternFill>
              </fill>
            </x14:dxf>
          </x14:cfRule>
          <xm:sqref>C63:J63</xm:sqref>
        </x14:conditionalFormatting>
        <x14:conditionalFormatting xmlns:xm="http://schemas.microsoft.com/office/excel/2006/main">
          <x14:cfRule type="expression" priority="17" id="{A3C96F3D-087C-44D6-A609-7EE643380E6A}">
            <xm:f>IF('3. Project Location'!$H$6&gt;17,TRUE,FALSE)</xm:f>
            <x14:dxf>
              <font>
                <color theme="1"/>
              </font>
              <fill>
                <patternFill patternType="solid">
                  <bgColor rgb="FF92D050"/>
                </patternFill>
              </fill>
            </x14:dxf>
          </x14:cfRule>
          <xm:sqref>C64:J64</xm:sqref>
        </x14:conditionalFormatting>
        <x14:conditionalFormatting xmlns:xm="http://schemas.microsoft.com/office/excel/2006/main">
          <x14:cfRule type="expression" priority="16" id="{A25A5529-51B9-420F-833C-BC6B904A8EA4}">
            <xm:f>IF('3. Project Location'!$H$6&gt;18,TRUE,FALSE)</xm:f>
            <x14:dxf>
              <font>
                <color theme="1"/>
              </font>
              <fill>
                <patternFill patternType="solid">
                  <bgColor rgb="FF92D050"/>
                </patternFill>
              </fill>
            </x14:dxf>
          </x14:cfRule>
          <xm:sqref>C65:J65</xm:sqref>
        </x14:conditionalFormatting>
        <x14:conditionalFormatting xmlns:xm="http://schemas.microsoft.com/office/excel/2006/main">
          <x14:cfRule type="expression" priority="15" id="{DDE447A6-524D-4CEE-BC74-CB35E92DEDBB}">
            <xm:f>IF('3. Project Location'!$H$6&gt;19,TRUE,FALSE)</xm:f>
            <x14:dxf>
              <font>
                <color theme="1"/>
              </font>
              <fill>
                <patternFill patternType="solid">
                  <bgColor rgb="FF92D050"/>
                </patternFill>
              </fill>
            </x14:dxf>
          </x14:cfRule>
          <xm:sqref>C66:J66</xm:sqref>
        </x14:conditionalFormatting>
        <x14:conditionalFormatting xmlns:xm="http://schemas.microsoft.com/office/excel/2006/main">
          <x14:cfRule type="expression" priority="14" id="{A3669BF6-33A3-4993-90B0-43AEF93B4397}">
            <xm:f>IF('3. Project Location'!$H$6&gt;20,TRUE,FALSE)</xm:f>
            <x14:dxf>
              <font>
                <color theme="1"/>
              </font>
              <fill>
                <patternFill patternType="solid">
                  <bgColor rgb="FF92D050"/>
                </patternFill>
              </fill>
            </x14:dxf>
          </x14:cfRule>
          <xm:sqref>C67:J67</xm:sqref>
        </x14:conditionalFormatting>
        <x14:conditionalFormatting xmlns:xm="http://schemas.microsoft.com/office/excel/2006/main">
          <x14:cfRule type="expression" priority="13" id="{2C9E387E-3C1E-427D-98AD-1F10B9088377}">
            <xm:f>IF('3. Project Location'!$H$6&gt;21,TRUE,FALSE)</xm:f>
            <x14:dxf>
              <font>
                <color theme="1"/>
              </font>
              <fill>
                <patternFill patternType="solid">
                  <bgColor rgb="FF92D050"/>
                </patternFill>
              </fill>
            </x14:dxf>
          </x14:cfRule>
          <xm:sqref>C68:J68</xm:sqref>
        </x14:conditionalFormatting>
        <x14:conditionalFormatting xmlns:xm="http://schemas.microsoft.com/office/excel/2006/main">
          <x14:cfRule type="expression" priority="12" id="{6F278A01-5A88-42B6-856B-C6D78F503C6B}">
            <xm:f>IF('3. Project Location'!$H$6&gt;22,TRUE,FALSE)</xm:f>
            <x14:dxf>
              <font>
                <color theme="1"/>
              </font>
              <fill>
                <patternFill patternType="solid">
                  <bgColor rgb="FF92D050"/>
                </patternFill>
              </fill>
            </x14:dxf>
          </x14:cfRule>
          <xm:sqref>C69:J69</xm:sqref>
        </x14:conditionalFormatting>
        <x14:conditionalFormatting xmlns:xm="http://schemas.microsoft.com/office/excel/2006/main">
          <x14:cfRule type="expression" priority="11" id="{495098C3-4C91-4A96-B6EF-46D56B3B5C42}">
            <xm:f>IF('3. Project Location'!$H$6&gt;23,TRUE,FALSE)</xm:f>
            <x14:dxf>
              <font>
                <color theme="1"/>
              </font>
              <fill>
                <patternFill patternType="solid">
                  <bgColor rgb="FF92D050"/>
                </patternFill>
              </fill>
            </x14:dxf>
          </x14:cfRule>
          <xm:sqref>C70:J70</xm:sqref>
        </x14:conditionalFormatting>
        <x14:conditionalFormatting xmlns:xm="http://schemas.microsoft.com/office/excel/2006/main">
          <x14:cfRule type="expression" priority="10" id="{1327F45F-8CDA-44BB-892D-6DB39BC086BC}">
            <xm:f>IF('3. Project Location'!$H$6&gt;24,TRUE,FALSE)</xm:f>
            <x14:dxf>
              <font>
                <color theme="1"/>
              </font>
              <fill>
                <patternFill patternType="solid">
                  <bgColor rgb="FF92D050"/>
                </patternFill>
              </fill>
            </x14:dxf>
          </x14:cfRule>
          <xm:sqref>C71:J71</xm:sqref>
        </x14:conditionalFormatting>
        <x14:conditionalFormatting xmlns:xm="http://schemas.microsoft.com/office/excel/2006/main">
          <x14:cfRule type="expression" priority="9" id="{C4669455-A388-410D-A1E0-E36C26B2B467}">
            <xm:f>IF('3. Project Location'!$H$6&gt;25,TRUE,FALSE)</xm:f>
            <x14:dxf>
              <font>
                <color theme="1"/>
              </font>
              <fill>
                <patternFill patternType="solid">
                  <bgColor rgb="FF92D050"/>
                </patternFill>
              </fill>
            </x14:dxf>
          </x14:cfRule>
          <xm:sqref>C72:J72</xm:sqref>
        </x14:conditionalFormatting>
        <x14:conditionalFormatting xmlns:xm="http://schemas.microsoft.com/office/excel/2006/main">
          <x14:cfRule type="expression" priority="8" id="{BD986D82-FF48-43C2-AD45-691B157CE39C}">
            <xm:f>IF('3. Project Location'!$H$6&gt;26,TRUE,FALSE)</xm:f>
            <x14:dxf>
              <font>
                <color theme="1"/>
              </font>
              <fill>
                <patternFill patternType="solid">
                  <bgColor rgb="FF92D050"/>
                </patternFill>
              </fill>
            </x14:dxf>
          </x14:cfRule>
          <xm:sqref>C73:J73</xm:sqref>
        </x14:conditionalFormatting>
        <x14:conditionalFormatting xmlns:xm="http://schemas.microsoft.com/office/excel/2006/main">
          <x14:cfRule type="expression" priority="7" id="{B95E6152-5BD7-405A-A92D-BF54A7CDEEC4}">
            <xm:f>IF('3. Project Location'!$H$6&gt;27,TRUE,FALSE)</xm:f>
            <x14:dxf>
              <font>
                <color theme="1"/>
              </font>
              <fill>
                <patternFill patternType="solid">
                  <bgColor rgb="FF92D050"/>
                </patternFill>
              </fill>
            </x14:dxf>
          </x14:cfRule>
          <xm:sqref>C74:J74</xm:sqref>
        </x14:conditionalFormatting>
        <x14:conditionalFormatting xmlns:xm="http://schemas.microsoft.com/office/excel/2006/main">
          <x14:cfRule type="expression" priority="6" id="{7DAA7D57-B646-4D8D-80FB-2B9563D4819A}">
            <xm:f>IF('3. Project Location'!$H$6&gt;28,TRUE,FALSE)</xm:f>
            <x14:dxf>
              <font>
                <color theme="1"/>
              </font>
              <fill>
                <patternFill patternType="solid">
                  <bgColor rgb="FF92D050"/>
                </patternFill>
              </fill>
            </x14:dxf>
          </x14:cfRule>
          <xm:sqref>C75:J75</xm:sqref>
        </x14:conditionalFormatting>
        <x14:conditionalFormatting xmlns:xm="http://schemas.microsoft.com/office/excel/2006/main">
          <x14:cfRule type="expression" priority="5" id="{12E79BF3-B519-47E7-B807-32530F99F15A}">
            <xm:f>IF('3. Project Location'!$H$6&gt;29,TRUE,FALSE)</xm:f>
            <x14:dxf>
              <font>
                <color theme="1"/>
              </font>
              <fill>
                <patternFill patternType="solid">
                  <bgColor rgb="FF92D050"/>
                </patternFill>
              </fill>
            </x14:dxf>
          </x14:cfRule>
          <xm:sqref>C76:J76</xm:sqref>
        </x14:conditionalFormatting>
        <x14:conditionalFormatting xmlns:xm="http://schemas.microsoft.com/office/excel/2006/main">
          <x14:cfRule type="expression" priority="4" id="{AF2592EF-D99C-4B52-872F-88BE0B06D85F}">
            <xm:f>IF('3. Project Location'!$H$6&gt;30,TRUE,FALSE)</xm:f>
            <x14:dxf>
              <font>
                <color theme="1"/>
              </font>
              <fill>
                <patternFill patternType="solid">
                  <bgColor rgb="FF92D050"/>
                </patternFill>
              </fill>
            </x14:dxf>
          </x14:cfRule>
          <xm:sqref>C77:J77</xm:sqref>
        </x14:conditionalFormatting>
        <x14:conditionalFormatting xmlns:xm="http://schemas.microsoft.com/office/excel/2006/main">
          <x14:cfRule type="expression" priority="3" id="{22142E86-5FB2-4BCE-9EA6-1F28AAA14BBA}">
            <xm:f>IF('3. Project Location'!$H$6&gt;31,TRUE,FALSE)</xm:f>
            <x14:dxf>
              <font>
                <color theme="1"/>
              </font>
              <fill>
                <patternFill patternType="solid">
                  <bgColor rgb="FF92D050"/>
                </patternFill>
              </fill>
            </x14:dxf>
          </x14:cfRule>
          <xm:sqref>C78:J78</xm:sqref>
        </x14:conditionalFormatting>
        <x14:conditionalFormatting xmlns:xm="http://schemas.microsoft.com/office/excel/2006/main">
          <x14:cfRule type="expression" priority="2" id="{9EF92DCB-66DE-47B7-8EDD-091B0693C3ED}">
            <xm:f>IF('3. Project Location'!$H$6&gt;32,TRUE,FALSE)</xm:f>
            <x14:dxf>
              <font>
                <color theme="1"/>
              </font>
              <fill>
                <patternFill patternType="solid">
                  <bgColor rgb="FF92D050"/>
                </patternFill>
              </fill>
            </x14:dxf>
          </x14:cfRule>
          <xm:sqref>C79:J79</xm:sqref>
        </x14:conditionalFormatting>
        <x14:conditionalFormatting xmlns:xm="http://schemas.microsoft.com/office/excel/2006/main">
          <x14:cfRule type="expression" priority="1" id="{11C57C7D-80B8-479F-8CA5-A216D7060DCB}">
            <xm:f>IF('3. Project Location'!$H$6&gt;33,TRUE,FALSE)</xm:f>
            <x14:dxf>
              <font>
                <color theme="1"/>
              </font>
              <fill>
                <patternFill patternType="solid">
                  <bgColor rgb="FF92D050"/>
                </patternFill>
              </fill>
            </x14:dxf>
          </x14:cfRule>
          <xm:sqref>C80:J80</xm:sqref>
        </x14:conditionalFormatting>
        <x14:conditionalFormatting xmlns:xm="http://schemas.microsoft.com/office/excel/2006/main">
          <x14:cfRule type="expression" priority="36" id="{1E6B509E-8A41-4033-884A-7C917A21CB90}">
            <xm:f>OR('4. Project Description'!$D$6="Adaptive Reuse",'4. Project Description'!$D$6="Acquisition/Rehab",'4. Project Description'!$D$6="Acquisition/New Construction",'4. Project Description'!$D$6="Adaptive Reuse/New Construction")</xm:f>
            <x14:dxf>
              <fill>
                <patternFill>
                  <bgColor rgb="FF92D050"/>
                </patternFill>
              </fill>
            </x14:dxf>
          </x14:cfRule>
          <xm:sqref>D30:D31 D34:D35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B694AD-6BE4-4D47-952F-AF58F2685B23}">
          <x14:formula1>
            <xm:f>'Dropdown Lists'!$A$2:$A$3</xm:f>
          </x14:formula1>
          <xm:sqref>F103 I95</xm:sqref>
        </x14:dataValidation>
        <x14:dataValidation type="list" allowBlank="1" showInputMessage="1" showErrorMessage="1" xr:uid="{0F403ECB-F6D7-41E2-9121-661523710CAC}">
          <x14:formula1>
            <xm:f>'Dropdown Lists'!$U$3:$U$53</xm:f>
          </x14:formula1>
          <xm:sqref>F12:F13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F934-B32E-4FD2-A5E3-9A94D0F82A09}">
  <sheetPr codeName="Sheet7">
    <pageSetUpPr fitToPage="1"/>
  </sheetPr>
  <dimension ref="A1:I56"/>
  <sheetViews>
    <sheetView workbookViewId="0">
      <selection activeCell="C6" sqref="C6"/>
    </sheetView>
  </sheetViews>
  <sheetFormatPr baseColWidth="10" defaultColWidth="9.1640625" defaultRowHeight="15"/>
  <cols>
    <col min="1" max="1" width="4.5" style="3" customWidth="1"/>
    <col min="2" max="2" width="85.5" style="3" customWidth="1"/>
    <col min="3" max="3" width="26.83203125" style="3" customWidth="1"/>
    <col min="4" max="4" width="39.5" style="3" customWidth="1"/>
    <col min="5" max="5" width="17.83203125" style="3" customWidth="1"/>
    <col min="6" max="7" width="9.1640625" style="3"/>
    <col min="8" max="8" width="15.5" style="3" bestFit="1" customWidth="1"/>
    <col min="9" max="9" width="9.1640625" style="3"/>
    <col min="10" max="10" width="15.83203125" style="3" bestFit="1" customWidth="1"/>
    <col min="11" max="11" width="9.1640625" style="3"/>
    <col min="12" max="12" width="19.5" style="3" bestFit="1" customWidth="1"/>
    <col min="13" max="13" width="9.1640625" style="3"/>
    <col min="14" max="14" width="23.83203125" style="3" bestFit="1" customWidth="1"/>
    <col min="15" max="16384" width="9.1640625" style="3"/>
  </cols>
  <sheetData>
    <row r="1" spans="1:9" ht="29">
      <c r="B1" s="4" t="str">
        <f>'1. TOC'!B1</f>
        <v>WHEDA 2025 Multifamily Application</v>
      </c>
      <c r="D1" s="149" t="str">
        <f>'1. TOC'!L1</f>
        <v>v25.1.9</v>
      </c>
      <c r="E1" s="1086" t="str">
        <f>HYPERLINK("#Table_of_Contents", Table_of_Contents)</f>
        <v>Table of Contents</v>
      </c>
    </row>
    <row r="2" spans="1:9" ht="19">
      <c r="B2" s="934" t="str">
        <f>_xlfn.CONCAT(IF(ISBLANK(WHEDA_Project_Number),"",_xlfn.CONCAT(WHEDA_Project_Number,"-")), Project_Name, IF(ISBLANK(Credit_percentage_applied_for),"",_xlfn.CONCAT(" (", Credit_percentage_applied_for," HTC)")))</f>
        <v/>
      </c>
      <c r="C2" s="5"/>
    </row>
    <row r="3" spans="1:9" ht="19">
      <c r="A3" s="132"/>
      <c r="B3" s="13"/>
      <c r="C3" s="7"/>
      <c r="D3" s="7"/>
      <c r="E3" s="7"/>
      <c r="F3" s="7"/>
      <c r="G3" s="7"/>
      <c r="H3" s="7"/>
      <c r="I3" s="7"/>
    </row>
    <row r="4" spans="1:9" ht="29">
      <c r="A4" s="1064"/>
      <c r="B4" s="4" t="s">
        <v>756</v>
      </c>
    </row>
    <row r="5" spans="1:9" ht="16">
      <c r="A5" s="1064"/>
      <c r="B5" s="1167"/>
      <c r="C5" s="1167"/>
      <c r="D5" s="1167"/>
      <c r="E5" s="1167"/>
      <c r="F5" s="1167"/>
      <c r="G5" s="1167"/>
      <c r="H5" s="1167"/>
      <c r="I5" s="1167"/>
    </row>
    <row r="6" spans="1:9" ht="16">
      <c r="A6" s="1064"/>
      <c r="B6" s="1180" t="s">
        <v>3533</v>
      </c>
      <c r="C6" s="338"/>
      <c r="D6" s="1167"/>
      <c r="E6" s="1167"/>
      <c r="F6" s="1167"/>
      <c r="G6" s="1167"/>
      <c r="H6" s="1167"/>
      <c r="I6" s="1167"/>
    </row>
    <row r="7" spans="1:9" ht="16">
      <c r="A7" s="1064"/>
      <c r="B7" s="1180"/>
      <c r="C7" s="1167"/>
      <c r="D7" s="1167"/>
      <c r="E7" s="1167"/>
      <c r="F7" s="1167"/>
      <c r="G7" s="1167"/>
      <c r="H7" s="1167"/>
      <c r="I7" s="1167"/>
    </row>
    <row r="8" spans="1:9" ht="16">
      <c r="A8" s="1065"/>
      <c r="B8" s="1180" t="s">
        <v>3534</v>
      </c>
      <c r="C8" s="338"/>
      <c r="D8" s="1167"/>
      <c r="E8" s="1167"/>
      <c r="F8" s="1167"/>
      <c r="G8" s="1167"/>
      <c r="H8" s="1167"/>
      <c r="I8" s="1167"/>
    </row>
    <row r="9" spans="1:9">
      <c r="A9" s="1065"/>
      <c r="B9" s="1180"/>
      <c r="C9" s="1167"/>
      <c r="D9" s="1167"/>
      <c r="E9" s="1167"/>
      <c r="F9" s="1167"/>
      <c r="G9" s="1167"/>
      <c r="H9" s="1167"/>
      <c r="I9" s="1167"/>
    </row>
    <row r="10" spans="1:9" ht="15.75" customHeight="1">
      <c r="A10" s="1065"/>
      <c r="B10" s="1180" t="s">
        <v>3535</v>
      </c>
      <c r="C10" s="2051"/>
      <c r="D10" s="1167"/>
      <c r="E10" s="1167"/>
      <c r="F10" s="1167"/>
      <c r="G10" s="1167"/>
      <c r="H10" s="1167"/>
      <c r="I10" s="1167"/>
    </row>
    <row r="11" spans="1:9" ht="14.5" customHeight="1">
      <c r="A11" s="1065"/>
      <c r="B11" s="1180" t="s">
        <v>3536</v>
      </c>
      <c r="C11" s="2052"/>
      <c r="D11" s="1167"/>
      <c r="E11" s="1167"/>
      <c r="F11" s="1167"/>
      <c r="G11" s="1167"/>
      <c r="H11" s="1167"/>
      <c r="I11" s="1167"/>
    </row>
    <row r="12" spans="1:9">
      <c r="A12" s="1065"/>
      <c r="B12" s="1211"/>
      <c r="C12" s="1167"/>
      <c r="D12" s="1167"/>
      <c r="E12" s="1167"/>
      <c r="F12" s="1167"/>
      <c r="G12" s="1167"/>
      <c r="H12" s="1167"/>
      <c r="I12" s="1167"/>
    </row>
    <row r="13" spans="1:9" ht="16">
      <c r="A13" s="1065"/>
      <c r="B13" s="1180" t="s">
        <v>3537</v>
      </c>
      <c r="C13" s="216"/>
      <c r="D13" s="1167"/>
      <c r="E13" s="1167"/>
      <c r="F13" s="1167"/>
      <c r="G13" s="1167"/>
      <c r="H13" s="1167"/>
      <c r="I13" s="1167"/>
    </row>
    <row r="14" spans="1:9" hidden="1">
      <c r="A14" s="1065"/>
      <c r="B14" s="1167"/>
      <c r="C14" s="739"/>
      <c r="D14" s="1167"/>
      <c r="E14" s="1167"/>
      <c r="F14" s="1167"/>
      <c r="G14" s="1167"/>
      <c r="H14" s="1167"/>
      <c r="I14" s="1167"/>
    </row>
    <row r="15" spans="1:9" hidden="1">
      <c r="A15" s="1065"/>
      <c r="B15" s="1180"/>
      <c r="C15" s="739"/>
      <c r="D15" s="1167"/>
      <c r="E15" s="1167"/>
      <c r="F15" s="1167"/>
      <c r="G15" s="1167"/>
      <c r="H15" s="1167"/>
      <c r="I15" s="1167"/>
    </row>
    <row r="16" spans="1:9">
      <c r="A16" s="1065"/>
      <c r="B16" s="1180"/>
      <c r="C16" s="1167"/>
      <c r="D16" s="1167"/>
      <c r="E16" s="1167"/>
      <c r="F16" s="1167"/>
      <c r="G16" s="1167"/>
      <c r="H16" s="1167"/>
      <c r="I16" s="1167"/>
    </row>
    <row r="17" spans="1:9" ht="14.5" customHeight="1">
      <c r="A17" s="1065"/>
      <c r="B17" s="1180" t="s">
        <v>3538</v>
      </c>
      <c r="C17" s="2054"/>
      <c r="D17" s="2054"/>
      <c r="E17" s="1167"/>
      <c r="F17" s="1167"/>
      <c r="G17" s="1167"/>
      <c r="H17" s="1167"/>
      <c r="I17" s="1167"/>
    </row>
    <row r="18" spans="1:9" ht="14.5" customHeight="1">
      <c r="A18" s="1065"/>
      <c r="B18" s="1180" t="s">
        <v>3539</v>
      </c>
      <c r="C18" s="2054"/>
      <c r="D18" s="2054"/>
      <c r="E18" s="1167"/>
      <c r="F18" s="1167"/>
      <c r="G18" s="1167"/>
      <c r="H18" s="1167"/>
      <c r="I18" s="1167"/>
    </row>
    <row r="19" spans="1:9" ht="14.5" customHeight="1">
      <c r="A19" s="1065"/>
      <c r="B19" s="1180"/>
      <c r="C19" s="2054"/>
      <c r="D19" s="2054"/>
      <c r="E19" s="1167"/>
      <c r="F19" s="1167"/>
      <c r="G19" s="1167"/>
      <c r="H19" s="1167"/>
      <c r="I19" s="1167"/>
    </row>
    <row r="20" spans="1:9">
      <c r="A20" s="1065"/>
      <c r="B20" s="1180"/>
      <c r="C20" s="1167"/>
      <c r="D20" s="1167"/>
      <c r="E20" s="1167"/>
      <c r="F20" s="1167"/>
      <c r="G20" s="1167"/>
      <c r="H20" s="1167"/>
      <c r="I20" s="1167"/>
    </row>
    <row r="21" spans="1:9">
      <c r="A21" s="1065"/>
      <c r="B21" s="1180" t="s">
        <v>3540</v>
      </c>
      <c r="C21" s="2053"/>
      <c r="D21" s="1167"/>
      <c r="E21" s="1167"/>
      <c r="F21" s="1167"/>
      <c r="G21" s="1167"/>
      <c r="H21" s="1167"/>
      <c r="I21" s="1167"/>
    </row>
    <row r="22" spans="1:9">
      <c r="A22" s="1065"/>
      <c r="B22" s="1180" t="s">
        <v>3541</v>
      </c>
      <c r="C22" s="2053"/>
      <c r="D22" s="1709"/>
      <c r="E22" s="1167"/>
      <c r="F22" s="1167"/>
      <c r="G22" s="1167"/>
      <c r="H22" s="1167"/>
      <c r="I22" s="1167"/>
    </row>
    <row r="23" spans="1:9">
      <c r="A23" s="1065"/>
      <c r="B23" s="1180"/>
      <c r="C23" s="1167"/>
      <c r="D23" s="1167"/>
      <c r="E23" s="1167"/>
      <c r="F23" s="1167"/>
      <c r="G23" s="1167"/>
      <c r="H23" s="1167"/>
      <c r="I23" s="1167"/>
    </row>
    <row r="24" spans="1:9" ht="15" customHeight="1">
      <c r="A24" s="1065"/>
      <c r="B24" s="1180" t="s">
        <v>3542</v>
      </c>
      <c r="C24" s="2054"/>
      <c r="D24" s="2054"/>
      <c r="E24" s="1167"/>
      <c r="F24" s="1167"/>
      <c r="G24" s="1167"/>
      <c r="H24" s="1167"/>
      <c r="I24" s="1167"/>
    </row>
    <row r="25" spans="1:9" ht="15" customHeight="1">
      <c r="A25" s="1065"/>
      <c r="B25" s="1180"/>
      <c r="C25" s="2054"/>
      <c r="D25" s="2054"/>
      <c r="E25" s="1167"/>
      <c r="F25" s="1167"/>
      <c r="G25" s="1167"/>
      <c r="H25" s="1167"/>
      <c r="I25" s="1167"/>
    </row>
    <row r="26" spans="1:9" ht="15" customHeight="1">
      <c r="A26" s="1065"/>
      <c r="B26" s="1180"/>
      <c r="C26" s="2054"/>
      <c r="D26" s="2054"/>
      <c r="E26" s="1167"/>
      <c r="F26" s="1167"/>
      <c r="G26" s="1167"/>
      <c r="H26" s="1167"/>
      <c r="I26" s="1167"/>
    </row>
    <row r="27" spans="1:9">
      <c r="A27" s="1065"/>
      <c r="B27" s="1180"/>
      <c r="C27" s="1167"/>
      <c r="D27" s="1167"/>
      <c r="E27" s="1167"/>
      <c r="F27" s="1167"/>
      <c r="G27" s="1167"/>
      <c r="H27" s="1167"/>
      <c r="I27" s="1167"/>
    </row>
    <row r="28" spans="1:9" ht="16">
      <c r="A28" s="1065"/>
      <c r="B28" s="1180" t="s">
        <v>3543</v>
      </c>
      <c r="C28" s="338"/>
      <c r="D28" s="1167"/>
      <c r="E28" s="1167"/>
      <c r="F28" s="1167"/>
      <c r="G28" s="1167"/>
      <c r="H28" s="1167"/>
      <c r="I28" s="1167"/>
    </row>
    <row r="29" spans="1:9" hidden="1">
      <c r="A29" s="1065"/>
      <c r="B29" s="1180"/>
      <c r="C29" s="739"/>
      <c r="D29" s="739"/>
      <c r="E29" s="1167"/>
      <c r="F29" s="1167"/>
      <c r="G29" s="1167"/>
      <c r="H29" s="1167"/>
      <c r="I29" s="1167"/>
    </row>
    <row r="30" spans="1:9">
      <c r="A30" s="1065"/>
      <c r="B30" s="1180"/>
      <c r="C30" s="1167"/>
      <c r="D30" s="1167"/>
      <c r="E30" s="1167"/>
      <c r="F30" s="1167"/>
      <c r="G30" s="1167"/>
      <c r="H30" s="1167"/>
      <c r="I30" s="1167"/>
    </row>
    <row r="31" spans="1:9">
      <c r="A31" s="1065"/>
      <c r="B31" s="1180" t="s">
        <v>3544</v>
      </c>
      <c r="C31" s="2054"/>
      <c r="D31" s="2054"/>
      <c r="E31" s="1167"/>
      <c r="F31" s="1167"/>
      <c r="G31" s="1167"/>
      <c r="H31" s="1167"/>
      <c r="I31" s="1167"/>
    </row>
    <row r="32" spans="1:9">
      <c r="A32" s="1065"/>
      <c r="B32" s="1180"/>
      <c r="C32" s="2054"/>
      <c r="D32" s="2054"/>
      <c r="E32" s="1167"/>
      <c r="F32" s="1167"/>
      <c r="G32" s="1167"/>
      <c r="H32" s="1167"/>
      <c r="I32" s="1167"/>
    </row>
    <row r="33" spans="1:9">
      <c r="A33" s="1065"/>
      <c r="B33" s="1180"/>
      <c r="C33" s="2054"/>
      <c r="D33" s="2054"/>
      <c r="E33" s="1167"/>
      <c r="F33" s="1167"/>
      <c r="G33" s="1167"/>
      <c r="H33" s="1167"/>
      <c r="I33" s="1167"/>
    </row>
    <row r="34" spans="1:9">
      <c r="A34" s="1065"/>
      <c r="B34" s="1180"/>
      <c r="C34" s="1167"/>
      <c r="D34" s="1167"/>
      <c r="E34" s="1167"/>
      <c r="F34" s="1167"/>
      <c r="G34" s="1167"/>
      <c r="H34" s="1167"/>
      <c r="I34" s="1167"/>
    </row>
    <row r="35" spans="1:9" ht="19">
      <c r="A35" s="1065"/>
      <c r="B35" s="8" t="s">
        <v>3364</v>
      </c>
      <c r="C35" s="17"/>
      <c r="E35" s="1109"/>
      <c r="F35" s="1109"/>
      <c r="G35" s="1109"/>
    </row>
    <row r="36" spans="1:9">
      <c r="A36" s="1065"/>
      <c r="B36" s="1167"/>
      <c r="C36" s="1170" t="s">
        <v>3532</v>
      </c>
      <c r="D36" s="1167"/>
      <c r="E36" s="1167"/>
      <c r="F36" s="1167"/>
      <c r="G36" s="1167"/>
      <c r="H36" s="1167"/>
      <c r="I36" s="1167"/>
    </row>
    <row r="37" spans="1:9">
      <c r="A37" s="1065"/>
      <c r="B37" s="1167"/>
      <c r="C37" s="1981"/>
      <c r="D37" s="1981"/>
      <c r="E37" s="1981"/>
      <c r="F37" s="1981"/>
      <c r="G37" s="1981"/>
      <c r="H37" s="1981"/>
      <c r="I37" s="1167"/>
    </row>
    <row r="38" spans="1:9">
      <c r="A38" s="1067"/>
      <c r="B38" s="1167"/>
      <c r="C38" s="1981"/>
      <c r="D38" s="1981"/>
      <c r="E38" s="1981"/>
      <c r="F38" s="1981"/>
      <c r="G38" s="1981"/>
      <c r="H38" s="1981"/>
      <c r="I38" s="1167"/>
    </row>
    <row r="39" spans="1:9">
      <c r="A39" s="1067"/>
      <c r="B39" s="1167"/>
      <c r="C39" s="1981"/>
      <c r="D39" s="1981"/>
      <c r="E39" s="1981"/>
      <c r="F39" s="1981"/>
      <c r="G39" s="1981"/>
      <c r="H39" s="1981"/>
      <c r="I39" s="1167"/>
    </row>
    <row r="40" spans="1:9">
      <c r="A40" s="1067"/>
      <c r="B40" s="1167"/>
      <c r="C40" s="1981"/>
      <c r="D40" s="1981"/>
      <c r="E40" s="1981"/>
      <c r="F40" s="1981"/>
      <c r="G40" s="1981"/>
      <c r="H40" s="1981"/>
      <c r="I40" s="1167"/>
    </row>
    <row r="41" spans="1:9">
      <c r="A41" s="1067"/>
      <c r="B41" s="1167"/>
      <c r="C41" s="1981"/>
      <c r="D41" s="1981"/>
      <c r="E41" s="1981"/>
      <c r="F41" s="1981"/>
      <c r="G41" s="1981"/>
      <c r="H41" s="1981"/>
      <c r="I41" s="1167"/>
    </row>
    <row r="42" spans="1:9">
      <c r="A42" s="1067"/>
      <c r="B42" s="1167"/>
      <c r="C42" s="1981"/>
      <c r="D42" s="1981"/>
      <c r="E42" s="1981"/>
      <c r="F42" s="1981"/>
      <c r="G42" s="1981"/>
      <c r="H42" s="1981"/>
      <c r="I42" s="1167"/>
    </row>
    <row r="43" spans="1:9">
      <c r="A43" s="1065"/>
      <c r="B43" s="1167"/>
      <c r="C43" s="1981"/>
      <c r="D43" s="1981"/>
      <c r="E43" s="1981"/>
      <c r="F43" s="1981"/>
      <c r="G43" s="1981"/>
      <c r="H43" s="1981"/>
      <c r="I43" s="1167"/>
    </row>
    <row r="44" spans="1:9">
      <c r="A44" s="1065"/>
      <c r="B44" s="1167"/>
      <c r="C44" s="1981"/>
      <c r="D44" s="1981"/>
      <c r="E44" s="1981"/>
      <c r="F44" s="1981"/>
      <c r="G44" s="1981"/>
      <c r="H44" s="1981"/>
      <c r="I44" s="1167"/>
    </row>
    <row r="45" spans="1:9">
      <c r="A45" s="1065"/>
      <c r="B45" s="1167"/>
      <c r="C45" s="1167"/>
      <c r="D45" s="1167"/>
      <c r="E45" s="1167"/>
      <c r="F45" s="1167"/>
      <c r="G45" s="1167"/>
      <c r="H45" s="1167"/>
      <c r="I45" s="1167"/>
    </row>
    <row r="46" spans="1:9" ht="16">
      <c r="A46" s="1065"/>
      <c r="E46" s="203"/>
    </row>
    <row r="47" spans="1:9">
      <c r="B47" s="16" t="s">
        <v>3371</v>
      </c>
      <c r="C47" s="7"/>
      <c r="D47" s="7"/>
      <c r="E47" s="7"/>
      <c r="F47" s="7"/>
      <c r="G47" s="7"/>
      <c r="H47" s="7"/>
      <c r="I47" s="7"/>
    </row>
    <row r="48" spans="1:9" ht="19">
      <c r="B48" s="8" t="s">
        <v>3372</v>
      </c>
      <c r="E48" s="1109"/>
      <c r="F48" s="1109"/>
      <c r="G48" s="1109"/>
    </row>
    <row r="49" spans="2:9">
      <c r="B49" s="1167"/>
      <c r="C49" s="1167"/>
      <c r="D49" s="1167"/>
      <c r="E49" s="1167"/>
      <c r="F49" s="1167"/>
      <c r="G49" s="1167"/>
      <c r="H49" s="1167"/>
      <c r="I49" s="1167"/>
    </row>
    <row r="50" spans="2:9">
      <c r="B50" s="1167"/>
      <c r="C50" s="1957"/>
      <c r="D50" s="1958"/>
      <c r="E50" s="1958"/>
      <c r="F50" s="1958"/>
      <c r="G50" s="1958"/>
      <c r="H50" s="1959"/>
      <c r="I50" s="1167"/>
    </row>
    <row r="51" spans="2:9">
      <c r="B51" s="1167"/>
      <c r="C51" s="1960"/>
      <c r="D51" s="1961"/>
      <c r="E51" s="1961"/>
      <c r="F51" s="1961"/>
      <c r="G51" s="1961"/>
      <c r="H51" s="1962"/>
      <c r="I51" s="1167"/>
    </row>
    <row r="52" spans="2:9">
      <c r="B52" s="1167"/>
      <c r="C52" s="1960"/>
      <c r="D52" s="1961"/>
      <c r="E52" s="1961"/>
      <c r="F52" s="1961"/>
      <c r="G52" s="1961"/>
      <c r="H52" s="1962"/>
      <c r="I52" s="1167"/>
    </row>
    <row r="53" spans="2:9">
      <c r="B53" s="1167"/>
      <c r="C53" s="1963"/>
      <c r="D53" s="1964"/>
      <c r="E53" s="1964"/>
      <c r="F53" s="1964"/>
      <c r="G53" s="1964"/>
      <c r="H53" s="1965"/>
      <c r="I53" s="1167"/>
    </row>
    <row r="54" spans="2:9">
      <c r="B54" s="1167"/>
      <c r="C54" s="1167"/>
      <c r="D54" s="1167"/>
      <c r="E54" s="1167"/>
      <c r="F54" s="1167"/>
      <c r="G54" s="1167"/>
      <c r="H54" s="1167"/>
      <c r="I54" s="1167"/>
    </row>
    <row r="55" spans="2:9" ht="16">
      <c r="C55" s="219"/>
      <c r="E55" s="217"/>
    </row>
    <row r="56" spans="2:9" ht="16">
      <c r="C56" s="224"/>
      <c r="D56" s="224"/>
      <c r="E56" s="217"/>
    </row>
  </sheetData>
  <sheetProtection algorithmName="SHA-512" hashValue="JnJioVtwp7akSbzXB7RCHlOn/x6EY5PZNK+AoR/h0svXl1HIC5u2Nyda5AquYSASC6DG3ZsLALSNls4pGZA8JA==" saltValue="szgyGr4u9jmQdDurDx/mTw==" spinCount="100000" sheet="1" objects="1" scenarios="1" selectLockedCells="1"/>
  <mergeCells count="7">
    <mergeCell ref="C10:C11"/>
    <mergeCell ref="C21:C22"/>
    <mergeCell ref="C50:H53"/>
    <mergeCell ref="C17:D19"/>
    <mergeCell ref="C24:D26"/>
    <mergeCell ref="C31:D33"/>
    <mergeCell ref="C37:H44"/>
  </mergeCells>
  <conditionalFormatting sqref="C13">
    <cfRule type="expression" dxfId="321" priority="217">
      <formula>$C$10="Yes"</formula>
    </cfRule>
  </conditionalFormatting>
  <conditionalFormatting sqref="C17:D19">
    <cfRule type="expression" dxfId="320" priority="1">
      <formula>$C$13="Yes"</formula>
    </cfRule>
  </conditionalFormatting>
  <conditionalFormatting sqref="C24:D26">
    <cfRule type="expression" dxfId="319" priority="3">
      <formula>$C$21="Yes"</formula>
    </cfRule>
  </conditionalFormatting>
  <conditionalFormatting sqref="C31:D33">
    <cfRule type="expression" dxfId="318" priority="2">
      <formula>$C$28="Yes"</formula>
    </cfRule>
  </conditionalFormatting>
  <dataValidations count="2">
    <dataValidation type="list" allowBlank="1" showInputMessage="1" showErrorMessage="1" sqref="C8 C28 C21 C10 C13 C6" xr:uid="{07974795-D0C0-4E54-BA2C-140BC769A5B5}">
      <formula1>YesNo</formula1>
    </dataValidation>
    <dataValidation type="custom" allowBlank="1" showInputMessage="1" showErrorMessage="1" sqref="E1 A4:A44" xr:uid="{C73A8251-1AEB-4AA6-9ED4-CF29001568FA}">
      <formula1>"&lt;0&gt;0"</formula1>
    </dataValidation>
  </dataValidations>
  <pageMargins left="0.7" right="0.7" top="0.75" bottom="0.75" header="0.3" footer="0.3"/>
  <pageSetup scale="42" orientation="portrait" r:id="rId1"/>
  <headerFooter>
    <oddHeader>&amp;L&amp;G</oddHeader>
    <oddFooter>&amp;LVersion - 2023.0.01&amp;CWHEDA MULTIFAMILY APPLICATION&amp;R&amp;P of &amp;N</oddFooter>
  </headerFooter>
  <colBreaks count="1" manualBreakCount="1">
    <brk id="9" min="3" max="4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D23CE83-F6F0-47D0-BDDB-8B15ABC45590}">
          <x14:formula1>
            <xm:f>'Dropdown Lists'!$A$2:$A$3</xm:f>
          </x14:formula1>
          <xm:sqref>E56 H48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21E-CC42-4D2A-8256-E635B0891F82}">
  <sheetPr codeName="Sheet8">
    <pageSetUpPr fitToPage="1"/>
  </sheetPr>
  <dimension ref="A1:L187"/>
  <sheetViews>
    <sheetView zoomScaleNormal="100" workbookViewId="0">
      <selection activeCell="C7" sqref="C7:G7"/>
    </sheetView>
  </sheetViews>
  <sheetFormatPr baseColWidth="10" defaultColWidth="9.1640625" defaultRowHeight="15"/>
  <cols>
    <col min="1" max="1" width="5.5" style="3" customWidth="1"/>
    <col min="2" max="2" width="50.83203125" style="3" customWidth="1"/>
    <col min="3" max="3" width="20.5" style="3" customWidth="1"/>
    <col min="4" max="4" width="21.5" style="3" customWidth="1"/>
    <col min="5" max="5" width="23.5" style="3" customWidth="1"/>
    <col min="6" max="6" width="18.1640625" style="3" customWidth="1"/>
    <col min="7" max="7" width="12.33203125" style="3" customWidth="1"/>
    <col min="8" max="8" width="15.5" style="3" customWidth="1"/>
    <col min="9" max="9" width="37.1640625" style="3" customWidth="1"/>
    <col min="10" max="10" width="4.6640625" style="3" customWidth="1"/>
    <col min="11" max="11" width="18.5" style="3" customWidth="1"/>
    <col min="12" max="12" width="19.5" style="3" bestFit="1" customWidth="1"/>
    <col min="13" max="13" width="9.1640625" style="3"/>
    <col min="14" max="14" width="23.83203125" style="3" bestFit="1" customWidth="1"/>
    <col min="15" max="15" width="13.5" style="3" customWidth="1"/>
    <col min="16" max="16384" width="9.1640625" style="3"/>
  </cols>
  <sheetData>
    <row r="1" spans="1:10" ht="29">
      <c r="B1" s="4" t="str">
        <f>'1. TOC'!B1</f>
        <v>WHEDA 2025 Multifamily Application</v>
      </c>
      <c r="C1" s="4"/>
      <c r="D1" s="149" t="str">
        <f>'1. TOC'!L1</f>
        <v>v25.1.9</v>
      </c>
      <c r="F1" s="1086" t="str">
        <f>HYPERLINK("#Table_of_Contents", Table_of_Contents)</f>
        <v>Table of Contents</v>
      </c>
    </row>
    <row r="2" spans="1:10" ht="19">
      <c r="B2" s="1016" t="str">
        <f>_xlfn.CONCAT(IF(ISBLANK(WHEDA_Project_Number),"",_xlfn.CONCAT(WHEDA_Project_Number,"-")), Project_Name, IF(ISBLANK(Credit_percentage_applied_for),"",_xlfn.CONCAT(" (", Credit_percentage_applied_for," HTC)")))</f>
        <v/>
      </c>
      <c r="C2" s="5"/>
      <c r="E2" s="1004"/>
    </row>
    <row r="3" spans="1:10" ht="19">
      <c r="A3" s="132"/>
      <c r="B3" s="8"/>
      <c r="C3" s="7"/>
      <c r="D3" s="7"/>
      <c r="F3" s="7"/>
      <c r="G3" s="7"/>
      <c r="H3" s="7"/>
      <c r="I3" s="7"/>
      <c r="J3" s="7"/>
    </row>
    <row r="4" spans="1:10" ht="29">
      <c r="A4" s="1064"/>
      <c r="B4" s="4" t="s">
        <v>3545</v>
      </c>
    </row>
    <row r="5" spans="1:10" ht="19">
      <c r="A5" s="1064"/>
      <c r="B5" s="8" t="s">
        <v>758</v>
      </c>
    </row>
    <row r="6" spans="1:10" ht="16">
      <c r="A6" s="1064"/>
      <c r="B6" s="1212" t="s">
        <v>3546</v>
      </c>
      <c r="C6" s="1167"/>
      <c r="D6" s="1167"/>
      <c r="E6" s="1167"/>
      <c r="F6" s="1167"/>
      <c r="G6" s="1167"/>
      <c r="H6" s="1167"/>
      <c r="I6" s="1167"/>
      <c r="J6" s="1167"/>
    </row>
    <row r="7" spans="1:10" ht="16">
      <c r="A7" s="1064"/>
      <c r="B7" s="1213" t="s">
        <v>3547</v>
      </c>
      <c r="C7" s="2055"/>
      <c r="D7" s="2055"/>
      <c r="E7" s="2055"/>
      <c r="F7" s="2055"/>
      <c r="G7" s="2055"/>
      <c r="H7" s="1167"/>
      <c r="I7" s="1167"/>
      <c r="J7" s="1167"/>
    </row>
    <row r="8" spans="1:10" ht="16">
      <c r="A8" s="1064"/>
      <c r="B8" s="1213" t="s">
        <v>3548</v>
      </c>
      <c r="C8" s="2056"/>
      <c r="D8" s="2056"/>
      <c r="E8" s="2056"/>
      <c r="F8" s="2056"/>
      <c r="G8" s="2056"/>
      <c r="H8" s="1167"/>
      <c r="I8" s="1167"/>
      <c r="J8" s="1167"/>
    </row>
    <row r="9" spans="1:10" ht="16">
      <c r="A9" s="1065"/>
      <c r="B9" s="1213" t="s">
        <v>3549</v>
      </c>
      <c r="C9" s="2055"/>
      <c r="D9" s="2055"/>
      <c r="E9" s="2055"/>
      <c r="F9" s="2055"/>
      <c r="G9" s="2055"/>
      <c r="H9" s="1167"/>
      <c r="I9" s="1167"/>
      <c r="J9" s="1167"/>
    </row>
    <row r="10" spans="1:10" ht="16">
      <c r="A10" s="1065"/>
      <c r="B10" s="1213"/>
      <c r="C10" s="1215"/>
      <c r="D10" s="1215"/>
      <c r="E10" s="1215"/>
      <c r="F10" s="1215"/>
      <c r="G10" s="1215"/>
      <c r="H10" s="1167"/>
      <c r="I10" s="1167"/>
      <c r="J10" s="1167"/>
    </row>
    <row r="11" spans="1:10" ht="16">
      <c r="A11" s="1065"/>
      <c r="B11" s="1213" t="s">
        <v>3332</v>
      </c>
      <c r="C11" s="340"/>
      <c r="D11" s="1167"/>
      <c r="E11" s="1213" t="s">
        <v>3333</v>
      </c>
      <c r="F11" s="1165"/>
      <c r="G11" s="1214"/>
      <c r="H11" s="1213" t="s">
        <v>768</v>
      </c>
      <c r="I11" s="341"/>
      <c r="J11" s="1167"/>
    </row>
    <row r="12" spans="1:10" ht="16">
      <c r="A12" s="1065"/>
      <c r="B12" s="1213" t="s">
        <v>3550</v>
      </c>
      <c r="C12" s="268"/>
      <c r="D12" s="1167"/>
      <c r="E12" s="1213" t="s">
        <v>3551</v>
      </c>
      <c r="F12" s="1966"/>
      <c r="G12" s="1968"/>
      <c r="H12" s="1213" t="s">
        <v>3552</v>
      </c>
      <c r="I12" s="338"/>
      <c r="J12" s="1167"/>
    </row>
    <row r="13" spans="1:10" ht="16">
      <c r="A13" s="1065"/>
      <c r="B13" s="1213" t="s">
        <v>3553</v>
      </c>
      <c r="C13" s="340"/>
      <c r="D13" s="1167"/>
      <c r="E13" s="1213" t="s">
        <v>3554</v>
      </c>
      <c r="F13" s="1069"/>
      <c r="G13" s="1214"/>
      <c r="H13" s="1167"/>
      <c r="I13" s="1167"/>
      <c r="J13" s="1167"/>
    </row>
    <row r="14" spans="1:10">
      <c r="A14" s="1065"/>
      <c r="B14" s="1167"/>
      <c r="C14" s="1167"/>
      <c r="D14" s="1167"/>
      <c r="E14" s="1167"/>
      <c r="F14" s="1167"/>
      <c r="G14" s="1214"/>
      <c r="H14" s="1167"/>
      <c r="I14" s="1167"/>
      <c r="J14" s="1167"/>
    </row>
    <row r="15" spans="1:10">
      <c r="A15" s="1065"/>
      <c r="B15" s="1167"/>
      <c r="C15" s="1167"/>
      <c r="D15" s="1167"/>
      <c r="E15" s="1167"/>
      <c r="F15" s="1167"/>
      <c r="G15" s="1167"/>
      <c r="H15" s="1167"/>
      <c r="I15" s="1167"/>
      <c r="J15" s="1167"/>
    </row>
    <row r="16" spans="1:10">
      <c r="A16" s="1065"/>
      <c r="B16" s="2060" t="s">
        <v>3555</v>
      </c>
      <c r="C16" s="2060"/>
      <c r="D16" s="2060"/>
      <c r="E16" s="2060"/>
      <c r="F16" s="2060"/>
      <c r="G16" s="2060"/>
      <c r="H16" s="2060"/>
      <c r="I16" s="2060"/>
      <c r="J16" s="2060"/>
    </row>
    <row r="17" spans="1:12" ht="19">
      <c r="A17" s="1065"/>
      <c r="B17" s="8"/>
    </row>
    <row r="18" spans="1:12" ht="16">
      <c r="A18" s="1065"/>
      <c r="B18" s="1212" t="s">
        <v>3556</v>
      </c>
      <c r="C18" s="1167"/>
      <c r="D18" s="1167"/>
      <c r="E18" s="1167"/>
      <c r="F18" s="1167"/>
      <c r="G18" s="1167"/>
      <c r="H18" s="1167"/>
      <c r="I18" s="1167"/>
      <c r="J18" s="1167"/>
    </row>
    <row r="19" spans="1:12">
      <c r="A19" s="1065"/>
      <c r="B19" s="1216"/>
      <c r="C19" s="1216"/>
      <c r="D19" s="1216"/>
      <c r="E19" s="1167"/>
      <c r="F19" s="1167"/>
      <c r="G19" s="1216"/>
      <c r="H19" s="1216"/>
      <c r="I19" s="1216"/>
      <c r="J19" s="1216"/>
      <c r="K19" s="23"/>
      <c r="L19" s="23"/>
    </row>
    <row r="20" spans="1:12" ht="16">
      <c r="A20" s="1065"/>
      <c r="B20" s="1213" t="s">
        <v>3557</v>
      </c>
      <c r="C20" s="2055"/>
      <c r="D20" s="2055"/>
      <c r="E20" s="2055"/>
      <c r="F20" s="2055"/>
      <c r="G20" s="1167"/>
      <c r="H20" s="1167"/>
      <c r="I20" s="1167"/>
      <c r="J20" s="1216"/>
      <c r="K20" s="23"/>
      <c r="L20" s="23"/>
    </row>
    <row r="21" spans="1:12" ht="16">
      <c r="A21" s="1065"/>
      <c r="B21" s="1217"/>
      <c r="C21" s="1167"/>
      <c r="D21" s="1167"/>
      <c r="E21" s="1167"/>
      <c r="F21" s="1167"/>
      <c r="G21" s="1167"/>
      <c r="H21" s="1167"/>
      <c r="I21" s="1167"/>
      <c r="J21" s="1216"/>
      <c r="K21" s="23"/>
      <c r="L21" s="23"/>
    </row>
    <row r="22" spans="1:12" ht="16">
      <c r="A22" s="1065"/>
      <c r="B22" s="1213" t="s">
        <v>1592</v>
      </c>
      <c r="C22" s="340"/>
      <c r="D22" s="1214"/>
      <c r="E22" s="1213" t="s">
        <v>3349</v>
      </c>
      <c r="F22" s="340"/>
      <c r="G22" s="1167"/>
      <c r="H22" s="1213" t="s">
        <v>3558</v>
      </c>
      <c r="I22" s="343"/>
      <c r="J22" s="1216"/>
      <c r="K22" s="23"/>
      <c r="L22" s="23"/>
    </row>
    <row r="23" spans="1:12" ht="16">
      <c r="A23" s="1065"/>
      <c r="B23" s="1213" t="s">
        <v>3549</v>
      </c>
      <c r="C23" s="2055"/>
      <c r="D23" s="2055"/>
      <c r="E23" s="2055"/>
      <c r="F23" s="2058"/>
      <c r="G23" s="2055"/>
      <c r="H23" s="1180"/>
      <c r="I23" s="1167"/>
      <c r="J23" s="1216"/>
      <c r="K23" s="23"/>
      <c r="L23" s="23"/>
    </row>
    <row r="24" spans="1:12" ht="16">
      <c r="A24" s="1065"/>
      <c r="B24" s="1213" t="s">
        <v>3332</v>
      </c>
      <c r="C24" s="340"/>
      <c r="D24" s="1216"/>
      <c r="E24" s="1213" t="s">
        <v>3333</v>
      </c>
      <c r="F24" s="338"/>
      <c r="G24" s="1167"/>
      <c r="H24" s="1213" t="s">
        <v>768</v>
      </c>
      <c r="I24" s="340"/>
      <c r="J24" s="1216"/>
      <c r="K24" s="23"/>
      <c r="L24" s="23"/>
    </row>
    <row r="25" spans="1:12" ht="16">
      <c r="A25" s="1065"/>
      <c r="B25" s="1213" t="s">
        <v>3559</v>
      </c>
      <c r="C25" s="342"/>
      <c r="D25" s="1216"/>
      <c r="E25" s="1213" t="s">
        <v>3460</v>
      </c>
      <c r="F25" s="1105"/>
      <c r="G25" s="1167"/>
      <c r="H25" s="1213" t="s">
        <v>3560</v>
      </c>
      <c r="I25" s="325"/>
      <c r="J25" s="1216"/>
      <c r="K25" s="23"/>
      <c r="L25" s="23"/>
    </row>
    <row r="26" spans="1:12" ht="16">
      <c r="A26" s="1065"/>
      <c r="B26" s="1213" t="s">
        <v>3561</v>
      </c>
      <c r="C26" s="338"/>
      <c r="D26" s="1167"/>
      <c r="E26" s="1213" t="s">
        <v>3562</v>
      </c>
      <c r="F26" s="268"/>
      <c r="G26" s="1167"/>
      <c r="H26" s="1213" t="s">
        <v>3563</v>
      </c>
      <c r="I26" s="796"/>
      <c r="J26" s="1216"/>
      <c r="K26" s="23"/>
      <c r="L26" s="23"/>
    </row>
    <row r="27" spans="1:12">
      <c r="A27" s="1065"/>
      <c r="B27" s="1167"/>
      <c r="C27" s="1167"/>
      <c r="D27" s="1167"/>
      <c r="E27" s="1167"/>
      <c r="F27" s="1167"/>
      <c r="G27" s="1167"/>
      <c r="H27" s="1167"/>
      <c r="I27" s="1167"/>
      <c r="J27" s="1216"/>
      <c r="K27" s="23"/>
      <c r="L27" s="23"/>
    </row>
    <row r="28" spans="1:12">
      <c r="A28" s="1065"/>
      <c r="B28" s="23"/>
      <c r="C28" s="23"/>
      <c r="D28" s="23"/>
      <c r="E28" s="24"/>
      <c r="F28" s="24"/>
      <c r="J28" s="23"/>
      <c r="K28" s="23"/>
      <c r="L28" s="23"/>
    </row>
    <row r="29" spans="1:12" ht="16">
      <c r="A29" s="1065"/>
      <c r="B29" s="1212" t="s">
        <v>3556</v>
      </c>
      <c r="C29" s="1167"/>
      <c r="D29" s="1167"/>
      <c r="E29" s="1167"/>
      <c r="F29" s="1167"/>
      <c r="G29" s="1167"/>
      <c r="H29" s="1167"/>
      <c r="I29" s="1167"/>
      <c r="J29" s="1167"/>
    </row>
    <row r="30" spans="1:12">
      <c r="A30" s="1065"/>
      <c r="B30" s="1216"/>
      <c r="C30" s="1216"/>
      <c r="D30" s="1216"/>
      <c r="E30" s="1167"/>
      <c r="F30" s="1167"/>
      <c r="G30" s="1216"/>
      <c r="H30" s="1216"/>
      <c r="I30" s="1216"/>
      <c r="J30" s="1216"/>
    </row>
    <row r="31" spans="1:12" ht="16">
      <c r="A31" s="1065"/>
      <c r="B31" s="1213" t="s">
        <v>3557</v>
      </c>
      <c r="C31" s="2056"/>
      <c r="D31" s="2056"/>
      <c r="E31" s="2056"/>
      <c r="F31" s="2056"/>
      <c r="G31" s="1167"/>
      <c r="H31" s="1167"/>
      <c r="I31" s="1167"/>
      <c r="J31" s="1216"/>
    </row>
    <row r="32" spans="1:12" ht="16">
      <c r="A32" s="1065"/>
      <c r="B32" s="1217"/>
      <c r="C32" s="1167"/>
      <c r="D32" s="1167"/>
      <c r="E32" s="1167"/>
      <c r="F32" s="1167"/>
      <c r="G32" s="1167"/>
      <c r="H32" s="1167"/>
      <c r="I32" s="1167"/>
      <c r="J32" s="1216"/>
    </row>
    <row r="33" spans="1:10" ht="16">
      <c r="A33" s="1065"/>
      <c r="B33" s="1213" t="s">
        <v>1592</v>
      </c>
      <c r="C33" s="220"/>
      <c r="D33" s="1214"/>
      <c r="E33" s="1213" t="s">
        <v>3564</v>
      </c>
      <c r="F33" s="220"/>
      <c r="G33" s="1167"/>
      <c r="H33" s="1213" t="s">
        <v>3558</v>
      </c>
      <c r="I33" s="225"/>
      <c r="J33" s="1216"/>
    </row>
    <row r="34" spans="1:10" ht="16">
      <c r="A34" s="1065"/>
      <c r="B34" s="1213" t="s">
        <v>3549</v>
      </c>
      <c r="C34" s="2056"/>
      <c r="D34" s="2056"/>
      <c r="E34" s="2056"/>
      <c r="F34" s="2056"/>
      <c r="G34" s="2056"/>
      <c r="H34" s="1167"/>
      <c r="I34" s="1167"/>
      <c r="J34" s="1216"/>
    </row>
    <row r="35" spans="1:10" ht="16">
      <c r="A35" s="1065"/>
      <c r="B35" s="1213" t="s">
        <v>3332</v>
      </c>
      <c r="C35" s="220"/>
      <c r="D35" s="1216"/>
      <c r="E35" s="1213" t="s">
        <v>3333</v>
      </c>
      <c r="F35" s="216"/>
      <c r="G35" s="1167"/>
      <c r="H35" s="1213" t="s">
        <v>768</v>
      </c>
      <c r="I35" s="220"/>
      <c r="J35" s="1216"/>
    </row>
    <row r="36" spans="1:10" ht="16">
      <c r="A36" s="1065"/>
      <c r="B36" s="1213" t="s">
        <v>3559</v>
      </c>
      <c r="C36" s="267"/>
      <c r="D36" s="1216"/>
      <c r="E36" s="1213" t="s">
        <v>3460</v>
      </c>
      <c r="F36" s="267"/>
      <c r="G36" s="1167"/>
      <c r="H36" s="1213" t="s">
        <v>3560</v>
      </c>
      <c r="I36" s="220"/>
      <c r="J36" s="1216"/>
    </row>
    <row r="37" spans="1:10" ht="17">
      <c r="A37" s="1065"/>
      <c r="B37" s="1213" t="s">
        <v>3561</v>
      </c>
      <c r="C37" s="216"/>
      <c r="D37" s="1167"/>
      <c r="E37" s="1213" t="s">
        <v>3562</v>
      </c>
      <c r="F37" s="268" t="s">
        <v>3565</v>
      </c>
      <c r="G37" s="1167"/>
      <c r="H37" s="1213" t="s">
        <v>3563</v>
      </c>
      <c r="I37" s="797"/>
      <c r="J37" s="1216"/>
    </row>
    <row r="38" spans="1:10">
      <c r="A38" s="1065"/>
      <c r="B38" s="1167"/>
      <c r="C38" s="1167"/>
      <c r="D38" s="1167"/>
      <c r="E38" s="1167"/>
      <c r="F38" s="1167"/>
      <c r="G38" s="1167"/>
      <c r="H38" s="1167"/>
      <c r="I38" s="1167"/>
      <c r="J38" s="1216"/>
    </row>
    <row r="39" spans="1:10">
      <c r="A39" s="1067"/>
      <c r="B39" s="23"/>
      <c r="C39" s="23"/>
      <c r="D39" s="23"/>
      <c r="E39" s="24"/>
      <c r="F39" s="24"/>
      <c r="J39" s="23"/>
    </row>
    <row r="40" spans="1:10" ht="16">
      <c r="A40" s="1067"/>
      <c r="B40" s="1212" t="s">
        <v>3556</v>
      </c>
      <c r="C40" s="1167"/>
      <c r="D40" s="1167"/>
      <c r="E40" s="1167"/>
      <c r="F40" s="1167"/>
      <c r="G40" s="1167"/>
      <c r="H40" s="1167"/>
      <c r="I40" s="1167"/>
      <c r="J40" s="1167"/>
    </row>
    <row r="41" spans="1:10">
      <c r="A41" s="1067"/>
      <c r="B41" s="1216"/>
      <c r="C41" s="1216"/>
      <c r="D41" s="1216"/>
      <c r="E41" s="1167"/>
      <c r="F41" s="1167"/>
      <c r="G41" s="1216"/>
      <c r="H41" s="1216"/>
      <c r="I41" s="1216"/>
      <c r="J41" s="1216"/>
    </row>
    <row r="42" spans="1:10" ht="16">
      <c r="A42" s="1067"/>
      <c r="B42" s="1213" t="s">
        <v>3557</v>
      </c>
      <c r="C42" s="2056"/>
      <c r="D42" s="2056"/>
      <c r="E42" s="2056"/>
      <c r="F42" s="2056"/>
      <c r="G42" s="1167"/>
      <c r="H42" s="1167"/>
      <c r="I42" s="1167"/>
      <c r="J42" s="1216"/>
    </row>
    <row r="43" spans="1:10">
      <c r="A43" s="1067"/>
      <c r="B43" s="1213"/>
      <c r="C43" s="1167"/>
      <c r="D43" s="1167"/>
      <c r="E43" s="1167"/>
      <c r="F43" s="1167"/>
      <c r="G43" s="1167"/>
      <c r="H43" s="1167"/>
      <c r="I43" s="1167"/>
      <c r="J43" s="1216"/>
    </row>
    <row r="44" spans="1:10" ht="16">
      <c r="A44" s="1065"/>
      <c r="B44" s="1213" t="s">
        <v>3566</v>
      </c>
      <c r="C44" s="220"/>
      <c r="D44" s="1214"/>
      <c r="E44" s="1213" t="s">
        <v>3349</v>
      </c>
      <c r="F44" s="220"/>
      <c r="G44" s="1167"/>
      <c r="H44" s="1213" t="s">
        <v>3558</v>
      </c>
      <c r="I44" s="326"/>
      <c r="J44" s="1216"/>
    </row>
    <row r="45" spans="1:10" ht="16">
      <c r="A45" s="1065"/>
      <c r="B45" s="1213" t="s">
        <v>3567</v>
      </c>
      <c r="C45" s="2056"/>
      <c r="D45" s="2056"/>
      <c r="E45" s="2056"/>
      <c r="F45" s="2059"/>
      <c r="G45" s="2056"/>
      <c r="H45" s="1167"/>
      <c r="I45" s="1167"/>
      <c r="J45" s="1216"/>
    </row>
    <row r="46" spans="1:10" ht="16">
      <c r="A46" s="1065"/>
      <c r="B46" s="1213" t="s">
        <v>3568</v>
      </c>
      <c r="C46" s="220"/>
      <c r="D46" s="1216"/>
      <c r="E46" s="1213" t="s">
        <v>3333</v>
      </c>
      <c r="F46" s="216"/>
      <c r="G46" s="1167"/>
      <c r="H46" s="1213" t="s">
        <v>768</v>
      </c>
      <c r="I46" s="220"/>
      <c r="J46" s="1216"/>
    </row>
    <row r="47" spans="1:10" ht="16">
      <c r="A47" s="1065"/>
      <c r="B47" s="1213" t="s">
        <v>3559</v>
      </c>
      <c r="C47" s="329"/>
      <c r="D47" s="1216"/>
      <c r="E47" s="1213" t="s">
        <v>3460</v>
      </c>
      <c r="F47" s="1105"/>
      <c r="G47" s="1167"/>
      <c r="H47" s="1213" t="s">
        <v>3560</v>
      </c>
      <c r="I47" s="220"/>
      <c r="J47" s="1216"/>
    </row>
    <row r="48" spans="1:10" ht="16">
      <c r="B48" s="1213" t="s">
        <v>3561</v>
      </c>
      <c r="C48" s="216"/>
      <c r="D48" s="1167"/>
      <c r="E48" s="1213" t="s">
        <v>3562</v>
      </c>
      <c r="F48" s="268"/>
      <c r="G48" s="1167"/>
      <c r="H48" s="1213" t="s">
        <v>3563</v>
      </c>
      <c r="I48" s="797"/>
      <c r="J48" s="1216"/>
    </row>
    <row r="49" spans="1:10">
      <c r="B49" s="1167"/>
      <c r="C49" s="1167"/>
      <c r="D49" s="1167"/>
      <c r="E49" s="1167"/>
      <c r="F49" s="1167"/>
      <c r="G49" s="1167"/>
      <c r="H49" s="1167"/>
      <c r="I49" s="1167"/>
      <c r="J49" s="1216"/>
    </row>
    <row r="50" spans="1:10" ht="19">
      <c r="B50" s="8"/>
    </row>
    <row r="51" spans="1:10" ht="16">
      <c r="B51" s="1218" t="s">
        <v>3569</v>
      </c>
      <c r="C51" s="1167"/>
      <c r="D51" s="1167"/>
      <c r="E51" s="1167"/>
      <c r="F51" s="1167"/>
      <c r="G51" s="1167"/>
      <c r="H51" s="1167"/>
      <c r="I51" s="1167"/>
      <c r="J51" s="1167"/>
    </row>
    <row r="52" spans="1:10">
      <c r="B52" s="1167"/>
      <c r="C52" s="1167"/>
      <c r="D52" s="1167"/>
      <c r="E52" s="1167"/>
      <c r="F52" s="1167"/>
      <c r="G52" s="1167"/>
      <c r="H52" s="1167"/>
      <c r="I52" s="1167"/>
      <c r="J52" s="1167"/>
    </row>
    <row r="53" spans="1:10">
      <c r="B53" s="2057" t="s">
        <v>3570</v>
      </c>
      <c r="C53" s="2057"/>
      <c r="D53" s="2057"/>
      <c r="E53" s="2057"/>
      <c r="F53" s="2057"/>
      <c r="G53" s="2057"/>
      <c r="H53" s="2057"/>
      <c r="I53" s="2057"/>
      <c r="J53" s="1167"/>
    </row>
    <row r="54" spans="1:10" s="640" customFormat="1" ht="19">
      <c r="A54" s="1645"/>
      <c r="B54" s="8" t="s">
        <v>174</v>
      </c>
    </row>
    <row r="55" spans="1:10" s="944" customFormat="1" ht="19">
      <c r="A55" s="1068"/>
      <c r="B55" s="1212" t="s">
        <v>3229</v>
      </c>
      <c r="C55" s="1219"/>
      <c r="D55" s="1221"/>
      <c r="E55" s="1221"/>
      <c r="F55" s="1221"/>
      <c r="G55" s="1221"/>
      <c r="H55" s="1221"/>
      <c r="I55" s="1221"/>
      <c r="J55" s="1221"/>
    </row>
    <row r="56" spans="1:10" ht="16">
      <c r="A56" s="1055"/>
      <c r="B56" s="1167"/>
      <c r="C56" s="1681" t="s">
        <v>3571</v>
      </c>
      <c r="D56" s="216"/>
      <c r="E56" s="1181"/>
      <c r="F56" s="1181"/>
      <c r="G56" s="1181"/>
      <c r="H56" s="1181"/>
      <c r="I56" s="1167"/>
      <c r="J56" s="1167"/>
    </row>
    <row r="57" spans="1:10" ht="16">
      <c r="A57" s="1055"/>
      <c r="B57" s="1167"/>
      <c r="C57" s="1681"/>
      <c r="D57" s="1181"/>
      <c r="E57" s="1181"/>
      <c r="F57" s="1181"/>
      <c r="G57" s="1181"/>
      <c r="H57" s="1181"/>
      <c r="I57" s="1167"/>
      <c r="J57" s="1167"/>
    </row>
    <row r="58" spans="1:10" ht="16">
      <c r="A58" s="1055"/>
      <c r="B58" s="1167"/>
      <c r="C58" s="1681" t="s">
        <v>3572</v>
      </c>
      <c r="D58" s="1966"/>
      <c r="E58" s="1967"/>
      <c r="F58" s="1967"/>
      <c r="G58" s="1967"/>
      <c r="H58" s="1968"/>
      <c r="I58" s="1167"/>
      <c r="J58" s="1167"/>
    </row>
    <row r="59" spans="1:10" ht="16">
      <c r="A59" s="1055"/>
      <c r="B59" s="1167"/>
      <c r="C59" s="1680"/>
      <c r="D59" s="1179"/>
      <c r="E59" s="1680"/>
      <c r="F59" s="1179"/>
      <c r="G59" s="1179"/>
      <c r="H59" s="1167"/>
      <c r="I59" s="1167"/>
      <c r="J59" s="1167"/>
    </row>
    <row r="60" spans="1:10" ht="16">
      <c r="A60" s="1055"/>
      <c r="B60" s="1167"/>
      <c r="C60" s="1680" t="s">
        <v>3330</v>
      </c>
      <c r="D60" s="1966"/>
      <c r="E60" s="1967"/>
      <c r="F60" s="1967"/>
      <c r="G60" s="1967"/>
      <c r="H60" s="1968"/>
      <c r="I60" s="1167"/>
      <c r="J60" s="1167"/>
    </row>
    <row r="61" spans="1:10" ht="16">
      <c r="A61" s="1055"/>
      <c r="B61" s="1167"/>
      <c r="C61" s="1167"/>
      <c r="D61" s="1167"/>
      <c r="E61" s="1167"/>
      <c r="F61" s="1167"/>
      <c r="G61" s="1167"/>
      <c r="H61" s="1167"/>
      <c r="I61" s="1167"/>
      <c r="J61" s="1167"/>
    </row>
    <row r="62" spans="1:10" ht="16">
      <c r="A62" s="1055"/>
      <c r="B62" s="1167"/>
      <c r="C62" s="1680" t="s">
        <v>3332</v>
      </c>
      <c r="D62" s="338"/>
      <c r="E62" s="1680" t="s">
        <v>3333</v>
      </c>
      <c r="F62" s="338"/>
      <c r="G62" s="1681" t="s">
        <v>768</v>
      </c>
      <c r="H62" s="343"/>
      <c r="I62" s="1167"/>
      <c r="J62" s="1167"/>
    </row>
    <row r="63" spans="1:10" ht="16">
      <c r="A63" s="1055"/>
      <c r="B63" s="1167"/>
      <c r="C63" s="1167"/>
      <c r="D63" s="1167"/>
      <c r="E63" s="1167"/>
      <c r="F63" s="1167"/>
      <c r="G63" s="1167"/>
      <c r="H63" s="1167"/>
      <c r="I63" s="1167"/>
      <c r="J63" s="1167"/>
    </row>
    <row r="64" spans="1:10" ht="16">
      <c r="A64" s="1055"/>
      <c r="B64" s="1167"/>
      <c r="C64" s="1681" t="s">
        <v>3458</v>
      </c>
      <c r="D64" s="1070"/>
      <c r="E64" s="1680"/>
      <c r="F64" s="1680" t="s">
        <v>3461</v>
      </c>
      <c r="G64" s="2044"/>
      <c r="H64" s="2043"/>
      <c r="I64" s="1167"/>
      <c r="J64" s="1167"/>
    </row>
    <row r="65" spans="1:10" ht="16">
      <c r="A65" s="1055"/>
      <c r="B65" s="1167"/>
      <c r="C65" s="1191"/>
      <c r="D65" s="1179"/>
      <c r="E65" s="1680"/>
      <c r="F65" s="1179"/>
      <c r="G65" s="1179"/>
      <c r="H65" s="1167"/>
      <c r="I65" s="1167"/>
      <c r="J65" s="1167"/>
    </row>
    <row r="66" spans="1:10" ht="17">
      <c r="A66" s="1055"/>
      <c r="B66" s="1178"/>
      <c r="C66" s="1192" t="s">
        <v>3573</v>
      </c>
      <c r="D66" s="1679"/>
      <c r="E66" s="1680" t="s">
        <v>3574</v>
      </c>
      <c r="F66" s="1679"/>
      <c r="G66" s="1681"/>
      <c r="H66" s="1681"/>
      <c r="I66" s="1167"/>
      <c r="J66" s="1167"/>
    </row>
    <row r="67" spans="1:10" ht="16">
      <c r="A67" s="1055"/>
      <c r="B67" s="1167"/>
      <c r="C67" s="1680"/>
      <c r="D67" s="1179"/>
      <c r="E67" s="1179"/>
      <c r="F67" s="1179"/>
      <c r="G67" s="1179"/>
      <c r="H67" s="1167"/>
      <c r="I67" s="1167"/>
      <c r="J67" s="1167"/>
    </row>
    <row r="68" spans="1:10" ht="16">
      <c r="A68" s="1055"/>
      <c r="C68" s="218"/>
      <c r="D68" s="217"/>
      <c r="E68" s="217"/>
      <c r="F68" s="217"/>
      <c r="G68" s="217"/>
    </row>
    <row r="69" spans="1:10" ht="16">
      <c r="A69" s="1055"/>
      <c r="B69" s="1212" t="s">
        <v>3575</v>
      </c>
      <c r="C69" s="1167"/>
      <c r="D69" s="1167"/>
      <c r="E69" s="1167"/>
      <c r="F69" s="1167"/>
      <c r="G69" s="1167"/>
      <c r="H69" s="1167"/>
      <c r="I69" s="1167"/>
      <c r="J69" s="1167"/>
    </row>
    <row r="70" spans="1:10" ht="19">
      <c r="A70" s="1055"/>
      <c r="B70" s="1166"/>
      <c r="C70" s="1681" t="s">
        <v>3576</v>
      </c>
      <c r="D70" s="338"/>
      <c r="E70" s="1681" t="s">
        <v>3577</v>
      </c>
      <c r="F70" s="216"/>
      <c r="G70" s="1179"/>
      <c r="H70" s="1179"/>
      <c r="I70" s="1167"/>
      <c r="J70" s="1167"/>
    </row>
    <row r="71" spans="1:10" ht="16">
      <c r="A71" s="1055"/>
      <c r="B71" s="1167"/>
      <c r="C71" s="1179"/>
      <c r="D71" s="1179"/>
      <c r="E71" s="1190"/>
      <c r="F71" s="1190"/>
      <c r="G71" s="1190"/>
      <c r="H71" s="1190"/>
      <c r="I71" s="1167"/>
      <c r="J71" s="1167"/>
    </row>
    <row r="72" spans="1:10" ht="17">
      <c r="A72" s="1055"/>
      <c r="B72" s="1167"/>
      <c r="C72" s="1192" t="s">
        <v>3572</v>
      </c>
      <c r="D72" s="2041"/>
      <c r="E72" s="2042"/>
      <c r="F72" s="2042"/>
      <c r="G72" s="2042"/>
      <c r="H72" s="2043"/>
      <c r="I72" s="1167"/>
      <c r="J72" s="1167"/>
    </row>
    <row r="73" spans="1:10" ht="16">
      <c r="A73" s="1055"/>
      <c r="B73" s="1167"/>
      <c r="C73" s="1680"/>
      <c r="D73" s="1179"/>
      <c r="E73" s="1680"/>
      <c r="F73" s="1179"/>
      <c r="G73" s="1179"/>
      <c r="H73" s="1167"/>
      <c r="I73" s="1167"/>
      <c r="J73" s="1167"/>
    </row>
    <row r="74" spans="1:10" ht="16">
      <c r="A74" s="1055"/>
      <c r="B74" s="1167"/>
      <c r="C74" s="1680" t="s">
        <v>3330</v>
      </c>
      <c r="D74" s="2041"/>
      <c r="E74" s="2042"/>
      <c r="F74" s="2042"/>
      <c r="G74" s="2042"/>
      <c r="H74" s="2043"/>
      <c r="I74" s="1167"/>
      <c r="J74" s="1167"/>
    </row>
    <row r="75" spans="1:10" ht="16">
      <c r="A75" s="1055"/>
      <c r="B75" s="1167"/>
      <c r="C75" s="1167"/>
      <c r="D75" s="1167"/>
      <c r="E75" s="1167"/>
      <c r="F75" s="1167"/>
      <c r="G75" s="1167"/>
      <c r="H75" s="1167"/>
      <c r="I75" s="1167"/>
      <c r="J75" s="1167"/>
    </row>
    <row r="76" spans="1:10" ht="16">
      <c r="A76" s="1055"/>
      <c r="B76" s="1167"/>
      <c r="C76" s="1680" t="s">
        <v>3332</v>
      </c>
      <c r="D76" s="216"/>
      <c r="E76" s="1680" t="s">
        <v>3333</v>
      </c>
      <c r="F76" s="216"/>
      <c r="G76" s="1681" t="s">
        <v>768</v>
      </c>
      <c r="H76" s="225"/>
      <c r="I76" s="1167"/>
      <c r="J76" s="1167"/>
    </row>
    <row r="77" spans="1:10" ht="16">
      <c r="A77" s="1055"/>
      <c r="B77" s="1167"/>
      <c r="C77" s="1167"/>
      <c r="D77" s="1167"/>
      <c r="E77" s="1167"/>
      <c r="F77" s="1167"/>
      <c r="G77" s="1167"/>
      <c r="H77" s="1167"/>
      <c r="I77" s="1167"/>
      <c r="J77" s="1167"/>
    </row>
    <row r="78" spans="1:10" ht="16">
      <c r="A78" s="1055"/>
      <c r="B78" s="1167"/>
      <c r="C78" s="1681" t="s">
        <v>3458</v>
      </c>
      <c r="D78" s="1071"/>
      <c r="E78" s="1680"/>
      <c r="F78" s="1680" t="s">
        <v>3461</v>
      </c>
      <c r="G78" s="2044"/>
      <c r="H78" s="2043"/>
      <c r="I78" s="1167"/>
      <c r="J78" s="1167"/>
    </row>
    <row r="79" spans="1:10" ht="16">
      <c r="A79" s="1055"/>
      <c r="B79" s="1191"/>
      <c r="C79" s="1191"/>
      <c r="D79" s="1179"/>
      <c r="E79" s="1680"/>
      <c r="F79" s="1179"/>
      <c r="G79" s="1179"/>
      <c r="H79" s="1167"/>
      <c r="I79" s="1167"/>
      <c r="J79" s="1167"/>
    </row>
    <row r="80" spans="1:10" ht="17">
      <c r="A80" s="1055"/>
      <c r="B80" s="1178"/>
      <c r="C80" s="1192" t="s">
        <v>3573</v>
      </c>
      <c r="D80" s="1679"/>
      <c r="E80" s="1680" t="s">
        <v>3574</v>
      </c>
      <c r="F80" s="1679"/>
      <c r="G80" s="1681"/>
      <c r="H80" s="1681"/>
      <c r="I80" s="1167"/>
      <c r="J80" s="1167"/>
    </row>
    <row r="81" spans="1:10" ht="16">
      <c r="A81" s="1055"/>
      <c r="B81" s="1167"/>
      <c r="C81" s="1680"/>
      <c r="D81" s="1179"/>
      <c r="E81" s="1179"/>
      <c r="F81" s="1179"/>
      <c r="G81" s="1179"/>
      <c r="H81" s="1167"/>
      <c r="I81" s="1167"/>
      <c r="J81" s="1167"/>
    </row>
    <row r="82" spans="1:10" ht="16">
      <c r="A82" s="1055"/>
    </row>
    <row r="83" spans="1:10" ht="16">
      <c r="A83" s="1055"/>
      <c r="B83" s="1212" t="s">
        <v>3228</v>
      </c>
      <c r="C83" s="1167"/>
      <c r="D83" s="1167"/>
      <c r="E83" s="1167"/>
      <c r="F83" s="1167"/>
      <c r="G83" s="1167"/>
      <c r="H83" s="1167"/>
      <c r="I83" s="1167"/>
      <c r="J83" s="1167"/>
    </row>
    <row r="84" spans="1:10" ht="19">
      <c r="A84" s="1055"/>
      <c r="B84" s="1166"/>
      <c r="C84" s="1681" t="s">
        <v>3577</v>
      </c>
      <c r="D84" s="338"/>
      <c r="E84" s="1167"/>
      <c r="F84" s="1167"/>
      <c r="G84" s="1179"/>
      <c r="H84" s="1179"/>
      <c r="I84" s="1167"/>
      <c r="J84" s="1167"/>
    </row>
    <row r="85" spans="1:10" ht="16">
      <c r="A85" s="1055"/>
      <c r="B85" s="1167"/>
      <c r="C85" s="1179"/>
      <c r="D85" s="1179"/>
      <c r="E85" s="1190"/>
      <c r="F85" s="1190"/>
      <c r="G85" s="1190"/>
      <c r="H85" s="1190"/>
      <c r="I85" s="1167"/>
      <c r="J85" s="1167"/>
    </row>
    <row r="86" spans="1:10" ht="17">
      <c r="A86" s="1055"/>
      <c r="B86" s="1167"/>
      <c r="C86" s="1192" t="s">
        <v>3572</v>
      </c>
      <c r="D86" s="1966"/>
      <c r="E86" s="1967"/>
      <c r="F86" s="1967"/>
      <c r="G86" s="1967"/>
      <c r="H86" s="1968"/>
      <c r="I86" s="1167"/>
      <c r="J86" s="1167"/>
    </row>
    <row r="87" spans="1:10" ht="16">
      <c r="A87" s="1055"/>
      <c r="B87" s="1167"/>
      <c r="C87" s="1680"/>
      <c r="D87" s="1179"/>
      <c r="E87" s="1680"/>
      <c r="F87" s="1179"/>
      <c r="G87" s="1179"/>
      <c r="H87" s="1167"/>
      <c r="I87" s="1167"/>
      <c r="J87" s="1167"/>
    </row>
    <row r="88" spans="1:10" ht="16">
      <c r="A88" s="1055"/>
      <c r="B88" s="1167"/>
      <c r="C88" s="1680" t="s">
        <v>3330</v>
      </c>
      <c r="D88" s="1966"/>
      <c r="E88" s="1967"/>
      <c r="F88" s="1967"/>
      <c r="G88" s="1967"/>
      <c r="H88" s="1968"/>
      <c r="I88" s="1167"/>
      <c r="J88" s="1167"/>
    </row>
    <row r="89" spans="1:10" ht="16">
      <c r="A89" s="1055"/>
      <c r="B89" s="1167"/>
      <c r="C89" s="1167"/>
      <c r="D89" s="1167"/>
      <c r="E89" s="1167"/>
      <c r="F89" s="1167"/>
      <c r="G89" s="1167"/>
      <c r="H89" s="1167"/>
      <c r="I89" s="1167"/>
      <c r="J89" s="1167"/>
    </row>
    <row r="90" spans="1:10" ht="16">
      <c r="A90" s="1055"/>
      <c r="B90" s="1167"/>
      <c r="C90" s="1680" t="s">
        <v>3332</v>
      </c>
      <c r="D90" s="338"/>
      <c r="E90" s="1680" t="s">
        <v>3333</v>
      </c>
      <c r="F90" s="338"/>
      <c r="G90" s="1681" t="s">
        <v>768</v>
      </c>
      <c r="H90" s="343"/>
      <c r="I90" s="1167"/>
      <c r="J90" s="1167"/>
    </row>
    <row r="91" spans="1:10" ht="16">
      <c r="A91" s="1055"/>
      <c r="B91" s="1167"/>
      <c r="C91" s="1167"/>
      <c r="D91" s="1167"/>
      <c r="E91" s="1167"/>
      <c r="F91" s="1167"/>
      <c r="G91" s="1167"/>
      <c r="H91" s="1167"/>
      <c r="I91" s="1167"/>
      <c r="J91" s="1167"/>
    </row>
    <row r="92" spans="1:10" ht="16">
      <c r="A92" s="1055"/>
      <c r="B92" s="1167"/>
      <c r="C92" s="1681" t="s">
        <v>3458</v>
      </c>
      <c r="D92" s="1070"/>
      <c r="E92" s="1680"/>
      <c r="F92" s="1680" t="s">
        <v>3461</v>
      </c>
      <c r="G92" s="2044"/>
      <c r="H92" s="2043"/>
      <c r="I92" s="1167"/>
      <c r="J92" s="1167"/>
    </row>
    <row r="93" spans="1:10" ht="16">
      <c r="A93" s="1055"/>
      <c r="B93" s="1167"/>
      <c r="C93" s="1191"/>
      <c r="D93" s="1179"/>
      <c r="E93" s="1680"/>
      <c r="F93" s="1179"/>
      <c r="G93" s="1179"/>
      <c r="H93" s="1167"/>
      <c r="I93" s="1167"/>
      <c r="J93" s="1167"/>
    </row>
    <row r="94" spans="1:10" ht="17">
      <c r="A94" s="1055"/>
      <c r="B94" s="1178"/>
      <c r="C94" s="1192" t="s">
        <v>3573</v>
      </c>
      <c r="D94" s="216"/>
      <c r="E94" s="1680" t="s">
        <v>3574</v>
      </c>
      <c r="F94" s="216"/>
      <c r="G94" s="1681"/>
      <c r="H94" s="1681"/>
      <c r="I94" s="1167"/>
      <c r="J94" s="1167"/>
    </row>
    <row r="95" spans="1:10" ht="16">
      <c r="A95" s="1055"/>
      <c r="B95" s="1167"/>
      <c r="C95" s="1680"/>
      <c r="D95" s="1179"/>
      <c r="E95" s="1179"/>
      <c r="F95" s="1179"/>
      <c r="G95" s="1179"/>
      <c r="H95" s="1167"/>
      <c r="I95" s="1167"/>
      <c r="J95" s="1167"/>
    </row>
    <row r="96" spans="1:10" ht="16">
      <c r="A96" s="1055"/>
    </row>
    <row r="97" spans="1:10" ht="16">
      <c r="A97" s="1055"/>
      <c r="B97" s="1212" t="s">
        <v>3578</v>
      </c>
      <c r="C97" s="1167"/>
      <c r="D97" s="1167"/>
      <c r="E97" s="1167"/>
      <c r="F97" s="1167"/>
      <c r="G97" s="1167"/>
      <c r="H97" s="1167"/>
      <c r="I97" s="1167"/>
      <c r="J97" s="1167"/>
    </row>
    <row r="98" spans="1:10" ht="19">
      <c r="A98" s="1055"/>
      <c r="B98" s="1166"/>
      <c r="C98" s="1681" t="s">
        <v>3577</v>
      </c>
      <c r="D98" s="338"/>
      <c r="E98" s="1167"/>
      <c r="F98" s="1167"/>
      <c r="G98" s="1179"/>
      <c r="H98" s="1179"/>
      <c r="I98" s="1167"/>
      <c r="J98" s="1167"/>
    </row>
    <row r="99" spans="1:10" ht="16">
      <c r="A99" s="1055"/>
      <c r="B99" s="1167"/>
      <c r="C99" s="1179"/>
      <c r="D99" s="1179"/>
      <c r="E99" s="1190"/>
      <c r="F99" s="1190"/>
      <c r="G99" s="1190"/>
      <c r="H99" s="1190"/>
      <c r="I99" s="1167"/>
      <c r="J99" s="1167"/>
    </row>
    <row r="100" spans="1:10" ht="16">
      <c r="A100" s="1055"/>
      <c r="B100" s="1167"/>
      <c r="C100" s="1681" t="s">
        <v>3572</v>
      </c>
      <c r="D100" s="1966"/>
      <c r="E100" s="1967"/>
      <c r="F100" s="1967"/>
      <c r="G100" s="1967"/>
      <c r="H100" s="1968"/>
      <c r="I100" s="1167"/>
      <c r="J100" s="1167"/>
    </row>
    <row r="101" spans="1:10" ht="16">
      <c r="A101" s="1055"/>
      <c r="B101" s="1167"/>
      <c r="C101" s="1680"/>
      <c r="D101" s="1179"/>
      <c r="E101" s="1680"/>
      <c r="F101" s="1179"/>
      <c r="G101" s="1179"/>
      <c r="H101" s="1167"/>
      <c r="I101" s="1167"/>
      <c r="J101" s="1167"/>
    </row>
    <row r="102" spans="1:10" ht="16">
      <c r="A102" s="1055"/>
      <c r="B102" s="1167"/>
      <c r="C102" s="1680" t="s">
        <v>3330</v>
      </c>
      <c r="D102" s="1966"/>
      <c r="E102" s="1967"/>
      <c r="F102" s="1967"/>
      <c r="G102" s="1967"/>
      <c r="H102" s="1968"/>
      <c r="I102" s="1167"/>
      <c r="J102" s="1167"/>
    </row>
    <row r="103" spans="1:10" ht="16">
      <c r="A103" s="1055"/>
      <c r="B103" s="1167"/>
      <c r="C103" s="1167"/>
      <c r="D103" s="1167"/>
      <c r="E103" s="1167"/>
      <c r="F103" s="1167"/>
      <c r="G103" s="1167"/>
      <c r="H103" s="1167"/>
      <c r="I103" s="1167"/>
      <c r="J103" s="1167"/>
    </row>
    <row r="104" spans="1:10" ht="16">
      <c r="A104" s="1055"/>
      <c r="B104" s="1167"/>
      <c r="C104" s="1680" t="s">
        <v>3332</v>
      </c>
      <c r="D104" s="338"/>
      <c r="E104" s="1680" t="s">
        <v>3333</v>
      </c>
      <c r="F104" s="338"/>
      <c r="G104" s="1681" t="s">
        <v>768</v>
      </c>
      <c r="H104" s="343"/>
      <c r="I104" s="1167"/>
      <c r="J104" s="1167"/>
    </row>
    <row r="105" spans="1:10" ht="16">
      <c r="A105" s="1055"/>
      <c r="B105" s="1167"/>
      <c r="C105" s="1167"/>
      <c r="D105" s="1167"/>
      <c r="E105" s="1167"/>
      <c r="F105" s="1167"/>
      <c r="G105" s="1167"/>
      <c r="H105" s="1167"/>
      <c r="I105" s="1167"/>
      <c r="J105" s="1167"/>
    </row>
    <row r="106" spans="1:10" ht="16">
      <c r="A106" s="1055"/>
      <c r="B106" s="1167"/>
      <c r="C106" s="1681" t="s">
        <v>3458</v>
      </c>
      <c r="D106" s="1070"/>
      <c r="E106" s="1680"/>
      <c r="F106" s="1680" t="s">
        <v>3461</v>
      </c>
      <c r="G106" s="2044"/>
      <c r="H106" s="2043"/>
      <c r="I106" s="1167"/>
      <c r="J106" s="1167"/>
    </row>
    <row r="107" spans="1:10" ht="16">
      <c r="A107" s="1055"/>
      <c r="B107" s="1167"/>
      <c r="C107" s="1191"/>
      <c r="D107" s="1179"/>
      <c r="E107" s="1680"/>
      <c r="F107" s="1179"/>
      <c r="G107" s="1179"/>
      <c r="H107" s="1167"/>
      <c r="I107" s="1167"/>
      <c r="J107" s="1167"/>
    </row>
    <row r="108" spans="1:10" ht="17">
      <c r="A108" s="1055"/>
      <c r="B108" s="1178"/>
      <c r="C108" s="1192" t="s">
        <v>3573</v>
      </c>
      <c r="D108" s="216"/>
      <c r="E108" s="1680" t="s">
        <v>3574</v>
      </c>
      <c r="F108" s="216"/>
      <c r="G108" s="1681"/>
      <c r="H108" s="1681"/>
      <c r="I108" s="1167"/>
      <c r="J108" s="1167"/>
    </row>
    <row r="109" spans="1:10" ht="16">
      <c r="A109" s="1055"/>
      <c r="B109" s="1167"/>
      <c r="C109" s="1680"/>
      <c r="D109" s="1179"/>
      <c r="E109" s="1179"/>
      <c r="F109" s="1179"/>
      <c r="G109" s="1179"/>
      <c r="H109" s="1167"/>
      <c r="I109" s="1167"/>
      <c r="J109" s="1167"/>
    </row>
    <row r="110" spans="1:10" ht="16">
      <c r="A110" s="1055"/>
    </row>
    <row r="111" spans="1:10" ht="16">
      <c r="A111" s="1055"/>
      <c r="B111" s="1212" t="s">
        <v>3579</v>
      </c>
      <c r="C111" s="1167"/>
      <c r="D111" s="1167"/>
      <c r="E111" s="1167"/>
      <c r="F111" s="1167"/>
      <c r="G111" s="1167"/>
      <c r="H111" s="1167"/>
      <c r="I111" s="1167"/>
      <c r="J111" s="1167"/>
    </row>
    <row r="112" spans="1:10" ht="19">
      <c r="A112" s="1055"/>
      <c r="B112" s="1166"/>
      <c r="C112" s="1681" t="s">
        <v>3580</v>
      </c>
      <c r="D112" s="338"/>
      <c r="E112" s="1681" t="s">
        <v>3577</v>
      </c>
      <c r="F112" s="216"/>
      <c r="G112" s="1179"/>
      <c r="H112" s="1179"/>
      <c r="I112" s="1167"/>
      <c r="J112" s="1167"/>
    </row>
    <row r="113" spans="1:10" ht="16">
      <c r="A113" s="1055"/>
      <c r="B113" s="1167"/>
      <c r="C113" s="1179"/>
      <c r="D113" s="1179"/>
      <c r="E113" s="1190"/>
      <c r="F113" s="1190"/>
      <c r="G113" s="1190"/>
      <c r="H113" s="1190"/>
      <c r="I113" s="1167"/>
      <c r="J113" s="1167"/>
    </row>
    <row r="114" spans="1:10" ht="16">
      <c r="A114" s="1055"/>
      <c r="B114" s="1167"/>
      <c r="C114" s="1681" t="s">
        <v>3572</v>
      </c>
      <c r="D114" s="2041"/>
      <c r="E114" s="2042"/>
      <c r="F114" s="2042"/>
      <c r="G114" s="2042"/>
      <c r="H114" s="2043"/>
      <c r="I114" s="1167"/>
      <c r="J114" s="1167"/>
    </row>
    <row r="115" spans="1:10" ht="16">
      <c r="A115" s="1055"/>
      <c r="B115" s="1167"/>
      <c r="C115" s="1680"/>
      <c r="D115" s="1179"/>
      <c r="E115" s="1680"/>
      <c r="F115" s="1179"/>
      <c r="G115" s="1179"/>
      <c r="H115" s="1167"/>
      <c r="I115" s="1167"/>
      <c r="J115" s="1167"/>
    </row>
    <row r="116" spans="1:10" ht="16">
      <c r="A116" s="1055"/>
      <c r="B116" s="1167"/>
      <c r="C116" s="1680" t="s">
        <v>3330</v>
      </c>
      <c r="D116" s="2041"/>
      <c r="E116" s="2042"/>
      <c r="F116" s="2042"/>
      <c r="G116" s="2042"/>
      <c r="H116" s="2043"/>
      <c r="I116" s="1167"/>
      <c r="J116" s="1167"/>
    </row>
    <row r="117" spans="1:10" ht="16">
      <c r="A117" s="1055"/>
      <c r="B117" s="1167"/>
      <c r="C117" s="1167"/>
      <c r="D117" s="1167"/>
      <c r="E117" s="1167"/>
      <c r="F117" s="1167"/>
      <c r="G117" s="1167"/>
      <c r="H117" s="1167"/>
      <c r="I117" s="1167"/>
      <c r="J117" s="1167"/>
    </row>
    <row r="118" spans="1:10" ht="16">
      <c r="A118" s="1055"/>
      <c r="B118" s="1167"/>
      <c r="C118" s="1680" t="s">
        <v>3332</v>
      </c>
      <c r="D118" s="216"/>
      <c r="E118" s="1680" t="s">
        <v>3333</v>
      </c>
      <c r="F118" s="216"/>
      <c r="G118" s="1681" t="s">
        <v>768</v>
      </c>
      <c r="H118" s="225"/>
      <c r="I118" s="1167"/>
      <c r="J118" s="1167"/>
    </row>
    <row r="119" spans="1:10" ht="16">
      <c r="A119" s="1055"/>
      <c r="B119" s="1167"/>
      <c r="C119" s="1167"/>
      <c r="D119" s="1167"/>
      <c r="E119" s="1167"/>
      <c r="F119" s="1167"/>
      <c r="G119" s="1167"/>
      <c r="H119" s="1167"/>
      <c r="I119" s="1167"/>
      <c r="J119" s="1167"/>
    </row>
    <row r="120" spans="1:10" ht="16">
      <c r="A120" s="1055"/>
      <c r="B120" s="1167"/>
      <c r="C120" s="1681" t="s">
        <v>3458</v>
      </c>
      <c r="D120" s="1071"/>
      <c r="E120" s="1680"/>
      <c r="F120" s="1680" t="s">
        <v>3461</v>
      </c>
      <c r="G120" s="2044"/>
      <c r="H120" s="2043"/>
      <c r="I120" s="1167"/>
      <c r="J120" s="1167"/>
    </row>
    <row r="121" spans="1:10" ht="16">
      <c r="A121" s="1055"/>
      <c r="B121" s="1167"/>
      <c r="C121" s="1191"/>
      <c r="D121" s="1179"/>
      <c r="E121" s="1680"/>
      <c r="F121" s="1179"/>
      <c r="G121" s="1179"/>
      <c r="H121" s="1167"/>
      <c r="I121" s="1167"/>
      <c r="J121" s="1167"/>
    </row>
    <row r="122" spans="1:10" ht="17">
      <c r="A122" s="1055"/>
      <c r="B122" s="1178"/>
      <c r="C122" s="1192" t="s">
        <v>3573</v>
      </c>
      <c r="D122" s="216"/>
      <c r="E122" s="1680" t="s">
        <v>3574</v>
      </c>
      <c r="F122" s="216"/>
      <c r="G122" s="1681"/>
      <c r="H122" s="1681"/>
      <c r="I122" s="1167"/>
      <c r="J122" s="1167"/>
    </row>
    <row r="123" spans="1:10" ht="16">
      <c r="A123" s="1055"/>
      <c r="B123" s="1167"/>
      <c r="C123" s="1680"/>
      <c r="D123" s="1179"/>
      <c r="E123" s="1179"/>
      <c r="F123" s="1179"/>
      <c r="G123" s="1179"/>
      <c r="H123" s="1167"/>
      <c r="I123" s="1167"/>
      <c r="J123" s="1167"/>
    </row>
    <row r="124" spans="1:10" ht="16">
      <c r="A124" s="1055"/>
    </row>
    <row r="125" spans="1:10" ht="16">
      <c r="A125" s="1055"/>
      <c r="B125" s="1212" t="s">
        <v>3581</v>
      </c>
      <c r="C125" s="1167"/>
      <c r="D125" s="1167"/>
      <c r="E125" s="1167"/>
      <c r="F125" s="1167"/>
      <c r="G125" s="1167"/>
      <c r="H125" s="1167"/>
      <c r="I125" s="1167"/>
      <c r="J125" s="1167"/>
    </row>
    <row r="126" spans="1:10" ht="19">
      <c r="A126" s="1055"/>
      <c r="B126" s="1166"/>
      <c r="C126" s="1681" t="s">
        <v>3582</v>
      </c>
      <c r="D126" s="338"/>
      <c r="E126" s="1681" t="s">
        <v>3571</v>
      </c>
      <c r="F126" s="216"/>
      <c r="G126" s="1179"/>
      <c r="H126" s="1179"/>
      <c r="I126" s="1167"/>
      <c r="J126" s="1167"/>
    </row>
    <row r="127" spans="1:10" ht="16">
      <c r="A127" s="1055"/>
      <c r="B127" s="1167"/>
      <c r="C127" s="1179"/>
      <c r="D127" s="1179"/>
      <c r="E127" s="1190"/>
      <c r="F127" s="1190"/>
      <c r="G127" s="1190"/>
      <c r="H127" s="1190"/>
      <c r="I127" s="1167"/>
      <c r="J127" s="1167"/>
    </row>
    <row r="128" spans="1:10" ht="16">
      <c r="A128" s="1055"/>
      <c r="B128" s="1167"/>
      <c r="C128" s="1681" t="s">
        <v>3572</v>
      </c>
      <c r="D128" s="2041"/>
      <c r="E128" s="2042"/>
      <c r="F128" s="2042"/>
      <c r="G128" s="2042"/>
      <c r="H128" s="2043"/>
      <c r="I128" s="1167"/>
      <c r="J128" s="1167"/>
    </row>
    <row r="129" spans="1:10" ht="16">
      <c r="A129" s="1055"/>
      <c r="B129" s="1167"/>
      <c r="C129" s="1680"/>
      <c r="D129" s="1179"/>
      <c r="E129" s="1680"/>
      <c r="F129" s="1179"/>
      <c r="G129" s="1179"/>
      <c r="H129" s="1167"/>
      <c r="I129" s="1167"/>
      <c r="J129" s="1167"/>
    </row>
    <row r="130" spans="1:10" ht="16">
      <c r="A130" s="1055"/>
      <c r="B130" s="1167"/>
      <c r="C130" s="1680" t="s">
        <v>3330</v>
      </c>
      <c r="D130" s="2041"/>
      <c r="E130" s="2042"/>
      <c r="F130" s="2042"/>
      <c r="G130" s="2042"/>
      <c r="H130" s="2043"/>
      <c r="I130" s="1167"/>
      <c r="J130" s="1167"/>
    </row>
    <row r="131" spans="1:10" ht="16">
      <c r="A131" s="1055"/>
      <c r="B131" s="1167"/>
      <c r="C131" s="1167"/>
      <c r="D131" s="1167"/>
      <c r="E131" s="1167"/>
      <c r="F131" s="1167"/>
      <c r="G131" s="1167"/>
      <c r="H131" s="1167"/>
      <c r="I131" s="1167"/>
      <c r="J131" s="1167"/>
    </row>
    <row r="132" spans="1:10" ht="16">
      <c r="A132" s="1055"/>
      <c r="B132" s="1167"/>
      <c r="C132" s="1680" t="s">
        <v>3332</v>
      </c>
      <c r="D132" s="216"/>
      <c r="E132" s="1680" t="s">
        <v>3333</v>
      </c>
      <c r="F132" s="216"/>
      <c r="G132" s="1681" t="s">
        <v>768</v>
      </c>
      <c r="H132" s="225"/>
      <c r="I132" s="1167"/>
      <c r="J132" s="1167"/>
    </row>
    <row r="133" spans="1:10" ht="16">
      <c r="A133" s="1055"/>
      <c r="B133" s="1167"/>
      <c r="C133" s="1167"/>
      <c r="D133" s="1167"/>
      <c r="E133" s="1167"/>
      <c r="F133" s="1167"/>
      <c r="G133" s="1167"/>
      <c r="H133" s="1167"/>
      <c r="I133" s="1167"/>
      <c r="J133" s="1167"/>
    </row>
    <row r="134" spans="1:10" ht="16">
      <c r="A134" s="1055"/>
      <c r="B134" s="1167"/>
      <c r="C134" s="1681" t="s">
        <v>3458</v>
      </c>
      <c r="D134" s="1071"/>
      <c r="E134" s="1680"/>
      <c r="F134" s="1680" t="s">
        <v>3461</v>
      </c>
      <c r="G134" s="2044"/>
      <c r="H134" s="2043"/>
      <c r="I134" s="1167"/>
      <c r="J134" s="1167"/>
    </row>
    <row r="135" spans="1:10" ht="16">
      <c r="A135" s="1055"/>
      <c r="B135" s="1167"/>
      <c r="C135" s="1191"/>
      <c r="D135" s="1179"/>
      <c r="E135" s="1680"/>
      <c r="F135" s="1179"/>
      <c r="G135" s="1179"/>
      <c r="H135" s="1167"/>
      <c r="I135" s="1167"/>
      <c r="J135" s="1167"/>
    </row>
    <row r="136" spans="1:10" ht="17">
      <c r="A136" s="1055"/>
      <c r="B136" s="1178"/>
      <c r="C136" s="1192" t="s">
        <v>3573</v>
      </c>
      <c r="D136" s="216"/>
      <c r="E136" s="1680" t="s">
        <v>3574</v>
      </c>
      <c r="F136" s="216"/>
      <c r="G136" s="1681"/>
      <c r="H136" s="1681"/>
      <c r="I136" s="1167"/>
      <c r="J136" s="1167"/>
    </row>
    <row r="137" spans="1:10" ht="16">
      <c r="A137" s="1055"/>
      <c r="B137" s="1167"/>
      <c r="C137" s="1680"/>
      <c r="D137" s="1179"/>
      <c r="E137" s="1179"/>
      <c r="F137" s="1179"/>
      <c r="G137" s="1179"/>
      <c r="H137" s="1167"/>
      <c r="I137" s="1167"/>
      <c r="J137" s="1167"/>
    </row>
    <row r="138" spans="1:10" ht="16">
      <c r="A138" s="1055"/>
    </row>
    <row r="139" spans="1:10" ht="16">
      <c r="A139" s="1055"/>
      <c r="B139" s="1212" t="s">
        <v>3583</v>
      </c>
      <c r="C139" s="1167"/>
      <c r="D139" s="1167"/>
      <c r="E139" s="1167"/>
      <c r="F139" s="1167"/>
      <c r="G139" s="1167"/>
      <c r="H139" s="1167"/>
      <c r="I139" s="1167"/>
      <c r="J139" s="1167"/>
    </row>
    <row r="140" spans="1:10" ht="19">
      <c r="A140" s="1055"/>
      <c r="B140" s="1166"/>
      <c r="C140" s="1681" t="s">
        <v>3577</v>
      </c>
      <c r="D140" s="338"/>
      <c r="E140" s="1167"/>
      <c r="F140" s="1167"/>
      <c r="G140" s="1179"/>
      <c r="H140" s="1179"/>
      <c r="I140" s="1167"/>
      <c r="J140" s="1167"/>
    </row>
    <row r="141" spans="1:10" ht="16">
      <c r="A141" s="1055"/>
      <c r="B141" s="1167"/>
      <c r="C141" s="1179"/>
      <c r="D141" s="1179"/>
      <c r="E141" s="1190"/>
      <c r="F141" s="1190"/>
      <c r="G141" s="1190"/>
      <c r="H141" s="1190"/>
      <c r="I141" s="1167"/>
      <c r="J141" s="1167"/>
    </row>
    <row r="142" spans="1:10" ht="16">
      <c r="A142" s="1055"/>
      <c r="B142" s="1167"/>
      <c r="C142" s="1681" t="s">
        <v>3572</v>
      </c>
      <c r="D142" s="1966"/>
      <c r="E142" s="1967"/>
      <c r="F142" s="1967"/>
      <c r="G142" s="1967"/>
      <c r="H142" s="1968"/>
      <c r="I142" s="1167"/>
      <c r="J142" s="1167"/>
    </row>
    <row r="143" spans="1:10" ht="16">
      <c r="A143" s="1055"/>
      <c r="B143" s="1167"/>
      <c r="C143" s="1680"/>
      <c r="D143" s="1179"/>
      <c r="E143" s="1680"/>
      <c r="F143" s="1179"/>
      <c r="G143" s="1179"/>
      <c r="H143" s="1167"/>
      <c r="I143" s="1167"/>
      <c r="J143" s="1167"/>
    </row>
    <row r="144" spans="1:10" ht="16">
      <c r="A144" s="1055"/>
      <c r="B144" s="1167"/>
      <c r="C144" s="1680" t="s">
        <v>3330</v>
      </c>
      <c r="D144" s="1966"/>
      <c r="E144" s="1967"/>
      <c r="F144" s="1967"/>
      <c r="G144" s="1967"/>
      <c r="H144" s="1968"/>
      <c r="I144" s="1167"/>
      <c r="J144" s="1167"/>
    </row>
    <row r="145" spans="1:10" ht="16">
      <c r="A145" s="1055"/>
      <c r="B145" s="1167"/>
      <c r="C145" s="1167"/>
      <c r="D145" s="1167"/>
      <c r="E145" s="1167"/>
      <c r="F145" s="1167"/>
      <c r="G145" s="1167"/>
      <c r="H145" s="1167"/>
      <c r="I145" s="1167"/>
      <c r="J145" s="1167"/>
    </row>
    <row r="146" spans="1:10" ht="16">
      <c r="A146" s="1055"/>
      <c r="B146" s="1167"/>
      <c r="C146" s="1680" t="s">
        <v>3332</v>
      </c>
      <c r="D146" s="338"/>
      <c r="E146" s="1680" t="s">
        <v>3333</v>
      </c>
      <c r="F146" s="338"/>
      <c r="G146" s="1681" t="s">
        <v>768</v>
      </c>
      <c r="H146" s="343"/>
      <c r="I146" s="1167"/>
      <c r="J146" s="1167"/>
    </row>
    <row r="147" spans="1:10" ht="16">
      <c r="A147" s="1055"/>
      <c r="B147" s="1167"/>
      <c r="C147" s="1167"/>
      <c r="D147" s="1167"/>
      <c r="E147" s="1167"/>
      <c r="F147" s="1167"/>
      <c r="G147" s="1167"/>
      <c r="H147" s="1167"/>
      <c r="I147" s="1167"/>
      <c r="J147" s="1167"/>
    </row>
    <row r="148" spans="1:10" ht="16">
      <c r="A148" s="1055"/>
      <c r="B148" s="1167"/>
      <c r="C148" s="1681" t="s">
        <v>3458</v>
      </c>
      <c r="D148" s="1070"/>
      <c r="E148" s="1680"/>
      <c r="F148" s="1680" t="s">
        <v>3461</v>
      </c>
      <c r="G148" s="2044"/>
      <c r="H148" s="2043"/>
      <c r="I148" s="1167"/>
      <c r="J148" s="1167"/>
    </row>
    <row r="149" spans="1:10" ht="16">
      <c r="A149" s="1055"/>
      <c r="B149" s="1167"/>
      <c r="C149" s="1191"/>
      <c r="D149" s="1179"/>
      <c r="E149" s="1680"/>
      <c r="F149" s="1179"/>
      <c r="G149" s="1179"/>
      <c r="H149" s="1179"/>
      <c r="I149" s="1167"/>
      <c r="J149" s="1167"/>
    </row>
    <row r="150" spans="1:10" ht="17">
      <c r="A150" s="1055"/>
      <c r="B150" s="1178"/>
      <c r="C150" s="1192" t="s">
        <v>3573</v>
      </c>
      <c r="D150" s="216"/>
      <c r="E150" s="1680" t="s">
        <v>3574</v>
      </c>
      <c r="F150" s="216"/>
      <c r="G150" s="1681"/>
      <c r="H150" s="1681"/>
      <c r="I150" s="1167"/>
      <c r="J150" s="1167"/>
    </row>
    <row r="151" spans="1:10" ht="16">
      <c r="A151" s="1055"/>
      <c r="B151" s="1167"/>
      <c r="C151" s="1680"/>
      <c r="D151" s="1179"/>
      <c r="E151" s="1179"/>
      <c r="F151" s="1179"/>
      <c r="G151" s="1179"/>
      <c r="H151" s="1167"/>
      <c r="I151" s="1167"/>
      <c r="J151" s="1167"/>
    </row>
    <row r="152" spans="1:10" ht="16">
      <c r="A152" s="1055"/>
    </row>
    <row r="153" spans="1:10" ht="16">
      <c r="A153" s="1055"/>
      <c r="B153" s="1212" t="s">
        <v>1581</v>
      </c>
      <c r="C153" s="1167"/>
      <c r="D153" s="1167"/>
      <c r="E153" s="1167"/>
      <c r="F153" s="1167"/>
      <c r="G153" s="1167"/>
      <c r="H153" s="1167"/>
      <c r="I153" s="1167"/>
      <c r="J153" s="1167"/>
    </row>
    <row r="154" spans="1:10" ht="19">
      <c r="A154" s="1055"/>
      <c r="B154" s="1166"/>
      <c r="C154" s="1681" t="s">
        <v>3584</v>
      </c>
      <c r="D154" s="1090"/>
      <c r="E154" s="1681" t="s">
        <v>3571</v>
      </c>
      <c r="F154" s="216"/>
      <c r="G154" s="1179"/>
      <c r="H154" s="1179"/>
      <c r="I154" s="1167"/>
      <c r="J154" s="1167"/>
    </row>
    <row r="155" spans="1:10" ht="16">
      <c r="A155" s="1055"/>
      <c r="B155" s="1167"/>
      <c r="C155" s="1179"/>
      <c r="D155" s="1179"/>
      <c r="E155" s="1190"/>
      <c r="F155" s="1190"/>
      <c r="G155" s="1190"/>
      <c r="H155" s="1190"/>
      <c r="I155" s="1167"/>
      <c r="J155" s="1167"/>
    </row>
    <row r="156" spans="1:10" ht="17">
      <c r="A156" s="1055"/>
      <c r="B156" s="1167"/>
      <c r="C156" s="1192" t="s">
        <v>3572</v>
      </c>
      <c r="D156" s="2041"/>
      <c r="E156" s="2042"/>
      <c r="F156" s="2042"/>
      <c r="G156" s="2042"/>
      <c r="H156" s="2043"/>
      <c r="I156" s="1167"/>
      <c r="J156" s="1167"/>
    </row>
    <row r="157" spans="1:10" ht="16">
      <c r="A157" s="1055"/>
      <c r="B157" s="1167"/>
      <c r="C157" s="1680"/>
      <c r="D157" s="1179"/>
      <c r="E157" s="1680"/>
      <c r="F157" s="1179"/>
      <c r="G157" s="1179"/>
      <c r="H157" s="1167"/>
      <c r="I157" s="1167"/>
      <c r="J157" s="1167"/>
    </row>
    <row r="158" spans="1:10" ht="16">
      <c r="A158" s="1055"/>
      <c r="B158" s="1167"/>
      <c r="C158" s="1680" t="s">
        <v>3330</v>
      </c>
      <c r="D158" s="2041"/>
      <c r="E158" s="2042"/>
      <c r="F158" s="2042"/>
      <c r="G158" s="2042"/>
      <c r="H158" s="2043"/>
      <c r="I158" s="1167"/>
      <c r="J158" s="1167"/>
    </row>
    <row r="159" spans="1:10" ht="16">
      <c r="A159" s="1055"/>
      <c r="B159" s="1167"/>
      <c r="C159" s="1167"/>
      <c r="D159" s="1167"/>
      <c r="E159" s="1167"/>
      <c r="F159" s="1167"/>
      <c r="G159" s="1167"/>
      <c r="H159" s="1167"/>
      <c r="I159" s="1167"/>
      <c r="J159" s="1167"/>
    </row>
    <row r="160" spans="1:10" ht="16">
      <c r="A160" s="1055"/>
      <c r="B160" s="1167"/>
      <c r="C160" s="1680" t="s">
        <v>3332</v>
      </c>
      <c r="D160" s="216"/>
      <c r="E160" s="1680" t="s">
        <v>3333</v>
      </c>
      <c r="F160" s="216"/>
      <c r="G160" s="1681" t="s">
        <v>768</v>
      </c>
      <c r="H160" s="225"/>
      <c r="I160" s="1167"/>
      <c r="J160" s="1167"/>
    </row>
    <row r="161" spans="1:11" ht="16">
      <c r="A161" s="1055"/>
      <c r="B161" s="1167"/>
      <c r="C161" s="1167"/>
      <c r="D161" s="1167"/>
      <c r="E161" s="1167"/>
      <c r="F161" s="1167"/>
      <c r="G161" s="1167"/>
      <c r="H161" s="1167"/>
      <c r="I161" s="1167"/>
      <c r="J161" s="1167"/>
    </row>
    <row r="162" spans="1:11" ht="16">
      <c r="A162" s="1055"/>
      <c r="B162" s="1167"/>
      <c r="C162" s="1681" t="s">
        <v>3458</v>
      </c>
      <c r="D162" s="1071"/>
      <c r="E162" s="1680"/>
      <c r="F162" s="1680" t="s">
        <v>3461</v>
      </c>
      <c r="G162" s="2044"/>
      <c r="H162" s="2043"/>
      <c r="I162" s="1167"/>
      <c r="J162" s="1167"/>
    </row>
    <row r="163" spans="1:11" ht="16">
      <c r="A163" s="1055"/>
      <c r="B163" s="1167"/>
      <c r="C163" s="1191"/>
      <c r="D163" s="1179"/>
      <c r="E163" s="1680"/>
      <c r="F163" s="1179"/>
      <c r="G163" s="1179"/>
      <c r="H163" s="1167"/>
      <c r="I163" s="1167"/>
      <c r="J163" s="1167"/>
    </row>
    <row r="164" spans="1:11" ht="17">
      <c r="A164" s="1055"/>
      <c r="B164" s="1178"/>
      <c r="C164" s="1192" t="s">
        <v>3573</v>
      </c>
      <c r="D164" s="216"/>
      <c r="E164" s="1680" t="s">
        <v>3574</v>
      </c>
      <c r="F164" s="216"/>
      <c r="G164" s="1681"/>
      <c r="H164" s="1681"/>
      <c r="I164" s="1167"/>
      <c r="J164" s="1167"/>
    </row>
    <row r="165" spans="1:11" ht="16">
      <c r="A165" s="1055"/>
      <c r="B165" s="1167"/>
      <c r="C165" s="1167"/>
      <c r="D165" s="1167"/>
      <c r="E165" s="1167"/>
      <c r="F165" s="1167"/>
      <c r="G165" s="1167"/>
      <c r="H165" s="1167"/>
      <c r="I165" s="1167"/>
      <c r="J165" s="1167"/>
    </row>
    <row r="166" spans="1:11" ht="19">
      <c r="B166" s="8" t="s">
        <v>3465</v>
      </c>
      <c r="C166" s="17"/>
      <c r="E166" s="1109"/>
      <c r="F166" s="1109"/>
      <c r="G166" s="1109"/>
    </row>
    <row r="167" spans="1:11" ht="15.75" customHeight="1">
      <c r="B167" s="1167"/>
      <c r="C167" s="1170" t="s">
        <v>3585</v>
      </c>
      <c r="D167" s="1167"/>
      <c r="E167" s="1167"/>
      <c r="F167" s="1167"/>
      <c r="G167" s="1167"/>
      <c r="H167" s="1167"/>
      <c r="I167" s="1167"/>
      <c r="J167" s="1167"/>
    </row>
    <row r="168" spans="1:11" ht="15" customHeight="1">
      <c r="B168" s="1167"/>
      <c r="C168" s="1981"/>
      <c r="D168" s="1981"/>
      <c r="E168" s="1981"/>
      <c r="F168" s="1981"/>
      <c r="G168" s="1981"/>
      <c r="H168" s="1981"/>
      <c r="I168" s="1167"/>
      <c r="J168" s="1167"/>
    </row>
    <row r="169" spans="1:11" ht="15.75" customHeight="1">
      <c r="B169" s="1167"/>
      <c r="C169" s="1981"/>
      <c r="D169" s="1981"/>
      <c r="E169" s="1981"/>
      <c r="F169" s="1981"/>
      <c r="G169" s="1981"/>
      <c r="H169" s="1981"/>
      <c r="I169" s="1167"/>
      <c r="J169" s="1167"/>
    </row>
    <row r="170" spans="1:11">
      <c r="B170" s="1167"/>
      <c r="C170" s="1981"/>
      <c r="D170" s="1981"/>
      <c r="E170" s="1981"/>
      <c r="F170" s="1981"/>
      <c r="G170" s="1981"/>
      <c r="H170" s="1981"/>
      <c r="I170" s="1167"/>
      <c r="J170" s="1167"/>
      <c r="K170" s="149"/>
    </row>
    <row r="171" spans="1:11" ht="27.75" customHeight="1">
      <c r="B171" s="1167"/>
      <c r="C171" s="1981"/>
      <c r="D171" s="1981"/>
      <c r="E171" s="1981"/>
      <c r="F171" s="1981"/>
      <c r="G171" s="1981"/>
      <c r="H171" s="1981"/>
      <c r="I171" s="1167"/>
      <c r="J171" s="1167"/>
      <c r="K171" s="149"/>
    </row>
    <row r="172" spans="1:11">
      <c r="B172" s="1167"/>
      <c r="C172" s="1981"/>
      <c r="D172" s="1981"/>
      <c r="E172" s="1981"/>
      <c r="F172" s="1981"/>
      <c r="G172" s="1981"/>
      <c r="H172" s="1981"/>
      <c r="I172" s="1167"/>
      <c r="J172" s="1167"/>
    </row>
    <row r="173" spans="1:11" ht="15.75" customHeight="1">
      <c r="B173" s="1167"/>
      <c r="C173" s="1981"/>
      <c r="D173" s="1981"/>
      <c r="E173" s="1981"/>
      <c r="F173" s="1981"/>
      <c r="G173" s="1981"/>
      <c r="H173" s="1981"/>
      <c r="I173" s="1167"/>
      <c r="J173" s="1167"/>
    </row>
    <row r="174" spans="1:11" ht="15" customHeight="1">
      <c r="B174" s="1167"/>
      <c r="C174" s="1981"/>
      <c r="D174" s="1981"/>
      <c r="E174" s="1981"/>
      <c r="F174" s="1981"/>
      <c r="G174" s="1981"/>
      <c r="H174" s="1981"/>
      <c r="I174" s="1167"/>
      <c r="J174" s="1167"/>
    </row>
    <row r="175" spans="1:11" ht="15" customHeight="1">
      <c r="B175" s="1167"/>
      <c r="C175" s="1981"/>
      <c r="D175" s="1981"/>
      <c r="E175" s="1981"/>
      <c r="F175" s="1981"/>
      <c r="G175" s="1981"/>
      <c r="H175" s="1981"/>
      <c r="I175" s="1167"/>
      <c r="J175" s="1167"/>
    </row>
    <row r="176" spans="1:11">
      <c r="B176" s="1167"/>
      <c r="C176" s="1167"/>
      <c r="D176" s="1167"/>
      <c r="E176" s="1167"/>
      <c r="F176" s="1167"/>
      <c r="G176" s="1167"/>
      <c r="H176" s="1167"/>
      <c r="I176" s="1167"/>
      <c r="J176" s="1167"/>
    </row>
    <row r="177" spans="2:10" ht="16">
      <c r="E177" s="203"/>
      <c r="J177" s="74"/>
    </row>
    <row r="178" spans="2:10">
      <c r="B178" s="16" t="s">
        <v>3371</v>
      </c>
      <c r="C178" s="7"/>
      <c r="D178" s="7"/>
      <c r="E178" s="7"/>
      <c r="F178" s="7"/>
      <c r="G178" s="7"/>
      <c r="H178" s="7"/>
      <c r="I178" s="7"/>
    </row>
    <row r="179" spans="2:10" ht="19">
      <c r="B179" s="8" t="s">
        <v>3467</v>
      </c>
      <c r="E179" s="1109"/>
      <c r="F179" s="1109"/>
      <c r="G179" s="1109"/>
    </row>
    <row r="180" spans="2:10">
      <c r="B180" s="1167"/>
      <c r="C180" s="1167"/>
      <c r="D180" s="1167"/>
      <c r="E180" s="1167"/>
      <c r="F180" s="1167"/>
      <c r="G180" s="1167"/>
      <c r="H180" s="1167"/>
      <c r="I180" s="1167"/>
      <c r="J180" s="1167"/>
    </row>
    <row r="181" spans="2:10">
      <c r="B181" s="1167"/>
      <c r="C181" s="1957"/>
      <c r="D181" s="1958"/>
      <c r="E181" s="1958"/>
      <c r="F181" s="1958"/>
      <c r="G181" s="1958"/>
      <c r="H181" s="1959"/>
      <c r="I181" s="1167"/>
      <c r="J181" s="1167"/>
    </row>
    <row r="182" spans="2:10">
      <c r="B182" s="1167"/>
      <c r="C182" s="1960"/>
      <c r="D182" s="1961"/>
      <c r="E182" s="1961"/>
      <c r="F182" s="1961"/>
      <c r="G182" s="1961"/>
      <c r="H182" s="1962"/>
      <c r="I182" s="1167"/>
      <c r="J182" s="1167"/>
    </row>
    <row r="183" spans="2:10">
      <c r="B183" s="1167"/>
      <c r="C183" s="1960"/>
      <c r="D183" s="1961"/>
      <c r="E183" s="1961"/>
      <c r="F183" s="1961"/>
      <c r="G183" s="1961"/>
      <c r="H183" s="1962"/>
      <c r="I183" s="1167"/>
      <c r="J183" s="1167"/>
    </row>
    <row r="184" spans="2:10">
      <c r="B184" s="1167"/>
      <c r="C184" s="1963"/>
      <c r="D184" s="1964"/>
      <c r="E184" s="1964"/>
      <c r="F184" s="1964"/>
      <c r="G184" s="1964"/>
      <c r="H184" s="1965"/>
      <c r="I184" s="1167"/>
      <c r="J184" s="1167"/>
    </row>
    <row r="185" spans="2:10">
      <c r="B185" s="1167"/>
      <c r="C185" s="1167"/>
      <c r="D185" s="1167"/>
      <c r="E185" s="1167"/>
      <c r="F185" s="1167"/>
      <c r="G185" s="1167"/>
      <c r="H185" s="1167"/>
      <c r="I185" s="1167"/>
      <c r="J185" s="1167"/>
    </row>
    <row r="186" spans="2:10" ht="16">
      <c r="C186" s="219"/>
      <c r="E186" s="217"/>
    </row>
    <row r="187" spans="2:10" ht="16">
      <c r="C187" s="224"/>
      <c r="D187" s="224"/>
      <c r="E187" s="217"/>
    </row>
  </sheetData>
  <sheetProtection algorithmName="SHA-512" hashValue="lJr1oa/KCgb1c98qNXC4+fPgL+icUXNDUL2WAVd6ZAj6V9Qbz3fWXOWHI7g7cQfhArkPom2SMpjQVwseyuccNQ==" saltValue="HZFFQ3Hjn04uhEqMYywrmA==" spinCount="100000" sheet="1" objects="1" scenarios="1" selectLockedCells="1"/>
  <mergeCells count="38">
    <mergeCell ref="C181:H184"/>
    <mergeCell ref="C7:G7"/>
    <mergeCell ref="C8:G8"/>
    <mergeCell ref="C9:G9"/>
    <mergeCell ref="B53:I53"/>
    <mergeCell ref="C23:G23"/>
    <mergeCell ref="C20:F20"/>
    <mergeCell ref="C31:F31"/>
    <mergeCell ref="C34:G34"/>
    <mergeCell ref="C42:F42"/>
    <mergeCell ref="C45:G45"/>
    <mergeCell ref="B16:J16"/>
    <mergeCell ref="C168:H175"/>
    <mergeCell ref="D58:H58"/>
    <mergeCell ref="D60:H60"/>
    <mergeCell ref="G64:H64"/>
    <mergeCell ref="D156:H156"/>
    <mergeCell ref="D158:H158"/>
    <mergeCell ref="G162:H162"/>
    <mergeCell ref="G78:H78"/>
    <mergeCell ref="D86:H86"/>
    <mergeCell ref="D88:H88"/>
    <mergeCell ref="G92:H92"/>
    <mergeCell ref="D100:H100"/>
    <mergeCell ref="D130:H130"/>
    <mergeCell ref="G134:H134"/>
    <mergeCell ref="D142:H142"/>
    <mergeCell ref="D144:H144"/>
    <mergeCell ref="G148:H148"/>
    <mergeCell ref="F12:G12"/>
    <mergeCell ref="D72:H72"/>
    <mergeCell ref="D74:H74"/>
    <mergeCell ref="D128:H128"/>
    <mergeCell ref="D102:H102"/>
    <mergeCell ref="G106:H106"/>
    <mergeCell ref="D114:H114"/>
    <mergeCell ref="D116:H116"/>
    <mergeCell ref="G120:H120"/>
  </mergeCells>
  <conditionalFormatting sqref="F70 D72 D74 D76 F76 H76 D78">
    <cfRule type="expression" dxfId="317" priority="4">
      <formula>$D$70="Yes"</formula>
    </cfRule>
  </conditionalFormatting>
  <conditionalFormatting sqref="F112 D114 D116 D118 F118 H118 D120">
    <cfRule type="expression" dxfId="316" priority="3">
      <formula>$D$112="Yes"</formula>
    </cfRule>
  </conditionalFormatting>
  <conditionalFormatting sqref="F126 D128 D130 D132 F132 H132 D134">
    <cfRule type="expression" dxfId="315" priority="2">
      <formula>$D$126="Yes"</formula>
    </cfRule>
  </conditionalFormatting>
  <conditionalFormatting sqref="F154 D156:H156 D158:H158 D160 F160 H160 D162">
    <cfRule type="expression" dxfId="314" priority="1">
      <formula>$D$154="Yes"</formula>
    </cfRule>
  </conditionalFormatting>
  <dataValidations count="9">
    <dataValidation type="list" allowBlank="1" showInputMessage="1" showErrorMessage="1" sqref="C26 C37 C48 F70 D70 D84 D98 D112 F112 D126 F126 D140 F154 D154" xr:uid="{177B1475-5C5E-4D0A-9D9E-46650B525D32}">
      <formula1>YesNo</formula1>
    </dataValidation>
    <dataValidation type="list" allowBlank="1" showInputMessage="1" showErrorMessage="1" sqref="I12" xr:uid="{E77899A8-95C8-4552-8701-812D2113675F}">
      <formula1>EntityStatus</formula1>
    </dataValidation>
    <dataValidation type="list" allowBlank="1" showInputMessage="1" showErrorMessage="1" sqref="F12" xr:uid="{3DB80635-62A7-4174-B89B-ADC1D00BA21A}">
      <formula1>EntityType</formula1>
    </dataValidation>
    <dataValidation type="list" allowBlank="1" showInputMessage="1" showErrorMessage="1" sqref="I33 I22 I44" xr:uid="{390EE516-28AC-40F8-9109-E61DAF5B3536}">
      <formula1>EntityPrincipalFunction</formula1>
    </dataValidation>
    <dataValidation type="custom" allowBlank="1" showInputMessage="1" showErrorMessage="1" sqref="F1 A54:A165 A4:A45" xr:uid="{D7CA704E-FACF-4523-B00E-615C2C817A5D}">
      <formula1>"&lt;0&gt;0"</formula1>
    </dataValidation>
    <dataValidation type="custom" allowBlank="1" showInputMessage="1" showErrorMessage="1" error="Please enter Federal Tax ID Number as numeric values only. If Fedral Tax ID is unknown or not yet assigned, enter 999999999." sqref="C12" xr:uid="{9898147D-5BD1-4111-B367-37983D629033}">
      <formula1>ISNUMBER(C12)</formula1>
    </dataValidation>
    <dataValidation type="custom" allowBlank="1" showInputMessage="1" showErrorMessage="1" errorTitle="Phone Number Error" error="Please enter phone number with numeric values only." sqref="C25 C36 C47 D64 D78 D92 D106 D120 D134 D148 D162" xr:uid="{BB6A94FA-C8D4-4465-BC08-2EEB926482E6}">
      <formula1>ISNUMBER(C25)</formula1>
    </dataValidation>
    <dataValidation type="custom" allowBlank="1" showInputMessage="1" showErrorMessage="1" sqref="G64:H64" xr:uid="{0287C418-A11E-40CF-A516-74CCEE428A0E}">
      <formula1>ISNUMBER(MATCH("*@*.??*",Management_Agent_Email_Address,0))</formula1>
    </dataValidation>
    <dataValidation type="custom" allowBlank="1" showInputMessage="1" showErrorMessage="1" sqref="G78:H78 G162:H162 G148:H148 G92:H92 G134:H134 G120:H120 G106:H106" xr:uid="{63637D4B-04A3-4719-876D-98ACBDB54D07}">
      <formula1>ISNUMBER(MATCH("*@*.??*",G78,0))</formula1>
    </dataValidation>
  </dataValidations>
  <pageMargins left="0.7" right="0.7" top="0.75" bottom="0.75" header="0.3" footer="0.3"/>
  <pageSetup scale="23" orientation="portrait" r:id="rId1"/>
  <headerFooter>
    <oddHeader>&amp;L&amp;G</oddHeader>
    <oddFooter>&amp;LVersion - 2023.0.01&amp;CWHEDA MULTIFAMILY APPLICATION&amp;R&amp;P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F3F10827-A04D-4B43-8439-D07D846A9EA6}">
          <x14:formula1>
            <xm:f>'Dropdown Lists'!$A$2:$A$3</xm:f>
          </x14:formula1>
          <xm:sqref>E187 H179 D56</xm:sqref>
        </x14:dataValidation>
        <x14:dataValidation type="list" allowBlank="1" showInputMessage="1" showErrorMessage="1" xr:uid="{224FB60B-3127-4E7B-905F-EFEF9226A0C0}">
          <x14:formula1>
            <xm:f>'Dropdown Lists'!$U$3:$U$53</xm:f>
          </x14:formula1>
          <xm:sqref>F11 F24 F35 F46 F62 F76 F90 F104 F118 F132 F146 F160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ACC1-AE05-4ACF-9FA3-7AACF91C7904}">
  <sheetPr codeName="Sheet10">
    <pageSetUpPr fitToPage="1"/>
  </sheetPr>
  <dimension ref="A1:M1439"/>
  <sheetViews>
    <sheetView workbookViewId="0">
      <selection activeCell="D7" sqref="D7:J14"/>
    </sheetView>
  </sheetViews>
  <sheetFormatPr baseColWidth="10" defaultColWidth="9.1640625" defaultRowHeight="15"/>
  <cols>
    <col min="1" max="1" width="6" customWidth="1"/>
    <col min="2" max="2" width="11.33203125" style="3" customWidth="1"/>
    <col min="3" max="3" width="38.5" style="3" customWidth="1"/>
    <col min="4" max="4" width="19.5" style="3" customWidth="1"/>
    <col min="5" max="5" width="17.5" style="3" customWidth="1"/>
    <col min="6" max="6" width="27.5" style="3" bestFit="1" customWidth="1"/>
    <col min="7" max="7" width="17.83203125" style="3" customWidth="1"/>
    <col min="8" max="8" width="15.5" style="3" bestFit="1" customWidth="1"/>
    <col min="9" max="9" width="18.5" style="3" customWidth="1"/>
    <col min="10" max="10" width="17.83203125" style="3" customWidth="1"/>
    <col min="11" max="11" width="5.6640625" style="3" customWidth="1"/>
    <col min="12" max="12" width="19.5" style="3" bestFit="1" customWidth="1"/>
    <col min="13" max="13" width="15" style="3" customWidth="1"/>
    <col min="14" max="14" width="23.83203125" style="3" bestFit="1" customWidth="1"/>
    <col min="15" max="16384" width="9.1640625" style="3"/>
  </cols>
  <sheetData>
    <row r="1" spans="1:13" ht="29">
      <c r="A1" s="3"/>
      <c r="B1" s="4" t="str">
        <f>'1. TOC'!B1</f>
        <v>WHEDA 2025 Multifamily Application</v>
      </c>
      <c r="C1" s="4"/>
      <c r="E1" s="149" t="str">
        <f>'1. TOC'!L1</f>
        <v>v25.1.9</v>
      </c>
      <c r="F1" s="1086" t="str">
        <f>HYPERLINK("#Table_of_Contents", Table_of_Contents)</f>
        <v>Table of Contents</v>
      </c>
    </row>
    <row r="2" spans="1:13" ht="19">
      <c r="A2" s="3"/>
      <c r="B2" s="934" t="str">
        <f>_xlfn.CONCAT(IF(ISBLANK(WHEDA_Project_Number),"",_xlfn.CONCAT(WHEDA_Project_Number,"-")), Project_Name, IF(ISBLANK(Credit_percentage_applied_for),"",_xlfn.CONCAT(" (", Credit_percentage_applied_for," HTC)")))</f>
        <v/>
      </c>
      <c r="C2" s="5"/>
    </row>
    <row r="3" spans="1:13" ht="19">
      <c r="A3" s="132"/>
      <c r="B3" s="13"/>
      <c r="C3" s="7"/>
      <c r="D3" s="7"/>
      <c r="E3" s="7"/>
      <c r="F3" s="7"/>
      <c r="G3" s="7"/>
      <c r="H3" s="7"/>
      <c r="I3" s="7"/>
      <c r="J3" s="7"/>
      <c r="K3" s="7"/>
    </row>
    <row r="4" spans="1:13" ht="21">
      <c r="A4" s="132"/>
      <c r="B4" s="938" t="s">
        <v>3586</v>
      </c>
    </row>
    <row r="5" spans="1:13" ht="19">
      <c r="A5" s="1064"/>
      <c r="B5" s="8" t="s">
        <v>3587</v>
      </c>
    </row>
    <row r="6" spans="1:13" ht="16">
      <c r="A6" s="1064"/>
      <c r="B6" s="1167"/>
      <c r="C6" s="1167"/>
      <c r="D6" s="1167"/>
      <c r="E6" s="1167"/>
      <c r="F6" s="1167"/>
      <c r="G6" s="1167"/>
      <c r="H6" s="1167"/>
      <c r="I6" s="1167"/>
      <c r="J6" s="1167"/>
      <c r="K6" s="1167"/>
    </row>
    <row r="7" spans="1:13" ht="16">
      <c r="A7" s="1064"/>
      <c r="B7" s="1167"/>
      <c r="C7" s="2072" t="s">
        <v>3588</v>
      </c>
      <c r="D7" s="2028"/>
      <c r="E7" s="2061"/>
      <c r="F7" s="2061"/>
      <c r="G7" s="2061"/>
      <c r="H7" s="2061"/>
      <c r="I7" s="2061"/>
      <c r="J7" s="2062"/>
      <c r="K7" s="1179"/>
      <c r="M7" s="149"/>
    </row>
    <row r="8" spans="1:13" ht="16">
      <c r="A8" s="1064"/>
      <c r="B8" s="1167"/>
      <c r="C8" s="2072"/>
      <c r="D8" s="2063"/>
      <c r="E8" s="2064"/>
      <c r="F8" s="2064"/>
      <c r="G8" s="2064"/>
      <c r="H8" s="2064"/>
      <c r="I8" s="2064"/>
      <c r="J8" s="2065"/>
      <c r="K8" s="1179"/>
      <c r="M8" s="149"/>
    </row>
    <row r="9" spans="1:13" ht="16">
      <c r="A9" s="1065"/>
      <c r="B9" s="1167"/>
      <c r="C9" s="2072"/>
      <c r="D9" s="2063"/>
      <c r="E9" s="2064"/>
      <c r="F9" s="2064"/>
      <c r="G9" s="2064"/>
      <c r="H9" s="2064"/>
      <c r="I9" s="2064"/>
      <c r="J9" s="2065"/>
      <c r="K9" s="1179"/>
      <c r="M9" s="149"/>
    </row>
    <row r="10" spans="1:13" ht="16">
      <c r="A10" s="1065"/>
      <c r="B10" s="1167"/>
      <c r="C10" s="1681"/>
      <c r="D10" s="2063"/>
      <c r="E10" s="2064"/>
      <c r="F10" s="2064"/>
      <c r="G10" s="2064"/>
      <c r="H10" s="2064"/>
      <c r="I10" s="2064"/>
      <c r="J10" s="2065"/>
      <c r="K10" s="1179"/>
      <c r="M10" s="149"/>
    </row>
    <row r="11" spans="1:13" ht="16">
      <c r="A11" s="1065"/>
      <c r="B11" s="1167"/>
      <c r="C11" s="1681"/>
      <c r="D11" s="2063"/>
      <c r="E11" s="2064"/>
      <c r="F11" s="2064"/>
      <c r="G11" s="2064"/>
      <c r="H11" s="2064"/>
      <c r="I11" s="2064"/>
      <c r="J11" s="2065"/>
      <c r="K11" s="1179"/>
      <c r="M11" s="149"/>
    </row>
    <row r="12" spans="1:13" ht="16">
      <c r="A12" s="1065"/>
      <c r="B12" s="1167"/>
      <c r="C12" s="1681"/>
      <c r="D12" s="2063"/>
      <c r="E12" s="2064"/>
      <c r="F12" s="2064"/>
      <c r="G12" s="2064"/>
      <c r="H12" s="2064"/>
      <c r="I12" s="2064"/>
      <c r="J12" s="2065"/>
      <c r="K12" s="1179"/>
      <c r="M12" s="149"/>
    </row>
    <row r="13" spans="1:13" ht="16">
      <c r="A13" s="1065"/>
      <c r="B13" s="1167"/>
      <c r="C13" s="1681"/>
      <c r="D13" s="2063"/>
      <c r="E13" s="2064"/>
      <c r="F13" s="2064"/>
      <c r="G13" s="2064"/>
      <c r="H13" s="2064"/>
      <c r="I13" s="2064"/>
      <c r="J13" s="2065"/>
      <c r="K13" s="1179"/>
    </row>
    <row r="14" spans="1:13" ht="16">
      <c r="A14" s="1065"/>
      <c r="B14" s="1167"/>
      <c r="C14" s="1681"/>
      <c r="D14" s="2066"/>
      <c r="E14" s="2067"/>
      <c r="F14" s="2067"/>
      <c r="G14" s="2067"/>
      <c r="H14" s="2067"/>
      <c r="I14" s="2067"/>
      <c r="J14" s="2068"/>
      <c r="K14" s="1179"/>
    </row>
    <row r="15" spans="1:13" ht="16">
      <c r="A15" s="1065"/>
      <c r="B15" s="1174"/>
      <c r="C15" s="1167"/>
      <c r="D15" s="1224"/>
      <c r="E15" s="1224"/>
      <c r="F15" s="1224"/>
      <c r="G15" s="1683"/>
      <c r="H15" s="1167"/>
      <c r="I15" s="1167"/>
      <c r="J15" s="1167"/>
      <c r="K15" s="1179"/>
    </row>
    <row r="16" spans="1:13" ht="16">
      <c r="A16" s="1065"/>
      <c r="B16" s="1176"/>
      <c r="C16" s="1174"/>
      <c r="D16" s="1174"/>
      <c r="E16" s="1174"/>
      <c r="F16" s="1174"/>
      <c r="G16" s="1174"/>
      <c r="H16" s="1167"/>
      <c r="I16" s="1167"/>
      <c r="J16" s="1167"/>
      <c r="K16" s="1174"/>
    </row>
    <row r="17" spans="1:12" ht="16">
      <c r="A17" s="1065"/>
      <c r="B17" s="1167"/>
      <c r="C17" s="1681" t="s">
        <v>3589</v>
      </c>
      <c r="D17" s="216"/>
      <c r="E17" s="1179"/>
      <c r="F17" s="1681" t="s">
        <v>3590</v>
      </c>
      <c r="G17" s="216"/>
      <c r="H17" s="1167"/>
      <c r="I17" s="1167"/>
      <c r="J17" s="1167"/>
      <c r="K17" s="1683"/>
    </row>
    <row r="18" spans="1:12" ht="16">
      <c r="A18" s="1065"/>
      <c r="B18" s="1167"/>
      <c r="C18" s="1681" t="s">
        <v>3591</v>
      </c>
      <c r="D18" s="216"/>
      <c r="E18" s="1179"/>
      <c r="F18" s="1681" t="s">
        <v>3592</v>
      </c>
      <c r="G18" s="216"/>
      <c r="H18" s="1167"/>
      <c r="I18" s="1167"/>
      <c r="J18" s="1167"/>
      <c r="K18" s="1179"/>
    </row>
    <row r="19" spans="1:12" ht="16">
      <c r="A19" s="1065"/>
      <c r="B19" s="1167"/>
      <c r="C19" s="1681" t="s">
        <v>3593</v>
      </c>
      <c r="D19" s="216"/>
      <c r="E19" s="1179"/>
      <c r="F19" s="1681" t="s">
        <v>3594</v>
      </c>
      <c r="G19" s="216"/>
      <c r="H19" s="1167"/>
      <c r="I19" s="1167"/>
      <c r="J19" s="1167"/>
      <c r="K19" s="1179"/>
    </row>
    <row r="20" spans="1:12" ht="16">
      <c r="A20" s="1065"/>
      <c r="B20" s="1167"/>
      <c r="C20" s="1681" t="s">
        <v>3595</v>
      </c>
      <c r="D20" s="216"/>
      <c r="E20" s="1179"/>
      <c r="F20" s="1681" t="s">
        <v>3596</v>
      </c>
      <c r="G20" s="216"/>
      <c r="H20" s="1167"/>
      <c r="I20" s="1167"/>
      <c r="J20" s="1167"/>
      <c r="K20" s="1179"/>
      <c r="L20" s="672">
        <f>ROUND(J22,0)*Number_Garages*12</f>
        <v>0</v>
      </c>
    </row>
    <row r="21" spans="1:12" ht="16">
      <c r="A21" s="1065"/>
      <c r="B21" s="1167"/>
      <c r="C21" s="1681"/>
      <c r="D21" s="1681"/>
      <c r="E21" s="1681"/>
      <c r="F21" s="1681"/>
      <c r="G21" s="1681"/>
      <c r="H21" s="1167"/>
      <c r="I21" s="1167"/>
      <c r="J21" s="1167"/>
      <c r="K21" s="1179"/>
      <c r="L21" s="672">
        <f>ROUND(J23,0)*Number_Garages*12</f>
        <v>0</v>
      </c>
    </row>
    <row r="22" spans="1:12" ht="16">
      <c r="A22" s="1065"/>
      <c r="B22" s="1167"/>
      <c r="C22" s="1681" t="s">
        <v>3597</v>
      </c>
      <c r="D22" s="216"/>
      <c r="E22" s="1179"/>
      <c r="F22" s="1681" t="s">
        <v>3598</v>
      </c>
      <c r="G22" s="216"/>
      <c r="H22" s="1167"/>
      <c r="I22" s="1681" t="s">
        <v>3599</v>
      </c>
      <c r="J22" s="1123"/>
      <c r="K22" s="1179"/>
      <c r="L22" s="672">
        <f>ROUND(J24,0)*Number_Garages*12</f>
        <v>0</v>
      </c>
    </row>
    <row r="23" spans="1:12" ht="16">
      <c r="A23" s="1065"/>
      <c r="B23" s="1178"/>
      <c r="C23" s="1681" t="s">
        <v>3600</v>
      </c>
      <c r="D23" s="216"/>
      <c r="E23" s="1179"/>
      <c r="F23" s="1681" t="s">
        <v>3598</v>
      </c>
      <c r="G23" s="216"/>
      <c r="H23" s="1167"/>
      <c r="I23" s="1681" t="s">
        <v>3599</v>
      </c>
      <c r="J23" s="1123"/>
      <c r="K23" s="1190"/>
    </row>
    <row r="24" spans="1:12" ht="16">
      <c r="A24" s="1065"/>
      <c r="B24" s="1167"/>
      <c r="C24" s="1681" t="s">
        <v>3601</v>
      </c>
      <c r="D24" s="216"/>
      <c r="E24" s="1179"/>
      <c r="F24" s="1681" t="s">
        <v>3598</v>
      </c>
      <c r="G24" s="216"/>
      <c r="H24" s="1167"/>
      <c r="I24" s="1681" t="s">
        <v>3599</v>
      </c>
      <c r="J24" s="1123"/>
      <c r="K24" s="1179"/>
    </row>
    <row r="25" spans="1:12" ht="16">
      <c r="A25" s="1065"/>
      <c r="B25" s="1167"/>
      <c r="C25" s="1681"/>
      <c r="D25" s="1681"/>
      <c r="E25" s="1681"/>
      <c r="F25" s="1681"/>
      <c r="G25" s="1681"/>
      <c r="H25" s="1681"/>
      <c r="I25" s="1681"/>
      <c r="J25" s="1681"/>
      <c r="K25" s="1179"/>
    </row>
    <row r="26" spans="1:12" ht="16">
      <c r="A26" s="1065"/>
      <c r="B26" s="1167"/>
      <c r="C26" s="1222" t="s">
        <v>3602</v>
      </c>
      <c r="D26" s="269"/>
      <c r="E26" s="1179"/>
      <c r="F26" s="1179"/>
      <c r="G26" s="1179"/>
      <c r="H26" s="1167"/>
      <c r="I26" s="1681" t="s">
        <v>3603</v>
      </c>
      <c r="J26" s="1124"/>
      <c r="K26" s="1179"/>
    </row>
    <row r="27" spans="1:12" ht="16">
      <c r="A27" s="1065"/>
      <c r="B27" s="1167"/>
      <c r="C27" s="1222" t="s">
        <v>3604</v>
      </c>
      <c r="D27" s="216"/>
      <c r="E27" s="1179"/>
      <c r="F27" s="1179"/>
      <c r="G27" s="1179"/>
      <c r="H27" s="1167"/>
      <c r="I27" s="1681" t="s">
        <v>3603</v>
      </c>
      <c r="J27" s="1123"/>
      <c r="K27" s="1179"/>
    </row>
    <row r="28" spans="1:12" ht="16">
      <c r="A28" s="1065"/>
      <c r="B28" s="1167"/>
      <c r="C28" s="1681"/>
      <c r="D28" s="1179"/>
      <c r="E28" s="1681"/>
      <c r="F28" s="1681"/>
      <c r="G28" s="1681"/>
      <c r="H28" s="1167"/>
      <c r="I28" s="1167"/>
      <c r="J28" s="1167"/>
      <c r="K28" s="1179"/>
    </row>
    <row r="29" spans="1:12" ht="16">
      <c r="A29" s="1065"/>
      <c r="B29" s="1167"/>
      <c r="C29" s="1681"/>
      <c r="D29" s="1179"/>
      <c r="E29" s="1179"/>
      <c r="F29" s="1222" t="s">
        <v>3605</v>
      </c>
      <c r="G29" s="216"/>
      <c r="H29" s="1167"/>
      <c r="I29" s="1680" t="s">
        <v>3606</v>
      </c>
      <c r="J29" s="216"/>
      <c r="K29" s="1179"/>
    </row>
    <row r="30" spans="1:12" ht="16">
      <c r="A30" s="1065"/>
      <c r="B30" s="1167"/>
      <c r="C30" s="1222" t="s">
        <v>3607</v>
      </c>
      <c r="D30" s="216"/>
      <c r="E30" s="1179"/>
      <c r="F30" s="1680" t="s">
        <v>3608</v>
      </c>
      <c r="G30" s="216"/>
      <c r="H30" s="1167"/>
      <c r="I30" s="1222" t="s">
        <v>3609</v>
      </c>
      <c r="J30" s="216"/>
      <c r="K30" s="1179"/>
    </row>
    <row r="31" spans="1:12" ht="16">
      <c r="A31" s="1065"/>
      <c r="B31" s="1178"/>
      <c r="C31" s="1222" t="s">
        <v>3610</v>
      </c>
      <c r="D31" s="216"/>
      <c r="E31" s="1179"/>
      <c r="F31" s="1222" t="s">
        <v>3611</v>
      </c>
      <c r="G31" s="216"/>
      <c r="H31" s="1167"/>
      <c r="I31" s="1225" t="s">
        <v>3612</v>
      </c>
      <c r="J31" s="216"/>
      <c r="K31" s="1179"/>
    </row>
    <row r="32" spans="1:12" ht="16">
      <c r="A32" s="1065"/>
      <c r="B32" s="1167"/>
      <c r="C32" s="1680" t="s">
        <v>3613</v>
      </c>
      <c r="D32" s="216"/>
      <c r="E32" s="1179"/>
      <c r="F32" s="1179"/>
      <c r="G32" s="1179"/>
      <c r="H32" s="1167"/>
      <c r="I32" s="1680" t="s">
        <v>3614</v>
      </c>
      <c r="J32" s="216"/>
      <c r="K32" s="1683"/>
    </row>
    <row r="33" spans="1:13" ht="16">
      <c r="A33" s="1065"/>
      <c r="B33" s="1167"/>
      <c r="C33" s="1680" t="s">
        <v>3615</v>
      </c>
      <c r="D33" s="216"/>
      <c r="E33" s="1179"/>
      <c r="F33" s="1680" t="s">
        <v>3616</v>
      </c>
      <c r="G33" s="216"/>
      <c r="H33" s="1167"/>
      <c r="I33" s="1680" t="s">
        <v>3617</v>
      </c>
      <c r="J33" s="216"/>
      <c r="K33" s="1179"/>
    </row>
    <row r="34" spans="1:13" ht="16">
      <c r="A34" s="1065"/>
      <c r="B34" s="1167"/>
      <c r="C34" s="1680" t="s">
        <v>3618</v>
      </c>
      <c r="D34" s="216"/>
      <c r="E34" s="1179"/>
      <c r="F34" s="1680" t="s">
        <v>3619</v>
      </c>
      <c r="G34" s="216"/>
      <c r="H34" s="1167"/>
      <c r="I34" s="1680" t="s">
        <v>3620</v>
      </c>
      <c r="J34" s="216"/>
      <c r="K34" s="1179"/>
    </row>
    <row r="35" spans="1:13" ht="16">
      <c r="A35" s="1065"/>
      <c r="B35" s="1167"/>
      <c r="C35" s="1680" t="s">
        <v>3621</v>
      </c>
      <c r="D35" s="216"/>
      <c r="E35" s="1179"/>
      <c r="F35" s="1680" t="s">
        <v>3622</v>
      </c>
      <c r="G35" s="216"/>
      <c r="H35" s="1167"/>
      <c r="I35" s="1680" t="s">
        <v>3623</v>
      </c>
      <c r="J35" s="216"/>
      <c r="K35" s="1179"/>
    </row>
    <row r="36" spans="1:13" ht="16">
      <c r="A36" s="1065"/>
      <c r="B36" s="1178"/>
      <c r="C36" s="1680" t="s">
        <v>3624</v>
      </c>
      <c r="D36" s="216"/>
      <c r="E36" s="1179"/>
      <c r="F36" s="1680" t="s">
        <v>3625</v>
      </c>
      <c r="G36" s="216"/>
      <c r="H36" s="1167"/>
      <c r="I36" s="1680" t="s">
        <v>3626</v>
      </c>
      <c r="J36" s="216"/>
      <c r="K36" s="1190"/>
    </row>
    <row r="37" spans="1:13" ht="16">
      <c r="A37" s="1065"/>
      <c r="B37" s="1167"/>
      <c r="C37" s="1680" t="s">
        <v>3627</v>
      </c>
      <c r="D37" s="216"/>
      <c r="E37" s="1179"/>
      <c r="F37" s="1179"/>
      <c r="G37" s="1179"/>
      <c r="H37" s="1167"/>
      <c r="I37" s="1680" t="s">
        <v>3628</v>
      </c>
      <c r="J37" s="216"/>
      <c r="K37" s="1179"/>
    </row>
    <row r="38" spans="1:13" ht="16">
      <c r="A38" s="1065"/>
      <c r="B38" s="1167"/>
      <c r="C38" s="1680"/>
      <c r="D38" s="1680"/>
      <c r="E38" s="1680"/>
      <c r="F38" s="1680"/>
      <c r="G38" s="1680"/>
      <c r="H38" s="1167"/>
      <c r="I38" s="1167"/>
      <c r="J38" s="1167"/>
      <c r="K38" s="1179"/>
      <c r="M38" s="149"/>
    </row>
    <row r="39" spans="1:13" ht="16">
      <c r="A39" s="1065"/>
      <c r="B39" s="1167"/>
      <c r="C39" s="2073" t="s">
        <v>3629</v>
      </c>
      <c r="D39" s="1996"/>
      <c r="E39" s="1997"/>
      <c r="F39" s="1997"/>
      <c r="G39" s="1997"/>
      <c r="H39" s="1997"/>
      <c r="I39" s="1997"/>
      <c r="J39" s="1998"/>
      <c r="K39" s="1179"/>
      <c r="M39" s="149"/>
    </row>
    <row r="40" spans="1:13" ht="16">
      <c r="A40" s="1065"/>
      <c r="B40" s="1167"/>
      <c r="C40" s="2073"/>
      <c r="D40" s="1999"/>
      <c r="E40" s="2000"/>
      <c r="F40" s="2000"/>
      <c r="G40" s="2000"/>
      <c r="H40" s="2000"/>
      <c r="I40" s="2000"/>
      <c r="J40" s="2001"/>
      <c r="K40" s="1179"/>
      <c r="M40" s="149"/>
    </row>
    <row r="41" spans="1:13" ht="16">
      <c r="A41" s="1065"/>
      <c r="B41" s="1167"/>
      <c r="C41" s="1681"/>
      <c r="D41" s="1999"/>
      <c r="E41" s="2000"/>
      <c r="F41" s="2000"/>
      <c r="G41" s="2000"/>
      <c r="H41" s="2000"/>
      <c r="I41" s="2000"/>
      <c r="J41" s="2001"/>
      <c r="K41" s="1179"/>
      <c r="M41" s="149"/>
    </row>
    <row r="42" spans="1:13" ht="16">
      <c r="A42" s="1067"/>
      <c r="B42" s="1167"/>
      <c r="C42" s="1681"/>
      <c r="D42" s="1999"/>
      <c r="E42" s="2000"/>
      <c r="F42" s="2000"/>
      <c r="G42" s="2000"/>
      <c r="H42" s="2000"/>
      <c r="I42" s="2000"/>
      <c r="J42" s="2001"/>
      <c r="K42" s="1179"/>
      <c r="M42" s="149"/>
    </row>
    <row r="43" spans="1:13" ht="16">
      <c r="A43" s="1067"/>
      <c r="B43" s="1167"/>
      <c r="C43" s="1681"/>
      <c r="D43" s="1999"/>
      <c r="E43" s="2000"/>
      <c r="F43" s="2000"/>
      <c r="G43" s="2000"/>
      <c r="H43" s="2000"/>
      <c r="I43" s="2000"/>
      <c r="J43" s="2001"/>
      <c r="K43" s="1179"/>
    </row>
    <row r="44" spans="1:13" ht="16">
      <c r="A44" s="1067"/>
      <c r="B44" s="1167"/>
      <c r="C44" s="1681"/>
      <c r="D44" s="1999"/>
      <c r="E44" s="2000"/>
      <c r="F44" s="2000"/>
      <c r="G44" s="2000"/>
      <c r="H44" s="2000"/>
      <c r="I44" s="2000"/>
      <c r="J44" s="2001"/>
      <c r="K44" s="1179"/>
    </row>
    <row r="45" spans="1:13" ht="16">
      <c r="A45" s="1067"/>
      <c r="B45" s="1167"/>
      <c r="C45" s="1681"/>
      <c r="D45" s="1999"/>
      <c r="E45" s="2000"/>
      <c r="F45" s="2000"/>
      <c r="G45" s="2000"/>
      <c r="H45" s="2000"/>
      <c r="I45" s="2000"/>
      <c r="J45" s="2001"/>
      <c r="K45" s="1683"/>
    </row>
    <row r="46" spans="1:13" ht="16">
      <c r="A46" s="1067"/>
      <c r="B46" s="1167"/>
      <c r="C46" s="1681"/>
      <c r="D46" s="2002"/>
      <c r="E46" s="2003"/>
      <c r="F46" s="2003"/>
      <c r="G46" s="2003"/>
      <c r="H46" s="2003"/>
      <c r="I46" s="2003"/>
      <c r="J46" s="2004"/>
      <c r="K46" s="1179"/>
    </row>
    <row r="47" spans="1:13" ht="16">
      <c r="A47" s="1065"/>
      <c r="B47" s="1167"/>
      <c r="C47" s="1680"/>
      <c r="D47" s="1680"/>
      <c r="E47" s="1179"/>
      <c r="F47" s="1680"/>
      <c r="G47" s="1680"/>
      <c r="H47" s="1167"/>
      <c r="I47" s="1167"/>
      <c r="J47" s="1167"/>
      <c r="K47" s="1179"/>
      <c r="M47" s="149"/>
    </row>
    <row r="48" spans="1:13" ht="15.75" customHeight="1">
      <c r="A48" s="1065"/>
      <c r="B48" s="1167"/>
      <c r="C48" s="2073" t="s">
        <v>3630</v>
      </c>
      <c r="D48" s="1996"/>
      <c r="E48" s="1997"/>
      <c r="F48" s="1997"/>
      <c r="G48" s="1997"/>
      <c r="H48" s="1997"/>
      <c r="I48" s="1997"/>
      <c r="J48" s="1998"/>
      <c r="K48" s="1167"/>
      <c r="M48" s="149"/>
    </row>
    <row r="49" spans="1:13" ht="16">
      <c r="A49" s="1065"/>
      <c r="B49" s="1167"/>
      <c r="C49" s="2073"/>
      <c r="D49" s="1999"/>
      <c r="E49" s="2000"/>
      <c r="F49" s="2000"/>
      <c r="G49" s="2000"/>
      <c r="H49" s="2000"/>
      <c r="I49" s="2000"/>
      <c r="J49" s="2001"/>
      <c r="K49" s="1179"/>
      <c r="M49" s="149"/>
    </row>
    <row r="50" spans="1:13" ht="16">
      <c r="A50" s="1065"/>
      <c r="B50" s="1167"/>
      <c r="C50" s="1681"/>
      <c r="D50" s="1999"/>
      <c r="E50" s="2000"/>
      <c r="F50" s="2000"/>
      <c r="G50" s="2000"/>
      <c r="H50" s="2000"/>
      <c r="I50" s="2000"/>
      <c r="J50" s="2001"/>
      <c r="K50" s="1179"/>
      <c r="M50" s="149"/>
    </row>
    <row r="51" spans="1:13" ht="16">
      <c r="A51" s="3"/>
      <c r="B51" s="1167"/>
      <c r="C51" s="1681"/>
      <c r="D51" s="1999"/>
      <c r="E51" s="2000"/>
      <c r="F51" s="2000"/>
      <c r="G51" s="2000"/>
      <c r="H51" s="2000"/>
      <c r="I51" s="2000"/>
      <c r="J51" s="2001"/>
      <c r="K51" s="1179"/>
      <c r="M51" s="149"/>
    </row>
    <row r="52" spans="1:13" ht="16">
      <c r="A52" s="3"/>
      <c r="B52" s="1167"/>
      <c r="C52" s="1681"/>
      <c r="D52" s="1999"/>
      <c r="E52" s="2000"/>
      <c r="F52" s="2000"/>
      <c r="G52" s="2000"/>
      <c r="H52" s="2000"/>
      <c r="I52" s="2000"/>
      <c r="J52" s="2001"/>
      <c r="K52" s="1179"/>
    </row>
    <row r="53" spans="1:13" ht="16">
      <c r="A53" s="3"/>
      <c r="B53" s="1167"/>
      <c r="C53" s="1681"/>
      <c r="D53" s="1999"/>
      <c r="E53" s="2000"/>
      <c r="F53" s="2000"/>
      <c r="G53" s="2000"/>
      <c r="H53" s="2000"/>
      <c r="I53" s="2000"/>
      <c r="J53" s="2001"/>
      <c r="K53" s="1179"/>
    </row>
    <row r="54" spans="1:13" ht="16">
      <c r="A54" s="3"/>
      <c r="B54" s="1178"/>
      <c r="C54" s="1681"/>
      <c r="D54" s="1999"/>
      <c r="E54" s="2000"/>
      <c r="F54" s="2000"/>
      <c r="G54" s="2000"/>
      <c r="H54" s="2000"/>
      <c r="I54" s="2000"/>
      <c r="J54" s="2001"/>
      <c r="K54" s="1167"/>
    </row>
    <row r="55" spans="1:13" ht="16">
      <c r="A55" s="3"/>
      <c r="B55" s="1167"/>
      <c r="C55" s="1681"/>
      <c r="D55" s="2002"/>
      <c r="E55" s="2003"/>
      <c r="F55" s="2003"/>
      <c r="G55" s="2003"/>
      <c r="H55" s="2003"/>
      <c r="I55" s="2003"/>
      <c r="J55" s="2004"/>
      <c r="K55" s="1167"/>
    </row>
    <row r="56" spans="1:13">
      <c r="A56" s="3"/>
      <c r="B56" s="1167"/>
      <c r="C56" s="1167"/>
      <c r="D56" s="1167"/>
      <c r="E56" s="1167"/>
      <c r="F56" s="1167"/>
      <c r="G56" s="1167"/>
      <c r="H56" s="1167"/>
      <c r="I56" s="1167"/>
      <c r="J56" s="1167"/>
      <c r="K56" s="1167"/>
    </row>
    <row r="57" spans="1:13" ht="19">
      <c r="A57" s="1064"/>
      <c r="B57" s="8" t="s">
        <v>3631</v>
      </c>
    </row>
    <row r="58" spans="1:13">
      <c r="A58" s="3"/>
      <c r="B58" s="1223" t="s">
        <v>3632</v>
      </c>
      <c r="C58" s="1167"/>
      <c r="D58" s="1167"/>
      <c r="E58" s="1167"/>
      <c r="F58" s="1167"/>
      <c r="G58" s="1167"/>
      <c r="H58" s="1167"/>
      <c r="I58" s="1167"/>
      <c r="J58" s="1167"/>
      <c r="K58" s="1167"/>
    </row>
    <row r="59" spans="1:13" ht="16">
      <c r="A59" s="3"/>
      <c r="B59" s="1167"/>
      <c r="C59" s="1680" t="s">
        <v>3633</v>
      </c>
      <c r="D59" s="216"/>
      <c r="E59" s="1179"/>
      <c r="F59" s="1680" t="s">
        <v>3634</v>
      </c>
      <c r="G59" s="216"/>
      <c r="H59" s="1167"/>
      <c r="I59" s="1680" t="s">
        <v>3635</v>
      </c>
      <c r="J59" s="216"/>
      <c r="K59" s="1167"/>
    </row>
    <row r="60" spans="1:13" ht="16">
      <c r="A60" s="3"/>
      <c r="B60" s="1167"/>
      <c r="C60" s="1680" t="s">
        <v>3636</v>
      </c>
      <c r="D60" s="216"/>
      <c r="E60" s="1179"/>
      <c r="F60" s="1680" t="s">
        <v>3637</v>
      </c>
      <c r="G60" s="216"/>
      <c r="H60" s="1167"/>
      <c r="I60" s="1680" t="s">
        <v>3638</v>
      </c>
      <c r="J60" s="216"/>
      <c r="K60" s="1167"/>
    </row>
    <row r="61" spans="1:13" ht="16">
      <c r="A61" s="3"/>
      <c r="B61" s="1167"/>
      <c r="C61" s="1680" t="s">
        <v>3639</v>
      </c>
      <c r="D61" s="216"/>
      <c r="E61" s="1179"/>
      <c r="F61" s="1680" t="s">
        <v>3640</v>
      </c>
      <c r="G61" s="216"/>
      <c r="H61" s="1167"/>
      <c r="I61" s="1680" t="s">
        <v>3641</v>
      </c>
      <c r="J61" s="216"/>
      <c r="K61" s="1167"/>
    </row>
    <row r="62" spans="1:13" ht="16">
      <c r="B62" s="1178"/>
      <c r="C62" s="1680" t="s">
        <v>3642</v>
      </c>
      <c r="D62" s="216"/>
      <c r="E62" s="1179"/>
      <c r="F62" s="1680" t="s">
        <v>3643</v>
      </c>
      <c r="G62" s="216"/>
      <c r="H62" s="1167"/>
      <c r="I62" s="1680" t="s">
        <v>3644</v>
      </c>
      <c r="J62" s="216"/>
      <c r="K62" s="1167"/>
    </row>
    <row r="63" spans="1:13" ht="16">
      <c r="B63" s="1167"/>
      <c r="C63" s="1680" t="s">
        <v>3645</v>
      </c>
      <c r="D63" s="216"/>
      <c r="E63" s="1179"/>
      <c r="F63" s="1680" t="s">
        <v>3646</v>
      </c>
      <c r="G63" s="216"/>
      <c r="H63" s="1167"/>
      <c r="I63" s="1680" t="s">
        <v>3647</v>
      </c>
      <c r="J63" s="216"/>
      <c r="K63" s="1167"/>
    </row>
    <row r="64" spans="1:13" ht="16">
      <c r="A64" s="3"/>
      <c r="B64" s="1167"/>
      <c r="C64" s="1680" t="s">
        <v>3648</v>
      </c>
      <c r="D64" s="216"/>
      <c r="E64" s="1179"/>
      <c r="F64" s="1680" t="s">
        <v>3649</v>
      </c>
      <c r="G64" s="216"/>
      <c r="H64" s="1167"/>
      <c r="I64" s="1167"/>
      <c r="J64" s="1167"/>
      <c r="K64" s="1167"/>
    </row>
    <row r="65" spans="1:11" ht="16">
      <c r="A65" s="3"/>
      <c r="B65" s="1167"/>
      <c r="C65" s="1680"/>
      <c r="D65" s="1179"/>
      <c r="E65" s="1179"/>
      <c r="F65" s="1179"/>
      <c r="G65" s="1179"/>
      <c r="H65" s="1167"/>
      <c r="I65" s="1167"/>
      <c r="J65" s="1167"/>
      <c r="K65" s="1167"/>
    </row>
    <row r="66" spans="1:11" ht="16">
      <c r="A66" s="3"/>
      <c r="B66" s="1223" t="s">
        <v>3650</v>
      </c>
      <c r="C66" s="1680"/>
      <c r="D66" s="1680"/>
      <c r="E66" s="1680"/>
      <c r="F66" s="1680"/>
      <c r="G66" s="1680"/>
      <c r="H66" s="1167"/>
      <c r="I66" s="1167"/>
      <c r="J66" s="1167"/>
      <c r="K66" s="1167"/>
    </row>
    <row r="67" spans="1:11" ht="15" customHeight="1">
      <c r="A67" s="3"/>
      <c r="B67" s="1178"/>
      <c r="C67" s="1680" t="s">
        <v>3651</v>
      </c>
      <c r="D67" s="216"/>
      <c r="E67" s="1179"/>
      <c r="F67" s="1680" t="s">
        <v>3652</v>
      </c>
      <c r="G67" s="269"/>
      <c r="H67" s="1167"/>
      <c r="I67" s="1680" t="s">
        <v>3653</v>
      </c>
      <c r="J67" s="269"/>
      <c r="K67" s="1167"/>
    </row>
    <row r="68" spans="1:11" ht="15" customHeight="1">
      <c r="A68" s="3"/>
      <c r="B68" s="1167"/>
      <c r="C68" s="1680" t="s">
        <v>3654</v>
      </c>
      <c r="D68" s="216"/>
      <c r="E68" s="1179"/>
      <c r="F68" s="1680" t="s">
        <v>3097</v>
      </c>
      <c r="G68" s="2069"/>
      <c r="H68" s="2070"/>
      <c r="I68" s="2070"/>
      <c r="J68" s="2071"/>
      <c r="K68" s="1167"/>
    </row>
    <row r="69" spans="1:11">
      <c r="A69" s="3"/>
      <c r="B69" s="1167"/>
      <c r="C69" s="1167"/>
      <c r="D69" s="1167"/>
      <c r="E69" s="1167"/>
      <c r="F69" s="1167"/>
      <c r="G69" s="1167"/>
      <c r="H69" s="1167"/>
      <c r="I69" s="1167"/>
      <c r="J69" s="1167"/>
      <c r="K69" s="1167"/>
    </row>
    <row r="70" spans="1:11" ht="16">
      <c r="A70" s="3"/>
      <c r="B70" s="1223" t="s">
        <v>3655</v>
      </c>
      <c r="C70" s="1680"/>
      <c r="D70" s="1680"/>
      <c r="E70" s="1680"/>
      <c r="F70" s="1680"/>
      <c r="G70" s="1680"/>
      <c r="H70" s="1167"/>
      <c r="I70" s="1167"/>
      <c r="J70" s="1167"/>
      <c r="K70" s="1167"/>
    </row>
    <row r="71" spans="1:11" ht="16">
      <c r="A71" s="3"/>
      <c r="B71" s="1178"/>
      <c r="C71" s="1680" t="s">
        <v>3656</v>
      </c>
      <c r="D71" s="216"/>
      <c r="E71" s="1179"/>
      <c r="F71" s="1680" t="s">
        <v>3657</v>
      </c>
      <c r="G71" s="216"/>
      <c r="H71" s="1167"/>
      <c r="I71" s="1680" t="s">
        <v>3658</v>
      </c>
      <c r="J71" s="216"/>
      <c r="K71" s="1167"/>
    </row>
    <row r="72" spans="1:11" ht="16">
      <c r="A72" s="3"/>
      <c r="B72" s="1167"/>
      <c r="C72" s="1680" t="s">
        <v>3659</v>
      </c>
      <c r="D72" s="216"/>
      <c r="E72" s="1179"/>
      <c r="F72" s="1680" t="s">
        <v>3660</v>
      </c>
      <c r="G72" s="216"/>
      <c r="H72" s="1167"/>
      <c r="I72" s="1680" t="s">
        <v>3661</v>
      </c>
      <c r="J72" s="216"/>
      <c r="K72" s="1167"/>
    </row>
    <row r="73" spans="1:11" ht="16">
      <c r="A73" s="3"/>
      <c r="B73" s="1167"/>
      <c r="C73" s="1680" t="s">
        <v>3662</v>
      </c>
      <c r="D73" s="216"/>
      <c r="E73" s="1167"/>
      <c r="F73" s="1167"/>
      <c r="G73" s="1167"/>
      <c r="H73" s="1167"/>
      <c r="I73" s="1167"/>
      <c r="J73" s="1167"/>
      <c r="K73" s="1167"/>
    </row>
    <row r="74" spans="1:11">
      <c r="A74" s="3"/>
      <c r="B74" s="1167"/>
      <c r="C74" s="1167"/>
      <c r="D74" s="1167"/>
      <c r="E74" s="1167"/>
      <c r="F74" s="1167"/>
      <c r="G74" s="1167"/>
      <c r="H74" s="1167"/>
      <c r="I74" s="1167"/>
      <c r="J74" s="1167"/>
      <c r="K74" s="1167"/>
    </row>
    <row r="75" spans="1:11">
      <c r="A75" s="3"/>
    </row>
    <row r="76" spans="1:11" ht="19">
      <c r="A76" s="3"/>
      <c r="B76" s="8" t="s">
        <v>3465</v>
      </c>
      <c r="C76" s="17"/>
      <c r="E76" s="1109"/>
      <c r="F76" s="1109"/>
      <c r="G76" s="1109"/>
    </row>
    <row r="77" spans="1:11">
      <c r="A77" s="3"/>
      <c r="B77" s="1167"/>
      <c r="C77" s="1170" t="s">
        <v>3663</v>
      </c>
      <c r="D77" s="1167"/>
      <c r="E77" s="1167"/>
      <c r="F77" s="1167"/>
      <c r="G77" s="1167"/>
      <c r="H77" s="1167"/>
      <c r="I77" s="1167"/>
      <c r="J77" s="1167"/>
      <c r="K77" s="1167"/>
    </row>
    <row r="78" spans="1:11">
      <c r="A78" s="3"/>
      <c r="B78" s="1167"/>
      <c r="C78" s="1981"/>
      <c r="D78" s="1981"/>
      <c r="E78" s="1981"/>
      <c r="F78" s="1981"/>
      <c r="G78" s="1981"/>
      <c r="H78" s="1167"/>
      <c r="I78" s="1167"/>
      <c r="J78" s="1167"/>
      <c r="K78" s="1167"/>
    </row>
    <row r="79" spans="1:11">
      <c r="A79" s="3"/>
      <c r="B79" s="1167"/>
      <c r="C79" s="1981"/>
      <c r="D79" s="1981"/>
      <c r="E79" s="1981"/>
      <c r="F79" s="1981"/>
      <c r="G79" s="1981"/>
      <c r="H79" s="1167"/>
      <c r="I79" s="1167"/>
      <c r="J79" s="1167"/>
      <c r="K79" s="1167"/>
    </row>
    <row r="80" spans="1:11">
      <c r="A80" s="3"/>
      <c r="B80" s="1167"/>
      <c r="C80" s="1981"/>
      <c r="D80" s="1981"/>
      <c r="E80" s="1981"/>
      <c r="F80" s="1981"/>
      <c r="G80" s="1981"/>
      <c r="H80" s="1167"/>
      <c r="I80" s="1167"/>
      <c r="J80" s="1167"/>
      <c r="K80" s="1167"/>
    </row>
    <row r="81" spans="1:11">
      <c r="A81" s="3"/>
      <c r="B81" s="1167"/>
      <c r="C81" s="1981"/>
      <c r="D81" s="1981"/>
      <c r="E81" s="1981"/>
      <c r="F81" s="1981"/>
      <c r="G81" s="1981"/>
      <c r="H81" s="1167"/>
      <c r="I81" s="1167"/>
      <c r="J81" s="1167"/>
      <c r="K81" s="1167"/>
    </row>
    <row r="82" spans="1:11">
      <c r="A82" s="3"/>
      <c r="B82" s="1167"/>
      <c r="C82" s="1981"/>
      <c r="D82" s="1981"/>
      <c r="E82" s="1981"/>
      <c r="F82" s="1981"/>
      <c r="G82" s="1981"/>
      <c r="H82" s="1167"/>
      <c r="I82" s="1167"/>
      <c r="J82" s="1167"/>
      <c r="K82" s="1167"/>
    </row>
    <row r="83" spans="1:11">
      <c r="A83" s="3"/>
      <c r="B83" s="1167"/>
      <c r="C83" s="1981"/>
      <c r="D83" s="1981"/>
      <c r="E83" s="1981"/>
      <c r="F83" s="1981"/>
      <c r="G83" s="1981"/>
      <c r="H83" s="1167"/>
      <c r="I83" s="1167"/>
      <c r="J83" s="1167"/>
      <c r="K83" s="1167"/>
    </row>
    <row r="84" spans="1:11">
      <c r="A84" s="3"/>
      <c r="B84" s="1167"/>
      <c r="C84" s="1981"/>
      <c r="D84" s="1981"/>
      <c r="E84" s="1981"/>
      <c r="F84" s="1981"/>
      <c r="G84" s="1981"/>
      <c r="H84" s="1167"/>
      <c r="I84" s="1167"/>
      <c r="J84" s="1167"/>
      <c r="K84" s="1167"/>
    </row>
    <row r="85" spans="1:11">
      <c r="A85" s="3"/>
      <c r="B85" s="1167"/>
      <c r="C85" s="1981"/>
      <c r="D85" s="1981"/>
      <c r="E85" s="1981"/>
      <c r="F85" s="1981"/>
      <c r="G85" s="1981"/>
      <c r="H85" s="1167"/>
      <c r="I85" s="1167"/>
      <c r="J85" s="1167"/>
      <c r="K85" s="1167"/>
    </row>
    <row r="86" spans="1:11">
      <c r="A86" s="3"/>
      <c r="B86" s="1167"/>
      <c r="C86" s="1167"/>
      <c r="D86" s="1167"/>
      <c r="E86" s="1167"/>
      <c r="F86" s="1167"/>
      <c r="G86" s="1167"/>
      <c r="H86" s="1167"/>
      <c r="I86" s="1167"/>
      <c r="J86" s="1167"/>
      <c r="K86" s="1167"/>
    </row>
    <row r="87" spans="1:11" ht="16">
      <c r="A87" s="3"/>
      <c r="E87" s="203"/>
    </row>
    <row r="88" spans="1:11">
      <c r="A88" s="3"/>
      <c r="B88" s="16" t="s">
        <v>3371</v>
      </c>
      <c r="C88" s="7"/>
      <c r="D88" s="7"/>
      <c r="E88" s="7"/>
      <c r="F88" s="7"/>
      <c r="G88" s="7"/>
      <c r="H88" s="7"/>
      <c r="I88" s="7"/>
      <c r="J88" s="7"/>
      <c r="K88" s="7"/>
    </row>
    <row r="89" spans="1:11" ht="19">
      <c r="A89" s="3"/>
      <c r="B89" s="8" t="s">
        <v>3467</v>
      </c>
      <c r="E89" s="1109"/>
      <c r="F89" s="1109"/>
      <c r="G89" s="1109"/>
      <c r="H89" s="1109"/>
      <c r="I89" s="1109"/>
      <c r="J89" s="1109"/>
    </row>
    <row r="90" spans="1:11">
      <c r="A90" s="3"/>
      <c r="B90" s="1167"/>
      <c r="C90" s="1170"/>
      <c r="D90" s="1167"/>
      <c r="E90" s="1167"/>
      <c r="F90" s="1167"/>
      <c r="G90" s="1167"/>
      <c r="H90" s="1167"/>
      <c r="I90" s="1167"/>
      <c r="J90" s="1167"/>
      <c r="K90" s="1167"/>
    </row>
    <row r="91" spans="1:11">
      <c r="A91" s="3"/>
      <c r="B91" s="1167"/>
      <c r="C91" s="1981"/>
      <c r="D91" s="1981"/>
      <c r="E91" s="1981"/>
      <c r="F91" s="1981"/>
      <c r="G91" s="1981"/>
      <c r="H91" s="1167"/>
      <c r="I91" s="1167"/>
      <c r="J91" s="1167"/>
      <c r="K91" s="1167"/>
    </row>
    <row r="92" spans="1:11">
      <c r="A92" s="3"/>
      <c r="B92" s="1167"/>
      <c r="C92" s="1981"/>
      <c r="D92" s="1981"/>
      <c r="E92" s="1981"/>
      <c r="F92" s="1981"/>
      <c r="G92" s="1981"/>
      <c r="H92" s="1167"/>
      <c r="I92" s="1167"/>
      <c r="J92" s="1167"/>
      <c r="K92" s="1167"/>
    </row>
    <row r="93" spans="1:11">
      <c r="A93" s="3"/>
      <c r="B93" s="1167"/>
      <c r="C93" s="1981"/>
      <c r="D93" s="1981"/>
      <c r="E93" s="1981"/>
      <c r="F93" s="1981"/>
      <c r="G93" s="1981"/>
      <c r="H93" s="1167"/>
      <c r="I93" s="1167"/>
      <c r="J93" s="1167"/>
      <c r="K93" s="1167"/>
    </row>
    <row r="94" spans="1:11">
      <c r="A94" s="3"/>
      <c r="B94" s="1167"/>
      <c r="C94" s="1981"/>
      <c r="D94" s="1981"/>
      <c r="E94" s="1981"/>
      <c r="F94" s="1981"/>
      <c r="G94" s="1981"/>
      <c r="H94" s="1167"/>
      <c r="I94" s="1167"/>
      <c r="J94" s="1167"/>
      <c r="K94" s="1167"/>
    </row>
    <row r="95" spans="1:11">
      <c r="A95" s="3"/>
      <c r="B95" s="1167"/>
      <c r="C95" s="1167"/>
      <c r="D95" s="1167"/>
      <c r="E95" s="1167"/>
      <c r="F95" s="1167"/>
      <c r="G95" s="1167"/>
      <c r="H95" s="1167"/>
      <c r="I95" s="1167"/>
      <c r="J95" s="1167"/>
      <c r="K95" s="1167"/>
    </row>
    <row r="96" spans="1:11" ht="16">
      <c r="A96" s="3"/>
      <c r="C96" s="224"/>
      <c r="D96" s="224"/>
      <c r="E96" s="217"/>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sheetData>
  <sheetProtection algorithmName="SHA-512" hashValue="ZTvI7+XeqyMrmuGwoAZ6CBDtCgO9Jtl/mUOBUXorZxdf8GZ4cuS4S1B/YICubx5M/oRjLBrxjIUU/yPiOs6vCg==" saltValue="1cDHzAaxHz0VJH2OiGwKVg==" spinCount="100000" sheet="1" objects="1" scenarios="1" selectLockedCells="1"/>
  <mergeCells count="9">
    <mergeCell ref="C91:G94"/>
    <mergeCell ref="D7:J14"/>
    <mergeCell ref="D39:J46"/>
    <mergeCell ref="D48:J55"/>
    <mergeCell ref="G68:J68"/>
    <mergeCell ref="C78:G85"/>
    <mergeCell ref="C7:C9"/>
    <mergeCell ref="C39:C40"/>
    <mergeCell ref="C48:C49"/>
  </mergeCells>
  <conditionalFormatting sqref="G17:G20">
    <cfRule type="expression" dxfId="313" priority="2">
      <formula>D17="Yes"</formula>
    </cfRule>
  </conditionalFormatting>
  <conditionalFormatting sqref="G22:G24">
    <cfRule type="expression" dxfId="312" priority="7">
      <formula>D22="Yes"</formula>
    </cfRule>
  </conditionalFormatting>
  <conditionalFormatting sqref="J22:J24 J26:J27">
    <cfRule type="expression" dxfId="311" priority="4">
      <formula>D22="Yes"</formula>
    </cfRule>
  </conditionalFormatting>
  <dataValidations count="3">
    <dataValidation type="list" allowBlank="1" showInputMessage="1" showErrorMessage="1" sqref="D67:D68 G67 D71:D73 J71:J72 J29:J37 D26:D27 J59:J63 G59:G64 D59:D64 J67 G71:G72 D17:D20 D30:D37 D22:D24 G29:G31 G33:G36" xr:uid="{F9629904-33AB-4FF4-A247-C644A12A12F7}">
      <formula1>YesNo</formula1>
    </dataValidation>
    <dataValidation type="custom" allowBlank="1" showInputMessage="1" showErrorMessage="1" sqref="F1 A5:A48 A57" xr:uid="{9DE301F9-7345-4360-918D-D6B6F41FBE7E}">
      <formula1>"&lt;0&gt;0"</formula1>
    </dataValidation>
    <dataValidation type="custom" allowBlank="1" showInputMessage="1" showErrorMessage="1" errorTitle="Numeric Value Error" error="Please enter numeric values only." sqref="G17:G20 G22:G24 J22:J24 J26:J27" xr:uid="{6FDCFBB0-C793-4CBA-877D-946293AB95FA}">
      <formula1>ISNUMBER(G17)</formula1>
    </dataValidation>
  </dataValidations>
  <pageMargins left="0.7" right="0.7" top="0.75" bottom="0.75" header="0.3" footer="0.3"/>
  <pageSetup scale="47" orientation="portrait" r:id="rId1"/>
  <headerFooter>
    <oddHeader>&amp;L&amp;G</oddHeader>
    <oddFooter>&amp;LVersion - 2023.0.01&amp;CWHEDA MULTIFAMILY APPLICATION&amp;R&amp;P of &amp;N</oddFooter>
  </headerFooter>
  <colBreaks count="1" manualBreakCount="1">
    <brk id="11" min="4" max="96"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91E947A3-A640-42DC-89D8-4BCF48D53087}">
          <x14:formula1>
            <xm:f>'Dropdown Lists'!$A$2:$A$3</xm:f>
          </x14:formula1>
          <xm:sqref>E96 K89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1090-2153-4D7F-8281-1908ADC1584A}">
  <sheetPr codeName="Sheet33"/>
  <dimension ref="A2:L64"/>
  <sheetViews>
    <sheetView workbookViewId="0"/>
  </sheetViews>
  <sheetFormatPr baseColWidth="10" defaultColWidth="8.83203125" defaultRowHeight="15"/>
  <cols>
    <col min="1" max="1" width="9.83203125" bestFit="1" customWidth="1"/>
    <col min="2" max="2" width="18.1640625" bestFit="1" customWidth="1"/>
    <col min="3" max="5" width="18.1640625" customWidth="1"/>
    <col min="7" max="7" width="15" customWidth="1"/>
    <col min="8" max="8" width="12.5" customWidth="1"/>
    <col min="10" max="10" width="14.5" bestFit="1" customWidth="1"/>
  </cols>
  <sheetData>
    <row r="2" spans="1:12">
      <c r="F2" t="s">
        <v>3664</v>
      </c>
      <c r="G2" t="s">
        <v>3665</v>
      </c>
      <c r="H2" t="s">
        <v>1690</v>
      </c>
      <c r="I2" t="s">
        <v>1692</v>
      </c>
      <c r="J2" t="s">
        <v>1691</v>
      </c>
    </row>
    <row r="3" spans="1:12" ht="32">
      <c r="A3" t="s">
        <v>3666</v>
      </c>
      <c r="B3" t="s">
        <v>3667</v>
      </c>
      <c r="C3" t="s">
        <v>3668</v>
      </c>
      <c r="D3" t="s">
        <v>3669</v>
      </c>
      <c r="E3" t="s">
        <v>3670</v>
      </c>
      <c r="F3" s="770" t="s">
        <v>3671</v>
      </c>
      <c r="G3" s="770" t="s">
        <v>3665</v>
      </c>
      <c r="H3" s="770" t="s">
        <v>3672</v>
      </c>
      <c r="I3" s="770" t="s">
        <v>3673</v>
      </c>
      <c r="J3" s="770" t="s">
        <v>3674</v>
      </c>
      <c r="K3" s="770" t="s">
        <v>3675</v>
      </c>
    </row>
    <row r="4" spans="1:12">
      <c r="A4">
        <v>0</v>
      </c>
      <c r="B4">
        <v>0</v>
      </c>
      <c r="C4">
        <v>0</v>
      </c>
      <c r="D4">
        <v>0</v>
      </c>
      <c r="E4">
        <v>0</v>
      </c>
      <c r="F4" s="770">
        <v>5</v>
      </c>
      <c r="G4" s="770">
        <v>7</v>
      </c>
      <c r="H4" s="770">
        <v>8</v>
      </c>
      <c r="I4" s="770">
        <v>9</v>
      </c>
      <c r="J4" s="770">
        <v>11</v>
      </c>
      <c r="K4" s="770">
        <v>3</v>
      </c>
      <c r="L4" t="s">
        <v>3676</v>
      </c>
    </row>
    <row r="5" spans="1:12">
      <c r="A5">
        <f>A4+1</f>
        <v>1</v>
      </c>
      <c r="B5">
        <f>COUNT('11. Unit Mix'!E16:E65)</f>
        <v>0</v>
      </c>
      <c r="C5">
        <f>COUNT('11. Unit Mix'!E104:E113)</f>
        <v>0</v>
      </c>
      <c r="D5">
        <f>IF(B5=0,0,IF(A5&lt;=B5,D4+1,0))</f>
        <v>0</v>
      </c>
      <c r="E5">
        <f t="shared" ref="E5:E10" si="0">IF(D5=0,IF(A5&lt;=(B5+C5),E4+1,0), 0)</f>
        <v>0</v>
      </c>
      <c r="F5" s="719" t="str" cm="1">
        <f t="array" aca="1" ref="F5" ca="1">IF($D5&gt;0,INDIRECT(ADDRESS($D5+15,F$4, 1, 1, "11. Unit Mix")), IF($E5&gt;0,INDIRECT(ADDRESS($E5+103,F$4, 1, 1, "11. Unit Mix")), ""))</f>
        <v/>
      </c>
      <c r="G5" s="719" t="str" cm="1">
        <f t="array" aca="1" ref="G5" ca="1">IF($D5&gt;0,INDIRECT(ADDRESS($D5+15,G$4, 1, 1, "11. Unit Mix")), IF($E5&gt;0,INDIRECT(ADDRESS($E5+103,G$4, 1, 1, "11. Unit Mix")), ""))</f>
        <v/>
      </c>
      <c r="H5" s="719" t="str" cm="1">
        <f t="array" aca="1" ref="H5" ca="1">IF($D5&gt;0,INDIRECT(ADDRESS($D5+15,H$4, 1, 1, "11. Unit Mix")), IF($E5&gt;0,INDIRECT(ADDRESS($E5+103,H$4, 1, 1, "11. Unit Mix")), ""))</f>
        <v/>
      </c>
      <c r="I5" s="1080" t="str" cm="1">
        <f t="array" aca="1" ref="I5" ca="1">IF($D5&gt;0,INDIRECT(ADDRESS($D5+15,I$4, 1, 1, "11. Unit Mix")), "")</f>
        <v/>
      </c>
      <c r="J5" s="719" t="str" cm="1">
        <f t="array" aca="1" ref="J5" ca="1">IF($D5&gt;0,INDIRECT(ADDRESS($D5+15,J$4, 1, 1, "11. Unit Mix")), IF($E5&gt;0,INDIRECT(ADDRESS($E5+103,J$4, 1, 1, "11. Unit Mix")), ""))</f>
        <v/>
      </c>
      <c r="K5" s="719" t="str" cm="1">
        <f t="array" aca="1" ref="K5" ca="1">IF($D5&gt;0,INDIRECT(ADDRESS($D5+15,K$4, 1, 1, "11. Unit Mix")), IF($E5&gt;0,INDIRECT(ADDRESS($E5+103,K$4, 1, 1, "11. Unit Mix")), ""))</f>
        <v/>
      </c>
      <c r="L5" t="s">
        <v>3677</v>
      </c>
    </row>
    <row r="6" spans="1:12">
      <c r="A6">
        <f>A5+1</f>
        <v>2</v>
      </c>
      <c r="B6">
        <f>B5</f>
        <v>0</v>
      </c>
      <c r="C6">
        <f>C5</f>
        <v>0</v>
      </c>
      <c r="D6">
        <f>IF(B6=0,0,IF(A6&lt;=B6,D5+1,0))</f>
        <v>0</v>
      </c>
      <c r="E6">
        <f t="shared" si="0"/>
        <v>0</v>
      </c>
      <c r="F6" s="719" t="str" cm="1">
        <f t="array" aca="1" ref="F6" ca="1">IF($D6&gt;0,INDIRECT(ADDRESS($D6+15,F$4, 1, 1, "11. Unit Mix")), IF($E6&gt;0,INDIRECT(ADDRESS($E6+103,F$4, 1, 1, "11. Unit Mix")), ""))</f>
        <v/>
      </c>
      <c r="G6" s="719" t="str" cm="1">
        <f t="array" aca="1" ref="G6" ca="1">IF($D6&gt;0,INDIRECT(ADDRESS($D6+15,G$4, 1, 1, "11. Unit Mix")), IF($E6&gt;0,INDIRECT(ADDRESS($E6+103,G$4, 1, 1, "11. Unit Mix")), ""))</f>
        <v/>
      </c>
      <c r="H6" s="719" t="str" cm="1">
        <f t="array" aca="1" ref="H6" ca="1">IF($D6&gt;0,INDIRECT(ADDRESS($D6+15,H$4, 1, 1, "11. Unit Mix")), IF($E6&gt;0,INDIRECT(ADDRESS($E6+103,H$4, 1, 1, "11. Unit Mix")), ""))</f>
        <v/>
      </c>
      <c r="I6" s="1080" t="str" cm="1">
        <f t="array" aca="1" ref="I6" ca="1">IF($D6&gt;0,INDIRECT(ADDRESS($D6+15,I$4, 1, 1, "11. Unit Mix")), "")</f>
        <v/>
      </c>
      <c r="J6" s="719" t="str" cm="1">
        <f t="array" aca="1" ref="J6" ca="1">IF($D6&gt;0,INDIRECT(ADDRESS($D6+15,J$4, 1, 1, "11. Unit Mix")), IF($E6&gt;0,INDIRECT(ADDRESS($E6+103,J$4, 1, 1, "11. Unit Mix")), ""))</f>
        <v/>
      </c>
      <c r="K6" s="719" t="str" cm="1">
        <f t="array" aca="1" ref="K6" ca="1">IF($D6&gt;0,INDIRECT(ADDRESS($D6+15,K$4, 1, 1, "11. Unit Mix")), IF($E6&gt;0,INDIRECT(ADDRESS($E6+103,K$4, 1, 1, "11. Unit Mix")), ""))</f>
        <v/>
      </c>
    </row>
    <row r="7" spans="1:12">
      <c r="A7">
        <f t="shared" ref="A7:A64" si="1">A6+1</f>
        <v>3</v>
      </c>
      <c r="B7">
        <f t="shared" ref="B7:B64" si="2">B6</f>
        <v>0</v>
      </c>
      <c r="C7">
        <f t="shared" ref="C7:C64" si="3">C6</f>
        <v>0</v>
      </c>
      <c r="D7">
        <f t="shared" ref="D7:D64" si="4">IF(B7=0,0,IF(A7&lt;=B7,D6+1,0))</f>
        <v>0</v>
      </c>
      <c r="E7">
        <f t="shared" si="0"/>
        <v>0</v>
      </c>
      <c r="F7" s="719" t="str" cm="1">
        <f t="array" aca="1" ref="F7" ca="1">IF($D7&gt;0,INDIRECT(ADDRESS($D7+15,F$4, 1, 1, "11. Unit Mix")), IF($E7&gt;0,INDIRECT(ADDRESS($E7+103,F$4, 1, 1, "11. Unit Mix")), ""))</f>
        <v/>
      </c>
      <c r="G7" s="719" t="str" cm="1">
        <f t="array" aca="1" ref="G7" ca="1">IF($D7&gt;0,INDIRECT(ADDRESS($D7+15,G$4, 1, 1, "11. Unit Mix")), IF($E7&gt;0,INDIRECT(ADDRESS($E7+103,G$4, 1, 1, "11. Unit Mix")), ""))</f>
        <v/>
      </c>
      <c r="H7" s="719" t="str" cm="1">
        <f t="array" aca="1" ref="H7" ca="1">IF($D7&gt;0,INDIRECT(ADDRESS($D7+15,H$4, 1, 1, "11. Unit Mix")), IF($E7&gt;0,INDIRECT(ADDRESS($E7+103,H$4, 1, 1, "11. Unit Mix")), ""))</f>
        <v/>
      </c>
      <c r="I7" s="1080" t="str" cm="1">
        <f t="array" aca="1" ref="I7" ca="1">IF($D7&gt;0,INDIRECT(ADDRESS($D7+15,I$4, 1, 1, "11. Unit Mix")), "")</f>
        <v/>
      </c>
      <c r="J7" s="719" t="str" cm="1">
        <f t="array" aca="1" ref="J7" ca="1">IF($D7&gt;0,INDIRECT(ADDRESS($D7+15,J$4, 1, 1, "11. Unit Mix")), IF($E7&gt;0,INDIRECT(ADDRESS($E7+103,J$4, 1, 1, "11. Unit Mix")), ""))</f>
        <v/>
      </c>
      <c r="K7" s="719" t="str" cm="1">
        <f t="array" aca="1" ref="K7" ca="1">IF($D7&gt;0,INDIRECT(ADDRESS($D7+15,K$4, 1, 1, "11. Unit Mix")), IF($E7&gt;0,INDIRECT(ADDRESS($E7+103,K$4, 1, 1, "11. Unit Mix")), ""))</f>
        <v/>
      </c>
    </row>
    <row r="8" spans="1:12">
      <c r="A8">
        <f t="shared" si="1"/>
        <v>4</v>
      </c>
      <c r="B8">
        <f t="shared" si="2"/>
        <v>0</v>
      </c>
      <c r="C8">
        <f t="shared" si="3"/>
        <v>0</v>
      </c>
      <c r="D8">
        <f t="shared" si="4"/>
        <v>0</v>
      </c>
      <c r="E8">
        <f t="shared" si="0"/>
        <v>0</v>
      </c>
      <c r="F8" s="719" t="str" cm="1">
        <f t="array" aca="1" ref="F8" ca="1">IF($D8&gt;0,INDIRECT(ADDRESS($D8+15,F$4, 1, 1, "11. Unit Mix")), IF($E8&gt;0,INDIRECT(ADDRESS($E8+103,F$4, 1, 1, "11. Unit Mix")), ""))</f>
        <v/>
      </c>
      <c r="G8" s="719" t="str" cm="1">
        <f t="array" aca="1" ref="G8" ca="1">IF($D8&gt;0,INDIRECT(ADDRESS($D8+15,G$4, 1, 1, "11. Unit Mix")), IF($E8&gt;0,INDIRECT(ADDRESS($E8+103,G$4, 1, 1, "11. Unit Mix")), ""))</f>
        <v/>
      </c>
      <c r="H8" s="719" t="str" cm="1">
        <f t="array" aca="1" ref="H8" ca="1">IF($D8&gt;0,INDIRECT(ADDRESS($D8+15,H$4, 1, 1, "11. Unit Mix")), IF($E8&gt;0,INDIRECT(ADDRESS($E8+103,H$4, 1, 1, "11. Unit Mix")), ""))</f>
        <v/>
      </c>
      <c r="I8" s="1080" t="str" cm="1">
        <f t="array" aca="1" ref="I8" ca="1">IF($D8&gt;0,INDIRECT(ADDRESS($D8+15,I$4, 1, 1, "11. Unit Mix")), "")</f>
        <v/>
      </c>
      <c r="J8" s="719" t="str" cm="1">
        <f t="array" aca="1" ref="J8" ca="1">IF($D8&gt;0,INDIRECT(ADDRESS($D8+15,J$4, 1, 1, "11. Unit Mix")), IF($E8&gt;0,INDIRECT(ADDRESS($E8+103,J$4, 1, 1, "11. Unit Mix")), ""))</f>
        <v/>
      </c>
      <c r="K8" s="719" t="str" cm="1">
        <f t="array" aca="1" ref="K8" ca="1">IF($D8&gt;0,INDIRECT(ADDRESS($D8+15,K$4, 1, 1, "11. Unit Mix")), IF($E8&gt;0,INDIRECT(ADDRESS($E8+103,K$4, 1, 1, "11. Unit Mix")), ""))</f>
        <v/>
      </c>
    </row>
    <row r="9" spans="1:12">
      <c r="A9">
        <f t="shared" si="1"/>
        <v>5</v>
      </c>
      <c r="B9">
        <f t="shared" si="2"/>
        <v>0</v>
      </c>
      <c r="C9">
        <f t="shared" si="3"/>
        <v>0</v>
      </c>
      <c r="D9">
        <f t="shared" si="4"/>
        <v>0</v>
      </c>
      <c r="E9">
        <f t="shared" si="0"/>
        <v>0</v>
      </c>
      <c r="F9" s="719" t="str" cm="1">
        <f t="array" aca="1" ref="F9" ca="1">IF($D9&gt;0,INDIRECT(ADDRESS($D9+15,F$4, 1, 1, "11. Unit Mix")), IF($E9&gt;0,INDIRECT(ADDRESS($E9+103,F$4, 1, 1, "11. Unit Mix")), ""))</f>
        <v/>
      </c>
      <c r="G9" s="719" t="str" cm="1">
        <f t="array" aca="1" ref="G9" ca="1">IF($D9&gt;0,INDIRECT(ADDRESS($D9+15,G$4, 1, 1, "11. Unit Mix")), IF($E9&gt;0,INDIRECT(ADDRESS($E9+103,G$4, 1, 1, "11. Unit Mix")), ""))</f>
        <v/>
      </c>
      <c r="H9" s="719" t="str" cm="1">
        <f t="array" aca="1" ref="H9" ca="1">IF($D9&gt;0,INDIRECT(ADDRESS($D9+15,H$4, 1, 1, "11. Unit Mix")), IF($E9&gt;0,INDIRECT(ADDRESS($E9+103,H$4, 1, 1, "11. Unit Mix")), ""))</f>
        <v/>
      </c>
      <c r="I9" s="1080" t="str" cm="1">
        <f t="array" aca="1" ref="I9" ca="1">IF($D9&gt;0,INDIRECT(ADDRESS($D9+15,I$4, 1, 1, "11. Unit Mix")), "")</f>
        <v/>
      </c>
      <c r="J9" s="719" t="str" cm="1">
        <f t="array" aca="1" ref="J9" ca="1">IF($D9&gt;0,INDIRECT(ADDRESS($D9+15,J$4, 1, 1, "11. Unit Mix")), IF($E9&gt;0,INDIRECT(ADDRESS($E9+103,J$4, 1, 1, "11. Unit Mix")), ""))</f>
        <v/>
      </c>
      <c r="K9" s="719" t="str" cm="1">
        <f t="array" aca="1" ref="K9" ca="1">IF($D9&gt;0,INDIRECT(ADDRESS($D9+15,K$4, 1, 1, "11. Unit Mix")), IF($E9&gt;0,INDIRECT(ADDRESS($E9+103,K$4, 1, 1, "11. Unit Mix")), ""))</f>
        <v/>
      </c>
    </row>
    <row r="10" spans="1:12">
      <c r="A10">
        <f t="shared" si="1"/>
        <v>6</v>
      </c>
      <c r="B10">
        <f t="shared" si="2"/>
        <v>0</v>
      </c>
      <c r="C10">
        <f t="shared" si="3"/>
        <v>0</v>
      </c>
      <c r="D10">
        <f t="shared" si="4"/>
        <v>0</v>
      </c>
      <c r="E10">
        <f t="shared" si="0"/>
        <v>0</v>
      </c>
      <c r="F10" s="719" t="str" cm="1">
        <f t="array" aca="1" ref="F10" ca="1">IF($D10&gt;0,INDIRECT(ADDRESS($D10+15,F$4, 1, 1, "11. Unit Mix")), IF($E10&gt;0,INDIRECT(ADDRESS($E10+103,F$4, 1, 1, "11. Unit Mix")), ""))</f>
        <v/>
      </c>
      <c r="G10" s="719" t="str" cm="1">
        <f t="array" aca="1" ref="G10" ca="1">IF($D10&gt;0,INDIRECT(ADDRESS($D10+15,G$4, 1, 1, "11. Unit Mix")), IF($E10&gt;0,INDIRECT(ADDRESS($E10+103,G$4, 1, 1, "11. Unit Mix")), ""))</f>
        <v/>
      </c>
      <c r="H10" s="719" t="str" cm="1">
        <f t="array" aca="1" ref="H10" ca="1">IF($D10&gt;0,INDIRECT(ADDRESS($D10+15,H$4, 1, 1, "11. Unit Mix")), IF($E10&gt;0,INDIRECT(ADDRESS($E10+103,H$4, 1, 1, "11. Unit Mix")), ""))</f>
        <v/>
      </c>
      <c r="I10" s="1080" t="str" cm="1">
        <f t="array" aca="1" ref="I10" ca="1">IF($D10&gt;0,INDIRECT(ADDRESS($D10+15,I$4, 1, 1, "11. Unit Mix")), "")</f>
        <v/>
      </c>
      <c r="J10" s="719" t="str" cm="1">
        <f t="array" aca="1" ref="J10" ca="1">IF($D10&gt;0,INDIRECT(ADDRESS($D10+15,J$4, 1, 1, "11. Unit Mix")), IF($E10&gt;0,INDIRECT(ADDRESS($E10+103,J$4, 1, 1, "11. Unit Mix")), ""))</f>
        <v/>
      </c>
      <c r="K10" s="719" t="str" cm="1">
        <f t="array" aca="1" ref="K10" ca="1">IF($D10&gt;0,INDIRECT(ADDRESS($D10+15,K$4, 1, 1, "11. Unit Mix")), IF($E10&gt;0,INDIRECT(ADDRESS($E10+103,K$4, 1, 1, "11. Unit Mix")), ""))</f>
        <v/>
      </c>
    </row>
    <row r="11" spans="1:12">
      <c r="A11">
        <f t="shared" si="1"/>
        <v>7</v>
      </c>
      <c r="B11">
        <f t="shared" si="2"/>
        <v>0</v>
      </c>
      <c r="C11">
        <f t="shared" si="3"/>
        <v>0</v>
      </c>
      <c r="D11">
        <f t="shared" si="4"/>
        <v>0</v>
      </c>
      <c r="E11">
        <f t="shared" ref="E11:E64" si="5">IF(D11=0,IF(A11&lt;=(B11+C11),E10+1,0), 0)</f>
        <v>0</v>
      </c>
      <c r="F11" s="719" t="str" cm="1">
        <f t="array" aca="1" ref="F11" ca="1">IF($D11&gt;0,INDIRECT(ADDRESS($D11+15,F$4, 1, 1, "11. Unit Mix")), IF($E11&gt;0,INDIRECT(ADDRESS($E11+103,F$4, 1, 1, "11. Unit Mix")), ""))</f>
        <v/>
      </c>
      <c r="G11" s="719" t="str" cm="1">
        <f t="array" aca="1" ref="G11" ca="1">IF($D11&gt;0,INDIRECT(ADDRESS($D11+15,G$4, 1, 1, "11. Unit Mix")), IF($E11&gt;0,INDIRECT(ADDRESS($E11+103,G$4, 1, 1, "11. Unit Mix")), ""))</f>
        <v/>
      </c>
      <c r="H11" s="719" t="str" cm="1">
        <f t="array" aca="1" ref="H11" ca="1">IF($D11&gt;0,INDIRECT(ADDRESS($D11+15,H$4, 1, 1, "11. Unit Mix")), IF($E11&gt;0,INDIRECT(ADDRESS($E11+103,H$4, 1, 1, "11. Unit Mix")), ""))</f>
        <v/>
      </c>
      <c r="I11" s="1080" t="str" cm="1">
        <f t="array" aca="1" ref="I11" ca="1">IF($D11&gt;0,INDIRECT(ADDRESS($D11+15,I$4, 1, 1, "11. Unit Mix")), "")</f>
        <v/>
      </c>
      <c r="J11" s="719" t="str" cm="1">
        <f t="array" aca="1" ref="J11" ca="1">IF($D11&gt;0,INDIRECT(ADDRESS($D11+15,J$4, 1, 1, "11. Unit Mix")), IF($E11&gt;0,INDIRECT(ADDRESS($E11+103,J$4, 1, 1, "11. Unit Mix")), ""))</f>
        <v/>
      </c>
      <c r="K11" s="719" t="str" cm="1">
        <f t="array" aca="1" ref="K11" ca="1">IF($D11&gt;0,INDIRECT(ADDRESS($D11+15,K$4, 1, 1, "11. Unit Mix")), IF($E11&gt;0,INDIRECT(ADDRESS($E11+103,K$4, 1, 1, "11. Unit Mix")), ""))</f>
        <v/>
      </c>
    </row>
    <row r="12" spans="1:12">
      <c r="A12">
        <f t="shared" si="1"/>
        <v>8</v>
      </c>
      <c r="B12">
        <f t="shared" si="2"/>
        <v>0</v>
      </c>
      <c r="C12">
        <f t="shared" si="3"/>
        <v>0</v>
      </c>
      <c r="D12">
        <f t="shared" si="4"/>
        <v>0</v>
      </c>
      <c r="E12">
        <f t="shared" si="5"/>
        <v>0</v>
      </c>
      <c r="F12" s="719" t="str" cm="1">
        <f t="array" aca="1" ref="F12" ca="1">IF($D12&gt;0,INDIRECT(ADDRESS($D12+15,F$4, 1, 1, "11. Unit Mix")), IF($E12&gt;0,INDIRECT(ADDRESS($E12+103,F$4, 1, 1, "11. Unit Mix")), ""))</f>
        <v/>
      </c>
      <c r="G12" s="719" t="str" cm="1">
        <f t="array" aca="1" ref="G12" ca="1">IF($D12&gt;0,INDIRECT(ADDRESS($D12+15,G$4, 1, 1, "11. Unit Mix")), IF($E12&gt;0,INDIRECT(ADDRESS($E12+103,G$4, 1, 1, "11. Unit Mix")), ""))</f>
        <v/>
      </c>
      <c r="H12" s="719" t="str" cm="1">
        <f t="array" aca="1" ref="H12" ca="1">IF($D12&gt;0,INDIRECT(ADDRESS($D12+15,H$4, 1, 1, "11. Unit Mix")), IF($E12&gt;0,INDIRECT(ADDRESS($E12+103,H$4, 1, 1, "11. Unit Mix")), ""))</f>
        <v/>
      </c>
      <c r="I12" s="1080" t="str" cm="1">
        <f t="array" aca="1" ref="I12" ca="1">IF($D12&gt;0,INDIRECT(ADDRESS($D12+15,I$4, 1, 1, "11. Unit Mix")), "")</f>
        <v/>
      </c>
      <c r="J12" s="719" t="str" cm="1">
        <f t="array" aca="1" ref="J12" ca="1">IF($D12&gt;0,INDIRECT(ADDRESS($D12+15,J$4, 1, 1, "11. Unit Mix")), IF($E12&gt;0,INDIRECT(ADDRESS($E12+103,J$4, 1, 1, "11. Unit Mix")), ""))</f>
        <v/>
      </c>
      <c r="K12" s="719" t="str" cm="1">
        <f t="array" aca="1" ref="K12" ca="1">IF($D12&gt;0,INDIRECT(ADDRESS($D12+15,K$4, 1, 1, "11. Unit Mix")), IF($E12&gt;0,INDIRECT(ADDRESS($E12+103,K$4, 1, 1, "11. Unit Mix")), ""))</f>
        <v/>
      </c>
    </row>
    <row r="13" spans="1:12">
      <c r="A13">
        <f t="shared" si="1"/>
        <v>9</v>
      </c>
      <c r="B13">
        <f t="shared" si="2"/>
        <v>0</v>
      </c>
      <c r="C13">
        <f t="shared" si="3"/>
        <v>0</v>
      </c>
      <c r="D13">
        <f t="shared" si="4"/>
        <v>0</v>
      </c>
      <c r="E13">
        <f t="shared" si="5"/>
        <v>0</v>
      </c>
      <c r="F13" s="719" t="str" cm="1">
        <f t="array" aca="1" ref="F13" ca="1">IF($D13&gt;0,INDIRECT(ADDRESS($D13+15,F$4, 1, 1, "11. Unit Mix")), IF($E13&gt;0,INDIRECT(ADDRESS($E13+103,F$4, 1, 1, "11. Unit Mix")), ""))</f>
        <v/>
      </c>
      <c r="G13" s="719" t="str" cm="1">
        <f t="array" aca="1" ref="G13" ca="1">IF($D13&gt;0,INDIRECT(ADDRESS($D13+15,G$4, 1, 1, "11. Unit Mix")), IF($E13&gt;0,INDIRECT(ADDRESS($E13+103,G$4, 1, 1, "11. Unit Mix")), ""))</f>
        <v/>
      </c>
      <c r="H13" s="719" t="str" cm="1">
        <f t="array" aca="1" ref="H13" ca="1">IF($D13&gt;0,INDIRECT(ADDRESS($D13+15,H$4, 1, 1, "11. Unit Mix")), IF($E13&gt;0,INDIRECT(ADDRESS($E13+103,H$4, 1, 1, "11. Unit Mix")), ""))</f>
        <v/>
      </c>
      <c r="I13" s="1080" t="str" cm="1">
        <f t="array" aca="1" ref="I13" ca="1">IF($D13&gt;0,INDIRECT(ADDRESS($D13+15,I$4, 1, 1, "11. Unit Mix")), "")</f>
        <v/>
      </c>
      <c r="J13" s="719" t="str" cm="1">
        <f t="array" aca="1" ref="J13" ca="1">IF($D13&gt;0,INDIRECT(ADDRESS($D13+15,J$4, 1, 1, "11. Unit Mix")), IF($E13&gt;0,INDIRECT(ADDRESS($E13+103,J$4, 1, 1, "11. Unit Mix")), ""))</f>
        <v/>
      </c>
      <c r="K13" s="719" t="str" cm="1">
        <f t="array" aca="1" ref="K13" ca="1">IF($D13&gt;0,INDIRECT(ADDRESS($D13+15,K$4, 1, 1, "11. Unit Mix")), IF($E13&gt;0,INDIRECT(ADDRESS($E13+103,K$4, 1, 1, "11. Unit Mix")), ""))</f>
        <v/>
      </c>
    </row>
    <row r="14" spans="1:12">
      <c r="A14">
        <f t="shared" si="1"/>
        <v>10</v>
      </c>
      <c r="B14">
        <f t="shared" si="2"/>
        <v>0</v>
      </c>
      <c r="C14">
        <f t="shared" si="3"/>
        <v>0</v>
      </c>
      <c r="D14">
        <f t="shared" si="4"/>
        <v>0</v>
      </c>
      <c r="E14">
        <f t="shared" si="5"/>
        <v>0</v>
      </c>
      <c r="F14" s="719" t="str" cm="1">
        <f t="array" aca="1" ref="F14" ca="1">IF($D14&gt;0,INDIRECT(ADDRESS($D14+15,F$4, 1, 1, "11. Unit Mix")), IF($E14&gt;0,INDIRECT(ADDRESS($E14+103,F$4, 1, 1, "11. Unit Mix")), ""))</f>
        <v/>
      </c>
      <c r="G14" s="719" t="str" cm="1">
        <f t="array" aca="1" ref="G14" ca="1">IF($D14&gt;0,INDIRECT(ADDRESS($D14+15,G$4, 1, 1, "11. Unit Mix")), IF($E14&gt;0,INDIRECT(ADDRESS($E14+103,G$4, 1, 1, "11. Unit Mix")), ""))</f>
        <v/>
      </c>
      <c r="H14" s="719" t="str" cm="1">
        <f t="array" aca="1" ref="H14" ca="1">IF($D14&gt;0,INDIRECT(ADDRESS($D14+15,H$4, 1, 1, "11. Unit Mix")), IF($E14&gt;0,INDIRECT(ADDRESS($E14+103,H$4, 1, 1, "11. Unit Mix")), ""))</f>
        <v/>
      </c>
      <c r="I14" s="1080" t="str" cm="1">
        <f t="array" aca="1" ref="I14" ca="1">IF($D14&gt;0,INDIRECT(ADDRESS($D14+15,I$4, 1, 1, "11. Unit Mix")), "")</f>
        <v/>
      </c>
      <c r="J14" s="719" t="str" cm="1">
        <f t="array" aca="1" ref="J14" ca="1">IF($D14&gt;0,INDIRECT(ADDRESS($D14+15,J$4, 1, 1, "11. Unit Mix")), IF($E14&gt;0,INDIRECT(ADDRESS($E14+103,J$4, 1, 1, "11. Unit Mix")), ""))</f>
        <v/>
      </c>
      <c r="K14" s="719" t="str" cm="1">
        <f t="array" aca="1" ref="K14" ca="1">IF($D14&gt;0,INDIRECT(ADDRESS($D14+15,K$4, 1, 1, "11. Unit Mix")), IF($E14&gt;0,INDIRECT(ADDRESS($E14+103,K$4, 1, 1, "11. Unit Mix")), ""))</f>
        <v/>
      </c>
    </row>
    <row r="15" spans="1:12">
      <c r="A15">
        <f t="shared" si="1"/>
        <v>11</v>
      </c>
      <c r="B15">
        <f t="shared" si="2"/>
        <v>0</v>
      </c>
      <c r="C15">
        <f t="shared" si="3"/>
        <v>0</v>
      </c>
      <c r="D15">
        <f t="shared" si="4"/>
        <v>0</v>
      </c>
      <c r="E15">
        <f t="shared" si="5"/>
        <v>0</v>
      </c>
      <c r="F15" s="719" t="str" cm="1">
        <f t="array" aca="1" ref="F15" ca="1">IF($D15&gt;0,INDIRECT(ADDRESS($D15+15,F$4, 1, 1, "11. Unit Mix")), IF($E15&gt;0,INDIRECT(ADDRESS($E15+103,F$4, 1, 1, "11. Unit Mix")), ""))</f>
        <v/>
      </c>
      <c r="G15" s="719" t="str" cm="1">
        <f t="array" aca="1" ref="G15" ca="1">IF($D15&gt;0,INDIRECT(ADDRESS($D15+15,G$4, 1, 1, "11. Unit Mix")), IF($E15&gt;0,INDIRECT(ADDRESS($E15+103,G$4, 1, 1, "11. Unit Mix")), ""))</f>
        <v/>
      </c>
      <c r="H15" s="719" t="str" cm="1">
        <f t="array" aca="1" ref="H15" ca="1">IF($D15&gt;0,INDIRECT(ADDRESS($D15+15,H$4, 1, 1, "11. Unit Mix")), IF($E15&gt;0,INDIRECT(ADDRESS($E15+103,H$4, 1, 1, "11. Unit Mix")), ""))</f>
        <v/>
      </c>
      <c r="I15" s="1080" t="str" cm="1">
        <f t="array" aca="1" ref="I15" ca="1">IF($D15&gt;0,INDIRECT(ADDRESS($D15+15,I$4, 1, 1, "11. Unit Mix")), "")</f>
        <v/>
      </c>
      <c r="J15" s="719" t="str" cm="1">
        <f t="array" aca="1" ref="J15" ca="1">IF($D15&gt;0,INDIRECT(ADDRESS($D15+15,J$4, 1, 1, "11. Unit Mix")), IF($E15&gt;0,INDIRECT(ADDRESS($E15+103,J$4, 1, 1, "11. Unit Mix")), ""))</f>
        <v/>
      </c>
      <c r="K15" s="719" t="str" cm="1">
        <f t="array" aca="1" ref="K15" ca="1">IF($D15&gt;0,INDIRECT(ADDRESS($D15+15,K$4, 1, 1, "11. Unit Mix")), IF($E15&gt;0,INDIRECT(ADDRESS($E15+103,K$4, 1, 1, "11. Unit Mix")), ""))</f>
        <v/>
      </c>
    </row>
    <row r="16" spans="1:12">
      <c r="A16">
        <f t="shared" si="1"/>
        <v>12</v>
      </c>
      <c r="B16">
        <f t="shared" si="2"/>
        <v>0</v>
      </c>
      <c r="C16">
        <f t="shared" si="3"/>
        <v>0</v>
      </c>
      <c r="D16">
        <f t="shared" si="4"/>
        <v>0</v>
      </c>
      <c r="E16">
        <f t="shared" si="5"/>
        <v>0</v>
      </c>
      <c r="F16" s="719" t="str" cm="1">
        <f t="array" aca="1" ref="F16" ca="1">IF($D16&gt;0,INDIRECT(ADDRESS($D16+15,F$4, 1, 1, "11. Unit Mix")), IF($E16&gt;0,INDIRECT(ADDRESS($E16+103,F$4, 1, 1, "11. Unit Mix")), ""))</f>
        <v/>
      </c>
      <c r="G16" s="719" t="str" cm="1">
        <f t="array" aca="1" ref="G16" ca="1">IF($D16&gt;0,INDIRECT(ADDRESS($D16+15,G$4, 1, 1, "11. Unit Mix")), IF($E16&gt;0,INDIRECT(ADDRESS($E16+103,G$4, 1, 1, "11. Unit Mix")), ""))</f>
        <v/>
      </c>
      <c r="H16" s="719" t="str" cm="1">
        <f t="array" aca="1" ref="H16" ca="1">IF($D16&gt;0,INDIRECT(ADDRESS($D16+15,H$4, 1, 1, "11. Unit Mix")), IF($E16&gt;0,INDIRECT(ADDRESS($E16+103,H$4, 1, 1, "11. Unit Mix")), ""))</f>
        <v/>
      </c>
      <c r="I16" s="1080" t="str" cm="1">
        <f t="array" aca="1" ref="I16" ca="1">IF($D16&gt;0,INDIRECT(ADDRESS($D16+15,I$4, 1, 1, "11. Unit Mix")), "")</f>
        <v/>
      </c>
      <c r="J16" s="719" t="str" cm="1">
        <f t="array" aca="1" ref="J16" ca="1">IF($D16&gt;0,INDIRECT(ADDRESS($D16+15,J$4, 1, 1, "11. Unit Mix")), IF($E16&gt;0,INDIRECT(ADDRESS($E16+103,J$4, 1, 1, "11. Unit Mix")), ""))</f>
        <v/>
      </c>
      <c r="K16" s="719" t="str" cm="1">
        <f t="array" aca="1" ref="K16" ca="1">IF($D16&gt;0,INDIRECT(ADDRESS($D16+15,K$4, 1, 1, "11. Unit Mix")), IF($E16&gt;0,INDIRECT(ADDRESS($E16+103,K$4, 1, 1, "11. Unit Mix")), ""))</f>
        <v/>
      </c>
    </row>
    <row r="17" spans="1:11">
      <c r="A17">
        <f t="shared" si="1"/>
        <v>13</v>
      </c>
      <c r="B17">
        <f t="shared" si="2"/>
        <v>0</v>
      </c>
      <c r="C17">
        <f t="shared" si="3"/>
        <v>0</v>
      </c>
      <c r="D17">
        <f t="shared" si="4"/>
        <v>0</v>
      </c>
      <c r="E17">
        <f t="shared" si="5"/>
        <v>0</v>
      </c>
      <c r="F17" s="719" t="str" cm="1">
        <f t="array" aca="1" ref="F17" ca="1">IF($D17&gt;0,INDIRECT(ADDRESS($D17+15,F$4, 1, 1, "11. Unit Mix")), IF($E17&gt;0,INDIRECT(ADDRESS($E17+103,F$4, 1, 1, "11. Unit Mix")), ""))</f>
        <v/>
      </c>
      <c r="G17" s="719" t="str" cm="1">
        <f t="array" aca="1" ref="G17" ca="1">IF($D17&gt;0,INDIRECT(ADDRESS($D17+15,G$4, 1, 1, "11. Unit Mix")), IF($E17&gt;0,INDIRECT(ADDRESS($E17+103,G$4, 1, 1, "11. Unit Mix")), ""))</f>
        <v/>
      </c>
      <c r="H17" s="719" t="str" cm="1">
        <f t="array" aca="1" ref="H17" ca="1">IF($D17&gt;0,INDIRECT(ADDRESS($D17+15,H$4, 1, 1, "11. Unit Mix")), IF($E17&gt;0,INDIRECT(ADDRESS($E17+103,H$4, 1, 1, "11. Unit Mix")), ""))</f>
        <v/>
      </c>
      <c r="I17" s="1080" t="str" cm="1">
        <f t="array" aca="1" ref="I17" ca="1">IF($D17&gt;0,INDIRECT(ADDRESS($D17+15,I$4, 1, 1, "11. Unit Mix")), "")</f>
        <v/>
      </c>
      <c r="J17" s="719" t="str" cm="1">
        <f t="array" aca="1" ref="J17" ca="1">IF($D17&gt;0,INDIRECT(ADDRESS($D17+15,J$4, 1, 1, "11. Unit Mix")), IF($E17&gt;0,INDIRECT(ADDRESS($E17+103,J$4, 1, 1, "11. Unit Mix")), ""))</f>
        <v/>
      </c>
      <c r="K17" s="719" t="str" cm="1">
        <f t="array" aca="1" ref="K17" ca="1">IF($D17&gt;0,INDIRECT(ADDRESS($D17+15,K$4, 1, 1, "11. Unit Mix")), IF($E17&gt;0,INDIRECT(ADDRESS($E17+103,K$4, 1, 1, "11. Unit Mix")), ""))</f>
        <v/>
      </c>
    </row>
    <row r="18" spans="1:11">
      <c r="A18">
        <f t="shared" si="1"/>
        <v>14</v>
      </c>
      <c r="B18">
        <f t="shared" si="2"/>
        <v>0</v>
      </c>
      <c r="C18">
        <f t="shared" si="3"/>
        <v>0</v>
      </c>
      <c r="D18">
        <f t="shared" si="4"/>
        <v>0</v>
      </c>
      <c r="E18">
        <f t="shared" si="5"/>
        <v>0</v>
      </c>
      <c r="F18" s="719" t="str" cm="1">
        <f t="array" aca="1" ref="F18" ca="1">IF($D18&gt;0,INDIRECT(ADDRESS($D18+15,F$4, 1, 1, "11. Unit Mix")), IF($E18&gt;0,INDIRECT(ADDRESS($E18+103,F$4, 1, 1, "11. Unit Mix")), ""))</f>
        <v/>
      </c>
      <c r="G18" s="719" t="str" cm="1">
        <f t="array" aca="1" ref="G18" ca="1">IF($D18&gt;0,INDIRECT(ADDRESS($D18+15,G$4, 1, 1, "11. Unit Mix")), IF($E18&gt;0,INDIRECT(ADDRESS($E18+103,G$4, 1, 1, "11. Unit Mix")), ""))</f>
        <v/>
      </c>
      <c r="H18" s="719" t="str" cm="1">
        <f t="array" aca="1" ref="H18" ca="1">IF($D18&gt;0,INDIRECT(ADDRESS($D18+15,H$4, 1, 1, "11. Unit Mix")), IF($E18&gt;0,INDIRECT(ADDRESS($E18+103,H$4, 1, 1, "11. Unit Mix")), ""))</f>
        <v/>
      </c>
      <c r="I18" s="1080" t="str" cm="1">
        <f t="array" aca="1" ref="I18" ca="1">IF($D18&gt;0,INDIRECT(ADDRESS($D18+15,I$4, 1, 1, "11. Unit Mix")), "")</f>
        <v/>
      </c>
      <c r="J18" s="719" t="str" cm="1">
        <f t="array" aca="1" ref="J18" ca="1">IF($D18&gt;0,INDIRECT(ADDRESS($D18+15,J$4, 1, 1, "11. Unit Mix")), IF($E18&gt;0,INDIRECT(ADDRESS($E18+103,J$4, 1, 1, "11. Unit Mix")), ""))</f>
        <v/>
      </c>
      <c r="K18" s="719" t="str" cm="1">
        <f t="array" aca="1" ref="K18" ca="1">IF($D18&gt;0,INDIRECT(ADDRESS($D18+15,K$4, 1, 1, "11. Unit Mix")), IF($E18&gt;0,INDIRECT(ADDRESS($E18+103,K$4, 1, 1, "11. Unit Mix")), ""))</f>
        <v/>
      </c>
    </row>
    <row r="19" spans="1:11">
      <c r="A19">
        <f t="shared" si="1"/>
        <v>15</v>
      </c>
      <c r="B19">
        <f t="shared" si="2"/>
        <v>0</v>
      </c>
      <c r="C19">
        <f t="shared" si="3"/>
        <v>0</v>
      </c>
      <c r="D19">
        <f t="shared" si="4"/>
        <v>0</v>
      </c>
      <c r="E19">
        <f t="shared" si="5"/>
        <v>0</v>
      </c>
      <c r="F19" s="719" t="str" cm="1">
        <f t="array" aca="1" ref="F19" ca="1">IF($D19&gt;0,INDIRECT(ADDRESS($D19+15,F$4, 1, 1, "11. Unit Mix")), IF($E19&gt;0,INDIRECT(ADDRESS($E19+103,F$4, 1, 1, "11. Unit Mix")), ""))</f>
        <v/>
      </c>
      <c r="G19" s="719" t="str" cm="1">
        <f t="array" aca="1" ref="G19" ca="1">IF($D19&gt;0,INDIRECT(ADDRESS($D19+15,G$4, 1, 1, "11. Unit Mix")), IF($E19&gt;0,INDIRECT(ADDRESS($E19+103,G$4, 1, 1, "11. Unit Mix")), ""))</f>
        <v/>
      </c>
      <c r="H19" s="719" t="str" cm="1">
        <f t="array" aca="1" ref="H19" ca="1">IF($D19&gt;0,INDIRECT(ADDRESS($D19+15,H$4, 1, 1, "11. Unit Mix")), IF($E19&gt;0,INDIRECT(ADDRESS($E19+103,H$4, 1, 1, "11. Unit Mix")), ""))</f>
        <v/>
      </c>
      <c r="I19" s="1080" t="str" cm="1">
        <f t="array" aca="1" ref="I19" ca="1">IF($D19&gt;0,INDIRECT(ADDRESS($D19+15,I$4, 1, 1, "11. Unit Mix")), "")</f>
        <v/>
      </c>
      <c r="J19" s="719" t="str" cm="1">
        <f t="array" aca="1" ref="J19" ca="1">IF($D19&gt;0,INDIRECT(ADDRESS($D19+15,J$4, 1, 1, "11. Unit Mix")), IF($E19&gt;0,INDIRECT(ADDRESS($E19+103,J$4, 1, 1, "11. Unit Mix")), ""))</f>
        <v/>
      </c>
      <c r="K19" s="719" t="str" cm="1">
        <f t="array" aca="1" ref="K19" ca="1">IF($D19&gt;0,INDIRECT(ADDRESS($D19+15,K$4, 1, 1, "11. Unit Mix")), IF($E19&gt;0,INDIRECT(ADDRESS($E19+103,K$4, 1, 1, "11. Unit Mix")), ""))</f>
        <v/>
      </c>
    </row>
    <row r="20" spans="1:11">
      <c r="A20">
        <f t="shared" si="1"/>
        <v>16</v>
      </c>
      <c r="B20">
        <f t="shared" si="2"/>
        <v>0</v>
      </c>
      <c r="C20">
        <f t="shared" si="3"/>
        <v>0</v>
      </c>
      <c r="D20">
        <f t="shared" si="4"/>
        <v>0</v>
      </c>
      <c r="E20">
        <f t="shared" si="5"/>
        <v>0</v>
      </c>
      <c r="F20" s="719" t="str" cm="1">
        <f t="array" aca="1" ref="F20" ca="1">IF($D20&gt;0,INDIRECT(ADDRESS($D20+15,F$4, 1, 1, "11. Unit Mix")), IF($E20&gt;0,INDIRECT(ADDRESS($E20+103,F$4, 1, 1, "11. Unit Mix")), ""))</f>
        <v/>
      </c>
      <c r="G20" s="719" t="str" cm="1">
        <f t="array" aca="1" ref="G20" ca="1">IF($D20&gt;0,INDIRECT(ADDRESS($D20+15,G$4, 1, 1, "11. Unit Mix")), IF($E20&gt;0,INDIRECT(ADDRESS($E20+103,G$4, 1, 1, "11. Unit Mix")), ""))</f>
        <v/>
      </c>
      <c r="H20" s="719" t="str" cm="1">
        <f t="array" aca="1" ref="H20" ca="1">IF($D20&gt;0,INDIRECT(ADDRESS($D20+15,H$4, 1, 1, "11. Unit Mix")), IF($E20&gt;0,INDIRECT(ADDRESS($E20+103,H$4, 1, 1, "11. Unit Mix")), ""))</f>
        <v/>
      </c>
      <c r="I20" s="1080" t="str" cm="1">
        <f t="array" aca="1" ref="I20" ca="1">IF($D20&gt;0,INDIRECT(ADDRESS($D20+15,I$4, 1, 1, "11. Unit Mix")), "")</f>
        <v/>
      </c>
      <c r="J20" s="719" t="str" cm="1">
        <f t="array" aca="1" ref="J20" ca="1">IF($D20&gt;0,INDIRECT(ADDRESS($D20+15,J$4, 1, 1, "11. Unit Mix")), IF($E20&gt;0,INDIRECT(ADDRESS($E20+103,J$4, 1, 1, "11. Unit Mix")), ""))</f>
        <v/>
      </c>
      <c r="K20" s="719" t="str" cm="1">
        <f t="array" aca="1" ref="K20" ca="1">IF($D20&gt;0,INDIRECT(ADDRESS($D20+15,K$4, 1, 1, "11. Unit Mix")), IF($E20&gt;0,INDIRECT(ADDRESS($E20+103,K$4, 1, 1, "11. Unit Mix")), ""))</f>
        <v/>
      </c>
    </row>
    <row r="21" spans="1:11">
      <c r="A21">
        <f t="shared" si="1"/>
        <v>17</v>
      </c>
      <c r="B21">
        <f t="shared" si="2"/>
        <v>0</v>
      </c>
      <c r="C21">
        <f t="shared" si="3"/>
        <v>0</v>
      </c>
      <c r="D21">
        <f t="shared" si="4"/>
        <v>0</v>
      </c>
      <c r="E21">
        <f t="shared" si="5"/>
        <v>0</v>
      </c>
      <c r="F21" s="719" t="str" cm="1">
        <f t="array" aca="1" ref="F21" ca="1">IF($D21&gt;0,INDIRECT(ADDRESS($D21+15,F$4, 1, 1, "11. Unit Mix")), IF($E21&gt;0,INDIRECT(ADDRESS($E21+103,F$4, 1, 1, "11. Unit Mix")), ""))</f>
        <v/>
      </c>
      <c r="G21" s="719" t="str" cm="1">
        <f t="array" aca="1" ref="G21" ca="1">IF($D21&gt;0,INDIRECT(ADDRESS($D21+15,G$4, 1, 1, "11. Unit Mix")), IF($E21&gt;0,INDIRECT(ADDRESS($E21+103,G$4, 1, 1, "11. Unit Mix")), ""))</f>
        <v/>
      </c>
      <c r="H21" s="719" t="str" cm="1">
        <f t="array" aca="1" ref="H21" ca="1">IF($D21&gt;0,INDIRECT(ADDRESS($D21+15,H$4, 1, 1, "11. Unit Mix")), IF($E21&gt;0,INDIRECT(ADDRESS($E21+103,H$4, 1, 1, "11. Unit Mix")), ""))</f>
        <v/>
      </c>
      <c r="I21" s="1080" t="str" cm="1">
        <f t="array" aca="1" ref="I21" ca="1">IF($D21&gt;0,INDIRECT(ADDRESS($D21+15,I$4, 1, 1, "11. Unit Mix")), "")</f>
        <v/>
      </c>
      <c r="J21" s="719" t="str" cm="1">
        <f t="array" aca="1" ref="J21" ca="1">IF($D21&gt;0,INDIRECT(ADDRESS($D21+15,J$4, 1, 1, "11. Unit Mix")), IF($E21&gt;0,INDIRECT(ADDRESS($E21+103,J$4, 1, 1, "11. Unit Mix")), ""))</f>
        <v/>
      </c>
      <c r="K21" s="719" t="str" cm="1">
        <f t="array" aca="1" ref="K21" ca="1">IF($D21&gt;0,INDIRECT(ADDRESS($D21+15,K$4, 1, 1, "11. Unit Mix")), IF($E21&gt;0,INDIRECT(ADDRESS($E21+103,K$4, 1, 1, "11. Unit Mix")), ""))</f>
        <v/>
      </c>
    </row>
    <row r="22" spans="1:11">
      <c r="A22">
        <f t="shared" si="1"/>
        <v>18</v>
      </c>
      <c r="B22">
        <f t="shared" si="2"/>
        <v>0</v>
      </c>
      <c r="C22">
        <f t="shared" si="3"/>
        <v>0</v>
      </c>
      <c r="D22">
        <f t="shared" si="4"/>
        <v>0</v>
      </c>
      <c r="E22">
        <f t="shared" si="5"/>
        <v>0</v>
      </c>
      <c r="F22" s="719" t="str" cm="1">
        <f t="array" aca="1" ref="F22" ca="1">IF($D22&gt;0,INDIRECT(ADDRESS($D22+15,F$4, 1, 1, "11. Unit Mix")), IF($E22&gt;0,INDIRECT(ADDRESS($E22+103,F$4, 1, 1, "11. Unit Mix")), ""))</f>
        <v/>
      </c>
      <c r="G22" s="719" t="str" cm="1">
        <f t="array" aca="1" ref="G22" ca="1">IF($D22&gt;0,INDIRECT(ADDRESS($D22+15,G$4, 1, 1, "11. Unit Mix")), IF($E22&gt;0,INDIRECT(ADDRESS($E22+103,G$4, 1, 1, "11. Unit Mix")), ""))</f>
        <v/>
      </c>
      <c r="H22" s="719" t="str" cm="1">
        <f t="array" aca="1" ref="H22" ca="1">IF($D22&gt;0,INDIRECT(ADDRESS($D22+15,H$4, 1, 1, "11. Unit Mix")), IF($E22&gt;0,INDIRECT(ADDRESS($E22+103,H$4, 1, 1, "11. Unit Mix")), ""))</f>
        <v/>
      </c>
      <c r="I22" s="1080" t="str" cm="1">
        <f t="array" aca="1" ref="I22" ca="1">IF($D22&gt;0,INDIRECT(ADDRESS($D22+15,I$4, 1, 1, "11. Unit Mix")), "")</f>
        <v/>
      </c>
      <c r="J22" s="719" t="str" cm="1">
        <f t="array" aca="1" ref="J22" ca="1">IF($D22&gt;0,INDIRECT(ADDRESS($D22+15,J$4, 1, 1, "11. Unit Mix")), IF($E22&gt;0,INDIRECT(ADDRESS($E22+103,J$4, 1, 1, "11. Unit Mix")), ""))</f>
        <v/>
      </c>
      <c r="K22" s="719" t="str" cm="1">
        <f t="array" aca="1" ref="K22" ca="1">IF($D22&gt;0,INDIRECT(ADDRESS($D22+15,K$4, 1, 1, "11. Unit Mix")), IF($E22&gt;0,INDIRECT(ADDRESS($E22+103,K$4, 1, 1, "11. Unit Mix")), ""))</f>
        <v/>
      </c>
    </row>
    <row r="23" spans="1:11">
      <c r="A23">
        <f t="shared" si="1"/>
        <v>19</v>
      </c>
      <c r="B23">
        <f t="shared" si="2"/>
        <v>0</v>
      </c>
      <c r="C23">
        <f t="shared" si="3"/>
        <v>0</v>
      </c>
      <c r="D23">
        <f t="shared" si="4"/>
        <v>0</v>
      </c>
      <c r="E23">
        <f t="shared" si="5"/>
        <v>0</v>
      </c>
      <c r="F23" s="719" t="str" cm="1">
        <f t="array" aca="1" ref="F23" ca="1">IF($D23&gt;0,INDIRECT(ADDRESS($D23+15,F$4, 1, 1, "11. Unit Mix")), IF($E23&gt;0,INDIRECT(ADDRESS($E23+103,F$4, 1, 1, "11. Unit Mix")), ""))</f>
        <v/>
      </c>
      <c r="G23" s="719" t="str" cm="1">
        <f t="array" aca="1" ref="G23" ca="1">IF($D23&gt;0,INDIRECT(ADDRESS($D23+15,G$4, 1, 1, "11. Unit Mix")), IF($E23&gt;0,INDIRECT(ADDRESS($E23+103,G$4, 1, 1, "11. Unit Mix")), ""))</f>
        <v/>
      </c>
      <c r="H23" s="719" t="str" cm="1">
        <f t="array" aca="1" ref="H23" ca="1">IF($D23&gt;0,INDIRECT(ADDRESS($D23+15,H$4, 1, 1, "11. Unit Mix")), IF($E23&gt;0,INDIRECT(ADDRESS($E23+103,H$4, 1, 1, "11. Unit Mix")), ""))</f>
        <v/>
      </c>
      <c r="I23" s="1080" t="str" cm="1">
        <f t="array" aca="1" ref="I23" ca="1">IF($D23&gt;0,INDIRECT(ADDRESS($D23+15,I$4, 1, 1, "11. Unit Mix")), "")</f>
        <v/>
      </c>
      <c r="J23" s="719" t="str" cm="1">
        <f t="array" aca="1" ref="J23" ca="1">IF($D23&gt;0,INDIRECT(ADDRESS($D23+15,J$4, 1, 1, "11. Unit Mix")), IF($E23&gt;0,INDIRECT(ADDRESS($E23+103,J$4, 1, 1, "11. Unit Mix")), ""))</f>
        <v/>
      </c>
      <c r="K23" s="719" t="str" cm="1">
        <f t="array" aca="1" ref="K23" ca="1">IF($D23&gt;0,INDIRECT(ADDRESS($D23+15,K$4, 1, 1, "11. Unit Mix")), IF($E23&gt;0,INDIRECT(ADDRESS($E23+103,K$4, 1, 1, "11. Unit Mix")), ""))</f>
        <v/>
      </c>
    </row>
    <row r="24" spans="1:11">
      <c r="A24">
        <f t="shared" si="1"/>
        <v>20</v>
      </c>
      <c r="B24">
        <f t="shared" si="2"/>
        <v>0</v>
      </c>
      <c r="C24">
        <f t="shared" si="3"/>
        <v>0</v>
      </c>
      <c r="D24">
        <f t="shared" si="4"/>
        <v>0</v>
      </c>
      <c r="E24">
        <f t="shared" si="5"/>
        <v>0</v>
      </c>
      <c r="F24" s="719" t="str" cm="1">
        <f t="array" aca="1" ref="F24" ca="1">IF($D24&gt;0,INDIRECT(ADDRESS($D24+15,F$4, 1, 1, "11. Unit Mix")), IF($E24&gt;0,INDIRECT(ADDRESS($E24+103,F$4, 1, 1, "11. Unit Mix")), ""))</f>
        <v/>
      </c>
      <c r="G24" s="719" t="str" cm="1">
        <f t="array" aca="1" ref="G24" ca="1">IF($D24&gt;0,INDIRECT(ADDRESS($D24+15,G$4, 1, 1, "11. Unit Mix")), IF($E24&gt;0,INDIRECT(ADDRESS($E24+103,G$4, 1, 1, "11. Unit Mix")), ""))</f>
        <v/>
      </c>
      <c r="H24" s="719" t="str" cm="1">
        <f t="array" aca="1" ref="H24" ca="1">IF($D24&gt;0,INDIRECT(ADDRESS($D24+15,H$4, 1, 1, "11. Unit Mix")), IF($E24&gt;0,INDIRECT(ADDRESS($E24+103,H$4, 1, 1, "11. Unit Mix")), ""))</f>
        <v/>
      </c>
      <c r="I24" s="1080" t="str" cm="1">
        <f t="array" aca="1" ref="I24" ca="1">IF($D24&gt;0,INDIRECT(ADDRESS($D24+15,I$4, 1, 1, "11. Unit Mix")), "")</f>
        <v/>
      </c>
      <c r="J24" s="719" t="str" cm="1">
        <f t="array" aca="1" ref="J24" ca="1">IF($D24&gt;0,INDIRECT(ADDRESS($D24+15,J$4, 1, 1, "11. Unit Mix")), IF($E24&gt;0,INDIRECT(ADDRESS($E24+103,J$4, 1, 1, "11. Unit Mix")), ""))</f>
        <v/>
      </c>
      <c r="K24" s="719" t="str" cm="1">
        <f t="array" aca="1" ref="K24" ca="1">IF($D24&gt;0,INDIRECT(ADDRESS($D24+15,K$4, 1, 1, "11. Unit Mix")), IF($E24&gt;0,INDIRECT(ADDRESS($E24+103,K$4, 1, 1, "11. Unit Mix")), ""))</f>
        <v/>
      </c>
    </row>
    <row r="25" spans="1:11">
      <c r="A25">
        <f t="shared" si="1"/>
        <v>21</v>
      </c>
      <c r="B25">
        <f t="shared" si="2"/>
        <v>0</v>
      </c>
      <c r="C25">
        <f t="shared" si="3"/>
        <v>0</v>
      </c>
      <c r="D25">
        <f t="shared" si="4"/>
        <v>0</v>
      </c>
      <c r="E25">
        <f t="shared" si="5"/>
        <v>0</v>
      </c>
      <c r="F25" s="719" t="str" cm="1">
        <f t="array" aca="1" ref="F25" ca="1">IF($D25&gt;0,INDIRECT(ADDRESS($D25+15,F$4, 1, 1, "11. Unit Mix")), IF($E25&gt;0,INDIRECT(ADDRESS($E25+103,F$4, 1, 1, "11. Unit Mix")), ""))</f>
        <v/>
      </c>
      <c r="G25" s="719" t="str" cm="1">
        <f t="array" aca="1" ref="G25" ca="1">IF($D25&gt;0,INDIRECT(ADDRESS($D25+15,G$4, 1, 1, "11. Unit Mix")), IF($E25&gt;0,INDIRECT(ADDRESS($E25+103,G$4, 1, 1, "11. Unit Mix")), ""))</f>
        <v/>
      </c>
      <c r="H25" s="719" t="str" cm="1">
        <f t="array" aca="1" ref="H25" ca="1">IF($D25&gt;0,INDIRECT(ADDRESS($D25+15,H$4, 1, 1, "11. Unit Mix")), IF($E25&gt;0,INDIRECT(ADDRESS($E25+103,H$4, 1, 1, "11. Unit Mix")), ""))</f>
        <v/>
      </c>
      <c r="I25" s="1080" t="str" cm="1">
        <f t="array" aca="1" ref="I25" ca="1">IF($D25&gt;0,INDIRECT(ADDRESS($D25+15,I$4, 1, 1, "11. Unit Mix")), "")</f>
        <v/>
      </c>
      <c r="J25" s="719" t="str" cm="1">
        <f t="array" aca="1" ref="J25" ca="1">IF($D25&gt;0,INDIRECT(ADDRESS($D25+15,J$4, 1, 1, "11. Unit Mix")), IF($E25&gt;0,INDIRECT(ADDRESS($E25+103,J$4, 1, 1, "11. Unit Mix")), ""))</f>
        <v/>
      </c>
      <c r="K25" s="719" t="str" cm="1">
        <f t="array" aca="1" ref="K25" ca="1">IF($D25&gt;0,INDIRECT(ADDRESS($D25+15,K$4, 1, 1, "11. Unit Mix")), IF($E25&gt;0,INDIRECT(ADDRESS($E25+103,K$4, 1, 1, "11. Unit Mix")), ""))</f>
        <v/>
      </c>
    </row>
    <row r="26" spans="1:11">
      <c r="A26">
        <f t="shared" si="1"/>
        <v>22</v>
      </c>
      <c r="B26">
        <f t="shared" si="2"/>
        <v>0</v>
      </c>
      <c r="C26">
        <f t="shared" si="3"/>
        <v>0</v>
      </c>
      <c r="D26">
        <f t="shared" si="4"/>
        <v>0</v>
      </c>
      <c r="E26">
        <f t="shared" si="5"/>
        <v>0</v>
      </c>
      <c r="F26" s="719" t="str" cm="1">
        <f t="array" aca="1" ref="F26" ca="1">IF($D26&gt;0,INDIRECT(ADDRESS($D26+15,F$4, 1, 1, "11. Unit Mix")), IF($E26&gt;0,INDIRECT(ADDRESS($E26+103,F$4, 1, 1, "11. Unit Mix")), ""))</f>
        <v/>
      </c>
      <c r="G26" s="719" t="str" cm="1">
        <f t="array" aca="1" ref="G26" ca="1">IF($D26&gt;0,INDIRECT(ADDRESS($D26+15,G$4, 1, 1, "11. Unit Mix")), IF($E26&gt;0,INDIRECT(ADDRESS($E26+103,G$4, 1, 1, "11. Unit Mix")), ""))</f>
        <v/>
      </c>
      <c r="H26" s="719" t="str" cm="1">
        <f t="array" aca="1" ref="H26" ca="1">IF($D26&gt;0,INDIRECT(ADDRESS($D26+15,H$4, 1, 1, "11. Unit Mix")), IF($E26&gt;0,INDIRECT(ADDRESS($E26+103,H$4, 1, 1, "11. Unit Mix")), ""))</f>
        <v/>
      </c>
      <c r="I26" s="1080" t="str" cm="1">
        <f t="array" aca="1" ref="I26" ca="1">IF($D26&gt;0,INDIRECT(ADDRESS($D26+15,I$4, 1, 1, "11. Unit Mix")), "")</f>
        <v/>
      </c>
      <c r="J26" s="719" t="str" cm="1">
        <f t="array" aca="1" ref="J26" ca="1">IF($D26&gt;0,INDIRECT(ADDRESS($D26+15,J$4, 1, 1, "11. Unit Mix")), IF($E26&gt;0,INDIRECT(ADDRESS($E26+103,J$4, 1, 1, "11. Unit Mix")), ""))</f>
        <v/>
      </c>
      <c r="K26" s="719" t="str" cm="1">
        <f t="array" aca="1" ref="K26" ca="1">IF($D26&gt;0,INDIRECT(ADDRESS($D26+15,K$4, 1, 1, "11. Unit Mix")), IF($E26&gt;0,INDIRECT(ADDRESS($E26+103,K$4, 1, 1, "11. Unit Mix")), ""))</f>
        <v/>
      </c>
    </row>
    <row r="27" spans="1:11">
      <c r="A27">
        <f t="shared" si="1"/>
        <v>23</v>
      </c>
      <c r="B27">
        <f t="shared" si="2"/>
        <v>0</v>
      </c>
      <c r="C27">
        <f t="shared" si="3"/>
        <v>0</v>
      </c>
      <c r="D27">
        <f t="shared" si="4"/>
        <v>0</v>
      </c>
      <c r="E27">
        <f t="shared" si="5"/>
        <v>0</v>
      </c>
      <c r="F27" s="719" t="str" cm="1">
        <f t="array" aca="1" ref="F27" ca="1">IF($D27&gt;0,INDIRECT(ADDRESS($D27+15,F$4, 1, 1, "11. Unit Mix")), IF($E27&gt;0,INDIRECT(ADDRESS($E27+103,F$4, 1, 1, "11. Unit Mix")), ""))</f>
        <v/>
      </c>
      <c r="G27" s="719" t="str" cm="1">
        <f t="array" aca="1" ref="G27" ca="1">IF($D27&gt;0,INDIRECT(ADDRESS($D27+15,G$4, 1, 1, "11. Unit Mix")), IF($E27&gt;0,INDIRECT(ADDRESS($E27+103,G$4, 1, 1, "11. Unit Mix")), ""))</f>
        <v/>
      </c>
      <c r="H27" s="719" t="str" cm="1">
        <f t="array" aca="1" ref="H27" ca="1">IF($D27&gt;0,INDIRECT(ADDRESS($D27+15,H$4, 1, 1, "11. Unit Mix")), IF($E27&gt;0,INDIRECT(ADDRESS($E27+103,H$4, 1, 1, "11. Unit Mix")), ""))</f>
        <v/>
      </c>
      <c r="I27" s="1080" t="str" cm="1">
        <f t="array" aca="1" ref="I27" ca="1">IF($D27&gt;0,INDIRECT(ADDRESS($D27+15,I$4, 1, 1, "11. Unit Mix")), "")</f>
        <v/>
      </c>
      <c r="J27" s="719" t="str" cm="1">
        <f t="array" aca="1" ref="J27" ca="1">IF($D27&gt;0,INDIRECT(ADDRESS($D27+15,J$4, 1, 1, "11. Unit Mix")), IF($E27&gt;0,INDIRECT(ADDRESS($E27+103,J$4, 1, 1, "11. Unit Mix")), ""))</f>
        <v/>
      </c>
      <c r="K27" s="719" t="str" cm="1">
        <f t="array" aca="1" ref="K27" ca="1">IF($D27&gt;0,INDIRECT(ADDRESS($D27+15,K$4, 1, 1, "11. Unit Mix")), IF($E27&gt;0,INDIRECT(ADDRESS($E27+103,K$4, 1, 1, "11. Unit Mix")), ""))</f>
        <v/>
      </c>
    </row>
    <row r="28" spans="1:11">
      <c r="A28">
        <f t="shared" si="1"/>
        <v>24</v>
      </c>
      <c r="B28">
        <f t="shared" si="2"/>
        <v>0</v>
      </c>
      <c r="C28">
        <f t="shared" si="3"/>
        <v>0</v>
      </c>
      <c r="D28">
        <f t="shared" si="4"/>
        <v>0</v>
      </c>
      <c r="E28">
        <f t="shared" si="5"/>
        <v>0</v>
      </c>
      <c r="F28" s="719" t="str" cm="1">
        <f t="array" aca="1" ref="F28" ca="1">IF($D28&gt;0,INDIRECT(ADDRESS($D28+15,F$4, 1, 1, "11. Unit Mix")), IF($E28&gt;0,INDIRECT(ADDRESS($E28+103,F$4, 1, 1, "11. Unit Mix")), ""))</f>
        <v/>
      </c>
      <c r="G28" s="719" t="str" cm="1">
        <f t="array" aca="1" ref="G28" ca="1">IF($D28&gt;0,INDIRECT(ADDRESS($D28+15,G$4, 1, 1, "11. Unit Mix")), IF($E28&gt;0,INDIRECT(ADDRESS($E28+103,G$4, 1, 1, "11. Unit Mix")), ""))</f>
        <v/>
      </c>
      <c r="H28" s="719" t="str" cm="1">
        <f t="array" aca="1" ref="H28" ca="1">IF($D28&gt;0,INDIRECT(ADDRESS($D28+15,H$4, 1, 1, "11. Unit Mix")), IF($E28&gt;0,INDIRECT(ADDRESS($E28+103,H$4, 1, 1, "11. Unit Mix")), ""))</f>
        <v/>
      </c>
      <c r="I28" s="1080" t="str" cm="1">
        <f t="array" aca="1" ref="I28" ca="1">IF($D28&gt;0,INDIRECT(ADDRESS($D28+15,I$4, 1, 1, "11. Unit Mix")), "")</f>
        <v/>
      </c>
      <c r="J28" s="719" t="str" cm="1">
        <f t="array" aca="1" ref="J28" ca="1">IF($D28&gt;0,INDIRECT(ADDRESS($D28+15,J$4, 1, 1, "11. Unit Mix")), IF($E28&gt;0,INDIRECT(ADDRESS($E28+103,J$4, 1, 1, "11. Unit Mix")), ""))</f>
        <v/>
      </c>
      <c r="K28" s="719" t="str" cm="1">
        <f t="array" aca="1" ref="K28" ca="1">IF($D28&gt;0,INDIRECT(ADDRESS($D28+15,K$4, 1, 1, "11. Unit Mix")), IF($E28&gt;0,INDIRECT(ADDRESS($E28+103,K$4, 1, 1, "11. Unit Mix")), ""))</f>
        <v/>
      </c>
    </row>
    <row r="29" spans="1:11">
      <c r="A29">
        <f t="shared" si="1"/>
        <v>25</v>
      </c>
      <c r="B29">
        <f t="shared" si="2"/>
        <v>0</v>
      </c>
      <c r="C29">
        <f t="shared" si="3"/>
        <v>0</v>
      </c>
      <c r="D29">
        <f t="shared" si="4"/>
        <v>0</v>
      </c>
      <c r="E29">
        <f t="shared" si="5"/>
        <v>0</v>
      </c>
      <c r="F29" s="719" t="str" cm="1">
        <f t="array" aca="1" ref="F29" ca="1">IF($D29&gt;0,INDIRECT(ADDRESS($D29+15,F$4, 1, 1, "11. Unit Mix")), IF($E29&gt;0,INDIRECT(ADDRESS($E29+103,F$4, 1, 1, "11. Unit Mix")), ""))</f>
        <v/>
      </c>
      <c r="G29" s="719" t="str" cm="1">
        <f t="array" aca="1" ref="G29" ca="1">IF($D29&gt;0,INDIRECT(ADDRESS($D29+15,G$4, 1, 1, "11. Unit Mix")), IF($E29&gt;0,INDIRECT(ADDRESS($E29+103,G$4, 1, 1, "11. Unit Mix")), ""))</f>
        <v/>
      </c>
      <c r="H29" s="719" t="str" cm="1">
        <f t="array" aca="1" ref="H29" ca="1">IF($D29&gt;0,INDIRECT(ADDRESS($D29+15,H$4, 1, 1, "11. Unit Mix")), IF($E29&gt;0,INDIRECT(ADDRESS($E29+103,H$4, 1, 1, "11. Unit Mix")), ""))</f>
        <v/>
      </c>
      <c r="I29" s="1080" t="str" cm="1">
        <f t="array" aca="1" ref="I29" ca="1">IF($D29&gt;0,INDIRECT(ADDRESS($D29+15,I$4, 1, 1, "11. Unit Mix")), "")</f>
        <v/>
      </c>
      <c r="J29" s="719" t="str" cm="1">
        <f t="array" aca="1" ref="J29" ca="1">IF($D29&gt;0,INDIRECT(ADDRESS($D29+15,J$4, 1, 1, "11. Unit Mix")), IF($E29&gt;0,INDIRECT(ADDRESS($E29+103,J$4, 1, 1, "11. Unit Mix")), ""))</f>
        <v/>
      </c>
      <c r="K29" s="719" t="str" cm="1">
        <f t="array" aca="1" ref="K29" ca="1">IF($D29&gt;0,INDIRECT(ADDRESS($D29+15,K$4, 1, 1, "11. Unit Mix")), IF($E29&gt;0,INDIRECT(ADDRESS($E29+103,K$4, 1, 1, "11. Unit Mix")), ""))</f>
        <v/>
      </c>
    </row>
    <row r="30" spans="1:11">
      <c r="A30">
        <f t="shared" si="1"/>
        <v>26</v>
      </c>
      <c r="B30">
        <f t="shared" si="2"/>
        <v>0</v>
      </c>
      <c r="C30">
        <f t="shared" si="3"/>
        <v>0</v>
      </c>
      <c r="D30">
        <f t="shared" si="4"/>
        <v>0</v>
      </c>
      <c r="E30">
        <f t="shared" si="5"/>
        <v>0</v>
      </c>
      <c r="F30" s="719" t="str" cm="1">
        <f t="array" aca="1" ref="F30" ca="1">IF($D30&gt;0,INDIRECT(ADDRESS($D30+15,F$4, 1, 1, "11. Unit Mix")), IF($E30&gt;0,INDIRECT(ADDRESS($E30+103,F$4, 1, 1, "11. Unit Mix")), ""))</f>
        <v/>
      </c>
      <c r="G30" s="719" t="str" cm="1">
        <f t="array" aca="1" ref="G30" ca="1">IF($D30&gt;0,INDIRECT(ADDRESS($D30+15,G$4, 1, 1, "11. Unit Mix")), IF($E30&gt;0,INDIRECT(ADDRESS($E30+103,G$4, 1, 1, "11. Unit Mix")), ""))</f>
        <v/>
      </c>
      <c r="H30" s="719" t="str" cm="1">
        <f t="array" aca="1" ref="H30" ca="1">IF($D30&gt;0,INDIRECT(ADDRESS($D30+15,H$4, 1, 1, "11. Unit Mix")), IF($E30&gt;0,INDIRECT(ADDRESS($E30+103,H$4, 1, 1, "11. Unit Mix")), ""))</f>
        <v/>
      </c>
      <c r="I30" s="1080" t="str" cm="1">
        <f t="array" aca="1" ref="I30" ca="1">IF($D30&gt;0,INDIRECT(ADDRESS($D30+15,I$4, 1, 1, "11. Unit Mix")), "")</f>
        <v/>
      </c>
      <c r="J30" s="719" t="str" cm="1">
        <f t="array" aca="1" ref="J30" ca="1">IF($D30&gt;0,INDIRECT(ADDRESS($D30+15,J$4, 1, 1, "11. Unit Mix")), IF($E30&gt;0,INDIRECT(ADDRESS($E30+103,J$4, 1, 1, "11. Unit Mix")), ""))</f>
        <v/>
      </c>
      <c r="K30" s="719" t="str" cm="1">
        <f t="array" aca="1" ref="K30" ca="1">IF($D30&gt;0,INDIRECT(ADDRESS($D30+15,K$4, 1, 1, "11. Unit Mix")), IF($E30&gt;0,INDIRECT(ADDRESS($E30+103,K$4, 1, 1, "11. Unit Mix")), ""))</f>
        <v/>
      </c>
    </row>
    <row r="31" spans="1:11">
      <c r="A31">
        <f t="shared" si="1"/>
        <v>27</v>
      </c>
      <c r="B31">
        <f t="shared" si="2"/>
        <v>0</v>
      </c>
      <c r="C31">
        <f t="shared" si="3"/>
        <v>0</v>
      </c>
      <c r="D31">
        <f t="shared" si="4"/>
        <v>0</v>
      </c>
      <c r="E31">
        <f t="shared" si="5"/>
        <v>0</v>
      </c>
      <c r="F31" s="719" t="str" cm="1">
        <f t="array" aca="1" ref="F31" ca="1">IF($D31&gt;0,INDIRECT(ADDRESS($D31+15,F$4, 1, 1, "11. Unit Mix")), IF($E31&gt;0,INDIRECT(ADDRESS($E31+103,F$4, 1, 1, "11. Unit Mix")), ""))</f>
        <v/>
      </c>
      <c r="G31" s="719" t="str" cm="1">
        <f t="array" aca="1" ref="G31" ca="1">IF($D31&gt;0,INDIRECT(ADDRESS($D31+15,G$4, 1, 1, "11. Unit Mix")), IF($E31&gt;0,INDIRECT(ADDRESS($E31+103,G$4, 1, 1, "11. Unit Mix")), ""))</f>
        <v/>
      </c>
      <c r="H31" s="719" t="str" cm="1">
        <f t="array" aca="1" ref="H31" ca="1">IF($D31&gt;0,INDIRECT(ADDRESS($D31+15,H$4, 1, 1, "11. Unit Mix")), IF($E31&gt;0,INDIRECT(ADDRESS($E31+103,H$4, 1, 1, "11. Unit Mix")), ""))</f>
        <v/>
      </c>
      <c r="I31" s="1080" t="str" cm="1">
        <f t="array" aca="1" ref="I31" ca="1">IF($D31&gt;0,INDIRECT(ADDRESS($D31+15,I$4, 1, 1, "11. Unit Mix")), "")</f>
        <v/>
      </c>
      <c r="J31" s="719" t="str" cm="1">
        <f t="array" aca="1" ref="J31" ca="1">IF($D31&gt;0,INDIRECT(ADDRESS($D31+15,J$4, 1, 1, "11. Unit Mix")), IF($E31&gt;0,INDIRECT(ADDRESS($E31+103,J$4, 1, 1, "11. Unit Mix")), ""))</f>
        <v/>
      </c>
      <c r="K31" s="719" t="str" cm="1">
        <f t="array" aca="1" ref="K31" ca="1">IF($D31&gt;0,INDIRECT(ADDRESS($D31+15,K$4, 1, 1, "11. Unit Mix")), IF($E31&gt;0,INDIRECT(ADDRESS($E31+103,K$4, 1, 1, "11. Unit Mix")), ""))</f>
        <v/>
      </c>
    </row>
    <row r="32" spans="1:11">
      <c r="A32">
        <f t="shared" si="1"/>
        <v>28</v>
      </c>
      <c r="B32">
        <f t="shared" si="2"/>
        <v>0</v>
      </c>
      <c r="C32">
        <f t="shared" si="3"/>
        <v>0</v>
      </c>
      <c r="D32">
        <f t="shared" si="4"/>
        <v>0</v>
      </c>
      <c r="E32">
        <f t="shared" si="5"/>
        <v>0</v>
      </c>
      <c r="F32" s="719" t="str" cm="1">
        <f t="array" aca="1" ref="F32" ca="1">IF($D32&gt;0,INDIRECT(ADDRESS($D32+15,F$4, 1, 1, "11. Unit Mix")), IF($E32&gt;0,INDIRECT(ADDRESS($E32+103,F$4, 1, 1, "11. Unit Mix")), ""))</f>
        <v/>
      </c>
      <c r="G32" s="719" t="str" cm="1">
        <f t="array" aca="1" ref="G32" ca="1">IF($D32&gt;0,INDIRECT(ADDRESS($D32+15,G$4, 1, 1, "11. Unit Mix")), IF($E32&gt;0,INDIRECT(ADDRESS($E32+103,G$4, 1, 1, "11. Unit Mix")), ""))</f>
        <v/>
      </c>
      <c r="H32" s="719" t="str" cm="1">
        <f t="array" aca="1" ref="H32" ca="1">IF($D32&gt;0,INDIRECT(ADDRESS($D32+15,H$4, 1, 1, "11. Unit Mix")), IF($E32&gt;0,INDIRECT(ADDRESS($E32+103,H$4, 1, 1, "11. Unit Mix")), ""))</f>
        <v/>
      </c>
      <c r="I32" s="1080" t="str" cm="1">
        <f t="array" aca="1" ref="I32" ca="1">IF($D32&gt;0,INDIRECT(ADDRESS($D32+15,I$4, 1, 1, "11. Unit Mix")), "")</f>
        <v/>
      </c>
      <c r="J32" s="719" t="str" cm="1">
        <f t="array" aca="1" ref="J32" ca="1">IF($D32&gt;0,INDIRECT(ADDRESS($D32+15,J$4, 1, 1, "11. Unit Mix")), IF($E32&gt;0,INDIRECT(ADDRESS($E32+103,J$4, 1, 1, "11. Unit Mix")), ""))</f>
        <v/>
      </c>
      <c r="K32" s="719" t="str" cm="1">
        <f t="array" aca="1" ref="K32" ca="1">IF($D32&gt;0,INDIRECT(ADDRESS($D32+15,K$4, 1, 1, "11. Unit Mix")), IF($E32&gt;0,INDIRECT(ADDRESS($E32+103,K$4, 1, 1, "11. Unit Mix")), ""))</f>
        <v/>
      </c>
    </row>
    <row r="33" spans="1:11">
      <c r="A33">
        <f t="shared" si="1"/>
        <v>29</v>
      </c>
      <c r="B33">
        <f t="shared" si="2"/>
        <v>0</v>
      </c>
      <c r="C33">
        <f t="shared" si="3"/>
        <v>0</v>
      </c>
      <c r="D33">
        <f t="shared" si="4"/>
        <v>0</v>
      </c>
      <c r="E33">
        <f t="shared" si="5"/>
        <v>0</v>
      </c>
      <c r="F33" s="719" t="str" cm="1">
        <f t="array" aca="1" ref="F33" ca="1">IF($D33&gt;0,INDIRECT(ADDRESS($D33+15,F$4, 1, 1, "11. Unit Mix")), IF($E33&gt;0,INDIRECT(ADDRESS($E33+103,F$4, 1, 1, "11. Unit Mix")), ""))</f>
        <v/>
      </c>
      <c r="G33" s="719" t="str" cm="1">
        <f t="array" aca="1" ref="G33" ca="1">IF($D33&gt;0,INDIRECT(ADDRESS($D33+15,G$4, 1, 1, "11. Unit Mix")), IF($E33&gt;0,INDIRECT(ADDRESS($E33+103,G$4, 1, 1, "11. Unit Mix")), ""))</f>
        <v/>
      </c>
      <c r="H33" s="719" t="str" cm="1">
        <f t="array" aca="1" ref="H33" ca="1">IF($D33&gt;0,INDIRECT(ADDRESS($D33+15,H$4, 1, 1, "11. Unit Mix")), IF($E33&gt;0,INDIRECT(ADDRESS($E33+103,H$4, 1, 1, "11. Unit Mix")), ""))</f>
        <v/>
      </c>
      <c r="I33" s="1080" t="str" cm="1">
        <f t="array" aca="1" ref="I33" ca="1">IF($D33&gt;0,INDIRECT(ADDRESS($D33+15,I$4, 1, 1, "11. Unit Mix")), "")</f>
        <v/>
      </c>
      <c r="J33" s="719" t="str" cm="1">
        <f t="array" aca="1" ref="J33" ca="1">IF($D33&gt;0,INDIRECT(ADDRESS($D33+15,J$4, 1, 1, "11. Unit Mix")), IF($E33&gt;0,INDIRECT(ADDRESS($E33+103,J$4, 1, 1, "11. Unit Mix")), ""))</f>
        <v/>
      </c>
      <c r="K33" s="719" t="str" cm="1">
        <f t="array" aca="1" ref="K33" ca="1">IF($D33&gt;0,INDIRECT(ADDRESS($D33+15,K$4, 1, 1, "11. Unit Mix")), IF($E33&gt;0,INDIRECT(ADDRESS($E33+103,K$4, 1, 1, "11. Unit Mix")), ""))</f>
        <v/>
      </c>
    </row>
    <row r="34" spans="1:11">
      <c r="A34">
        <f t="shared" si="1"/>
        <v>30</v>
      </c>
      <c r="B34">
        <f t="shared" si="2"/>
        <v>0</v>
      </c>
      <c r="C34">
        <f t="shared" si="3"/>
        <v>0</v>
      </c>
      <c r="D34">
        <f t="shared" si="4"/>
        <v>0</v>
      </c>
      <c r="E34">
        <f t="shared" si="5"/>
        <v>0</v>
      </c>
      <c r="F34" s="719" t="str" cm="1">
        <f t="array" aca="1" ref="F34" ca="1">IF($D34&gt;0,INDIRECT(ADDRESS($D34+15,F$4, 1, 1, "11. Unit Mix")), IF($E34&gt;0,INDIRECT(ADDRESS($E34+103,F$4, 1, 1, "11. Unit Mix")), ""))</f>
        <v/>
      </c>
      <c r="G34" s="719" t="str" cm="1">
        <f t="array" aca="1" ref="G34" ca="1">IF($D34&gt;0,INDIRECT(ADDRESS($D34+15,G$4, 1, 1, "11. Unit Mix")), IF($E34&gt;0,INDIRECT(ADDRESS($E34+103,G$4, 1, 1, "11. Unit Mix")), ""))</f>
        <v/>
      </c>
      <c r="H34" s="719" t="str" cm="1">
        <f t="array" aca="1" ref="H34" ca="1">IF($D34&gt;0,INDIRECT(ADDRESS($D34+15,H$4, 1, 1, "11. Unit Mix")), IF($E34&gt;0,INDIRECT(ADDRESS($E34+103,H$4, 1, 1, "11. Unit Mix")), ""))</f>
        <v/>
      </c>
      <c r="I34" s="1080" t="str" cm="1">
        <f t="array" aca="1" ref="I34" ca="1">IF($D34&gt;0,INDIRECT(ADDRESS($D34+15,I$4, 1, 1, "11. Unit Mix")), "")</f>
        <v/>
      </c>
      <c r="J34" s="719" t="str" cm="1">
        <f t="array" aca="1" ref="J34" ca="1">IF($D34&gt;0,INDIRECT(ADDRESS($D34+15,J$4, 1, 1, "11. Unit Mix")), IF($E34&gt;0,INDIRECT(ADDRESS($E34+103,J$4, 1, 1, "11. Unit Mix")), ""))</f>
        <v/>
      </c>
      <c r="K34" s="719" t="str" cm="1">
        <f t="array" aca="1" ref="K34" ca="1">IF($D34&gt;0,INDIRECT(ADDRESS($D34+15,K$4, 1, 1, "11. Unit Mix")), IF($E34&gt;0,INDIRECT(ADDRESS($E34+103,K$4, 1, 1, "11. Unit Mix")), ""))</f>
        <v/>
      </c>
    </row>
    <row r="35" spans="1:11">
      <c r="A35">
        <f t="shared" si="1"/>
        <v>31</v>
      </c>
      <c r="B35">
        <f t="shared" si="2"/>
        <v>0</v>
      </c>
      <c r="C35">
        <f t="shared" si="3"/>
        <v>0</v>
      </c>
      <c r="D35">
        <f t="shared" si="4"/>
        <v>0</v>
      </c>
      <c r="E35">
        <f t="shared" si="5"/>
        <v>0</v>
      </c>
      <c r="F35" s="719" t="str" cm="1">
        <f t="array" aca="1" ref="F35" ca="1">IF($D35&gt;0,INDIRECT(ADDRESS($D35+15,F$4, 1, 1, "11. Unit Mix")), IF($E35&gt;0,INDIRECT(ADDRESS($E35+103,F$4, 1, 1, "11. Unit Mix")), ""))</f>
        <v/>
      </c>
      <c r="G35" s="719" t="str" cm="1">
        <f t="array" aca="1" ref="G35" ca="1">IF($D35&gt;0,INDIRECT(ADDRESS($D35+15,G$4, 1, 1, "11. Unit Mix")), IF($E35&gt;0,INDIRECT(ADDRESS($E35+103,G$4, 1, 1, "11. Unit Mix")), ""))</f>
        <v/>
      </c>
      <c r="H35" s="719" t="str" cm="1">
        <f t="array" aca="1" ref="H35" ca="1">IF($D35&gt;0,INDIRECT(ADDRESS($D35+15,H$4, 1, 1, "11. Unit Mix")), IF($E35&gt;0,INDIRECT(ADDRESS($E35+103,H$4, 1, 1, "11. Unit Mix")), ""))</f>
        <v/>
      </c>
      <c r="I35" s="1080" t="str" cm="1">
        <f t="array" aca="1" ref="I35" ca="1">IF($D35&gt;0,INDIRECT(ADDRESS($D35+15,I$4, 1, 1, "11. Unit Mix")), "")</f>
        <v/>
      </c>
      <c r="J35" s="719" t="str" cm="1">
        <f t="array" aca="1" ref="J35" ca="1">IF($D35&gt;0,INDIRECT(ADDRESS($D35+15,J$4, 1, 1, "11. Unit Mix")), IF($E35&gt;0,INDIRECT(ADDRESS($E35+103,J$4, 1, 1, "11. Unit Mix")), ""))</f>
        <v/>
      </c>
      <c r="K35" s="719" t="str" cm="1">
        <f t="array" aca="1" ref="K35" ca="1">IF($D35&gt;0,INDIRECT(ADDRESS($D35+15,K$4, 1, 1, "11. Unit Mix")), IF($E35&gt;0,INDIRECT(ADDRESS($E35+103,K$4, 1, 1, "11. Unit Mix")), ""))</f>
        <v/>
      </c>
    </row>
    <row r="36" spans="1:11">
      <c r="A36">
        <f t="shared" si="1"/>
        <v>32</v>
      </c>
      <c r="B36">
        <f t="shared" si="2"/>
        <v>0</v>
      </c>
      <c r="C36">
        <f t="shared" si="3"/>
        <v>0</v>
      </c>
      <c r="D36">
        <f t="shared" si="4"/>
        <v>0</v>
      </c>
      <c r="E36">
        <f t="shared" si="5"/>
        <v>0</v>
      </c>
      <c r="F36" s="719" t="str" cm="1">
        <f t="array" aca="1" ref="F36" ca="1">IF($D36&gt;0,INDIRECT(ADDRESS($D36+15,F$4, 1, 1, "11. Unit Mix")), IF($E36&gt;0,INDIRECT(ADDRESS($E36+103,F$4, 1, 1, "11. Unit Mix")), ""))</f>
        <v/>
      </c>
      <c r="G36" s="719" t="str" cm="1">
        <f t="array" aca="1" ref="G36" ca="1">IF($D36&gt;0,INDIRECT(ADDRESS($D36+15,G$4, 1, 1, "11. Unit Mix")), IF($E36&gt;0,INDIRECT(ADDRESS($E36+103,G$4, 1, 1, "11. Unit Mix")), ""))</f>
        <v/>
      </c>
      <c r="H36" s="719" t="str" cm="1">
        <f t="array" aca="1" ref="H36" ca="1">IF($D36&gt;0,INDIRECT(ADDRESS($D36+15,H$4, 1, 1, "11. Unit Mix")), IF($E36&gt;0,INDIRECT(ADDRESS($E36+103,H$4, 1, 1, "11. Unit Mix")), ""))</f>
        <v/>
      </c>
      <c r="I36" s="1080" t="str" cm="1">
        <f t="array" aca="1" ref="I36" ca="1">IF($D36&gt;0,INDIRECT(ADDRESS($D36+15,I$4, 1, 1, "11. Unit Mix")), "")</f>
        <v/>
      </c>
      <c r="J36" s="719" t="str" cm="1">
        <f t="array" aca="1" ref="J36" ca="1">IF($D36&gt;0,INDIRECT(ADDRESS($D36+15,J$4, 1, 1, "11. Unit Mix")), IF($E36&gt;0,INDIRECT(ADDRESS($E36+103,J$4, 1, 1, "11. Unit Mix")), ""))</f>
        <v/>
      </c>
      <c r="K36" s="719" t="str" cm="1">
        <f t="array" aca="1" ref="K36" ca="1">IF($D36&gt;0,INDIRECT(ADDRESS($D36+15,K$4, 1, 1, "11. Unit Mix")), IF($E36&gt;0,INDIRECT(ADDRESS($E36+103,K$4, 1, 1, "11. Unit Mix")), ""))</f>
        <v/>
      </c>
    </row>
    <row r="37" spans="1:11">
      <c r="A37">
        <f t="shared" si="1"/>
        <v>33</v>
      </c>
      <c r="B37">
        <f t="shared" si="2"/>
        <v>0</v>
      </c>
      <c r="C37">
        <f t="shared" si="3"/>
        <v>0</v>
      </c>
      <c r="D37">
        <f t="shared" si="4"/>
        <v>0</v>
      </c>
      <c r="E37">
        <f t="shared" si="5"/>
        <v>0</v>
      </c>
      <c r="F37" s="719" t="str" cm="1">
        <f t="array" aca="1" ref="F37" ca="1">IF($D37&gt;0,INDIRECT(ADDRESS($D37+15,F$4, 1, 1, "11. Unit Mix")), IF($E37&gt;0,INDIRECT(ADDRESS($E37+103,F$4, 1, 1, "11. Unit Mix")), ""))</f>
        <v/>
      </c>
      <c r="G37" s="719" t="str" cm="1">
        <f t="array" aca="1" ref="G37" ca="1">IF($D37&gt;0,INDIRECT(ADDRESS($D37+15,G$4, 1, 1, "11. Unit Mix")), IF($E37&gt;0,INDIRECT(ADDRESS($E37+103,G$4, 1, 1, "11. Unit Mix")), ""))</f>
        <v/>
      </c>
      <c r="H37" s="719" t="str" cm="1">
        <f t="array" aca="1" ref="H37" ca="1">IF($D37&gt;0,INDIRECT(ADDRESS($D37+15,H$4, 1, 1, "11. Unit Mix")), IF($E37&gt;0,INDIRECT(ADDRESS($E37+103,H$4, 1, 1, "11. Unit Mix")), ""))</f>
        <v/>
      </c>
      <c r="I37" s="1080" t="str" cm="1">
        <f t="array" aca="1" ref="I37" ca="1">IF($D37&gt;0,INDIRECT(ADDRESS($D37+15,I$4, 1, 1, "11. Unit Mix")), "")</f>
        <v/>
      </c>
      <c r="J37" s="719" t="str" cm="1">
        <f t="array" aca="1" ref="J37" ca="1">IF($D37&gt;0,INDIRECT(ADDRESS($D37+15,J$4, 1, 1, "11. Unit Mix")), IF($E37&gt;0,INDIRECT(ADDRESS($E37+103,J$4, 1, 1, "11. Unit Mix")), ""))</f>
        <v/>
      </c>
      <c r="K37" s="719" t="str" cm="1">
        <f t="array" aca="1" ref="K37" ca="1">IF($D37&gt;0,INDIRECT(ADDRESS($D37+15,K$4, 1, 1, "11. Unit Mix")), IF($E37&gt;0,INDIRECT(ADDRESS($E37+103,K$4, 1, 1, "11. Unit Mix")), ""))</f>
        <v/>
      </c>
    </row>
    <row r="38" spans="1:11">
      <c r="A38">
        <f t="shared" si="1"/>
        <v>34</v>
      </c>
      <c r="B38">
        <f t="shared" si="2"/>
        <v>0</v>
      </c>
      <c r="C38">
        <f t="shared" si="3"/>
        <v>0</v>
      </c>
      <c r="D38">
        <f t="shared" si="4"/>
        <v>0</v>
      </c>
      <c r="E38">
        <f t="shared" si="5"/>
        <v>0</v>
      </c>
      <c r="F38" s="719" t="str" cm="1">
        <f t="array" aca="1" ref="F38" ca="1">IF($D38&gt;0,INDIRECT(ADDRESS($D38+15,F$4, 1, 1, "11. Unit Mix")), IF($E38&gt;0,INDIRECT(ADDRESS($E38+103,F$4, 1, 1, "11. Unit Mix")), ""))</f>
        <v/>
      </c>
      <c r="G38" s="719" t="str" cm="1">
        <f t="array" aca="1" ref="G38" ca="1">IF($D38&gt;0,INDIRECT(ADDRESS($D38+15,G$4, 1, 1, "11. Unit Mix")), IF($E38&gt;0,INDIRECT(ADDRESS($E38+103,G$4, 1, 1, "11. Unit Mix")), ""))</f>
        <v/>
      </c>
      <c r="H38" s="719" t="str" cm="1">
        <f t="array" aca="1" ref="H38" ca="1">IF($D38&gt;0,INDIRECT(ADDRESS($D38+15,H$4, 1, 1, "11. Unit Mix")), IF($E38&gt;0,INDIRECT(ADDRESS($E38+103,H$4, 1, 1, "11. Unit Mix")), ""))</f>
        <v/>
      </c>
      <c r="I38" s="1080" t="str" cm="1">
        <f t="array" aca="1" ref="I38" ca="1">IF($D38&gt;0,INDIRECT(ADDRESS($D38+15,I$4, 1, 1, "11. Unit Mix")), "")</f>
        <v/>
      </c>
      <c r="J38" s="719" t="str" cm="1">
        <f t="array" aca="1" ref="J38" ca="1">IF($D38&gt;0,INDIRECT(ADDRESS($D38+15,J$4, 1, 1, "11. Unit Mix")), IF($E38&gt;0,INDIRECT(ADDRESS($E38+103,J$4, 1, 1, "11. Unit Mix")), ""))</f>
        <v/>
      </c>
      <c r="K38" s="719" t="str" cm="1">
        <f t="array" aca="1" ref="K38" ca="1">IF($D38&gt;0,INDIRECT(ADDRESS($D38+15,K$4, 1, 1, "11. Unit Mix")), IF($E38&gt;0,INDIRECT(ADDRESS($E38+103,K$4, 1, 1, "11. Unit Mix")), ""))</f>
        <v/>
      </c>
    </row>
    <row r="39" spans="1:11">
      <c r="A39">
        <f t="shared" si="1"/>
        <v>35</v>
      </c>
      <c r="B39">
        <f t="shared" si="2"/>
        <v>0</v>
      </c>
      <c r="C39">
        <f t="shared" si="3"/>
        <v>0</v>
      </c>
      <c r="D39">
        <f t="shared" si="4"/>
        <v>0</v>
      </c>
      <c r="E39">
        <f t="shared" si="5"/>
        <v>0</v>
      </c>
      <c r="F39" s="719" t="str" cm="1">
        <f t="array" aca="1" ref="F39" ca="1">IF($D39&gt;0,INDIRECT(ADDRESS($D39+15,F$4, 1, 1, "11. Unit Mix")), IF($E39&gt;0,INDIRECT(ADDRESS($E39+103,F$4, 1, 1, "11. Unit Mix")), ""))</f>
        <v/>
      </c>
      <c r="G39" s="719" t="str" cm="1">
        <f t="array" aca="1" ref="G39" ca="1">IF($D39&gt;0,INDIRECT(ADDRESS($D39+15,G$4, 1, 1, "11. Unit Mix")), IF($E39&gt;0,INDIRECT(ADDRESS($E39+103,G$4, 1, 1, "11. Unit Mix")), ""))</f>
        <v/>
      </c>
      <c r="H39" s="719" t="str" cm="1">
        <f t="array" aca="1" ref="H39" ca="1">IF($D39&gt;0,INDIRECT(ADDRESS($D39+15,H$4, 1, 1, "11. Unit Mix")), IF($E39&gt;0,INDIRECT(ADDRESS($E39+103,H$4, 1, 1, "11. Unit Mix")), ""))</f>
        <v/>
      </c>
      <c r="I39" s="1080" t="str" cm="1">
        <f t="array" aca="1" ref="I39" ca="1">IF($D39&gt;0,INDIRECT(ADDRESS($D39+15,I$4, 1, 1, "11. Unit Mix")), "")</f>
        <v/>
      </c>
      <c r="J39" s="719" t="str" cm="1">
        <f t="array" aca="1" ref="J39" ca="1">IF($D39&gt;0,INDIRECT(ADDRESS($D39+15,J$4, 1, 1, "11. Unit Mix")), IF($E39&gt;0,INDIRECT(ADDRESS($E39+103,J$4, 1, 1, "11. Unit Mix")), ""))</f>
        <v/>
      </c>
      <c r="K39" s="719" t="str" cm="1">
        <f t="array" aca="1" ref="K39" ca="1">IF($D39&gt;0,INDIRECT(ADDRESS($D39+15,K$4, 1, 1, "11. Unit Mix")), IF($E39&gt;0,INDIRECT(ADDRESS($E39+103,K$4, 1, 1, "11. Unit Mix")), ""))</f>
        <v/>
      </c>
    </row>
    <row r="40" spans="1:11">
      <c r="A40">
        <f t="shared" si="1"/>
        <v>36</v>
      </c>
      <c r="B40">
        <f t="shared" si="2"/>
        <v>0</v>
      </c>
      <c r="C40">
        <f t="shared" si="3"/>
        <v>0</v>
      </c>
      <c r="D40">
        <f t="shared" si="4"/>
        <v>0</v>
      </c>
      <c r="E40">
        <f t="shared" si="5"/>
        <v>0</v>
      </c>
      <c r="F40" s="719" t="str" cm="1">
        <f t="array" aca="1" ref="F40" ca="1">IF($D40&gt;0,INDIRECT(ADDRESS($D40+15,F$4, 1, 1, "11. Unit Mix")), IF($E40&gt;0,INDIRECT(ADDRESS($E40+103,F$4, 1, 1, "11. Unit Mix")), ""))</f>
        <v/>
      </c>
      <c r="G40" s="719" t="str" cm="1">
        <f t="array" aca="1" ref="G40" ca="1">IF($D40&gt;0,INDIRECT(ADDRESS($D40+15,G$4, 1, 1, "11. Unit Mix")), IF($E40&gt;0,INDIRECT(ADDRESS($E40+103,G$4, 1, 1, "11. Unit Mix")), ""))</f>
        <v/>
      </c>
      <c r="H40" s="719" t="str" cm="1">
        <f t="array" aca="1" ref="H40" ca="1">IF($D40&gt;0,INDIRECT(ADDRESS($D40+15,H$4, 1, 1, "11. Unit Mix")), IF($E40&gt;0,INDIRECT(ADDRESS($E40+103,H$4, 1, 1, "11. Unit Mix")), ""))</f>
        <v/>
      </c>
      <c r="I40" s="1080" t="str" cm="1">
        <f t="array" aca="1" ref="I40" ca="1">IF($D40&gt;0,INDIRECT(ADDRESS($D40+15,I$4, 1, 1, "11. Unit Mix")), "")</f>
        <v/>
      </c>
      <c r="J40" s="719" t="str" cm="1">
        <f t="array" aca="1" ref="J40" ca="1">IF($D40&gt;0,INDIRECT(ADDRESS($D40+15,J$4, 1, 1, "11. Unit Mix")), IF($E40&gt;0,INDIRECT(ADDRESS($E40+103,J$4, 1, 1, "11. Unit Mix")), ""))</f>
        <v/>
      </c>
      <c r="K40" s="719" t="str" cm="1">
        <f t="array" aca="1" ref="K40" ca="1">IF($D40&gt;0,INDIRECT(ADDRESS($D40+15,K$4, 1, 1, "11. Unit Mix")), IF($E40&gt;0,INDIRECT(ADDRESS($E40+103,K$4, 1, 1, "11. Unit Mix")), ""))</f>
        <v/>
      </c>
    </row>
    <row r="41" spans="1:11">
      <c r="A41">
        <f t="shared" si="1"/>
        <v>37</v>
      </c>
      <c r="B41">
        <f t="shared" si="2"/>
        <v>0</v>
      </c>
      <c r="C41">
        <f t="shared" si="3"/>
        <v>0</v>
      </c>
      <c r="D41">
        <f t="shared" si="4"/>
        <v>0</v>
      </c>
      <c r="E41">
        <f t="shared" si="5"/>
        <v>0</v>
      </c>
      <c r="F41" s="719" t="str" cm="1">
        <f t="array" aca="1" ref="F41" ca="1">IF($D41&gt;0,INDIRECT(ADDRESS($D41+15,F$4, 1, 1, "11. Unit Mix")), IF($E41&gt;0,INDIRECT(ADDRESS($E41+103,F$4, 1, 1, "11. Unit Mix")), ""))</f>
        <v/>
      </c>
      <c r="G41" s="719" t="str" cm="1">
        <f t="array" aca="1" ref="G41" ca="1">IF($D41&gt;0,INDIRECT(ADDRESS($D41+15,G$4, 1, 1, "11. Unit Mix")), IF($E41&gt;0,INDIRECT(ADDRESS($E41+103,G$4, 1, 1, "11. Unit Mix")), ""))</f>
        <v/>
      </c>
      <c r="H41" s="719" t="str" cm="1">
        <f t="array" aca="1" ref="H41" ca="1">IF($D41&gt;0,INDIRECT(ADDRESS($D41+15,H$4, 1, 1, "11. Unit Mix")), IF($E41&gt;0,INDIRECT(ADDRESS($E41+103,H$4, 1, 1, "11. Unit Mix")), ""))</f>
        <v/>
      </c>
      <c r="I41" s="1080" t="str" cm="1">
        <f t="array" aca="1" ref="I41" ca="1">IF($D41&gt;0,INDIRECT(ADDRESS($D41+15,I$4, 1, 1, "11. Unit Mix")), "")</f>
        <v/>
      </c>
      <c r="J41" s="719" t="str" cm="1">
        <f t="array" aca="1" ref="J41" ca="1">IF($D41&gt;0,INDIRECT(ADDRESS($D41+15,J$4, 1, 1, "11. Unit Mix")), IF($E41&gt;0,INDIRECT(ADDRESS($E41+103,J$4, 1, 1, "11. Unit Mix")), ""))</f>
        <v/>
      </c>
      <c r="K41" s="719" t="str" cm="1">
        <f t="array" aca="1" ref="K41" ca="1">IF($D41&gt;0,INDIRECT(ADDRESS($D41+15,K$4, 1, 1, "11. Unit Mix")), IF($E41&gt;0,INDIRECT(ADDRESS($E41+103,K$4, 1, 1, "11. Unit Mix")), ""))</f>
        <v/>
      </c>
    </row>
    <row r="42" spans="1:11">
      <c r="A42">
        <f t="shared" si="1"/>
        <v>38</v>
      </c>
      <c r="B42">
        <f t="shared" si="2"/>
        <v>0</v>
      </c>
      <c r="C42">
        <f t="shared" si="3"/>
        <v>0</v>
      </c>
      <c r="D42">
        <f t="shared" si="4"/>
        <v>0</v>
      </c>
      <c r="E42">
        <f t="shared" si="5"/>
        <v>0</v>
      </c>
      <c r="F42" s="719" t="str" cm="1">
        <f t="array" aca="1" ref="F42" ca="1">IF($D42&gt;0,INDIRECT(ADDRESS($D42+15,F$4, 1, 1, "11. Unit Mix")), IF($E42&gt;0,INDIRECT(ADDRESS($E42+103,F$4, 1, 1, "11. Unit Mix")), ""))</f>
        <v/>
      </c>
      <c r="G42" s="719" t="str" cm="1">
        <f t="array" aca="1" ref="G42" ca="1">IF($D42&gt;0,INDIRECT(ADDRESS($D42+15,G$4, 1, 1, "11. Unit Mix")), IF($E42&gt;0,INDIRECT(ADDRESS($E42+103,G$4, 1, 1, "11. Unit Mix")), ""))</f>
        <v/>
      </c>
      <c r="H42" s="719" t="str" cm="1">
        <f t="array" aca="1" ref="H42" ca="1">IF($D42&gt;0,INDIRECT(ADDRESS($D42+15,H$4, 1, 1, "11. Unit Mix")), IF($E42&gt;0,INDIRECT(ADDRESS($E42+103,H$4, 1, 1, "11. Unit Mix")), ""))</f>
        <v/>
      </c>
      <c r="I42" s="1080" t="str" cm="1">
        <f t="array" aca="1" ref="I42" ca="1">IF($D42&gt;0,INDIRECT(ADDRESS($D42+15,I$4, 1, 1, "11. Unit Mix")), "")</f>
        <v/>
      </c>
      <c r="J42" s="719" t="str" cm="1">
        <f t="array" aca="1" ref="J42" ca="1">IF($D42&gt;0,INDIRECT(ADDRESS($D42+15,J$4, 1, 1, "11. Unit Mix")), IF($E42&gt;0,INDIRECT(ADDRESS($E42+103,J$4, 1, 1, "11. Unit Mix")), ""))</f>
        <v/>
      </c>
      <c r="K42" s="719" t="str" cm="1">
        <f t="array" aca="1" ref="K42" ca="1">IF($D42&gt;0,INDIRECT(ADDRESS($D42+15,K$4, 1, 1, "11. Unit Mix")), IF($E42&gt;0,INDIRECT(ADDRESS($E42+103,K$4, 1, 1, "11. Unit Mix")), ""))</f>
        <v/>
      </c>
    </row>
    <row r="43" spans="1:11">
      <c r="A43">
        <f t="shared" si="1"/>
        <v>39</v>
      </c>
      <c r="B43">
        <f t="shared" si="2"/>
        <v>0</v>
      </c>
      <c r="C43">
        <f t="shared" si="3"/>
        <v>0</v>
      </c>
      <c r="D43">
        <f t="shared" si="4"/>
        <v>0</v>
      </c>
      <c r="E43">
        <f t="shared" si="5"/>
        <v>0</v>
      </c>
      <c r="F43" s="719" t="str" cm="1">
        <f t="array" aca="1" ref="F43" ca="1">IF($D43&gt;0,INDIRECT(ADDRESS($D43+15,F$4, 1, 1, "11. Unit Mix")), IF($E43&gt;0,INDIRECT(ADDRESS($E43+103,F$4, 1, 1, "11. Unit Mix")), ""))</f>
        <v/>
      </c>
      <c r="G43" s="719" t="str" cm="1">
        <f t="array" aca="1" ref="G43" ca="1">IF($D43&gt;0,INDIRECT(ADDRESS($D43+15,G$4, 1, 1, "11. Unit Mix")), IF($E43&gt;0,INDIRECT(ADDRESS($E43+103,G$4, 1, 1, "11. Unit Mix")), ""))</f>
        <v/>
      </c>
      <c r="H43" s="719" t="str" cm="1">
        <f t="array" aca="1" ref="H43" ca="1">IF($D43&gt;0,INDIRECT(ADDRESS($D43+15,H$4, 1, 1, "11. Unit Mix")), IF($E43&gt;0,INDIRECT(ADDRESS($E43+103,H$4, 1, 1, "11. Unit Mix")), ""))</f>
        <v/>
      </c>
      <c r="I43" s="1080" t="str" cm="1">
        <f t="array" aca="1" ref="I43" ca="1">IF($D43&gt;0,INDIRECT(ADDRESS($D43+15,I$4, 1, 1, "11. Unit Mix")), "")</f>
        <v/>
      </c>
      <c r="J43" s="719" t="str" cm="1">
        <f t="array" aca="1" ref="J43" ca="1">IF($D43&gt;0,INDIRECT(ADDRESS($D43+15,J$4, 1, 1, "11. Unit Mix")), IF($E43&gt;0,INDIRECT(ADDRESS($E43+103,J$4, 1, 1, "11. Unit Mix")), ""))</f>
        <v/>
      </c>
      <c r="K43" s="719" t="str" cm="1">
        <f t="array" aca="1" ref="K43" ca="1">IF($D43&gt;0,INDIRECT(ADDRESS($D43+15,K$4, 1, 1, "11. Unit Mix")), IF($E43&gt;0,INDIRECT(ADDRESS($E43+103,K$4, 1, 1, "11. Unit Mix")), ""))</f>
        <v/>
      </c>
    </row>
    <row r="44" spans="1:11">
      <c r="A44">
        <f t="shared" si="1"/>
        <v>40</v>
      </c>
      <c r="B44">
        <f t="shared" si="2"/>
        <v>0</v>
      </c>
      <c r="C44">
        <f t="shared" si="3"/>
        <v>0</v>
      </c>
      <c r="D44">
        <f t="shared" si="4"/>
        <v>0</v>
      </c>
      <c r="E44">
        <f t="shared" si="5"/>
        <v>0</v>
      </c>
      <c r="F44" s="719" t="str" cm="1">
        <f t="array" aca="1" ref="F44" ca="1">IF($D44&gt;0,INDIRECT(ADDRESS($D44+15,F$4, 1, 1, "11. Unit Mix")), IF($E44&gt;0,INDIRECT(ADDRESS($E44+103,F$4, 1, 1, "11. Unit Mix")), ""))</f>
        <v/>
      </c>
      <c r="G44" s="719" t="str" cm="1">
        <f t="array" aca="1" ref="G44" ca="1">IF($D44&gt;0,INDIRECT(ADDRESS($D44+15,G$4, 1, 1, "11. Unit Mix")), IF($E44&gt;0,INDIRECT(ADDRESS($E44+103,G$4, 1, 1, "11. Unit Mix")), ""))</f>
        <v/>
      </c>
      <c r="H44" s="719" t="str" cm="1">
        <f t="array" aca="1" ref="H44" ca="1">IF($D44&gt;0,INDIRECT(ADDRESS($D44+15,H$4, 1, 1, "11. Unit Mix")), IF($E44&gt;0,INDIRECT(ADDRESS($E44+103,H$4, 1, 1, "11. Unit Mix")), ""))</f>
        <v/>
      </c>
      <c r="I44" s="1080" t="str" cm="1">
        <f t="array" aca="1" ref="I44" ca="1">IF($D44&gt;0,INDIRECT(ADDRESS($D44+15,I$4, 1, 1, "11. Unit Mix")), "")</f>
        <v/>
      </c>
      <c r="J44" s="719" t="str" cm="1">
        <f t="array" aca="1" ref="J44" ca="1">IF($D44&gt;0,INDIRECT(ADDRESS($D44+15,J$4, 1, 1, "11. Unit Mix")), IF($E44&gt;0,INDIRECT(ADDRESS($E44+103,J$4, 1, 1, "11. Unit Mix")), ""))</f>
        <v/>
      </c>
      <c r="K44" s="719" t="str" cm="1">
        <f t="array" aca="1" ref="K44" ca="1">IF($D44&gt;0,INDIRECT(ADDRESS($D44+15,K$4, 1, 1, "11. Unit Mix")), IF($E44&gt;0,INDIRECT(ADDRESS($E44+103,K$4, 1, 1, "11. Unit Mix")), ""))</f>
        <v/>
      </c>
    </row>
    <row r="45" spans="1:11">
      <c r="A45">
        <f t="shared" si="1"/>
        <v>41</v>
      </c>
      <c r="B45">
        <f t="shared" si="2"/>
        <v>0</v>
      </c>
      <c r="C45">
        <f t="shared" si="3"/>
        <v>0</v>
      </c>
      <c r="D45">
        <f t="shared" si="4"/>
        <v>0</v>
      </c>
      <c r="E45">
        <f t="shared" si="5"/>
        <v>0</v>
      </c>
      <c r="F45" s="719" t="str" cm="1">
        <f t="array" aca="1" ref="F45" ca="1">IF($D45&gt;0,INDIRECT(ADDRESS($D45+15,F$4, 1, 1, "11. Unit Mix")), IF($E45&gt;0,INDIRECT(ADDRESS($E45+103,F$4, 1, 1, "11. Unit Mix")), ""))</f>
        <v/>
      </c>
      <c r="G45" s="719" t="str" cm="1">
        <f t="array" aca="1" ref="G45" ca="1">IF($D45&gt;0,INDIRECT(ADDRESS($D45+15,G$4, 1, 1, "11. Unit Mix")), IF($E45&gt;0,INDIRECT(ADDRESS($E45+103,G$4, 1, 1, "11. Unit Mix")), ""))</f>
        <v/>
      </c>
      <c r="H45" s="719" t="str" cm="1">
        <f t="array" aca="1" ref="H45" ca="1">IF($D45&gt;0,INDIRECT(ADDRESS($D45+15,H$4, 1, 1, "11. Unit Mix")), IF($E45&gt;0,INDIRECT(ADDRESS($E45+103,H$4, 1, 1, "11. Unit Mix")), ""))</f>
        <v/>
      </c>
      <c r="I45" s="1080" t="str" cm="1">
        <f t="array" aca="1" ref="I45" ca="1">IF($D45&gt;0,INDIRECT(ADDRESS($D45+15,I$4, 1, 1, "11. Unit Mix")), "")</f>
        <v/>
      </c>
      <c r="J45" s="719" t="str" cm="1">
        <f t="array" aca="1" ref="J45" ca="1">IF($D45&gt;0,INDIRECT(ADDRESS($D45+15,J$4, 1, 1, "11. Unit Mix")), IF($E45&gt;0,INDIRECT(ADDRESS($E45+103,J$4, 1, 1, "11. Unit Mix")), ""))</f>
        <v/>
      </c>
      <c r="K45" s="719" t="str" cm="1">
        <f t="array" aca="1" ref="K45" ca="1">IF($D45&gt;0,INDIRECT(ADDRESS($D45+15,K$4, 1, 1, "11. Unit Mix")), IF($E45&gt;0,INDIRECT(ADDRESS($E45+103,K$4, 1, 1, "11. Unit Mix")), ""))</f>
        <v/>
      </c>
    </row>
    <row r="46" spans="1:11">
      <c r="A46">
        <f t="shared" si="1"/>
        <v>42</v>
      </c>
      <c r="B46">
        <f t="shared" si="2"/>
        <v>0</v>
      </c>
      <c r="C46">
        <f t="shared" si="3"/>
        <v>0</v>
      </c>
      <c r="D46">
        <f t="shared" si="4"/>
        <v>0</v>
      </c>
      <c r="E46">
        <f t="shared" si="5"/>
        <v>0</v>
      </c>
      <c r="F46" s="719" t="str" cm="1">
        <f t="array" aca="1" ref="F46" ca="1">IF($D46&gt;0,INDIRECT(ADDRESS($D46+15,F$4, 1, 1, "11. Unit Mix")), IF($E46&gt;0,INDIRECT(ADDRESS($E46+103,F$4, 1, 1, "11. Unit Mix")), ""))</f>
        <v/>
      </c>
      <c r="G46" s="719" t="str" cm="1">
        <f t="array" aca="1" ref="G46" ca="1">IF($D46&gt;0,INDIRECT(ADDRESS($D46+15,G$4, 1, 1, "11. Unit Mix")), IF($E46&gt;0,INDIRECT(ADDRESS($E46+103,G$4, 1, 1, "11. Unit Mix")), ""))</f>
        <v/>
      </c>
      <c r="H46" s="719" t="str" cm="1">
        <f t="array" aca="1" ref="H46" ca="1">IF($D46&gt;0,INDIRECT(ADDRESS($D46+15,H$4, 1, 1, "11. Unit Mix")), IF($E46&gt;0,INDIRECT(ADDRESS($E46+103,H$4, 1, 1, "11. Unit Mix")), ""))</f>
        <v/>
      </c>
      <c r="I46" s="1080" t="str" cm="1">
        <f t="array" aca="1" ref="I46" ca="1">IF($D46&gt;0,INDIRECT(ADDRESS($D46+15,I$4, 1, 1, "11. Unit Mix")), "")</f>
        <v/>
      </c>
      <c r="J46" s="719" t="str" cm="1">
        <f t="array" aca="1" ref="J46" ca="1">IF($D46&gt;0,INDIRECT(ADDRESS($D46+15,J$4, 1, 1, "11. Unit Mix")), IF($E46&gt;0,INDIRECT(ADDRESS($E46+103,J$4, 1, 1, "11. Unit Mix")), ""))</f>
        <v/>
      </c>
      <c r="K46" s="719" t="str" cm="1">
        <f t="array" aca="1" ref="K46" ca="1">IF($D46&gt;0,INDIRECT(ADDRESS($D46+15,K$4, 1, 1, "11. Unit Mix")), IF($E46&gt;0,INDIRECT(ADDRESS($E46+103,K$4, 1, 1, "11. Unit Mix")), ""))</f>
        <v/>
      </c>
    </row>
    <row r="47" spans="1:11">
      <c r="A47">
        <f t="shared" si="1"/>
        <v>43</v>
      </c>
      <c r="B47">
        <f t="shared" si="2"/>
        <v>0</v>
      </c>
      <c r="C47">
        <f t="shared" si="3"/>
        <v>0</v>
      </c>
      <c r="D47">
        <f t="shared" si="4"/>
        <v>0</v>
      </c>
      <c r="E47">
        <f t="shared" si="5"/>
        <v>0</v>
      </c>
      <c r="F47" s="719" t="str" cm="1">
        <f t="array" aca="1" ref="F47" ca="1">IF($D47&gt;0,INDIRECT(ADDRESS($D47+15,F$4, 1, 1, "11. Unit Mix")), IF($E47&gt;0,INDIRECT(ADDRESS($E47+103,F$4, 1, 1, "11. Unit Mix")), ""))</f>
        <v/>
      </c>
      <c r="G47" s="719" t="str" cm="1">
        <f t="array" aca="1" ref="G47" ca="1">IF($D47&gt;0,INDIRECT(ADDRESS($D47+15,G$4, 1, 1, "11. Unit Mix")), IF($E47&gt;0,INDIRECT(ADDRESS($E47+103,G$4, 1, 1, "11. Unit Mix")), ""))</f>
        <v/>
      </c>
      <c r="H47" s="719" t="str" cm="1">
        <f t="array" aca="1" ref="H47" ca="1">IF($D47&gt;0,INDIRECT(ADDRESS($D47+15,H$4, 1, 1, "11. Unit Mix")), IF($E47&gt;0,INDIRECT(ADDRESS($E47+103,H$4, 1, 1, "11. Unit Mix")), ""))</f>
        <v/>
      </c>
      <c r="I47" s="1080" t="str" cm="1">
        <f t="array" aca="1" ref="I47" ca="1">IF($D47&gt;0,INDIRECT(ADDRESS($D47+15,I$4, 1, 1, "11. Unit Mix")), "")</f>
        <v/>
      </c>
      <c r="J47" s="719" t="str" cm="1">
        <f t="array" aca="1" ref="J47" ca="1">IF($D47&gt;0,INDIRECT(ADDRESS($D47+15,J$4, 1, 1, "11. Unit Mix")), IF($E47&gt;0,INDIRECT(ADDRESS($E47+103,J$4, 1, 1, "11. Unit Mix")), ""))</f>
        <v/>
      </c>
      <c r="K47" s="719" t="str" cm="1">
        <f t="array" aca="1" ref="K47" ca="1">IF($D47&gt;0,INDIRECT(ADDRESS($D47+15,K$4, 1, 1, "11. Unit Mix")), IF($E47&gt;0,INDIRECT(ADDRESS($E47+103,K$4, 1, 1, "11. Unit Mix")), ""))</f>
        <v/>
      </c>
    </row>
    <row r="48" spans="1:11">
      <c r="A48">
        <f t="shared" si="1"/>
        <v>44</v>
      </c>
      <c r="B48">
        <f t="shared" si="2"/>
        <v>0</v>
      </c>
      <c r="C48">
        <f t="shared" si="3"/>
        <v>0</v>
      </c>
      <c r="D48">
        <f t="shared" si="4"/>
        <v>0</v>
      </c>
      <c r="E48">
        <f t="shared" si="5"/>
        <v>0</v>
      </c>
      <c r="F48" s="719" t="str" cm="1">
        <f t="array" aca="1" ref="F48" ca="1">IF($D48&gt;0,INDIRECT(ADDRESS($D48+15,F$4, 1, 1, "11. Unit Mix")), IF($E48&gt;0,INDIRECT(ADDRESS($E48+103,F$4, 1, 1, "11. Unit Mix")), ""))</f>
        <v/>
      </c>
      <c r="G48" s="719" t="str" cm="1">
        <f t="array" aca="1" ref="G48" ca="1">IF($D48&gt;0,INDIRECT(ADDRESS($D48+15,G$4, 1, 1, "11. Unit Mix")), IF($E48&gt;0,INDIRECT(ADDRESS($E48+103,G$4, 1, 1, "11. Unit Mix")), ""))</f>
        <v/>
      </c>
      <c r="H48" s="719" t="str" cm="1">
        <f t="array" aca="1" ref="H48" ca="1">IF($D48&gt;0,INDIRECT(ADDRESS($D48+15,H$4, 1, 1, "11. Unit Mix")), IF($E48&gt;0,INDIRECT(ADDRESS($E48+103,H$4, 1, 1, "11. Unit Mix")), ""))</f>
        <v/>
      </c>
      <c r="I48" s="1080" t="str" cm="1">
        <f t="array" aca="1" ref="I48" ca="1">IF($D48&gt;0,INDIRECT(ADDRESS($D48+15,I$4, 1, 1, "11. Unit Mix")), "")</f>
        <v/>
      </c>
      <c r="J48" s="719" t="str" cm="1">
        <f t="array" aca="1" ref="J48" ca="1">IF($D48&gt;0,INDIRECT(ADDRESS($D48+15,J$4, 1, 1, "11. Unit Mix")), IF($E48&gt;0,INDIRECT(ADDRESS($E48+103,J$4, 1, 1, "11. Unit Mix")), ""))</f>
        <v/>
      </c>
      <c r="K48" s="719" t="str" cm="1">
        <f t="array" aca="1" ref="K48" ca="1">IF($D48&gt;0,INDIRECT(ADDRESS($D48+15,K$4, 1, 1, "11. Unit Mix")), IF($E48&gt;0,INDIRECT(ADDRESS($E48+103,K$4, 1, 1, "11. Unit Mix")), ""))</f>
        <v/>
      </c>
    </row>
    <row r="49" spans="1:11">
      <c r="A49">
        <f t="shared" si="1"/>
        <v>45</v>
      </c>
      <c r="B49">
        <f t="shared" si="2"/>
        <v>0</v>
      </c>
      <c r="C49">
        <f t="shared" si="3"/>
        <v>0</v>
      </c>
      <c r="D49">
        <f t="shared" si="4"/>
        <v>0</v>
      </c>
      <c r="E49">
        <f t="shared" si="5"/>
        <v>0</v>
      </c>
      <c r="F49" s="719" t="str" cm="1">
        <f t="array" aca="1" ref="F49" ca="1">IF($D49&gt;0,INDIRECT(ADDRESS($D49+15,F$4, 1, 1, "11. Unit Mix")), IF($E49&gt;0,INDIRECT(ADDRESS($E49+103,F$4, 1, 1, "11. Unit Mix")), ""))</f>
        <v/>
      </c>
      <c r="G49" s="719" t="str" cm="1">
        <f t="array" aca="1" ref="G49" ca="1">IF($D49&gt;0,INDIRECT(ADDRESS($D49+15,G$4, 1, 1, "11. Unit Mix")), IF($E49&gt;0,INDIRECT(ADDRESS($E49+103,G$4, 1, 1, "11. Unit Mix")), ""))</f>
        <v/>
      </c>
      <c r="H49" s="719" t="str" cm="1">
        <f t="array" aca="1" ref="H49" ca="1">IF($D49&gt;0,INDIRECT(ADDRESS($D49+15,H$4, 1, 1, "11. Unit Mix")), IF($E49&gt;0,INDIRECT(ADDRESS($E49+103,H$4, 1, 1, "11. Unit Mix")), ""))</f>
        <v/>
      </c>
      <c r="I49" s="1080" t="str" cm="1">
        <f t="array" aca="1" ref="I49" ca="1">IF($D49&gt;0,INDIRECT(ADDRESS($D49+15,I$4, 1, 1, "11. Unit Mix")), "")</f>
        <v/>
      </c>
      <c r="J49" s="719" t="str" cm="1">
        <f t="array" aca="1" ref="J49" ca="1">IF($D49&gt;0,INDIRECT(ADDRESS($D49+15,J$4, 1, 1, "11. Unit Mix")), IF($E49&gt;0,INDIRECT(ADDRESS($E49+103,J$4, 1, 1, "11. Unit Mix")), ""))</f>
        <v/>
      </c>
      <c r="K49" s="719" t="str" cm="1">
        <f t="array" aca="1" ref="K49" ca="1">IF($D49&gt;0,INDIRECT(ADDRESS($D49+15,K$4, 1, 1, "11. Unit Mix")), IF($E49&gt;0,INDIRECT(ADDRESS($E49+103,K$4, 1, 1, "11. Unit Mix")), ""))</f>
        <v/>
      </c>
    </row>
    <row r="50" spans="1:11">
      <c r="A50">
        <f t="shared" si="1"/>
        <v>46</v>
      </c>
      <c r="B50">
        <f t="shared" si="2"/>
        <v>0</v>
      </c>
      <c r="C50">
        <f t="shared" si="3"/>
        <v>0</v>
      </c>
      <c r="D50">
        <f t="shared" si="4"/>
        <v>0</v>
      </c>
      <c r="E50">
        <f t="shared" si="5"/>
        <v>0</v>
      </c>
      <c r="F50" s="719" t="str" cm="1">
        <f t="array" aca="1" ref="F50" ca="1">IF($D50&gt;0,INDIRECT(ADDRESS($D50+15,F$4, 1, 1, "11. Unit Mix")), IF($E50&gt;0,INDIRECT(ADDRESS($E50+103,F$4, 1, 1, "11. Unit Mix")), ""))</f>
        <v/>
      </c>
      <c r="G50" s="719" t="str" cm="1">
        <f t="array" aca="1" ref="G50" ca="1">IF($D50&gt;0,INDIRECT(ADDRESS($D50+15,G$4, 1, 1, "11. Unit Mix")), IF($E50&gt;0,INDIRECT(ADDRESS($E50+103,G$4, 1, 1, "11. Unit Mix")), ""))</f>
        <v/>
      </c>
      <c r="H50" s="719" t="str" cm="1">
        <f t="array" aca="1" ref="H50" ca="1">IF($D50&gt;0,INDIRECT(ADDRESS($D50+15,H$4, 1, 1, "11. Unit Mix")), IF($E50&gt;0,INDIRECT(ADDRESS($E50+103,H$4, 1, 1, "11. Unit Mix")), ""))</f>
        <v/>
      </c>
      <c r="I50" s="1080" t="str" cm="1">
        <f t="array" aca="1" ref="I50" ca="1">IF($D50&gt;0,INDIRECT(ADDRESS($D50+15,I$4, 1, 1, "11. Unit Mix")), "")</f>
        <v/>
      </c>
      <c r="J50" s="719" t="str" cm="1">
        <f t="array" aca="1" ref="J50" ca="1">IF($D50&gt;0,INDIRECT(ADDRESS($D50+15,J$4, 1, 1, "11. Unit Mix")), IF($E50&gt;0,INDIRECT(ADDRESS($E50+103,J$4, 1, 1, "11. Unit Mix")), ""))</f>
        <v/>
      </c>
      <c r="K50" s="719" t="str" cm="1">
        <f t="array" aca="1" ref="K50" ca="1">IF($D50&gt;0,INDIRECT(ADDRESS($D50+15,K$4, 1, 1, "11. Unit Mix")), IF($E50&gt;0,INDIRECT(ADDRESS($E50+103,K$4, 1, 1, "11. Unit Mix")), ""))</f>
        <v/>
      </c>
    </row>
    <row r="51" spans="1:11">
      <c r="A51">
        <f t="shared" si="1"/>
        <v>47</v>
      </c>
      <c r="B51">
        <f t="shared" si="2"/>
        <v>0</v>
      </c>
      <c r="C51">
        <f t="shared" si="3"/>
        <v>0</v>
      </c>
      <c r="D51">
        <f t="shared" si="4"/>
        <v>0</v>
      </c>
      <c r="E51">
        <f t="shared" si="5"/>
        <v>0</v>
      </c>
      <c r="F51" s="719" t="str" cm="1">
        <f t="array" aca="1" ref="F51" ca="1">IF($D51&gt;0,INDIRECT(ADDRESS($D51+15,F$4, 1, 1, "11. Unit Mix")), IF($E51&gt;0,INDIRECT(ADDRESS($E51+103,F$4, 1, 1, "11. Unit Mix")), ""))</f>
        <v/>
      </c>
      <c r="G51" s="719" t="str" cm="1">
        <f t="array" aca="1" ref="G51" ca="1">IF($D51&gt;0,INDIRECT(ADDRESS($D51+15,G$4, 1, 1, "11. Unit Mix")), IF($E51&gt;0,INDIRECT(ADDRESS($E51+103,G$4, 1, 1, "11. Unit Mix")), ""))</f>
        <v/>
      </c>
      <c r="H51" s="719" t="str" cm="1">
        <f t="array" aca="1" ref="H51" ca="1">IF($D51&gt;0,INDIRECT(ADDRESS($D51+15,H$4, 1, 1, "11. Unit Mix")), IF($E51&gt;0,INDIRECT(ADDRESS($E51+103,H$4, 1, 1, "11. Unit Mix")), ""))</f>
        <v/>
      </c>
      <c r="I51" s="1080" t="str" cm="1">
        <f t="array" aca="1" ref="I51" ca="1">IF($D51&gt;0,INDIRECT(ADDRESS($D51+15,I$4, 1, 1, "11. Unit Mix")), "")</f>
        <v/>
      </c>
      <c r="J51" s="719" t="str" cm="1">
        <f t="array" aca="1" ref="J51" ca="1">IF($D51&gt;0,INDIRECT(ADDRESS($D51+15,J$4, 1, 1, "11. Unit Mix")), IF($E51&gt;0,INDIRECT(ADDRESS($E51+103,J$4, 1, 1, "11. Unit Mix")), ""))</f>
        <v/>
      </c>
      <c r="K51" s="719" t="str" cm="1">
        <f t="array" aca="1" ref="K51" ca="1">IF($D51&gt;0,INDIRECT(ADDRESS($D51+15,K$4, 1, 1, "11. Unit Mix")), IF($E51&gt;0,INDIRECT(ADDRESS($E51+103,K$4, 1, 1, "11. Unit Mix")), ""))</f>
        <v/>
      </c>
    </row>
    <row r="52" spans="1:11">
      <c r="A52">
        <f t="shared" si="1"/>
        <v>48</v>
      </c>
      <c r="B52">
        <f t="shared" si="2"/>
        <v>0</v>
      </c>
      <c r="C52">
        <f t="shared" si="3"/>
        <v>0</v>
      </c>
      <c r="D52">
        <f t="shared" si="4"/>
        <v>0</v>
      </c>
      <c r="E52">
        <f t="shared" si="5"/>
        <v>0</v>
      </c>
      <c r="F52" s="719" t="str" cm="1">
        <f t="array" aca="1" ref="F52" ca="1">IF($D52&gt;0,INDIRECT(ADDRESS($D52+15,F$4, 1, 1, "11. Unit Mix")), IF($E52&gt;0,INDIRECT(ADDRESS($E52+103,F$4, 1, 1, "11. Unit Mix")), ""))</f>
        <v/>
      </c>
      <c r="G52" s="719" t="str" cm="1">
        <f t="array" aca="1" ref="G52" ca="1">IF($D52&gt;0,INDIRECT(ADDRESS($D52+15,G$4, 1, 1, "11. Unit Mix")), IF($E52&gt;0,INDIRECT(ADDRESS($E52+103,G$4, 1, 1, "11. Unit Mix")), ""))</f>
        <v/>
      </c>
      <c r="H52" s="719" t="str" cm="1">
        <f t="array" aca="1" ref="H52" ca="1">IF($D52&gt;0,INDIRECT(ADDRESS($D52+15,H$4, 1, 1, "11. Unit Mix")), IF($E52&gt;0,INDIRECT(ADDRESS($E52+103,H$4, 1, 1, "11. Unit Mix")), ""))</f>
        <v/>
      </c>
      <c r="I52" s="1080" t="str" cm="1">
        <f t="array" aca="1" ref="I52" ca="1">IF($D52&gt;0,INDIRECT(ADDRESS($D52+15,I$4, 1, 1, "11. Unit Mix")), "")</f>
        <v/>
      </c>
      <c r="J52" s="719" t="str" cm="1">
        <f t="array" aca="1" ref="J52" ca="1">IF($D52&gt;0,INDIRECT(ADDRESS($D52+15,J$4, 1, 1, "11. Unit Mix")), IF($E52&gt;0,INDIRECT(ADDRESS($E52+103,J$4, 1, 1, "11. Unit Mix")), ""))</f>
        <v/>
      </c>
      <c r="K52" s="719" t="str" cm="1">
        <f t="array" aca="1" ref="K52" ca="1">IF($D52&gt;0,INDIRECT(ADDRESS($D52+15,K$4, 1, 1, "11. Unit Mix")), IF($E52&gt;0,INDIRECT(ADDRESS($E52+103,K$4, 1, 1, "11. Unit Mix")), ""))</f>
        <v/>
      </c>
    </row>
    <row r="53" spans="1:11">
      <c r="A53">
        <f t="shared" si="1"/>
        <v>49</v>
      </c>
      <c r="B53">
        <f t="shared" si="2"/>
        <v>0</v>
      </c>
      <c r="C53">
        <f t="shared" si="3"/>
        <v>0</v>
      </c>
      <c r="D53">
        <f t="shared" si="4"/>
        <v>0</v>
      </c>
      <c r="E53">
        <f t="shared" si="5"/>
        <v>0</v>
      </c>
      <c r="F53" s="719" t="str" cm="1">
        <f t="array" aca="1" ref="F53" ca="1">IF($D53&gt;0,INDIRECT(ADDRESS($D53+15,F$4, 1, 1, "11. Unit Mix")), IF($E53&gt;0,INDIRECT(ADDRESS($E53+103,F$4, 1, 1, "11. Unit Mix")), ""))</f>
        <v/>
      </c>
      <c r="G53" s="719" t="str" cm="1">
        <f t="array" aca="1" ref="G53" ca="1">IF($D53&gt;0,INDIRECT(ADDRESS($D53+15,G$4, 1, 1, "11. Unit Mix")), IF($E53&gt;0,INDIRECT(ADDRESS($E53+103,G$4, 1, 1, "11. Unit Mix")), ""))</f>
        <v/>
      </c>
      <c r="H53" s="719" t="str" cm="1">
        <f t="array" aca="1" ref="H53" ca="1">IF($D53&gt;0,INDIRECT(ADDRESS($D53+15,H$4, 1, 1, "11. Unit Mix")), IF($E53&gt;0,INDIRECT(ADDRESS($E53+103,H$4, 1, 1, "11. Unit Mix")), ""))</f>
        <v/>
      </c>
      <c r="I53" s="1080" t="str" cm="1">
        <f t="array" aca="1" ref="I53" ca="1">IF($D53&gt;0,INDIRECT(ADDRESS($D53+15,I$4, 1, 1, "11. Unit Mix")), "")</f>
        <v/>
      </c>
      <c r="J53" s="719" t="str" cm="1">
        <f t="array" aca="1" ref="J53" ca="1">IF($D53&gt;0,INDIRECT(ADDRESS($D53+15,J$4, 1, 1, "11. Unit Mix")), IF($E53&gt;0,INDIRECT(ADDRESS($E53+103,J$4, 1, 1, "11. Unit Mix")), ""))</f>
        <v/>
      </c>
      <c r="K53" s="719" t="str" cm="1">
        <f t="array" aca="1" ref="K53" ca="1">IF($D53&gt;0,INDIRECT(ADDRESS($D53+15,K$4, 1, 1, "11. Unit Mix")), IF($E53&gt;0,INDIRECT(ADDRESS($E53+103,K$4, 1, 1, "11. Unit Mix")), ""))</f>
        <v/>
      </c>
    </row>
    <row r="54" spans="1:11">
      <c r="A54">
        <f t="shared" si="1"/>
        <v>50</v>
      </c>
      <c r="B54">
        <f t="shared" si="2"/>
        <v>0</v>
      </c>
      <c r="C54">
        <f t="shared" si="3"/>
        <v>0</v>
      </c>
      <c r="D54">
        <f t="shared" si="4"/>
        <v>0</v>
      </c>
      <c r="E54">
        <f t="shared" si="5"/>
        <v>0</v>
      </c>
      <c r="F54" s="719" t="str" cm="1">
        <f t="array" aca="1" ref="F54" ca="1">IF($D54&gt;0,INDIRECT(ADDRESS($D54+15,F$4, 1, 1, "11. Unit Mix")), IF($E54&gt;0,INDIRECT(ADDRESS($E54+103,F$4, 1, 1, "11. Unit Mix")), ""))</f>
        <v/>
      </c>
      <c r="G54" s="719" t="str" cm="1">
        <f t="array" aca="1" ref="G54" ca="1">IF($D54&gt;0,INDIRECT(ADDRESS($D54+15,G$4, 1, 1, "11. Unit Mix")), IF($E54&gt;0,INDIRECT(ADDRESS($E54+103,G$4, 1, 1, "11. Unit Mix")), ""))</f>
        <v/>
      </c>
      <c r="H54" s="719" t="str" cm="1">
        <f t="array" aca="1" ref="H54" ca="1">IF($D54&gt;0,INDIRECT(ADDRESS($D54+15,H$4, 1, 1, "11. Unit Mix")), IF($E54&gt;0,INDIRECT(ADDRESS($E54+103,H$4, 1, 1, "11. Unit Mix")), ""))</f>
        <v/>
      </c>
      <c r="I54" s="1080" t="str" cm="1">
        <f t="array" aca="1" ref="I54" ca="1">IF($D54&gt;0,INDIRECT(ADDRESS($D54+15,I$4, 1, 1, "11. Unit Mix")), "")</f>
        <v/>
      </c>
      <c r="J54" s="719" t="str" cm="1">
        <f t="array" aca="1" ref="J54" ca="1">IF($D54&gt;0,INDIRECT(ADDRESS($D54+15,J$4, 1, 1, "11. Unit Mix")), IF($E54&gt;0,INDIRECT(ADDRESS($E54+103,J$4, 1, 1, "11. Unit Mix")), ""))</f>
        <v/>
      </c>
      <c r="K54" s="719" t="str" cm="1">
        <f t="array" aca="1" ref="K54" ca="1">IF($D54&gt;0,INDIRECT(ADDRESS($D54+15,K$4, 1, 1, "11. Unit Mix")), IF($E54&gt;0,INDIRECT(ADDRESS($E54+103,K$4, 1, 1, "11. Unit Mix")), ""))</f>
        <v/>
      </c>
    </row>
    <row r="55" spans="1:11">
      <c r="A55">
        <f t="shared" si="1"/>
        <v>51</v>
      </c>
      <c r="B55">
        <f t="shared" si="2"/>
        <v>0</v>
      </c>
      <c r="C55">
        <f t="shared" si="3"/>
        <v>0</v>
      </c>
      <c r="D55">
        <f t="shared" si="4"/>
        <v>0</v>
      </c>
      <c r="E55">
        <f t="shared" si="5"/>
        <v>0</v>
      </c>
      <c r="F55" s="719" t="str" cm="1">
        <f t="array" aca="1" ref="F55" ca="1">IF($D55&gt;0,INDIRECT(ADDRESS($D55+15,F$4, 1, 1, "11. Unit Mix")), IF($E55&gt;0,INDIRECT(ADDRESS($E55+103,F$4, 1, 1, "11. Unit Mix")), ""))</f>
        <v/>
      </c>
      <c r="G55" s="719" t="str" cm="1">
        <f t="array" aca="1" ref="G55" ca="1">IF($D55&gt;0,INDIRECT(ADDRESS($D55+15,G$4, 1, 1, "11. Unit Mix")), IF($E55&gt;0,INDIRECT(ADDRESS($E55+103,G$4, 1, 1, "11. Unit Mix")), ""))</f>
        <v/>
      </c>
      <c r="H55" s="719" t="str" cm="1">
        <f t="array" aca="1" ref="H55" ca="1">IF($D55&gt;0,INDIRECT(ADDRESS($D55+15,H$4, 1, 1, "11. Unit Mix")), IF($E55&gt;0,INDIRECT(ADDRESS($E55+103,H$4, 1, 1, "11. Unit Mix")), ""))</f>
        <v/>
      </c>
      <c r="I55" s="1080" t="str" cm="1">
        <f t="array" aca="1" ref="I55" ca="1">IF($D55&gt;0,INDIRECT(ADDRESS($D55+15,I$4, 1, 1, "11. Unit Mix")), "")</f>
        <v/>
      </c>
      <c r="J55" s="719" t="str" cm="1">
        <f t="array" aca="1" ref="J55" ca="1">IF($D55&gt;0,INDIRECT(ADDRESS($D55+15,J$4, 1, 1, "11. Unit Mix")), IF($E55&gt;0,INDIRECT(ADDRESS($E55+103,J$4, 1, 1, "11. Unit Mix")), ""))</f>
        <v/>
      </c>
      <c r="K55" s="719" t="str" cm="1">
        <f t="array" aca="1" ref="K55" ca="1">IF($D55&gt;0,INDIRECT(ADDRESS($D55+15,K$4, 1, 1, "11. Unit Mix")), IF($E55&gt;0,INDIRECT(ADDRESS($E55+103,K$4, 1, 1, "11. Unit Mix")), ""))</f>
        <v/>
      </c>
    </row>
    <row r="56" spans="1:11">
      <c r="A56">
        <f t="shared" si="1"/>
        <v>52</v>
      </c>
      <c r="B56">
        <f t="shared" si="2"/>
        <v>0</v>
      </c>
      <c r="C56">
        <f t="shared" si="3"/>
        <v>0</v>
      </c>
      <c r="D56">
        <f t="shared" si="4"/>
        <v>0</v>
      </c>
      <c r="E56">
        <f t="shared" si="5"/>
        <v>0</v>
      </c>
      <c r="F56" s="719" t="str" cm="1">
        <f t="array" aca="1" ref="F56" ca="1">IF($D56&gt;0,INDIRECT(ADDRESS($D56+15,F$4, 1, 1, "11. Unit Mix")), IF($E56&gt;0,INDIRECT(ADDRESS($E56+103,F$4, 1, 1, "11. Unit Mix")), ""))</f>
        <v/>
      </c>
      <c r="G56" s="719" t="str" cm="1">
        <f t="array" aca="1" ref="G56" ca="1">IF($D56&gt;0,INDIRECT(ADDRESS($D56+15,G$4, 1, 1, "11. Unit Mix")), IF($E56&gt;0,INDIRECT(ADDRESS($E56+103,G$4, 1, 1, "11. Unit Mix")), ""))</f>
        <v/>
      </c>
      <c r="H56" s="719" t="str" cm="1">
        <f t="array" aca="1" ref="H56" ca="1">IF($D56&gt;0,INDIRECT(ADDRESS($D56+15,H$4, 1, 1, "11. Unit Mix")), IF($E56&gt;0,INDIRECT(ADDRESS($E56+103,H$4, 1, 1, "11. Unit Mix")), ""))</f>
        <v/>
      </c>
      <c r="I56" s="1080" t="str" cm="1">
        <f t="array" aca="1" ref="I56" ca="1">IF($D56&gt;0,INDIRECT(ADDRESS($D56+15,I$4, 1, 1, "11. Unit Mix")), "")</f>
        <v/>
      </c>
      <c r="J56" s="719" t="str" cm="1">
        <f t="array" aca="1" ref="J56" ca="1">IF($D56&gt;0,INDIRECT(ADDRESS($D56+15,J$4, 1, 1, "11. Unit Mix")), IF($E56&gt;0,INDIRECT(ADDRESS($E56+103,J$4, 1, 1, "11. Unit Mix")), ""))</f>
        <v/>
      </c>
      <c r="K56" s="719" t="str" cm="1">
        <f t="array" aca="1" ref="K56" ca="1">IF($D56&gt;0,INDIRECT(ADDRESS($D56+15,K$4, 1, 1, "11. Unit Mix")), IF($E56&gt;0,INDIRECT(ADDRESS($E56+103,K$4, 1, 1, "11. Unit Mix")), ""))</f>
        <v/>
      </c>
    </row>
    <row r="57" spans="1:11">
      <c r="A57">
        <f t="shared" si="1"/>
        <v>53</v>
      </c>
      <c r="B57">
        <f t="shared" si="2"/>
        <v>0</v>
      </c>
      <c r="C57">
        <f t="shared" si="3"/>
        <v>0</v>
      </c>
      <c r="D57">
        <f t="shared" si="4"/>
        <v>0</v>
      </c>
      <c r="E57">
        <f t="shared" si="5"/>
        <v>0</v>
      </c>
      <c r="F57" s="719" t="str" cm="1">
        <f t="array" aca="1" ref="F57" ca="1">IF($D57&gt;0,INDIRECT(ADDRESS($D57+15,F$4, 1, 1, "11. Unit Mix")), IF($E57&gt;0,INDIRECT(ADDRESS($E57+103,F$4, 1, 1, "11. Unit Mix")), ""))</f>
        <v/>
      </c>
      <c r="G57" s="719" t="str" cm="1">
        <f t="array" aca="1" ref="G57" ca="1">IF($D57&gt;0,INDIRECT(ADDRESS($D57+15,G$4, 1, 1, "11. Unit Mix")), IF($E57&gt;0,INDIRECT(ADDRESS($E57+103,G$4, 1, 1, "11. Unit Mix")), ""))</f>
        <v/>
      </c>
      <c r="H57" s="719" t="str" cm="1">
        <f t="array" aca="1" ref="H57" ca="1">IF($D57&gt;0,INDIRECT(ADDRESS($D57+15,H$4, 1, 1, "11. Unit Mix")), IF($E57&gt;0,INDIRECT(ADDRESS($E57+103,H$4, 1, 1, "11. Unit Mix")), ""))</f>
        <v/>
      </c>
      <c r="I57" s="1080" t="str" cm="1">
        <f t="array" aca="1" ref="I57" ca="1">IF($D57&gt;0,INDIRECT(ADDRESS($D57+15,I$4, 1, 1, "11. Unit Mix")), "")</f>
        <v/>
      </c>
      <c r="J57" s="719" t="str" cm="1">
        <f t="array" aca="1" ref="J57" ca="1">IF($D57&gt;0,INDIRECT(ADDRESS($D57+15,J$4, 1, 1, "11. Unit Mix")), IF($E57&gt;0,INDIRECT(ADDRESS($E57+103,J$4, 1, 1, "11. Unit Mix")), ""))</f>
        <v/>
      </c>
      <c r="K57" s="719" t="str" cm="1">
        <f t="array" aca="1" ref="K57" ca="1">IF($D57&gt;0,INDIRECT(ADDRESS($D57+15,K$4, 1, 1, "11. Unit Mix")), IF($E57&gt;0,INDIRECT(ADDRESS($E57+103,K$4, 1, 1, "11. Unit Mix")), ""))</f>
        <v/>
      </c>
    </row>
    <row r="58" spans="1:11">
      <c r="A58">
        <f t="shared" si="1"/>
        <v>54</v>
      </c>
      <c r="B58">
        <f t="shared" si="2"/>
        <v>0</v>
      </c>
      <c r="C58">
        <f t="shared" si="3"/>
        <v>0</v>
      </c>
      <c r="D58">
        <f t="shared" si="4"/>
        <v>0</v>
      </c>
      <c r="E58">
        <f t="shared" si="5"/>
        <v>0</v>
      </c>
      <c r="F58" s="719" t="str" cm="1">
        <f t="array" aca="1" ref="F58" ca="1">IF($D58&gt;0,INDIRECT(ADDRESS($D58+15,F$4, 1, 1, "11. Unit Mix")), IF($E58&gt;0,INDIRECT(ADDRESS($E58+103,F$4, 1, 1, "11. Unit Mix")), ""))</f>
        <v/>
      </c>
      <c r="G58" s="719" t="str" cm="1">
        <f t="array" aca="1" ref="G58" ca="1">IF($D58&gt;0,INDIRECT(ADDRESS($D58+15,G$4, 1, 1, "11. Unit Mix")), IF($E58&gt;0,INDIRECT(ADDRESS($E58+103,G$4, 1, 1, "11. Unit Mix")), ""))</f>
        <v/>
      </c>
      <c r="H58" s="719" t="str" cm="1">
        <f t="array" aca="1" ref="H58" ca="1">IF($D58&gt;0,INDIRECT(ADDRESS($D58+15,H$4, 1, 1, "11. Unit Mix")), IF($E58&gt;0,INDIRECT(ADDRESS($E58+103,H$4, 1, 1, "11. Unit Mix")), ""))</f>
        <v/>
      </c>
      <c r="I58" s="1080" t="str" cm="1">
        <f t="array" aca="1" ref="I58" ca="1">IF($D58&gt;0,INDIRECT(ADDRESS($D58+15,I$4, 1, 1, "11. Unit Mix")), "")</f>
        <v/>
      </c>
      <c r="J58" s="719" t="str" cm="1">
        <f t="array" aca="1" ref="J58" ca="1">IF($D58&gt;0,INDIRECT(ADDRESS($D58+15,J$4, 1, 1, "11. Unit Mix")), IF($E58&gt;0,INDIRECT(ADDRESS($E58+103,J$4, 1, 1, "11. Unit Mix")), ""))</f>
        <v/>
      </c>
      <c r="K58" s="719" t="str" cm="1">
        <f t="array" aca="1" ref="K58" ca="1">IF($D58&gt;0,INDIRECT(ADDRESS($D58+15,K$4, 1, 1, "11. Unit Mix")), IF($E58&gt;0,INDIRECT(ADDRESS($E58+103,K$4, 1, 1, "11. Unit Mix")), ""))</f>
        <v/>
      </c>
    </row>
    <row r="59" spans="1:11">
      <c r="A59">
        <f t="shared" si="1"/>
        <v>55</v>
      </c>
      <c r="B59">
        <f t="shared" si="2"/>
        <v>0</v>
      </c>
      <c r="C59">
        <f t="shared" si="3"/>
        <v>0</v>
      </c>
      <c r="D59">
        <f t="shared" si="4"/>
        <v>0</v>
      </c>
      <c r="E59">
        <f t="shared" si="5"/>
        <v>0</v>
      </c>
      <c r="F59" s="719" t="str" cm="1">
        <f t="array" aca="1" ref="F59" ca="1">IF($D59&gt;0,INDIRECT(ADDRESS($D59+15,F$4, 1, 1, "11. Unit Mix")), IF($E59&gt;0,INDIRECT(ADDRESS($E59+103,F$4, 1, 1, "11. Unit Mix")), ""))</f>
        <v/>
      </c>
      <c r="G59" s="719" t="str" cm="1">
        <f t="array" aca="1" ref="G59" ca="1">IF($D59&gt;0,INDIRECT(ADDRESS($D59+15,G$4, 1, 1, "11. Unit Mix")), IF($E59&gt;0,INDIRECT(ADDRESS($E59+103,G$4, 1, 1, "11. Unit Mix")), ""))</f>
        <v/>
      </c>
      <c r="H59" s="719" t="str" cm="1">
        <f t="array" aca="1" ref="H59" ca="1">IF($D59&gt;0,INDIRECT(ADDRESS($D59+15,H$4, 1, 1, "11. Unit Mix")), IF($E59&gt;0,INDIRECT(ADDRESS($E59+103,H$4, 1, 1, "11. Unit Mix")), ""))</f>
        <v/>
      </c>
      <c r="I59" s="1080" t="str" cm="1">
        <f t="array" aca="1" ref="I59" ca="1">IF($D59&gt;0,INDIRECT(ADDRESS($D59+15,I$4, 1, 1, "11. Unit Mix")), "")</f>
        <v/>
      </c>
      <c r="J59" s="719" t="str" cm="1">
        <f t="array" aca="1" ref="J59" ca="1">IF($D59&gt;0,INDIRECT(ADDRESS($D59+15,J$4, 1, 1, "11. Unit Mix")), IF($E59&gt;0,INDIRECT(ADDRESS($E59+103,J$4, 1, 1, "11. Unit Mix")), ""))</f>
        <v/>
      </c>
      <c r="K59" s="719" t="str" cm="1">
        <f t="array" aca="1" ref="K59" ca="1">IF($D59&gt;0,INDIRECT(ADDRESS($D59+15,K$4, 1, 1, "11. Unit Mix")), IF($E59&gt;0,INDIRECT(ADDRESS($E59+103,K$4, 1, 1, "11. Unit Mix")), ""))</f>
        <v/>
      </c>
    </row>
    <row r="60" spans="1:11">
      <c r="A60">
        <f t="shared" si="1"/>
        <v>56</v>
      </c>
      <c r="B60">
        <f t="shared" si="2"/>
        <v>0</v>
      </c>
      <c r="C60">
        <f t="shared" si="3"/>
        <v>0</v>
      </c>
      <c r="D60">
        <f t="shared" si="4"/>
        <v>0</v>
      </c>
      <c r="E60">
        <f t="shared" si="5"/>
        <v>0</v>
      </c>
      <c r="F60" s="719" t="str" cm="1">
        <f t="array" aca="1" ref="F60" ca="1">IF($D60&gt;0,INDIRECT(ADDRESS($D60+15,F$4, 1, 1, "11. Unit Mix")), IF($E60&gt;0,INDIRECT(ADDRESS($E60+103,F$4, 1, 1, "11. Unit Mix")), ""))</f>
        <v/>
      </c>
      <c r="G60" s="719" t="str" cm="1">
        <f t="array" aca="1" ref="G60" ca="1">IF($D60&gt;0,INDIRECT(ADDRESS($D60+15,G$4, 1, 1, "11. Unit Mix")), IF($E60&gt;0,INDIRECT(ADDRESS($E60+103,G$4, 1, 1, "11. Unit Mix")), ""))</f>
        <v/>
      </c>
      <c r="H60" s="719" t="str" cm="1">
        <f t="array" aca="1" ref="H60" ca="1">IF($D60&gt;0,INDIRECT(ADDRESS($D60+15,H$4, 1, 1, "11. Unit Mix")), IF($E60&gt;0,INDIRECT(ADDRESS($E60+103,H$4, 1, 1, "11. Unit Mix")), ""))</f>
        <v/>
      </c>
      <c r="I60" s="1080" t="str" cm="1">
        <f t="array" aca="1" ref="I60" ca="1">IF($D60&gt;0,INDIRECT(ADDRESS($D60+15,I$4, 1, 1, "11. Unit Mix")), "")</f>
        <v/>
      </c>
      <c r="J60" s="719" t="str" cm="1">
        <f t="array" aca="1" ref="J60" ca="1">IF($D60&gt;0,INDIRECT(ADDRESS($D60+15,J$4, 1, 1, "11. Unit Mix")), IF($E60&gt;0,INDIRECT(ADDRESS($E60+103,J$4, 1, 1, "11. Unit Mix")), ""))</f>
        <v/>
      </c>
      <c r="K60" s="719" t="str" cm="1">
        <f t="array" aca="1" ref="K60" ca="1">IF($D60&gt;0,INDIRECT(ADDRESS($D60+15,K$4, 1, 1, "11. Unit Mix")), IF($E60&gt;0,INDIRECT(ADDRESS($E60+103,K$4, 1, 1, "11. Unit Mix")), ""))</f>
        <v/>
      </c>
    </row>
    <row r="61" spans="1:11">
      <c r="A61">
        <f t="shared" si="1"/>
        <v>57</v>
      </c>
      <c r="B61">
        <f t="shared" si="2"/>
        <v>0</v>
      </c>
      <c r="C61">
        <f t="shared" si="3"/>
        <v>0</v>
      </c>
      <c r="D61">
        <f t="shared" si="4"/>
        <v>0</v>
      </c>
      <c r="E61">
        <f t="shared" si="5"/>
        <v>0</v>
      </c>
      <c r="F61" s="719" t="str" cm="1">
        <f t="array" aca="1" ref="F61" ca="1">IF($D61&gt;0,INDIRECT(ADDRESS($D61+15,F$4, 1, 1, "11. Unit Mix")), IF($E61&gt;0,INDIRECT(ADDRESS($E61+103,F$4, 1, 1, "11. Unit Mix")), ""))</f>
        <v/>
      </c>
      <c r="G61" s="719" t="str" cm="1">
        <f t="array" aca="1" ref="G61" ca="1">IF($D61&gt;0,INDIRECT(ADDRESS($D61+15,G$4, 1, 1, "11. Unit Mix")), IF($E61&gt;0,INDIRECT(ADDRESS($E61+103,G$4, 1, 1, "11. Unit Mix")), ""))</f>
        <v/>
      </c>
      <c r="H61" s="719" t="str" cm="1">
        <f t="array" aca="1" ref="H61" ca="1">IF($D61&gt;0,INDIRECT(ADDRESS($D61+15,H$4, 1, 1, "11. Unit Mix")), IF($E61&gt;0,INDIRECT(ADDRESS($E61+103,H$4, 1, 1, "11. Unit Mix")), ""))</f>
        <v/>
      </c>
      <c r="I61" s="1080" t="str" cm="1">
        <f t="array" aca="1" ref="I61" ca="1">IF($D61&gt;0,INDIRECT(ADDRESS($D61+15,I$4, 1, 1, "11. Unit Mix")), "")</f>
        <v/>
      </c>
      <c r="J61" s="719" t="str" cm="1">
        <f t="array" aca="1" ref="J61" ca="1">IF($D61&gt;0,INDIRECT(ADDRESS($D61+15,J$4, 1, 1, "11. Unit Mix")), IF($E61&gt;0,INDIRECT(ADDRESS($E61+103,J$4, 1, 1, "11. Unit Mix")), ""))</f>
        <v/>
      </c>
      <c r="K61" s="719" t="str" cm="1">
        <f t="array" aca="1" ref="K61" ca="1">IF($D61&gt;0,INDIRECT(ADDRESS($D61+15,K$4, 1, 1, "11. Unit Mix")), IF($E61&gt;0,INDIRECT(ADDRESS($E61+103,K$4, 1, 1, "11. Unit Mix")), ""))</f>
        <v/>
      </c>
    </row>
    <row r="62" spans="1:11">
      <c r="A62">
        <f t="shared" si="1"/>
        <v>58</v>
      </c>
      <c r="B62">
        <f t="shared" si="2"/>
        <v>0</v>
      </c>
      <c r="C62">
        <f t="shared" si="3"/>
        <v>0</v>
      </c>
      <c r="D62">
        <f t="shared" si="4"/>
        <v>0</v>
      </c>
      <c r="E62">
        <f t="shared" si="5"/>
        <v>0</v>
      </c>
      <c r="F62" s="719" t="str" cm="1">
        <f t="array" aca="1" ref="F62" ca="1">IF($D62&gt;0,INDIRECT(ADDRESS($D62+15,F$4, 1, 1, "11. Unit Mix")), IF($E62&gt;0,INDIRECT(ADDRESS($E62+103,F$4, 1, 1, "11. Unit Mix")), ""))</f>
        <v/>
      </c>
      <c r="G62" s="719" t="str" cm="1">
        <f t="array" aca="1" ref="G62" ca="1">IF($D62&gt;0,INDIRECT(ADDRESS($D62+15,G$4, 1, 1, "11. Unit Mix")), IF($E62&gt;0,INDIRECT(ADDRESS($E62+103,G$4, 1, 1, "11. Unit Mix")), ""))</f>
        <v/>
      </c>
      <c r="H62" s="719" t="str" cm="1">
        <f t="array" aca="1" ref="H62" ca="1">IF($D62&gt;0,INDIRECT(ADDRESS($D62+15,H$4, 1, 1, "11. Unit Mix")), IF($E62&gt;0,INDIRECT(ADDRESS($E62+103,H$4, 1, 1, "11. Unit Mix")), ""))</f>
        <v/>
      </c>
      <c r="I62" s="1080" t="str" cm="1">
        <f t="array" aca="1" ref="I62" ca="1">IF($D62&gt;0,INDIRECT(ADDRESS($D62+15,I$4, 1, 1, "11. Unit Mix")), "")</f>
        <v/>
      </c>
      <c r="J62" s="719" t="str" cm="1">
        <f t="array" aca="1" ref="J62" ca="1">IF($D62&gt;0,INDIRECT(ADDRESS($D62+15,J$4, 1, 1, "11. Unit Mix")), IF($E62&gt;0,INDIRECT(ADDRESS($E62+103,J$4, 1, 1, "11. Unit Mix")), ""))</f>
        <v/>
      </c>
      <c r="K62" s="719" t="str" cm="1">
        <f t="array" aca="1" ref="K62" ca="1">IF($D62&gt;0,INDIRECT(ADDRESS($D62+15,K$4, 1, 1, "11. Unit Mix")), IF($E62&gt;0,INDIRECT(ADDRESS($E62+103,K$4, 1, 1, "11. Unit Mix")), ""))</f>
        <v/>
      </c>
    </row>
    <row r="63" spans="1:11">
      <c r="A63">
        <f t="shared" si="1"/>
        <v>59</v>
      </c>
      <c r="B63">
        <f t="shared" si="2"/>
        <v>0</v>
      </c>
      <c r="C63">
        <f t="shared" si="3"/>
        <v>0</v>
      </c>
      <c r="D63">
        <f t="shared" si="4"/>
        <v>0</v>
      </c>
      <c r="E63">
        <f t="shared" si="5"/>
        <v>0</v>
      </c>
      <c r="F63" s="719" t="str" cm="1">
        <f t="array" aca="1" ref="F63" ca="1">IF($D63&gt;0,INDIRECT(ADDRESS($D63+15,F$4, 1, 1, "11. Unit Mix")), IF($E63&gt;0,INDIRECT(ADDRESS($E63+103,F$4, 1, 1, "11. Unit Mix")), ""))</f>
        <v/>
      </c>
      <c r="G63" s="719" t="str" cm="1">
        <f t="array" aca="1" ref="G63" ca="1">IF($D63&gt;0,INDIRECT(ADDRESS($D63+15,G$4, 1, 1, "11. Unit Mix")), IF($E63&gt;0,INDIRECT(ADDRESS($E63+103,G$4, 1, 1, "11. Unit Mix")), ""))</f>
        <v/>
      </c>
      <c r="H63" s="719" t="str" cm="1">
        <f t="array" aca="1" ref="H63" ca="1">IF($D63&gt;0,INDIRECT(ADDRESS($D63+15,H$4, 1, 1, "11. Unit Mix")), IF($E63&gt;0,INDIRECT(ADDRESS($E63+103,H$4, 1, 1, "11. Unit Mix")), ""))</f>
        <v/>
      </c>
      <c r="I63" s="1080" t="str" cm="1">
        <f t="array" aca="1" ref="I63" ca="1">IF($D63&gt;0,INDIRECT(ADDRESS($D63+15,I$4, 1, 1, "11. Unit Mix")), "")</f>
        <v/>
      </c>
      <c r="J63" s="719" t="str" cm="1">
        <f t="array" aca="1" ref="J63" ca="1">IF($D63&gt;0,INDIRECT(ADDRESS($D63+15,J$4, 1, 1, "11. Unit Mix")), IF($E63&gt;0,INDIRECT(ADDRESS($E63+103,J$4, 1, 1, "11. Unit Mix")), ""))</f>
        <v/>
      </c>
      <c r="K63" s="719" t="str" cm="1">
        <f t="array" aca="1" ref="K63" ca="1">IF($D63&gt;0,INDIRECT(ADDRESS($D63+15,K$4, 1, 1, "11. Unit Mix")), IF($E63&gt;0,INDIRECT(ADDRESS($E63+103,K$4, 1, 1, "11. Unit Mix")), ""))</f>
        <v/>
      </c>
    </row>
    <row r="64" spans="1:11">
      <c r="A64">
        <f t="shared" si="1"/>
        <v>60</v>
      </c>
      <c r="B64">
        <f t="shared" si="2"/>
        <v>0</v>
      </c>
      <c r="C64">
        <f t="shared" si="3"/>
        <v>0</v>
      </c>
      <c r="D64">
        <f t="shared" si="4"/>
        <v>0</v>
      </c>
      <c r="E64">
        <f t="shared" si="5"/>
        <v>0</v>
      </c>
      <c r="F64" s="719" t="str" cm="1">
        <f t="array" aca="1" ref="F64" ca="1">IF($D64&gt;0,INDIRECT(ADDRESS($D64+15,F$4, 1, 1, "11. Unit Mix")), IF($E64&gt;0,INDIRECT(ADDRESS($E64+103,F$4, 1, 1, "11. Unit Mix")), ""))</f>
        <v/>
      </c>
      <c r="G64" s="719" t="str" cm="1">
        <f t="array" aca="1" ref="G64" ca="1">IF($D64&gt;0,INDIRECT(ADDRESS($D64+15,G$4, 1, 1, "11. Unit Mix")), IF($E64&gt;0,INDIRECT(ADDRESS($E64+103,G$4, 1, 1, "11. Unit Mix")), ""))</f>
        <v/>
      </c>
      <c r="H64" s="719" t="str" cm="1">
        <f t="array" aca="1" ref="H64" ca="1">IF($D64&gt;0,INDIRECT(ADDRESS($D64+15,H$4, 1, 1, "11. Unit Mix")), IF($E64&gt;0,INDIRECT(ADDRESS($E64+103,H$4, 1, 1, "11. Unit Mix")), ""))</f>
        <v/>
      </c>
      <c r="I64" s="1080" t="str" cm="1">
        <f t="array" aca="1" ref="I64" ca="1">IF($D64&gt;0,INDIRECT(ADDRESS($D64+15,I$4, 1, 1, "11. Unit Mix")), "")</f>
        <v/>
      </c>
      <c r="J64" s="719" t="str" cm="1">
        <f t="array" aca="1" ref="J64" ca="1">IF($D64&gt;0,INDIRECT(ADDRESS($D64+15,J$4, 1, 1, "11. Unit Mix")), IF($E64&gt;0,INDIRECT(ADDRESS($E64+103,J$4, 1, 1, "11. Unit Mix")), ""))</f>
        <v/>
      </c>
      <c r="K64" s="719" t="str" cm="1">
        <f t="array" aca="1" ref="K64" ca="1">IF($D64&gt;0,INDIRECT(ADDRESS($D64+15,K$4, 1, 1, "11. Unit Mix")), IF($E64&gt;0,INDIRECT(ADDRESS($E64+103,K$4, 1, 1, "11. Unit Mix")), ""))</f>
        <v/>
      </c>
    </row>
  </sheetData>
  <sheetProtection algorithmName="SHA-512" hashValue="6wUD2oQOaTpZi1nJuTuCS2c9oskAqwPCahGUaZLPvFek1XWImD+w1eTvaW/C51P4/7nq+LxMvC1B93o+D9d5ew==" saltValue="cgk5nrgG5H6+KbzmOSY2uA==" spinCount="100000" sheet="1" objects="1" scenarios="1" selectLockedCells="1"/>
  <conditionalFormatting sqref="F5:K64">
    <cfRule type="expression" dxfId="310" priority="3">
      <formula>$E5&gt;0</formula>
    </cfRule>
    <cfRule type="expression" dxfId="309" priority="4">
      <formula>$D5&gt;0</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2C03-8ABD-43C7-9703-A4221DD808E7}">
  <sheetPr codeName="Sheet43">
    <tabColor rgb="FFFFFF00"/>
  </sheetPr>
  <dimension ref="A1:BG489"/>
  <sheetViews>
    <sheetView workbookViewId="0">
      <selection activeCell="I4" sqref="I4"/>
    </sheetView>
  </sheetViews>
  <sheetFormatPr baseColWidth="10" defaultColWidth="8.83203125" defaultRowHeight="15"/>
  <cols>
    <col min="1" max="1" width="9.5" customWidth="1"/>
    <col min="2" max="2" width="48.5" customWidth="1"/>
    <col min="3" max="3" width="20.83203125" customWidth="1"/>
    <col min="4" max="4" width="23.5" customWidth="1"/>
    <col min="5" max="6" width="17.83203125" customWidth="1"/>
    <col min="7" max="7" width="15" customWidth="1"/>
    <col min="8" max="8" width="7.5" bestFit="1" customWidth="1"/>
    <col min="9" max="10" width="12.1640625" customWidth="1"/>
    <col min="11" max="11" width="19.83203125" bestFit="1" customWidth="1"/>
    <col min="12" max="12" width="12.5" customWidth="1"/>
    <col min="13" max="13" width="23.5" customWidth="1"/>
    <col min="14" max="14" width="19.5" customWidth="1"/>
    <col min="15" max="15" width="27" customWidth="1"/>
    <col min="16" max="16" width="18.1640625" customWidth="1"/>
  </cols>
  <sheetData>
    <row r="1" spans="1:59" ht="19">
      <c r="A1" s="8" t="s">
        <v>3678</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row>
    <row r="2" spans="1:59">
      <c r="A2" s="45"/>
      <c r="B2" s="10" t="s">
        <v>3679</v>
      </c>
      <c r="C2" s="417">
        <f>'14. Project Costs'!F173</f>
        <v>0</v>
      </c>
      <c r="D2" s="799"/>
      <c r="E2" s="6"/>
      <c r="F2" s="27" t="s">
        <v>3680</v>
      </c>
      <c r="G2" s="27" t="s">
        <v>3681</v>
      </c>
      <c r="H2" s="27" t="s">
        <v>3682</v>
      </c>
      <c r="I2" s="27" t="s">
        <v>3683</v>
      </c>
      <c r="J2" s="27" t="s">
        <v>3684</v>
      </c>
      <c r="K2" s="27" t="s">
        <v>3685</v>
      </c>
      <c r="L2" s="6"/>
      <c r="M2" s="3"/>
      <c r="N2" s="3"/>
      <c r="O2" s="3"/>
      <c r="P2" s="3"/>
      <c r="Q2" s="3"/>
      <c r="R2" s="3"/>
      <c r="S2" s="3"/>
      <c r="T2" s="3"/>
      <c r="U2" s="3"/>
      <c r="V2" s="3"/>
      <c r="W2" s="3"/>
      <c r="X2" s="3"/>
      <c r="Y2" s="3"/>
      <c r="Z2" s="3"/>
      <c r="AA2" s="3"/>
      <c r="AB2" s="3"/>
      <c r="AC2" s="3"/>
      <c r="AD2" s="3"/>
      <c r="AE2" s="3"/>
      <c r="AF2" s="3"/>
      <c r="AG2" s="3"/>
      <c r="AH2" s="3"/>
      <c r="AI2" s="3"/>
      <c r="AJ2" s="3"/>
      <c r="AK2" s="3"/>
      <c r="AL2" s="3"/>
      <c r="AM2" s="3"/>
    </row>
    <row r="3" spans="1:59" ht="16" customHeight="1">
      <c r="A3" s="45"/>
      <c r="B3" s="10"/>
      <c r="C3" s="799"/>
      <c r="D3" s="799"/>
      <c r="E3" s="405" t="s">
        <v>3686</v>
      </c>
      <c r="F3" s="28">
        <f>C38</f>
        <v>10</v>
      </c>
      <c r="G3" s="406">
        <f>C40</f>
        <v>0</v>
      </c>
      <c r="H3" s="28">
        <f>F3*G3</f>
        <v>0</v>
      </c>
      <c r="I3" s="28">
        <v>1</v>
      </c>
      <c r="J3" s="28">
        <f>H3*I3</f>
        <v>0</v>
      </c>
      <c r="K3" s="407">
        <f>IFERROR(J3/J5,0)</f>
        <v>0</v>
      </c>
      <c r="L3" s="6"/>
      <c r="M3" s="3"/>
      <c r="N3" s="3"/>
      <c r="O3" s="3"/>
      <c r="P3" s="3"/>
      <c r="Q3" s="3"/>
      <c r="R3" s="3"/>
      <c r="S3" s="3"/>
      <c r="T3" s="3"/>
      <c r="U3" s="3"/>
      <c r="V3" s="3"/>
      <c r="W3" s="3"/>
      <c r="X3" s="3"/>
      <c r="Y3" s="3"/>
      <c r="Z3" s="3"/>
      <c r="AA3" s="3"/>
      <c r="AB3" s="3"/>
      <c r="AC3" s="3"/>
      <c r="AD3" s="3"/>
      <c r="AE3" s="3"/>
      <c r="AF3" s="3"/>
      <c r="AG3" s="3"/>
      <c r="AH3" s="3"/>
      <c r="AI3" s="3"/>
      <c r="AJ3" s="3"/>
      <c r="AK3" s="3"/>
      <c r="AL3" s="3"/>
      <c r="AM3" s="3"/>
    </row>
    <row r="4" spans="1:59">
      <c r="A4" s="45"/>
      <c r="B4" s="10" t="s">
        <v>3687</v>
      </c>
      <c r="C4" s="6"/>
      <c r="D4" s="799"/>
      <c r="E4" s="408" t="s">
        <v>3688</v>
      </c>
      <c r="F4" s="28">
        <f>G38</f>
        <v>6</v>
      </c>
      <c r="G4" s="406">
        <f>G40</f>
        <v>0</v>
      </c>
      <c r="H4" s="28">
        <f>F4*G4</f>
        <v>0</v>
      </c>
      <c r="I4" s="425">
        <f>'4. Project Description'!D55</f>
        <v>0</v>
      </c>
      <c r="J4" s="28">
        <f>H4*I4</f>
        <v>0</v>
      </c>
      <c r="K4" s="407">
        <f>IFERROR(J4/J5,0)</f>
        <v>0</v>
      </c>
      <c r="L4" s="6"/>
      <c r="M4" s="3"/>
      <c r="N4" s="3"/>
      <c r="O4" s="3"/>
      <c r="P4" s="3"/>
      <c r="Q4" s="3"/>
      <c r="R4" s="3"/>
      <c r="S4" s="3"/>
      <c r="T4" s="3"/>
      <c r="U4" s="3"/>
      <c r="V4" s="3"/>
      <c r="W4" s="3"/>
      <c r="X4" s="3"/>
      <c r="Y4" s="3"/>
      <c r="Z4" s="3"/>
      <c r="AA4" s="3"/>
      <c r="AB4" s="3"/>
      <c r="AC4" s="3"/>
      <c r="AD4" s="3"/>
      <c r="AE4" s="3"/>
      <c r="AF4" s="3"/>
      <c r="AG4" s="3"/>
      <c r="AH4" s="3"/>
      <c r="AI4" s="3"/>
      <c r="AJ4" s="3"/>
      <c r="AK4" s="3"/>
      <c r="AL4" s="3"/>
      <c r="AM4" s="3"/>
    </row>
    <row r="5" spans="1:59">
      <c r="A5" s="45"/>
      <c r="B5" s="769" t="s">
        <v>3689</v>
      </c>
      <c r="C5" s="417">
        <f>'12. Funding Sources'!E11</f>
        <v>0</v>
      </c>
      <c r="D5" s="799"/>
      <c r="E5" s="409"/>
      <c r="F5" s="6"/>
      <c r="G5" s="6" t="s">
        <v>3690</v>
      </c>
      <c r="H5" s="28">
        <f>H3+H4</f>
        <v>0</v>
      </c>
      <c r="I5" s="6"/>
      <c r="J5" s="28">
        <f>J3+J4</f>
        <v>0</v>
      </c>
      <c r="K5" s="6"/>
      <c r="L5" s="6"/>
      <c r="M5" s="3"/>
      <c r="N5" s="3"/>
      <c r="O5" s="3"/>
      <c r="P5" s="3"/>
      <c r="Q5" s="3"/>
      <c r="R5" s="3"/>
      <c r="S5" s="3"/>
      <c r="T5" s="3"/>
      <c r="U5" s="3"/>
      <c r="V5" s="3"/>
      <c r="W5" s="3"/>
      <c r="X5" s="3"/>
      <c r="Y5" s="3"/>
      <c r="Z5" s="3"/>
      <c r="AA5" s="3"/>
    </row>
    <row r="6" spans="1:59">
      <c r="A6" s="45"/>
      <c r="B6" s="769" t="s">
        <v>3691</v>
      </c>
      <c r="C6" s="417">
        <f>'12. Funding Sources'!E12</f>
        <v>0</v>
      </c>
      <c r="D6" s="799"/>
      <c r="E6" s="409"/>
      <c r="F6" s="6"/>
      <c r="G6" s="410"/>
      <c r="H6" s="6"/>
      <c r="I6" s="6"/>
      <c r="J6" s="6"/>
      <c r="K6" s="6"/>
      <c r="L6" s="6"/>
      <c r="M6" s="3"/>
      <c r="N6" s="3"/>
      <c r="O6" s="3"/>
      <c r="P6" s="3"/>
      <c r="Q6" s="3"/>
      <c r="R6" s="3"/>
      <c r="S6" s="3"/>
      <c r="T6" s="3"/>
      <c r="U6" s="3"/>
      <c r="V6" s="3"/>
      <c r="W6" s="3"/>
      <c r="X6" s="3"/>
      <c r="Y6" s="3"/>
      <c r="Z6" s="3"/>
      <c r="AA6" s="3"/>
    </row>
    <row r="7" spans="1:59">
      <c r="A7" s="45"/>
      <c r="B7" s="769" t="s">
        <v>3692</v>
      </c>
      <c r="C7" s="417">
        <f>'12. Funding Sources'!E13</f>
        <v>0</v>
      </c>
      <c r="D7" s="799"/>
      <c r="E7" s="409"/>
      <c r="F7" s="6"/>
      <c r="G7" s="410"/>
      <c r="H7" s="6"/>
      <c r="I7" s="6"/>
      <c r="J7" s="6"/>
      <c r="K7" s="6"/>
      <c r="L7" s="6"/>
      <c r="M7" s="3"/>
      <c r="N7" s="3"/>
      <c r="O7" s="3"/>
      <c r="P7" s="3"/>
      <c r="Q7" s="3"/>
      <c r="R7" s="3"/>
      <c r="S7" s="3"/>
      <c r="T7" s="3"/>
      <c r="U7" s="3"/>
      <c r="V7" s="3"/>
      <c r="W7" s="3"/>
      <c r="X7" s="3"/>
      <c r="Y7" s="3"/>
      <c r="Z7" s="3"/>
      <c r="AA7" s="3"/>
    </row>
    <row r="8" spans="1:59">
      <c r="A8" s="45"/>
      <c r="B8" s="769" t="s">
        <v>3693</v>
      </c>
      <c r="C8" s="417">
        <f>'12. Funding Sources'!E14</f>
        <v>0</v>
      </c>
      <c r="D8" s="799"/>
      <c r="E8" s="6"/>
      <c r="F8" s="6"/>
      <c r="G8" s="6"/>
      <c r="H8" s="6"/>
      <c r="I8" s="6"/>
      <c r="J8" s="6"/>
      <c r="K8" s="6"/>
      <c r="L8" s="6"/>
      <c r="M8" s="3"/>
      <c r="N8" s="3"/>
      <c r="O8" s="3"/>
      <c r="P8" s="3"/>
      <c r="Q8" s="3"/>
      <c r="R8" s="3"/>
      <c r="S8" s="3"/>
      <c r="T8" s="3"/>
      <c r="U8" s="3"/>
      <c r="V8" s="3"/>
      <c r="W8" s="3"/>
      <c r="X8" s="3"/>
      <c r="Y8" s="3"/>
      <c r="Z8" s="3"/>
      <c r="AA8" s="3"/>
    </row>
    <row r="9" spans="1:59">
      <c r="A9" s="45"/>
      <c r="B9" s="769" t="s">
        <v>3694</v>
      </c>
      <c r="C9" s="417">
        <f>'12. Funding Sources'!E15</f>
        <v>0</v>
      </c>
      <c r="D9" s="799"/>
      <c r="E9" s="6"/>
      <c r="F9" s="6"/>
      <c r="G9" s="6"/>
      <c r="H9" s="6"/>
      <c r="I9" s="6"/>
      <c r="J9" s="6"/>
      <c r="K9" s="6"/>
      <c r="L9" s="6"/>
      <c r="M9" s="3"/>
      <c r="N9" s="3"/>
      <c r="O9" s="3"/>
      <c r="P9" s="3"/>
      <c r="Q9" s="3"/>
      <c r="R9" s="3"/>
      <c r="S9" s="3"/>
      <c r="T9" s="3"/>
      <c r="U9" s="3"/>
      <c r="V9" s="3"/>
      <c r="W9" s="3"/>
      <c r="X9" s="3"/>
      <c r="Y9" s="3"/>
      <c r="Z9" s="3"/>
      <c r="AA9" s="3"/>
    </row>
    <row r="10" spans="1:59">
      <c r="A10" s="45"/>
      <c r="B10" s="769" t="s">
        <v>3695</v>
      </c>
      <c r="C10" s="417">
        <f>'12. Funding Sources'!E16</f>
        <v>0</v>
      </c>
      <c r="D10" s="799"/>
      <c r="E10" s="6"/>
      <c r="F10" s="6"/>
      <c r="G10" s="6"/>
      <c r="H10" s="6"/>
      <c r="I10" s="6"/>
      <c r="J10" s="6"/>
      <c r="K10" s="6"/>
      <c r="L10" s="6"/>
      <c r="M10" s="3"/>
      <c r="N10" s="3"/>
      <c r="O10" s="3"/>
      <c r="P10" s="3"/>
      <c r="Q10" s="3"/>
      <c r="R10" s="3"/>
      <c r="S10" s="3"/>
      <c r="T10" s="3"/>
      <c r="U10" s="3"/>
      <c r="V10" s="3"/>
      <c r="W10" s="3"/>
      <c r="X10" s="3"/>
      <c r="Y10" s="3"/>
      <c r="Z10" s="3"/>
      <c r="AA10" s="3"/>
    </row>
    <row r="11" spans="1:59">
      <c r="A11" s="45"/>
      <c r="B11" s="769" t="s">
        <v>3696</v>
      </c>
      <c r="C11" s="417">
        <f>'12. Funding Sources'!E17</f>
        <v>0</v>
      </c>
      <c r="D11" s="799"/>
      <c r="E11" s="6"/>
      <c r="F11" s="6"/>
      <c r="G11" s="6"/>
      <c r="H11" s="6"/>
      <c r="I11" s="6"/>
      <c r="J11" s="6"/>
      <c r="K11" s="6"/>
      <c r="L11" s="6"/>
      <c r="M11" s="3"/>
      <c r="N11" s="3"/>
      <c r="O11" s="3"/>
      <c r="P11" s="3"/>
      <c r="Q11" s="3"/>
      <c r="R11" s="3"/>
      <c r="S11" s="3"/>
      <c r="T11" s="3"/>
      <c r="U11" s="3"/>
      <c r="V11" s="3"/>
      <c r="W11" s="3"/>
      <c r="X11" s="3"/>
      <c r="Y11" s="3"/>
      <c r="Z11" s="3"/>
      <c r="AA11" s="3"/>
    </row>
    <row r="12" spans="1:59">
      <c r="A12" s="45"/>
      <c r="B12" s="411" t="s">
        <v>347</v>
      </c>
      <c r="C12" s="417">
        <f>'12. Funding Sources'!E18</f>
        <v>0</v>
      </c>
      <c r="D12" s="799"/>
      <c r="E12" s="722"/>
      <c r="F12" s="722"/>
      <c r="G12" s="722"/>
      <c r="H12" s="722"/>
      <c r="I12" s="722"/>
      <c r="J12" s="722"/>
      <c r="K12" s="722"/>
      <c r="L12" s="6"/>
      <c r="M12" s="3"/>
      <c r="N12" s="3"/>
      <c r="O12" s="3"/>
      <c r="P12" s="3"/>
      <c r="Q12" s="3"/>
      <c r="R12" s="3"/>
      <c r="S12" s="3"/>
      <c r="T12" s="3"/>
      <c r="U12" s="3"/>
      <c r="V12" s="3"/>
      <c r="W12" s="3"/>
      <c r="X12" s="3"/>
      <c r="Y12" s="3"/>
      <c r="Z12" s="3"/>
      <c r="AA12" s="3"/>
    </row>
    <row r="13" spans="1:59">
      <c r="A13" s="45"/>
      <c r="B13" s="411" t="s">
        <v>347</v>
      </c>
      <c r="C13" s="417">
        <f>'12. Funding Sources'!E19</f>
        <v>0</v>
      </c>
      <c r="D13" s="799"/>
      <c r="E13" s="722"/>
      <c r="F13" s="722"/>
      <c r="G13" s="722"/>
      <c r="H13" s="722"/>
      <c r="I13" s="722"/>
      <c r="J13" s="722"/>
      <c r="K13" s="722"/>
      <c r="L13" s="6"/>
      <c r="M13" s="3"/>
      <c r="N13" s="3"/>
      <c r="O13" s="3"/>
      <c r="P13" s="3"/>
      <c r="Q13" s="3"/>
      <c r="R13" s="3"/>
      <c r="S13" s="3"/>
      <c r="T13" s="3"/>
      <c r="U13" s="3"/>
      <c r="V13" s="3"/>
      <c r="W13" s="3"/>
      <c r="X13" s="3"/>
      <c r="Y13" s="3"/>
      <c r="Z13" s="3"/>
      <c r="AA13" s="3"/>
    </row>
    <row r="14" spans="1:59">
      <c r="A14" s="45"/>
      <c r="B14" s="411" t="s">
        <v>347</v>
      </c>
      <c r="C14" s="417">
        <f>'12. Funding Sources'!E20</f>
        <v>0</v>
      </c>
      <c r="D14" s="799"/>
      <c r="E14" s="722"/>
      <c r="F14" s="722"/>
      <c r="G14" s="722"/>
      <c r="H14" s="722"/>
      <c r="I14" s="722"/>
      <c r="J14" s="722"/>
      <c r="K14" s="722"/>
      <c r="L14" s="6"/>
      <c r="M14" s="3"/>
      <c r="N14" s="3"/>
      <c r="O14" s="3"/>
      <c r="P14" s="3"/>
      <c r="Q14" s="3"/>
      <c r="R14" s="3"/>
      <c r="S14" s="3"/>
      <c r="T14" s="3"/>
      <c r="U14" s="3"/>
      <c r="V14" s="3"/>
      <c r="W14" s="3"/>
      <c r="X14" s="3"/>
      <c r="Y14" s="3"/>
      <c r="Z14" s="3"/>
      <c r="AA14" s="3"/>
    </row>
    <row r="15" spans="1:59">
      <c r="A15" s="45"/>
      <c r="B15" s="412"/>
      <c r="C15" s="799"/>
      <c r="D15" s="799"/>
      <c r="E15" s="722"/>
      <c r="F15" s="722"/>
      <c r="G15" s="722"/>
      <c r="H15" s="722"/>
      <c r="I15" s="722"/>
      <c r="J15" s="722"/>
      <c r="K15" s="722"/>
      <c r="L15" s="6"/>
      <c r="M15" s="3"/>
      <c r="N15" s="3"/>
      <c r="O15" s="3"/>
      <c r="P15" s="3"/>
      <c r="Q15" s="3"/>
      <c r="R15" s="3"/>
      <c r="S15" s="3"/>
      <c r="T15" s="3"/>
      <c r="U15" s="3"/>
      <c r="V15" s="3"/>
      <c r="W15" s="3"/>
      <c r="X15" s="3"/>
      <c r="Y15" s="3"/>
      <c r="Z15" s="3"/>
      <c r="AA15" s="3"/>
    </row>
    <row r="16" spans="1:59">
      <c r="A16" s="45"/>
      <c r="B16" s="10" t="s">
        <v>3697</v>
      </c>
      <c r="C16" s="799"/>
      <c r="D16" s="799"/>
      <c r="E16" s="6"/>
      <c r="F16" s="6"/>
      <c r="G16" s="6"/>
      <c r="H16" s="6"/>
      <c r="I16" s="6"/>
      <c r="J16" s="6"/>
      <c r="K16" s="6"/>
      <c r="L16" s="6"/>
      <c r="M16" s="3"/>
      <c r="N16" s="3"/>
      <c r="O16" s="3"/>
      <c r="P16" s="3"/>
      <c r="Q16" s="3"/>
      <c r="R16" s="3"/>
      <c r="S16" s="3"/>
      <c r="T16" s="3"/>
      <c r="U16" s="3"/>
      <c r="V16" s="3"/>
      <c r="W16" s="3"/>
      <c r="X16" s="3"/>
      <c r="Y16" s="3"/>
      <c r="Z16" s="3"/>
      <c r="AA16" s="3"/>
    </row>
    <row r="17" spans="1:27">
      <c r="A17" s="45"/>
      <c r="B17" s="413" t="s">
        <v>3698</v>
      </c>
      <c r="C17" s="417">
        <f>Grant_Amount_1</f>
        <v>0</v>
      </c>
      <c r="D17" s="799"/>
      <c r="E17" s="6"/>
      <c r="F17" s="6"/>
      <c r="G17" s="6"/>
      <c r="H17" s="6"/>
      <c r="I17" s="6"/>
      <c r="J17" s="6"/>
      <c r="K17" s="6"/>
      <c r="L17" s="6"/>
      <c r="M17" s="3"/>
      <c r="N17" s="3"/>
      <c r="O17" s="3"/>
      <c r="P17" s="3"/>
      <c r="Q17" s="3"/>
      <c r="R17" s="3"/>
      <c r="S17" s="3"/>
      <c r="T17" s="3"/>
      <c r="U17" s="3"/>
      <c r="V17" s="3"/>
      <c r="W17" s="3"/>
      <c r="X17" s="3"/>
      <c r="Y17" s="3"/>
      <c r="Z17" s="3"/>
      <c r="AA17" s="3"/>
    </row>
    <row r="18" spans="1:27">
      <c r="A18" s="45"/>
      <c r="B18" s="413" t="s">
        <v>3699</v>
      </c>
      <c r="C18" s="417">
        <f>Grant_Amount_2</f>
        <v>0</v>
      </c>
      <c r="D18" s="799"/>
      <c r="E18" s="6"/>
      <c r="F18" s="6"/>
      <c r="G18" s="6"/>
      <c r="H18" s="6"/>
      <c r="I18" s="6"/>
      <c r="J18" s="6"/>
      <c r="K18" s="6"/>
      <c r="L18" s="6"/>
      <c r="M18" s="3"/>
      <c r="N18" s="3"/>
      <c r="O18" s="3"/>
      <c r="P18" s="3"/>
      <c r="Q18" s="3"/>
      <c r="R18" s="3"/>
      <c r="S18" s="3"/>
      <c r="T18" s="3"/>
      <c r="U18" s="3"/>
      <c r="V18" s="3"/>
      <c r="W18" s="3"/>
      <c r="X18" s="3"/>
      <c r="Y18" s="3"/>
      <c r="Z18" s="3"/>
      <c r="AA18" s="3"/>
    </row>
    <row r="19" spans="1:27">
      <c r="A19" s="45"/>
      <c r="B19" s="413" t="s">
        <v>3700</v>
      </c>
      <c r="C19" s="417">
        <f>Grant_Amount_3</f>
        <v>0</v>
      </c>
      <c r="D19" s="799"/>
      <c r="E19" s="6"/>
      <c r="F19" s="6"/>
      <c r="G19" s="6"/>
      <c r="H19" s="6"/>
      <c r="I19" s="6"/>
      <c r="J19" s="6"/>
      <c r="K19" s="6"/>
      <c r="L19" s="6"/>
      <c r="M19" s="3"/>
      <c r="N19" s="3"/>
      <c r="O19" s="3"/>
      <c r="P19" s="3"/>
      <c r="Q19" s="3"/>
      <c r="R19" s="3"/>
      <c r="S19" s="3"/>
      <c r="T19" s="3"/>
      <c r="U19" s="3"/>
      <c r="V19" s="3"/>
      <c r="W19" s="3"/>
      <c r="X19" s="3"/>
      <c r="Y19" s="3"/>
      <c r="Z19" s="3"/>
      <c r="AA19" s="3"/>
    </row>
    <row r="20" spans="1:27">
      <c r="A20" s="45"/>
      <c r="B20" s="413" t="s">
        <v>347</v>
      </c>
      <c r="C20" s="417">
        <f>Grant_Amount_4</f>
        <v>0</v>
      </c>
      <c r="D20" s="799"/>
      <c r="E20" s="722"/>
      <c r="F20" s="722"/>
      <c r="G20" s="722"/>
      <c r="H20" s="722"/>
      <c r="I20" s="722"/>
      <c r="J20" s="722"/>
      <c r="K20" s="722"/>
      <c r="L20" s="6"/>
      <c r="M20" s="3"/>
      <c r="N20" s="3"/>
      <c r="O20" s="3"/>
      <c r="P20" s="3"/>
      <c r="Q20" s="3"/>
      <c r="R20" s="3"/>
      <c r="S20" s="3"/>
      <c r="T20" s="3"/>
      <c r="U20" s="3"/>
      <c r="V20" s="3"/>
      <c r="W20" s="3"/>
      <c r="X20" s="3"/>
      <c r="Y20" s="3"/>
      <c r="Z20" s="3"/>
      <c r="AA20" s="3"/>
    </row>
    <row r="21" spans="1:27">
      <c r="A21" s="45"/>
      <c r="B21" s="413" t="s">
        <v>347</v>
      </c>
      <c r="C21" s="417">
        <f>Grant_Amount_5</f>
        <v>0</v>
      </c>
      <c r="D21" s="799"/>
      <c r="E21" s="722"/>
      <c r="F21" s="722"/>
      <c r="G21" s="722"/>
      <c r="H21" s="722"/>
      <c r="I21" s="722"/>
      <c r="J21" s="722"/>
      <c r="K21" s="722"/>
      <c r="L21" s="6"/>
      <c r="M21" s="3"/>
      <c r="N21" s="3"/>
      <c r="O21" s="3"/>
      <c r="P21" s="3"/>
      <c r="Q21" s="3"/>
      <c r="R21" s="3"/>
      <c r="S21" s="3"/>
      <c r="T21" s="3"/>
      <c r="U21" s="3"/>
      <c r="V21" s="3"/>
      <c r="W21" s="3"/>
      <c r="X21" s="3"/>
      <c r="Y21" s="3"/>
      <c r="Z21" s="3"/>
      <c r="AA21" s="3"/>
    </row>
    <row r="22" spans="1:27">
      <c r="A22" s="45"/>
      <c r="B22" s="413" t="s">
        <v>347</v>
      </c>
      <c r="C22" s="417">
        <f>Grant_Amount_6</f>
        <v>0</v>
      </c>
      <c r="D22" s="799"/>
      <c r="E22" s="722"/>
      <c r="F22" s="722"/>
      <c r="G22" s="722"/>
      <c r="H22" s="722"/>
      <c r="I22" s="722"/>
      <c r="J22" s="722"/>
      <c r="K22" s="722"/>
      <c r="L22" s="6"/>
      <c r="M22" s="3"/>
      <c r="N22" s="3"/>
      <c r="O22" s="3"/>
      <c r="P22" s="3"/>
      <c r="Q22" s="3"/>
      <c r="R22" s="3"/>
      <c r="S22" s="3"/>
      <c r="T22" s="3"/>
      <c r="U22" s="3"/>
      <c r="V22" s="3"/>
      <c r="W22" s="3"/>
      <c r="X22" s="3"/>
      <c r="Y22" s="3"/>
      <c r="Z22" s="3"/>
      <c r="AA22" s="3"/>
    </row>
    <row r="23" spans="1:27">
      <c r="A23" s="45"/>
      <c r="B23" s="413" t="s">
        <v>347</v>
      </c>
      <c r="C23" s="417">
        <f>Grant_Amount_7</f>
        <v>0</v>
      </c>
      <c r="D23" s="799"/>
      <c r="E23" s="722"/>
      <c r="F23" s="722"/>
      <c r="G23" s="722"/>
      <c r="H23" s="722"/>
      <c r="I23" s="722"/>
      <c r="J23" s="722"/>
      <c r="K23" s="722"/>
      <c r="L23" s="6"/>
      <c r="M23" s="3"/>
      <c r="N23" s="3"/>
      <c r="O23" s="3"/>
      <c r="P23" s="3"/>
      <c r="Q23" s="3"/>
      <c r="R23" s="3"/>
      <c r="S23" s="3"/>
      <c r="T23" s="3"/>
      <c r="U23" s="3"/>
      <c r="V23" s="3"/>
      <c r="W23" s="3"/>
      <c r="X23" s="3"/>
      <c r="Y23" s="3"/>
      <c r="Z23" s="3"/>
      <c r="AA23" s="3"/>
    </row>
    <row r="24" spans="1:27">
      <c r="A24" s="45"/>
      <c r="B24" s="412"/>
      <c r="C24" s="799"/>
      <c r="D24" s="799"/>
      <c r="E24" s="722"/>
      <c r="F24" s="722"/>
      <c r="G24" s="722"/>
      <c r="H24" s="722"/>
      <c r="I24" s="722"/>
      <c r="J24" s="722"/>
      <c r="K24" s="722"/>
      <c r="L24" s="6"/>
      <c r="M24" s="3"/>
      <c r="N24" s="3"/>
      <c r="O24" s="3"/>
      <c r="P24" s="3"/>
      <c r="Q24" s="3"/>
      <c r="R24" s="3"/>
      <c r="S24" s="3"/>
      <c r="T24" s="3"/>
      <c r="U24" s="3"/>
      <c r="V24" s="3"/>
      <c r="W24" s="3"/>
      <c r="X24" s="3"/>
      <c r="Y24" s="3"/>
      <c r="Z24" s="3"/>
      <c r="AA24" s="3"/>
    </row>
    <row r="25" spans="1:27">
      <c r="A25" s="45"/>
      <c r="B25" s="414" t="s">
        <v>3701</v>
      </c>
      <c r="C25" s="799"/>
      <c r="D25" s="799"/>
      <c r="E25" s="722"/>
      <c r="F25" s="722"/>
      <c r="G25" s="722"/>
      <c r="H25" s="722"/>
      <c r="I25" s="722"/>
      <c r="J25" s="722"/>
      <c r="K25" s="722"/>
      <c r="L25" s="6"/>
      <c r="M25" s="3"/>
      <c r="N25" s="3"/>
      <c r="O25" s="3"/>
      <c r="P25" s="3"/>
      <c r="Q25" s="3"/>
      <c r="R25" s="3"/>
      <c r="S25" s="3"/>
      <c r="T25" s="3"/>
      <c r="U25" s="3"/>
      <c r="V25" s="3"/>
      <c r="W25" s="3"/>
      <c r="X25" s="3"/>
      <c r="Y25" s="3"/>
      <c r="Z25" s="3"/>
      <c r="AA25" s="3"/>
    </row>
    <row r="26" spans="1:27">
      <c r="A26" s="45"/>
      <c r="B26" s="415" t="s">
        <v>3702</v>
      </c>
      <c r="C26" s="417">
        <f>'12. Funding Sources'!E45</f>
        <v>0</v>
      </c>
      <c r="D26" s="799"/>
      <c r="E26" s="722"/>
      <c r="F26" s="722"/>
      <c r="G26" s="722"/>
      <c r="H26" s="722"/>
      <c r="I26" s="722"/>
      <c r="J26" s="722"/>
      <c r="K26" s="722"/>
      <c r="L26" s="6"/>
      <c r="M26" s="3"/>
      <c r="N26" s="3"/>
      <c r="O26" s="3"/>
      <c r="P26" s="3"/>
      <c r="Q26" s="3"/>
      <c r="R26" s="3"/>
      <c r="S26" s="3"/>
      <c r="T26" s="3"/>
      <c r="U26" s="3"/>
      <c r="V26" s="3"/>
      <c r="W26" s="3"/>
      <c r="X26" s="3"/>
      <c r="Y26" s="3"/>
      <c r="Z26" s="3"/>
      <c r="AA26" s="3"/>
    </row>
    <row r="27" spans="1:27">
      <c r="A27" s="45"/>
      <c r="B27" s="415" t="s">
        <v>3703</v>
      </c>
      <c r="C27" s="417">
        <f>'12. Funding Sources'!E47</f>
        <v>0</v>
      </c>
      <c r="D27" s="799"/>
      <c r="E27" s="722"/>
      <c r="F27" s="722"/>
      <c r="G27" s="722"/>
      <c r="H27" s="722"/>
      <c r="I27" s="722"/>
      <c r="J27" s="722"/>
      <c r="K27" s="722"/>
      <c r="L27" s="6"/>
      <c r="M27" s="3"/>
      <c r="N27" s="3"/>
      <c r="O27" s="3"/>
      <c r="P27" s="3"/>
      <c r="Q27" s="3"/>
      <c r="R27" s="3"/>
      <c r="S27" s="3"/>
      <c r="T27" s="3"/>
      <c r="U27" s="3"/>
      <c r="V27" s="3"/>
      <c r="W27" s="3"/>
      <c r="X27" s="3"/>
      <c r="Y27" s="3"/>
      <c r="Z27" s="3"/>
      <c r="AA27" s="3"/>
    </row>
    <row r="28" spans="1:27">
      <c r="A28" s="45"/>
      <c r="B28" s="415" t="s">
        <v>3704</v>
      </c>
      <c r="C28" s="417">
        <f>'12. Funding Sources'!E48</f>
        <v>0</v>
      </c>
      <c r="D28" s="799"/>
      <c r="E28" s="722"/>
      <c r="F28" s="722"/>
      <c r="G28" s="722"/>
      <c r="H28" s="722"/>
      <c r="I28" s="722"/>
      <c r="J28" s="722"/>
      <c r="K28" s="722"/>
      <c r="L28" s="6"/>
      <c r="M28" s="3"/>
      <c r="N28" s="3"/>
      <c r="O28" s="3"/>
      <c r="P28" s="3"/>
      <c r="Q28" s="3"/>
      <c r="R28" s="3"/>
      <c r="S28" s="3"/>
      <c r="T28" s="3"/>
      <c r="U28" s="3"/>
      <c r="V28" s="3"/>
      <c r="W28" s="3"/>
      <c r="X28" s="3"/>
      <c r="Y28" s="3"/>
      <c r="Z28" s="3"/>
      <c r="AA28" s="3"/>
    </row>
    <row r="29" spans="1:27">
      <c r="A29" s="45"/>
      <c r="B29" s="415" t="s">
        <v>3705</v>
      </c>
      <c r="C29" s="417">
        <f>'12. Funding Sources'!E49</f>
        <v>0</v>
      </c>
      <c r="D29" s="799"/>
      <c r="E29" s="722"/>
      <c r="F29" s="722"/>
      <c r="G29" s="722"/>
      <c r="H29" s="722"/>
      <c r="I29" s="722"/>
      <c r="J29" s="722"/>
      <c r="K29" s="722"/>
      <c r="L29" s="6"/>
      <c r="M29" s="3"/>
      <c r="N29" s="3"/>
      <c r="O29" s="3"/>
      <c r="P29" s="3"/>
      <c r="Q29" s="3"/>
      <c r="R29" s="3"/>
      <c r="S29" s="3"/>
      <c r="T29" s="3"/>
      <c r="U29" s="3"/>
      <c r="V29" s="3"/>
      <c r="W29" s="3"/>
      <c r="X29" s="3"/>
      <c r="Y29" s="3"/>
      <c r="Z29" s="3"/>
      <c r="AA29" s="3"/>
    </row>
    <row r="30" spans="1:27">
      <c r="A30" s="45"/>
      <c r="B30" s="415" t="s">
        <v>347</v>
      </c>
      <c r="C30" s="417">
        <f>'12. Funding Sources'!E50</f>
        <v>0</v>
      </c>
      <c r="D30" s="799"/>
      <c r="E30" s="722"/>
      <c r="F30" s="722"/>
      <c r="G30" s="722"/>
      <c r="H30" s="722"/>
      <c r="I30" s="722"/>
      <c r="J30" s="722"/>
      <c r="K30" s="722"/>
      <c r="L30" s="6"/>
      <c r="M30" s="3"/>
      <c r="N30" s="3"/>
      <c r="O30" s="3"/>
      <c r="P30" s="3"/>
      <c r="Q30" s="3"/>
      <c r="R30" s="3"/>
      <c r="S30" s="3"/>
      <c r="T30" s="3"/>
      <c r="U30" s="3"/>
      <c r="V30" s="3"/>
      <c r="W30" s="3"/>
      <c r="X30" s="3"/>
      <c r="Y30" s="3"/>
      <c r="Z30" s="3"/>
      <c r="AA30" s="3"/>
    </row>
    <row r="31" spans="1:27">
      <c r="A31" s="45"/>
      <c r="B31" s="412"/>
      <c r="C31" s="416"/>
      <c r="D31" s="799"/>
      <c r="E31" s="722"/>
      <c r="F31" s="722"/>
      <c r="G31" s="722"/>
      <c r="H31" s="722"/>
      <c r="I31" s="722"/>
      <c r="J31" s="722"/>
      <c r="K31" s="722"/>
      <c r="L31" s="6"/>
      <c r="M31" s="3"/>
      <c r="N31" s="3"/>
      <c r="O31" s="3"/>
      <c r="P31" s="3"/>
      <c r="Q31" s="3"/>
      <c r="R31" s="3"/>
      <c r="S31" s="3"/>
      <c r="T31" s="3"/>
      <c r="U31" s="3"/>
      <c r="V31" s="3"/>
      <c r="W31" s="3"/>
      <c r="X31" s="3"/>
      <c r="Y31" s="3"/>
      <c r="Z31" s="3"/>
      <c r="AA31" s="3"/>
    </row>
    <row r="32" spans="1:27">
      <c r="A32" s="45"/>
      <c r="B32" s="414" t="s">
        <v>3706</v>
      </c>
      <c r="C32" s="417">
        <f>SUM(C5:C14,C17:C23,C26:C30)</f>
        <v>0</v>
      </c>
      <c r="D32" s="799"/>
      <c r="E32" s="6"/>
      <c r="F32" s="6"/>
      <c r="G32" s="6"/>
      <c r="H32" s="6"/>
      <c r="I32" s="6"/>
      <c r="J32" s="6"/>
      <c r="K32" s="6"/>
      <c r="L32" s="6"/>
      <c r="M32" s="3"/>
      <c r="N32" s="3"/>
      <c r="O32" s="3"/>
      <c r="P32" s="3"/>
      <c r="Q32" s="3"/>
      <c r="R32" s="3"/>
      <c r="S32" s="3"/>
      <c r="T32" s="3"/>
      <c r="U32" s="3"/>
      <c r="V32" s="3"/>
      <c r="W32" s="3"/>
      <c r="X32" s="3"/>
      <c r="Y32" s="3"/>
      <c r="Z32" s="3"/>
      <c r="AA32" s="3"/>
    </row>
    <row r="33" spans="1:28">
      <c r="A33" s="45"/>
      <c r="B33" s="10" t="s">
        <v>3707</v>
      </c>
      <c r="C33" s="330">
        <f>C2-C32</f>
        <v>0</v>
      </c>
      <c r="D33" s="799"/>
      <c r="E33" s="6"/>
      <c r="F33" s="6"/>
      <c r="G33" s="6"/>
      <c r="H33" s="6"/>
      <c r="I33" s="6"/>
      <c r="J33" s="6"/>
      <c r="K33" s="6"/>
      <c r="L33" s="6"/>
      <c r="M33" s="3"/>
      <c r="N33" s="3"/>
      <c r="O33" s="3"/>
      <c r="P33" s="3"/>
      <c r="Q33" s="3"/>
      <c r="R33" s="3"/>
      <c r="S33" s="3"/>
      <c r="T33" s="3"/>
      <c r="U33" s="3"/>
      <c r="V33" s="3"/>
      <c r="W33" s="3"/>
      <c r="X33" s="3"/>
      <c r="Y33" s="3"/>
      <c r="Z33" s="3"/>
      <c r="AA33" s="3"/>
    </row>
    <row r="34" spans="1:28">
      <c r="A34" s="45"/>
      <c r="B34" s="10"/>
      <c r="C34" s="409"/>
      <c r="D34" s="799"/>
      <c r="E34" s="6"/>
      <c r="F34" s="6"/>
      <c r="G34" s="6"/>
      <c r="H34" s="6"/>
      <c r="I34" s="6"/>
      <c r="J34" s="6"/>
      <c r="K34" s="6"/>
      <c r="L34" s="6"/>
      <c r="M34" s="3"/>
      <c r="N34" s="3"/>
      <c r="O34" s="3"/>
      <c r="P34" s="3"/>
      <c r="Q34" s="3"/>
      <c r="R34" s="3"/>
      <c r="S34" s="3"/>
      <c r="T34" s="3"/>
      <c r="U34" s="3"/>
      <c r="V34" s="3"/>
      <c r="W34" s="3"/>
      <c r="X34" s="3"/>
      <c r="Y34" s="3"/>
      <c r="Z34" s="3"/>
      <c r="AA34" s="3"/>
    </row>
    <row r="35" spans="1:28" ht="19">
      <c r="A35" s="45"/>
      <c r="B35" s="12" t="s">
        <v>3708</v>
      </c>
      <c r="C35" s="409"/>
      <c r="D35" s="799"/>
      <c r="E35" s="6"/>
      <c r="F35" s="6"/>
      <c r="G35" s="6"/>
      <c r="H35" s="6"/>
      <c r="I35" s="6"/>
      <c r="J35" s="6"/>
      <c r="K35" s="6"/>
      <c r="L35" s="6"/>
      <c r="M35" s="3"/>
      <c r="N35" s="3"/>
      <c r="O35" s="3"/>
      <c r="P35" s="3"/>
      <c r="Q35" s="3"/>
      <c r="R35" s="3"/>
      <c r="S35" s="3"/>
      <c r="T35" s="3"/>
      <c r="U35" s="3"/>
      <c r="V35" s="3"/>
      <c r="W35" s="3"/>
      <c r="X35" s="3"/>
      <c r="Y35" s="3"/>
      <c r="Z35" s="3"/>
      <c r="AA35" s="3"/>
    </row>
    <row r="36" spans="1:28">
      <c r="A36" s="45"/>
      <c r="B36" s="6" t="s">
        <v>3709</v>
      </c>
      <c r="C36" s="418">
        <f>K3</f>
        <v>0</v>
      </c>
      <c r="D36" s="799"/>
      <c r="E36" s="2074" t="s">
        <v>3710</v>
      </c>
      <c r="F36" s="2075"/>
      <c r="G36" s="418">
        <f>K4</f>
        <v>0</v>
      </c>
      <c r="H36" s="6"/>
      <c r="I36" s="6"/>
      <c r="J36" s="6"/>
      <c r="K36" s="6"/>
      <c r="L36" s="6"/>
      <c r="M36" s="3"/>
      <c r="N36" s="3"/>
      <c r="O36" s="3"/>
      <c r="P36" s="3"/>
      <c r="Q36" s="3"/>
      <c r="R36" s="3"/>
      <c r="S36" s="3"/>
      <c r="T36" s="3"/>
      <c r="U36" s="3"/>
      <c r="V36" s="3"/>
      <c r="W36" s="3"/>
      <c r="X36" s="3"/>
      <c r="Y36" s="3"/>
      <c r="Z36" s="3"/>
      <c r="AA36" s="3"/>
      <c r="AB36" s="3"/>
    </row>
    <row r="37" spans="1:28">
      <c r="A37" s="45"/>
      <c r="B37" s="6" t="s">
        <v>3711</v>
      </c>
      <c r="C37" s="330">
        <f>C33*C36</f>
        <v>0</v>
      </c>
      <c r="D37" s="799"/>
      <c r="E37" s="2074" t="s">
        <v>3712</v>
      </c>
      <c r="F37" s="2075"/>
      <c r="G37" s="330">
        <f>C33*G36</f>
        <v>0</v>
      </c>
      <c r="H37" s="6"/>
      <c r="I37" s="6"/>
      <c r="J37" s="6"/>
      <c r="K37" s="6"/>
      <c r="L37" s="6"/>
      <c r="M37" s="3"/>
      <c r="N37" s="3"/>
      <c r="O37" s="3"/>
      <c r="P37" s="3"/>
      <c r="Q37" s="3"/>
      <c r="R37" s="3"/>
      <c r="S37" s="3"/>
      <c r="T37" s="3"/>
      <c r="U37" s="3"/>
      <c r="V37" s="3"/>
      <c r="W37" s="3"/>
      <c r="X37" s="3"/>
      <c r="Y37" s="3"/>
      <c r="Z37" s="3"/>
      <c r="AA37" s="3"/>
      <c r="AB37" s="3"/>
    </row>
    <row r="38" spans="1:28">
      <c r="A38" s="45"/>
      <c r="B38" s="6" t="s">
        <v>3082</v>
      </c>
      <c r="C38" s="22">
        <v>10</v>
      </c>
      <c r="D38" s="799"/>
      <c r="E38" s="2074" t="s">
        <v>3082</v>
      </c>
      <c r="F38" s="2075"/>
      <c r="G38" s="22">
        <v>6</v>
      </c>
      <c r="H38" s="6"/>
      <c r="I38" s="6"/>
      <c r="J38" s="6"/>
      <c r="K38" s="6"/>
      <c r="L38" s="6"/>
      <c r="M38" s="3"/>
      <c r="N38" s="3"/>
      <c r="O38" s="3"/>
      <c r="P38" s="3"/>
      <c r="Q38" s="3"/>
      <c r="R38" s="3"/>
      <c r="S38" s="3"/>
      <c r="T38" s="3"/>
      <c r="U38" s="3"/>
      <c r="V38" s="3"/>
      <c r="W38" s="3"/>
      <c r="X38" s="3"/>
      <c r="Y38" s="3"/>
      <c r="Z38" s="3"/>
      <c r="AA38" s="3"/>
      <c r="AB38" s="3"/>
    </row>
    <row r="39" spans="1:28" ht="16" customHeight="1">
      <c r="A39" s="45"/>
      <c r="B39" s="6" t="s">
        <v>3713</v>
      </c>
      <c r="C39" s="330">
        <f>(C37/C38)</f>
        <v>0</v>
      </c>
      <c r="D39" s="799"/>
      <c r="E39" s="2074" t="s">
        <v>3714</v>
      </c>
      <c r="F39" s="2075"/>
      <c r="G39" s="330">
        <f>(G37/G38)</f>
        <v>0</v>
      </c>
      <c r="H39" s="6"/>
      <c r="I39" s="6"/>
      <c r="J39" s="6"/>
      <c r="K39" s="6"/>
      <c r="L39" s="6"/>
      <c r="M39" s="3"/>
      <c r="N39" s="3"/>
      <c r="O39" s="3"/>
      <c r="P39" s="3"/>
      <c r="Q39" s="3"/>
      <c r="R39" s="3"/>
      <c r="S39" s="3"/>
      <c r="T39" s="3"/>
      <c r="U39" s="3"/>
      <c r="V39" s="3"/>
      <c r="W39" s="3"/>
      <c r="X39" s="3"/>
      <c r="Y39" s="3"/>
      <c r="Z39" s="3"/>
      <c r="AA39" s="3"/>
      <c r="AB39" s="3"/>
    </row>
    <row r="40" spans="1:28" ht="16" customHeight="1">
      <c r="A40" s="45"/>
      <c r="B40" s="6" t="s">
        <v>3715</v>
      </c>
      <c r="C40" s="434">
        <f>'12. Funding Sources'!I44</f>
        <v>0</v>
      </c>
      <c r="D40" s="799"/>
      <c r="E40" s="2074" t="s">
        <v>3716</v>
      </c>
      <c r="F40" s="2075"/>
      <c r="G40" s="434">
        <f>'12. Funding Sources'!I46</f>
        <v>0</v>
      </c>
      <c r="H40" s="6"/>
      <c r="I40" s="6"/>
      <c r="J40" s="6"/>
      <c r="K40" s="6"/>
      <c r="L40" s="6"/>
      <c r="M40" s="3"/>
      <c r="N40" s="3"/>
      <c r="O40" s="3"/>
      <c r="P40" s="3"/>
      <c r="Q40" s="3"/>
      <c r="R40" s="3"/>
      <c r="S40" s="3"/>
      <c r="T40" s="3"/>
      <c r="U40" s="3"/>
      <c r="V40" s="3"/>
      <c r="W40" s="3"/>
      <c r="X40" s="3"/>
      <c r="Y40" s="3"/>
      <c r="Z40" s="3"/>
      <c r="AA40" s="3"/>
      <c r="AB40" s="3"/>
    </row>
    <row r="41" spans="1:28" ht="16" customHeight="1">
      <c r="A41" s="45"/>
      <c r="B41" s="6" t="s">
        <v>3085</v>
      </c>
      <c r="C41" s="330">
        <f>IFERROR(C39/C40,0)</f>
        <v>0</v>
      </c>
      <c r="D41" s="799"/>
      <c r="E41" s="2074" t="s">
        <v>3085</v>
      </c>
      <c r="F41" s="2075"/>
      <c r="G41" s="330">
        <f>IFERROR(G39/G40,0)</f>
        <v>0</v>
      </c>
      <c r="H41" s="6"/>
      <c r="I41" s="6"/>
      <c r="J41" s="6"/>
      <c r="K41" s="6"/>
      <c r="L41" s="6"/>
      <c r="M41" s="3"/>
      <c r="N41" s="3"/>
      <c r="O41" s="3"/>
      <c r="P41" s="3"/>
      <c r="Q41" s="3"/>
      <c r="R41" s="3"/>
      <c r="S41" s="3"/>
      <c r="T41" s="3"/>
      <c r="U41" s="3"/>
      <c r="V41" s="3"/>
      <c r="W41" s="3"/>
      <c r="X41" s="3"/>
      <c r="Y41" s="3"/>
      <c r="Z41" s="3"/>
      <c r="AA41" s="3"/>
      <c r="AB41" s="3"/>
    </row>
    <row r="42" spans="1:28" ht="16" customHeight="1">
      <c r="A42" s="45"/>
      <c r="B42" s="6" t="s">
        <v>3717</v>
      </c>
      <c r="C42" s="433">
        <f>'12. Funding Sources'!H44</f>
        <v>0</v>
      </c>
      <c r="D42" s="799"/>
      <c r="E42" s="2074" t="s">
        <v>3718</v>
      </c>
      <c r="F42" s="2075"/>
      <c r="G42" s="433">
        <f>'12. Funding Sources'!H46</f>
        <v>0</v>
      </c>
      <c r="H42" s="6"/>
      <c r="I42" s="133" t="s">
        <v>3719</v>
      </c>
      <c r="J42" s="6"/>
      <c r="K42" s="6"/>
      <c r="L42" s="6"/>
      <c r="M42" s="3"/>
      <c r="N42" s="3"/>
      <c r="O42" s="3"/>
      <c r="P42" s="3"/>
      <c r="Q42" s="3"/>
      <c r="R42" s="3"/>
      <c r="S42" s="3"/>
      <c r="T42" s="3"/>
      <c r="U42" s="3"/>
      <c r="V42" s="3"/>
      <c r="W42" s="3"/>
      <c r="X42" s="3"/>
      <c r="Y42" s="3"/>
      <c r="Z42" s="3"/>
      <c r="AA42" s="3"/>
      <c r="AB42" s="3"/>
    </row>
    <row r="43" spans="1:28">
      <c r="A43" s="45"/>
      <c r="B43" s="10" t="s">
        <v>3720</v>
      </c>
      <c r="C43" s="419">
        <f>IF(C42=0,0,ROUND((C41/C42),0))</f>
        <v>0</v>
      </c>
      <c r="D43" s="799"/>
      <c r="E43" s="2084" t="s">
        <v>3721</v>
      </c>
      <c r="F43" s="2085"/>
      <c r="G43" s="419">
        <f>IF(G42=0,0,ROUND((G41/G42),0))</f>
        <v>0</v>
      </c>
      <c r="H43" s="420">
        <f>IFERROR(1200000*F4*G4*G42/C33, 0)</f>
        <v>0</v>
      </c>
      <c r="I43" s="421">
        <f>IFERROR(((H43*J3)/(1-H43))/H4, 0)</f>
        <v>0</v>
      </c>
      <c r="J43" s="409"/>
      <c r="K43" s="409"/>
      <c r="L43" s="6"/>
      <c r="M43" s="3"/>
      <c r="N43" s="3"/>
      <c r="O43" s="3"/>
      <c r="P43" s="3"/>
      <c r="Q43" s="3"/>
      <c r="R43" s="3"/>
      <c r="S43" s="3"/>
      <c r="T43" s="3"/>
      <c r="U43" s="3"/>
      <c r="V43" s="3"/>
      <c r="W43" s="3"/>
      <c r="X43" s="3"/>
      <c r="Y43" s="3"/>
      <c r="Z43" s="3"/>
      <c r="AA43" s="3"/>
      <c r="AB43" s="3"/>
    </row>
    <row r="44" spans="1:28" ht="15" customHeight="1">
      <c r="A44" s="45"/>
      <c r="B44" s="423" t="s">
        <v>3722</v>
      </c>
      <c r="C44" s="422"/>
      <c r="D44" s="799"/>
      <c r="E44" s="370"/>
      <c r="F44" s="424" t="s">
        <v>3723</v>
      </c>
      <c r="G44" s="422"/>
      <c r="H44" s="6"/>
      <c r="I44" s="409"/>
      <c r="J44" s="409"/>
      <c r="K44" s="409"/>
      <c r="L44" s="6"/>
      <c r="M44" s="3"/>
      <c r="N44" s="3"/>
      <c r="O44" s="3"/>
      <c r="P44" s="3"/>
      <c r="Q44" s="3"/>
      <c r="R44" s="3"/>
      <c r="S44" s="3"/>
      <c r="T44" s="3"/>
      <c r="U44" s="3"/>
      <c r="V44" s="3"/>
      <c r="W44" s="3"/>
      <c r="X44" s="3"/>
      <c r="Y44" s="3"/>
      <c r="Z44" s="3"/>
      <c r="AA44" s="3"/>
      <c r="AB44" s="3"/>
    </row>
    <row r="45" spans="1:28" ht="16" customHeight="1">
      <c r="A45" s="45"/>
      <c r="B45" s="12" t="s">
        <v>3724</v>
      </c>
      <c r="C45" s="6"/>
      <c r="D45" s="799"/>
      <c r="E45" s="370"/>
      <c r="F45" s="1686"/>
      <c r="G45" s="6"/>
      <c r="H45" s="6"/>
      <c r="I45" s="6"/>
      <c r="J45" s="6"/>
      <c r="K45" s="6"/>
      <c r="L45" s="6"/>
      <c r="M45" s="3"/>
      <c r="N45" s="3"/>
      <c r="O45" s="3"/>
      <c r="P45" s="3"/>
      <c r="Q45" s="3"/>
      <c r="R45" s="3"/>
      <c r="S45" s="3"/>
      <c r="T45" s="3"/>
      <c r="U45" s="3"/>
      <c r="V45" s="3"/>
      <c r="W45" s="3"/>
      <c r="X45" s="3"/>
      <c r="Y45" s="3"/>
      <c r="Z45" s="3"/>
      <c r="AA45" s="3"/>
      <c r="AB45" s="3"/>
    </row>
    <row r="46" spans="1:28" ht="15" customHeight="1">
      <c r="A46" s="45"/>
      <c r="B46" s="6" t="s">
        <v>3725</v>
      </c>
      <c r="C46" s="330">
        <f>'14. Project Costs'!G192</f>
        <v>0</v>
      </c>
      <c r="D46" s="799"/>
      <c r="E46" s="2074" t="s">
        <v>3726</v>
      </c>
      <c r="F46" s="2075"/>
      <c r="G46" s="330">
        <f>'14. Project Costs'!I192</f>
        <v>0</v>
      </c>
      <c r="H46" s="6"/>
      <c r="I46" s="6"/>
      <c r="J46" s="6"/>
      <c r="K46" s="6"/>
      <c r="L46" s="6"/>
      <c r="M46" s="3"/>
      <c r="N46" s="3"/>
      <c r="O46" s="3"/>
      <c r="P46" s="3"/>
      <c r="Q46" s="3"/>
      <c r="R46" s="3"/>
      <c r="S46" s="3"/>
      <c r="T46" s="3"/>
      <c r="U46" s="3"/>
      <c r="V46" s="3"/>
      <c r="W46" s="3"/>
      <c r="X46" s="3"/>
      <c r="Y46" s="3"/>
      <c r="Z46" s="3"/>
      <c r="AA46" s="3"/>
      <c r="AB46" s="3"/>
    </row>
    <row r="47" spans="1:28">
      <c r="A47" s="45"/>
      <c r="B47" s="6" t="s">
        <v>3727</v>
      </c>
      <c r="C47" s="330" t="str">
        <f>'14. Project Costs'!G208</f>
        <v/>
      </c>
      <c r="D47" s="799"/>
      <c r="E47" s="2074" t="s">
        <v>3728</v>
      </c>
      <c r="F47" s="2075"/>
      <c r="G47" s="330" t="e">
        <f>'14. Project Costs'!I208</f>
        <v>#REF!</v>
      </c>
      <c r="H47" s="6"/>
      <c r="I47" s="6"/>
      <c r="J47" s="6"/>
      <c r="K47" s="6"/>
      <c r="L47" s="6"/>
      <c r="M47" s="3"/>
      <c r="N47" s="3"/>
      <c r="O47" s="3"/>
      <c r="P47" s="3"/>
      <c r="Q47" s="3"/>
      <c r="R47" s="3"/>
      <c r="S47" s="3"/>
      <c r="T47" s="3"/>
      <c r="U47" s="3"/>
      <c r="V47" s="3"/>
      <c r="W47" s="3"/>
      <c r="X47" s="3"/>
      <c r="Y47" s="3"/>
      <c r="Z47" s="3"/>
      <c r="AA47" s="3"/>
      <c r="AB47" s="3"/>
    </row>
    <row r="48" spans="1:28">
      <c r="A48" s="45"/>
      <c r="B48" s="6" t="s">
        <v>3729</v>
      </c>
      <c r="C48" s="330">
        <f>IF(C46&lt;C47,C46,C47)</f>
        <v>0</v>
      </c>
      <c r="D48" s="799"/>
      <c r="E48" s="2074" t="s">
        <v>3730</v>
      </c>
      <c r="F48" s="2075"/>
      <c r="G48" s="330" t="e">
        <f>IF(G46&lt;G47,G46,G47)</f>
        <v>#REF!</v>
      </c>
      <c r="H48" s="6"/>
      <c r="I48" s="6"/>
      <c r="J48" s="6"/>
      <c r="K48" s="6"/>
      <c r="L48" s="6"/>
      <c r="M48" s="3"/>
      <c r="N48" s="3"/>
      <c r="O48" s="3"/>
      <c r="P48" s="3"/>
      <c r="Q48" s="3"/>
      <c r="R48" s="3"/>
      <c r="S48" s="3"/>
      <c r="T48" s="3"/>
      <c r="U48" s="3"/>
      <c r="V48" s="3"/>
      <c r="W48" s="3"/>
      <c r="X48" s="3"/>
      <c r="Y48" s="3"/>
      <c r="Z48" s="3"/>
      <c r="AA48" s="3"/>
      <c r="AB48" s="3"/>
    </row>
    <row r="49" spans="1:28">
      <c r="A49" s="45"/>
      <c r="B49" s="6"/>
      <c r="C49" s="6"/>
      <c r="D49" s="799"/>
      <c r="E49" s="370"/>
      <c r="F49" s="1686"/>
      <c r="G49" s="6"/>
      <c r="H49" s="6"/>
      <c r="I49" s="6"/>
      <c r="J49" s="6"/>
      <c r="K49" s="6"/>
      <c r="L49" s="6"/>
      <c r="M49" s="3"/>
      <c r="N49" s="3"/>
      <c r="O49" s="3"/>
      <c r="P49" s="3"/>
      <c r="Q49" s="3"/>
      <c r="R49" s="3"/>
      <c r="S49" s="3"/>
      <c r="T49" s="3"/>
      <c r="U49" s="3"/>
      <c r="V49" s="3"/>
      <c r="W49" s="3"/>
      <c r="X49" s="3"/>
      <c r="Y49" s="3"/>
      <c r="Z49" s="3"/>
      <c r="AA49" s="3"/>
      <c r="AB49" s="3"/>
    </row>
    <row r="50" spans="1:28" ht="19">
      <c r="A50" s="45"/>
      <c r="B50" s="12" t="s">
        <v>3731</v>
      </c>
      <c r="C50" s="6"/>
      <c r="D50" s="6"/>
      <c r="E50" s="1686"/>
      <c r="F50" s="1686"/>
      <c r="G50" s="6"/>
      <c r="H50" s="6"/>
      <c r="I50" s="6"/>
      <c r="J50" s="6"/>
      <c r="K50" s="6"/>
      <c r="L50" s="6"/>
      <c r="M50" s="3"/>
      <c r="N50" s="3"/>
      <c r="O50" s="3"/>
      <c r="P50" s="3"/>
      <c r="Q50" s="3"/>
      <c r="R50" s="3"/>
      <c r="S50" s="3"/>
      <c r="T50" s="3"/>
      <c r="U50" s="3"/>
      <c r="V50" s="3"/>
      <c r="W50" s="3"/>
      <c r="X50" s="3"/>
      <c r="Y50" s="3"/>
      <c r="Z50" s="3"/>
      <c r="AA50" s="3"/>
      <c r="AB50" s="3"/>
    </row>
    <row r="51" spans="1:28">
      <c r="A51" s="45"/>
      <c r="B51" s="10" t="s">
        <v>3732</v>
      </c>
      <c r="C51" s="330">
        <f>IF(C43&gt;C46, 0,C43-C48)</f>
        <v>0</v>
      </c>
      <c r="D51" s="799"/>
      <c r="E51" s="2076" t="s">
        <v>3733</v>
      </c>
      <c r="F51" s="2077"/>
      <c r="G51" s="330" t="e">
        <f>IF(G43&gt;12000000, 1200000-G48,G43-G48)</f>
        <v>#REF!</v>
      </c>
      <c r="H51" s="6"/>
      <c r="I51" s="6"/>
      <c r="J51" s="6"/>
      <c r="K51" s="6"/>
      <c r="L51" s="6"/>
      <c r="M51" s="3"/>
      <c r="N51" s="3"/>
      <c r="O51" s="3"/>
      <c r="P51" s="3"/>
      <c r="Q51" s="3"/>
      <c r="R51" s="3"/>
      <c r="S51" s="3"/>
      <c r="T51" s="3"/>
      <c r="U51" s="3"/>
      <c r="V51" s="3"/>
      <c r="W51" s="3"/>
      <c r="X51" s="3"/>
      <c r="Y51" s="3"/>
      <c r="Z51" s="3"/>
      <c r="AA51" s="3"/>
      <c r="AB51" s="3"/>
    </row>
    <row r="52" spans="1:28" ht="16" customHeight="1">
      <c r="A52" s="45"/>
      <c r="B52" s="799"/>
      <c r="C52" s="799"/>
      <c r="D52" s="799"/>
      <c r="E52" s="6"/>
      <c r="F52" s="6"/>
      <c r="G52" s="6"/>
      <c r="H52" s="6"/>
      <c r="I52" s="6"/>
      <c r="J52" s="6"/>
      <c r="K52" s="6"/>
      <c r="L52" s="6"/>
      <c r="M52" s="3"/>
      <c r="N52" s="3"/>
      <c r="O52" s="3"/>
      <c r="P52" s="3"/>
      <c r="Q52" s="3"/>
      <c r="R52" s="3"/>
      <c r="S52" s="3"/>
      <c r="T52" s="3"/>
      <c r="U52" s="3"/>
      <c r="V52" s="3"/>
      <c r="W52" s="3"/>
      <c r="X52" s="3"/>
      <c r="Y52" s="3"/>
      <c r="Z52" s="3"/>
      <c r="AA52" s="3"/>
    </row>
    <row r="53" spans="1:28" ht="16" customHeight="1">
      <c r="A53" s="45"/>
      <c r="B53" s="10" t="s">
        <v>3734</v>
      </c>
      <c r="C53" s="2078" t="e">
        <f>"Federal TC Award adjusted by " &amp; TEXT(C51, "$#,##0")  &amp; " and State TC Award adjusted by " &amp; TEXT(G51,"$#,##0") &amp; ". See State Credits Equity Gap Addendum for details."</f>
        <v>#REF!</v>
      </c>
      <c r="D53" s="2079"/>
      <c r="E53" s="2079"/>
      <c r="F53" s="2080"/>
      <c r="G53" s="6"/>
      <c r="H53" s="6"/>
      <c r="I53" s="6"/>
      <c r="J53" s="6"/>
      <c r="K53" s="6"/>
      <c r="L53" s="6"/>
      <c r="M53" s="3"/>
      <c r="N53" s="3"/>
      <c r="O53" s="3"/>
      <c r="P53" s="3"/>
      <c r="Q53" s="3"/>
      <c r="R53" s="3"/>
      <c r="S53" s="3"/>
      <c r="T53" s="3"/>
      <c r="U53" s="3"/>
      <c r="V53" s="3"/>
      <c r="W53" s="3"/>
      <c r="X53" s="3"/>
      <c r="Y53" s="3"/>
      <c r="Z53" s="3"/>
      <c r="AA53" s="3"/>
    </row>
    <row r="54" spans="1:28" ht="16" customHeight="1">
      <c r="A54" s="45"/>
      <c r="B54" s="6"/>
      <c r="C54" s="2081"/>
      <c r="D54" s="2082"/>
      <c r="E54" s="2082"/>
      <c r="F54" s="2083"/>
      <c r="G54" s="6"/>
      <c r="H54" s="6"/>
      <c r="I54" s="6"/>
      <c r="J54" s="6"/>
      <c r="K54" s="6"/>
      <c r="L54" s="6"/>
      <c r="M54" s="3"/>
      <c r="N54" s="3"/>
      <c r="O54" s="3"/>
      <c r="P54" s="3"/>
      <c r="Q54" s="3"/>
      <c r="R54" s="3"/>
      <c r="S54" s="3"/>
      <c r="T54" s="3"/>
      <c r="U54" s="3"/>
      <c r="V54" s="3"/>
      <c r="W54" s="3"/>
      <c r="X54" s="3"/>
      <c r="Y54" s="3"/>
      <c r="Z54" s="3"/>
      <c r="AA54" s="3"/>
    </row>
    <row r="55" spans="1:28" ht="15" customHeight="1">
      <c r="A55" s="45"/>
      <c r="B55" s="45"/>
      <c r="C55" s="6"/>
      <c r="D55" s="6"/>
      <c r="E55" s="6"/>
      <c r="F55" s="6"/>
      <c r="G55" s="6"/>
      <c r="H55" s="6"/>
      <c r="I55" s="6"/>
      <c r="J55" s="6"/>
      <c r="K55" s="6"/>
      <c r="L55" s="6"/>
      <c r="M55" s="3"/>
      <c r="N55" s="3"/>
      <c r="O55" s="3"/>
      <c r="P55" s="3"/>
      <c r="Q55" s="3"/>
      <c r="R55" s="3"/>
      <c r="S55" s="3"/>
      <c r="T55" s="3"/>
      <c r="U55" s="3"/>
      <c r="V55" s="3"/>
      <c r="W55" s="3"/>
      <c r="X55" s="3"/>
      <c r="Y55" s="3"/>
      <c r="Z55" s="3"/>
      <c r="AA55" s="3"/>
    </row>
    <row r="56" spans="1:28" ht="15" customHeight="1">
      <c r="A56" s="131"/>
      <c r="B56" s="131"/>
      <c r="C56" s="3"/>
      <c r="D56" s="3"/>
      <c r="E56" s="3"/>
      <c r="F56" s="3"/>
      <c r="G56" s="3"/>
      <c r="H56" s="3"/>
      <c r="I56" s="3"/>
      <c r="J56" s="3"/>
      <c r="K56" s="3"/>
      <c r="L56" s="3"/>
      <c r="M56" s="3"/>
      <c r="N56" s="3"/>
      <c r="O56" s="3"/>
      <c r="P56" s="3"/>
      <c r="Q56" s="3"/>
      <c r="R56" s="3"/>
      <c r="S56" s="3"/>
      <c r="T56" s="3"/>
      <c r="U56" s="3"/>
      <c r="V56" s="3"/>
      <c r="W56" s="3"/>
      <c r="X56" s="3"/>
      <c r="Y56" s="3"/>
      <c r="Z56" s="3"/>
      <c r="AA56" s="3"/>
    </row>
    <row r="57" spans="1:28" ht="15" customHeight="1">
      <c r="A57" s="131"/>
      <c r="B57" s="131"/>
      <c r="C57" s="3"/>
      <c r="D57" s="3"/>
      <c r="E57" s="3"/>
      <c r="F57" s="3"/>
      <c r="G57" s="3"/>
      <c r="H57" s="3"/>
      <c r="I57" s="3"/>
      <c r="J57" s="3"/>
      <c r="K57" s="3"/>
      <c r="L57" s="3"/>
      <c r="M57" s="3"/>
      <c r="N57" s="3"/>
      <c r="O57" s="3"/>
      <c r="P57" s="3"/>
      <c r="Q57" s="3"/>
      <c r="R57" s="3"/>
      <c r="S57" s="3"/>
      <c r="T57" s="3"/>
      <c r="U57" s="3"/>
      <c r="V57" s="3"/>
      <c r="W57" s="3"/>
      <c r="X57" s="3"/>
      <c r="Y57" s="3"/>
      <c r="Z57" s="3"/>
      <c r="AA57" s="3"/>
    </row>
    <row r="58" spans="1:28">
      <c r="A58" s="131"/>
      <c r="B58" s="131"/>
      <c r="C58" s="3"/>
      <c r="D58" s="3"/>
      <c r="E58" s="3"/>
      <c r="F58" s="3"/>
      <c r="G58" s="3"/>
      <c r="H58" s="3"/>
      <c r="I58" s="3"/>
      <c r="J58" s="3"/>
      <c r="K58" s="3"/>
      <c r="L58" s="3"/>
      <c r="M58" s="3"/>
      <c r="N58" s="3"/>
      <c r="O58" s="3"/>
      <c r="P58" s="3"/>
      <c r="Q58" s="3"/>
      <c r="R58" s="3"/>
      <c r="S58" s="3"/>
      <c r="T58" s="3"/>
      <c r="U58" s="3"/>
      <c r="V58" s="3"/>
      <c r="W58" s="3"/>
      <c r="X58" s="3"/>
      <c r="Y58" s="3"/>
      <c r="Z58" s="3"/>
      <c r="AA58" s="3"/>
    </row>
    <row r="59" spans="1:28">
      <c r="A59" s="131"/>
      <c r="B59" s="131"/>
      <c r="C59" s="3"/>
      <c r="D59" s="3"/>
      <c r="E59" s="3"/>
      <c r="F59" s="3"/>
      <c r="G59" s="3"/>
      <c r="H59" s="3"/>
      <c r="I59" s="3"/>
      <c r="J59" s="3"/>
      <c r="K59" s="3"/>
      <c r="L59" s="3"/>
      <c r="M59" s="3"/>
      <c r="N59" s="3"/>
      <c r="O59" s="3"/>
      <c r="P59" s="3"/>
      <c r="Q59" s="3"/>
      <c r="R59" s="3"/>
      <c r="S59" s="3"/>
      <c r="T59" s="3"/>
      <c r="U59" s="3"/>
      <c r="V59" s="3"/>
      <c r="W59" s="3"/>
      <c r="X59" s="3"/>
      <c r="Y59" s="3"/>
      <c r="Z59" s="3"/>
      <c r="AA59" s="3"/>
    </row>
    <row r="60" spans="1:28">
      <c r="A60" s="131"/>
      <c r="B60" s="131"/>
      <c r="C60" s="3"/>
      <c r="D60" s="3"/>
      <c r="E60" s="3"/>
      <c r="F60" s="3"/>
      <c r="G60" s="3"/>
      <c r="H60" s="3"/>
      <c r="I60" s="3"/>
      <c r="J60" s="3"/>
      <c r="K60" s="3"/>
      <c r="L60" s="3"/>
      <c r="M60" s="3"/>
      <c r="N60" s="3"/>
      <c r="O60" s="3"/>
      <c r="P60" s="3"/>
      <c r="Q60" s="3"/>
      <c r="R60" s="3"/>
      <c r="S60" s="3"/>
      <c r="T60" s="3"/>
      <c r="U60" s="3"/>
      <c r="V60" s="3"/>
      <c r="W60" s="3"/>
      <c r="X60" s="3"/>
      <c r="Y60" s="3"/>
      <c r="Z60" s="3"/>
      <c r="AA60" s="3"/>
    </row>
    <row r="61" spans="1:28">
      <c r="A61" s="131"/>
      <c r="B61" s="131"/>
      <c r="C61" s="3"/>
      <c r="D61" s="3"/>
      <c r="E61" s="3"/>
      <c r="F61" s="3"/>
      <c r="G61" s="3"/>
      <c r="H61" s="3"/>
      <c r="I61" s="3"/>
      <c r="J61" s="3"/>
      <c r="K61" s="3"/>
      <c r="L61" s="3"/>
      <c r="M61" s="3"/>
      <c r="N61" s="3"/>
      <c r="O61" s="3"/>
      <c r="P61" s="3"/>
      <c r="Q61" s="3"/>
      <c r="R61" s="3"/>
      <c r="S61" s="3"/>
      <c r="T61" s="3"/>
      <c r="U61" s="3"/>
      <c r="V61" s="3"/>
      <c r="W61" s="3"/>
      <c r="X61" s="3"/>
      <c r="Y61" s="3"/>
      <c r="Z61" s="3"/>
      <c r="AA61" s="3"/>
    </row>
    <row r="62" spans="1:28">
      <c r="A62" s="131"/>
      <c r="B62" s="131"/>
      <c r="C62" s="3"/>
      <c r="D62" s="3"/>
      <c r="E62" s="3"/>
      <c r="F62" s="3"/>
      <c r="G62" s="3"/>
      <c r="H62" s="3"/>
      <c r="I62" s="3"/>
      <c r="J62" s="3"/>
      <c r="K62" s="3"/>
      <c r="L62" s="3"/>
      <c r="M62" s="3"/>
      <c r="N62" s="3"/>
      <c r="O62" s="3"/>
      <c r="P62" s="3"/>
      <c r="Q62" s="3"/>
      <c r="R62" s="3"/>
      <c r="S62" s="3"/>
      <c r="T62" s="3"/>
      <c r="U62" s="3"/>
      <c r="V62" s="3"/>
      <c r="W62" s="3"/>
      <c r="X62" s="3"/>
      <c r="Y62" s="3"/>
      <c r="Z62" s="3"/>
      <c r="AA62" s="3"/>
    </row>
    <row r="63" spans="1:28">
      <c r="A63" s="131"/>
      <c r="B63" s="131"/>
      <c r="C63" s="3"/>
      <c r="D63" s="3"/>
      <c r="E63" s="3"/>
      <c r="F63" s="3"/>
      <c r="G63" s="3"/>
      <c r="H63" s="3"/>
      <c r="I63" s="3"/>
      <c r="J63" s="3"/>
      <c r="K63" s="3"/>
      <c r="L63" s="3"/>
      <c r="M63" s="3"/>
      <c r="N63" s="3"/>
      <c r="O63" s="3"/>
      <c r="P63" s="3"/>
      <c r="Q63" s="3"/>
      <c r="R63" s="3"/>
      <c r="S63" s="3"/>
      <c r="T63" s="3"/>
      <c r="U63" s="3"/>
      <c r="V63" s="3"/>
      <c r="W63" s="3"/>
      <c r="X63" s="3"/>
      <c r="Y63" s="3"/>
      <c r="Z63" s="3"/>
      <c r="AA63" s="3"/>
    </row>
    <row r="64" spans="1:28">
      <c r="A64" s="131"/>
      <c r="B64" s="131"/>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131"/>
      <c r="B65" s="131"/>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131"/>
      <c r="B66" s="131"/>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131"/>
      <c r="B67" s="131"/>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131"/>
      <c r="B68" s="131"/>
      <c r="C68" s="3"/>
      <c r="D68" s="3"/>
      <c r="E68" s="3"/>
      <c r="F68" s="3"/>
      <c r="G68" s="3"/>
      <c r="H68" s="3"/>
      <c r="I68" s="3"/>
      <c r="J68" s="3"/>
      <c r="K68" s="3"/>
      <c r="L68" s="3"/>
      <c r="M68" s="3"/>
      <c r="N68" s="3"/>
      <c r="O68" s="3"/>
      <c r="P68" s="3"/>
      <c r="Q68" s="3"/>
      <c r="R68" s="3"/>
      <c r="S68" s="3"/>
      <c r="T68" s="3"/>
      <c r="U68" s="3"/>
      <c r="V68" s="3"/>
      <c r="W68" s="3"/>
      <c r="X68" s="3"/>
      <c r="Y68" s="3"/>
      <c r="Z68" s="3"/>
      <c r="AA68" s="3"/>
    </row>
    <row r="69" spans="1:27">
      <c r="A69" s="131"/>
      <c r="B69" s="131"/>
      <c r="C69" s="3"/>
      <c r="D69" s="3"/>
      <c r="E69" s="3"/>
      <c r="F69" s="3"/>
      <c r="G69" s="3"/>
      <c r="H69" s="3"/>
      <c r="I69" s="3"/>
      <c r="J69" s="3"/>
      <c r="K69" s="3"/>
      <c r="L69" s="3"/>
      <c r="M69" s="3"/>
      <c r="N69" s="3"/>
      <c r="O69" s="3"/>
      <c r="P69" s="3"/>
      <c r="Q69" s="3"/>
      <c r="R69" s="3"/>
      <c r="S69" s="3"/>
      <c r="T69" s="3"/>
      <c r="U69" s="3"/>
      <c r="V69" s="3"/>
      <c r="W69" s="3"/>
      <c r="X69" s="3"/>
      <c r="Y69" s="3"/>
      <c r="Z69" s="3"/>
      <c r="AA69" s="3"/>
    </row>
    <row r="70" spans="1:27">
      <c r="A70" s="131"/>
      <c r="B70" s="131"/>
      <c r="C70" s="3"/>
      <c r="D70" s="3"/>
      <c r="E70" s="3"/>
      <c r="F70" s="3"/>
      <c r="G70" s="3"/>
      <c r="H70" s="3"/>
      <c r="I70" s="3"/>
      <c r="J70" s="3"/>
      <c r="K70" s="3"/>
      <c r="L70" s="3"/>
      <c r="M70" s="3"/>
      <c r="N70" s="3"/>
      <c r="O70" s="3"/>
      <c r="P70" s="3"/>
      <c r="Q70" s="3"/>
      <c r="R70" s="3"/>
      <c r="S70" s="3"/>
      <c r="T70" s="3"/>
      <c r="U70" s="3"/>
      <c r="V70" s="3"/>
      <c r="W70" s="3"/>
      <c r="X70" s="3"/>
      <c r="Y70" s="3"/>
      <c r="Z70" s="3"/>
      <c r="AA70" s="3"/>
    </row>
    <row r="71" spans="1:27">
      <c r="A71" s="131"/>
      <c r="B71" s="131"/>
      <c r="C71" s="3"/>
      <c r="D71" s="3"/>
      <c r="E71" s="3"/>
      <c r="F71" s="3"/>
      <c r="G71" s="3"/>
      <c r="H71" s="3"/>
      <c r="I71" s="3"/>
      <c r="J71" s="3"/>
      <c r="K71" s="3"/>
      <c r="L71" s="3"/>
      <c r="M71" s="3"/>
      <c r="N71" s="3"/>
      <c r="O71" s="3"/>
      <c r="P71" s="3"/>
      <c r="Q71" s="3"/>
      <c r="R71" s="3"/>
      <c r="S71" s="3"/>
      <c r="T71" s="3"/>
      <c r="U71" s="3"/>
      <c r="V71" s="3"/>
      <c r="W71" s="3"/>
      <c r="X71" s="3"/>
      <c r="Y71" s="3"/>
      <c r="Z71" s="3"/>
      <c r="AA71" s="3"/>
    </row>
    <row r="72" spans="1:27">
      <c r="A72" s="131"/>
      <c r="B72" s="131"/>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131"/>
      <c r="B73" s="131"/>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131"/>
      <c r="B74" s="131"/>
      <c r="C74" s="3"/>
      <c r="D74" s="3"/>
      <c r="E74" s="3"/>
      <c r="F74" s="3"/>
      <c r="G74" s="3"/>
      <c r="H74" s="3"/>
      <c r="I74" s="3"/>
      <c r="J74" s="3"/>
      <c r="K74" s="3"/>
      <c r="L74" s="3"/>
      <c r="M74" s="3"/>
      <c r="N74" s="3"/>
      <c r="O74" s="3"/>
      <c r="P74" s="3"/>
      <c r="Q74" s="3"/>
      <c r="R74" s="3"/>
      <c r="S74" s="3"/>
      <c r="T74" s="3"/>
      <c r="U74" s="3"/>
      <c r="V74" s="3"/>
      <c r="W74" s="3"/>
      <c r="X74" s="3"/>
      <c r="Y74" s="3"/>
      <c r="Z74" s="3"/>
      <c r="AA74" s="3"/>
    </row>
    <row r="75" spans="1:27">
      <c r="A75" s="131"/>
      <c r="B75" s="131"/>
      <c r="C75" s="3"/>
      <c r="D75" s="3"/>
      <c r="E75" s="3"/>
      <c r="F75" s="3"/>
      <c r="G75" s="3"/>
      <c r="H75" s="3"/>
      <c r="I75" s="3"/>
      <c r="J75" s="3"/>
      <c r="K75" s="3"/>
      <c r="L75" s="3"/>
      <c r="M75" s="3"/>
      <c r="N75" s="3"/>
      <c r="O75" s="3"/>
      <c r="P75" s="3"/>
      <c r="Q75" s="3"/>
      <c r="R75" s="3"/>
      <c r="S75" s="3"/>
      <c r="T75" s="3"/>
      <c r="U75" s="3"/>
      <c r="V75" s="3"/>
      <c r="W75" s="3"/>
      <c r="X75" s="3"/>
      <c r="Y75" s="3"/>
      <c r="Z75" s="3"/>
      <c r="AA75" s="3"/>
    </row>
    <row r="76" spans="1:27">
      <c r="A76" s="131"/>
      <c r="B76" s="131"/>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131"/>
      <c r="B77" s="131"/>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131"/>
      <c r="B78" s="131"/>
      <c r="C78" s="3"/>
      <c r="D78" s="3"/>
      <c r="E78" s="3"/>
      <c r="F78" s="3"/>
      <c r="G78" s="3"/>
      <c r="H78" s="3"/>
      <c r="I78" s="3"/>
      <c r="J78" s="3"/>
      <c r="K78" s="3"/>
      <c r="L78" s="3"/>
      <c r="M78" s="3"/>
      <c r="N78" s="3"/>
      <c r="O78" s="3"/>
      <c r="P78" s="3"/>
      <c r="Q78" s="3"/>
      <c r="R78" s="3"/>
      <c r="S78" s="3"/>
      <c r="T78" s="3"/>
      <c r="U78" s="3"/>
      <c r="V78" s="3"/>
      <c r="W78" s="3"/>
      <c r="X78" s="3"/>
      <c r="Y78" s="3"/>
      <c r="Z78" s="3"/>
      <c r="AA78" s="3"/>
    </row>
    <row r="79" spans="1:27">
      <c r="A79" s="131"/>
      <c r="B79" s="131"/>
      <c r="C79" s="3"/>
      <c r="D79" s="3"/>
      <c r="E79" s="3"/>
      <c r="F79" s="3"/>
      <c r="G79" s="3"/>
      <c r="H79" s="3"/>
      <c r="I79" s="3"/>
      <c r="J79" s="3"/>
      <c r="K79" s="3"/>
      <c r="L79" s="3"/>
      <c r="M79" s="3"/>
      <c r="N79" s="3"/>
      <c r="O79" s="3"/>
      <c r="P79" s="3"/>
      <c r="Q79" s="3"/>
      <c r="R79" s="3"/>
      <c r="S79" s="3"/>
      <c r="T79" s="3"/>
      <c r="U79" s="3"/>
      <c r="V79" s="3"/>
      <c r="W79" s="3"/>
      <c r="X79" s="3"/>
      <c r="Y79" s="3"/>
      <c r="Z79" s="3"/>
      <c r="AA79" s="3"/>
    </row>
    <row r="80" spans="1:27">
      <c r="A80" s="131"/>
      <c r="B80" s="131"/>
      <c r="C80" s="3"/>
      <c r="D80" s="3"/>
      <c r="E80" s="3"/>
      <c r="F80" s="3"/>
      <c r="G80" s="3"/>
      <c r="H80" s="3"/>
      <c r="I80" s="3"/>
      <c r="J80" s="3"/>
      <c r="K80" s="3"/>
      <c r="L80" s="3"/>
      <c r="M80" s="3"/>
      <c r="N80" s="3"/>
      <c r="O80" s="3"/>
      <c r="P80" s="3"/>
      <c r="Q80" s="3"/>
      <c r="R80" s="3"/>
      <c r="S80" s="3"/>
      <c r="T80" s="3"/>
      <c r="U80" s="3"/>
      <c r="V80" s="3"/>
      <c r="W80" s="3"/>
      <c r="X80" s="3"/>
      <c r="Y80" s="3"/>
      <c r="Z80" s="3"/>
      <c r="AA80" s="3"/>
    </row>
    <row r="81" spans="1:27">
      <c r="A81" s="131"/>
      <c r="B81" s="131"/>
      <c r="C81" s="3"/>
      <c r="D81" s="3"/>
      <c r="E81" s="3"/>
      <c r="F81" s="3"/>
      <c r="G81" s="3"/>
      <c r="H81" s="3"/>
      <c r="I81" s="3"/>
      <c r="J81" s="3"/>
      <c r="K81" s="3"/>
      <c r="L81" s="3"/>
      <c r="M81" s="3"/>
      <c r="N81" s="3"/>
      <c r="O81" s="3"/>
      <c r="P81" s="3"/>
      <c r="Q81" s="3"/>
      <c r="R81" s="3"/>
      <c r="S81" s="3"/>
      <c r="T81" s="3"/>
      <c r="U81" s="3"/>
      <c r="V81" s="3"/>
      <c r="W81" s="3"/>
      <c r="X81" s="3"/>
      <c r="Y81" s="3"/>
      <c r="Z81" s="3"/>
      <c r="AA81" s="3"/>
    </row>
    <row r="82" spans="1:27">
      <c r="A82" s="131"/>
      <c r="B82" s="131"/>
      <c r="C82" s="3"/>
      <c r="D82" s="3"/>
      <c r="E82" s="3"/>
      <c r="F82" s="3"/>
      <c r="G82" s="3"/>
      <c r="H82" s="3"/>
      <c r="I82" s="3"/>
      <c r="J82" s="3"/>
      <c r="K82" s="3"/>
      <c r="L82" s="3"/>
      <c r="M82" s="3"/>
      <c r="N82" s="3"/>
      <c r="O82" s="3"/>
      <c r="P82" s="3"/>
      <c r="Q82" s="3"/>
      <c r="R82" s="3"/>
      <c r="S82" s="3"/>
      <c r="T82" s="3"/>
      <c r="U82" s="3"/>
      <c r="V82" s="3"/>
      <c r="W82" s="3"/>
      <c r="X82" s="3"/>
      <c r="Y82" s="3"/>
      <c r="Z82" s="3"/>
      <c r="AA82" s="3"/>
    </row>
    <row r="83" spans="1:27">
      <c r="A83" s="131"/>
      <c r="B83" s="131"/>
      <c r="C83" s="3"/>
      <c r="D83" s="3"/>
      <c r="E83" s="3"/>
      <c r="F83" s="3"/>
      <c r="G83" s="3"/>
      <c r="H83" s="3"/>
      <c r="I83" s="3"/>
      <c r="J83" s="3"/>
      <c r="K83" s="3"/>
      <c r="L83" s="3"/>
      <c r="M83" s="3"/>
      <c r="N83" s="3"/>
      <c r="O83" s="3"/>
      <c r="P83" s="3"/>
      <c r="Q83" s="3"/>
      <c r="R83" s="3"/>
      <c r="S83" s="3"/>
      <c r="T83" s="3"/>
      <c r="U83" s="3"/>
      <c r="V83" s="3"/>
      <c r="W83" s="3"/>
      <c r="X83" s="3"/>
      <c r="Y83" s="3"/>
      <c r="Z83" s="3"/>
      <c r="AA83" s="3"/>
    </row>
    <row r="84" spans="1:27">
      <c r="A84" s="131"/>
      <c r="B84" s="131"/>
      <c r="C84" s="3"/>
      <c r="D84" s="3"/>
      <c r="E84" s="3"/>
      <c r="F84" s="3"/>
      <c r="G84" s="3"/>
      <c r="H84" s="3"/>
      <c r="I84" s="3"/>
      <c r="J84" s="3"/>
      <c r="K84" s="3"/>
      <c r="L84" s="3"/>
      <c r="M84" s="3"/>
      <c r="N84" s="3"/>
      <c r="O84" s="3"/>
      <c r="P84" s="3"/>
      <c r="Q84" s="3"/>
      <c r="R84" s="3"/>
      <c r="S84" s="3"/>
      <c r="T84" s="3"/>
      <c r="U84" s="3"/>
      <c r="V84" s="3"/>
      <c r="W84" s="3"/>
      <c r="X84" s="3"/>
      <c r="Y84" s="3"/>
      <c r="Z84" s="3"/>
      <c r="AA84" s="3"/>
    </row>
    <row r="85" spans="1:27">
      <c r="A85" s="131"/>
      <c r="B85" s="131"/>
      <c r="C85" s="3"/>
      <c r="D85" s="3"/>
      <c r="E85" s="3"/>
      <c r="F85" s="3"/>
      <c r="G85" s="3"/>
      <c r="H85" s="3"/>
      <c r="I85" s="3"/>
      <c r="J85" s="3"/>
      <c r="K85" s="3"/>
      <c r="L85" s="3"/>
      <c r="M85" s="3"/>
      <c r="N85" s="3"/>
      <c r="O85" s="3"/>
      <c r="P85" s="3"/>
      <c r="Q85" s="3"/>
      <c r="R85" s="3"/>
      <c r="S85" s="3"/>
      <c r="T85" s="3"/>
      <c r="U85" s="3"/>
      <c r="V85" s="3"/>
      <c r="W85" s="3"/>
      <c r="X85" s="3"/>
      <c r="Y85" s="3"/>
      <c r="Z85" s="3"/>
      <c r="AA85" s="3"/>
    </row>
    <row r="86" spans="1:27">
      <c r="A86" s="131"/>
      <c r="B86" s="131"/>
      <c r="C86" s="3"/>
      <c r="D86" s="3"/>
      <c r="E86" s="3"/>
      <c r="F86" s="3"/>
      <c r="G86" s="3"/>
      <c r="H86" s="3"/>
      <c r="I86" s="3"/>
      <c r="J86" s="3"/>
      <c r="K86" s="3"/>
      <c r="L86" s="3"/>
      <c r="M86" s="3"/>
      <c r="N86" s="3"/>
      <c r="O86" s="3"/>
      <c r="P86" s="3"/>
      <c r="Q86" s="3"/>
      <c r="R86" s="3"/>
      <c r="S86" s="3"/>
      <c r="T86" s="3"/>
      <c r="U86" s="3"/>
      <c r="V86" s="3"/>
      <c r="W86" s="3"/>
      <c r="X86" s="3"/>
      <c r="Y86" s="3"/>
      <c r="Z86" s="3"/>
      <c r="AA86" s="3"/>
    </row>
    <row r="87" spans="1:27">
      <c r="A87" s="131"/>
      <c r="B87" s="131"/>
      <c r="C87" s="3"/>
      <c r="D87" s="3"/>
      <c r="E87" s="3"/>
      <c r="F87" s="3"/>
      <c r="G87" s="3"/>
      <c r="H87" s="3"/>
      <c r="I87" s="3"/>
      <c r="J87" s="3"/>
      <c r="K87" s="3"/>
      <c r="L87" s="3"/>
      <c r="M87" s="3"/>
      <c r="N87" s="3"/>
      <c r="O87" s="3"/>
      <c r="P87" s="3"/>
      <c r="Q87" s="3"/>
      <c r="R87" s="3"/>
      <c r="S87" s="3"/>
      <c r="T87" s="3"/>
      <c r="U87" s="3"/>
      <c r="V87" s="3"/>
      <c r="W87" s="3"/>
      <c r="X87" s="3"/>
      <c r="Y87" s="3"/>
      <c r="Z87" s="3"/>
      <c r="AA87" s="3"/>
    </row>
    <row r="88" spans="1:27">
      <c r="A88" s="131"/>
      <c r="B88" s="131"/>
      <c r="C88" s="3"/>
      <c r="D88" s="3"/>
      <c r="E88" s="3"/>
      <c r="F88" s="3"/>
      <c r="G88" s="3"/>
      <c r="H88" s="3"/>
      <c r="I88" s="3"/>
      <c r="J88" s="3"/>
      <c r="K88" s="3"/>
      <c r="L88" s="3"/>
      <c r="M88" s="3"/>
      <c r="N88" s="3"/>
      <c r="O88" s="3"/>
      <c r="P88" s="3"/>
      <c r="Q88" s="3"/>
      <c r="R88" s="3"/>
      <c r="S88" s="3"/>
      <c r="T88" s="3"/>
      <c r="U88" s="3"/>
      <c r="V88" s="3"/>
      <c r="W88" s="3"/>
      <c r="X88" s="3"/>
      <c r="Y88" s="3"/>
      <c r="Z88" s="3"/>
      <c r="AA88" s="3"/>
    </row>
    <row r="89" spans="1:27">
      <c r="A89" s="131"/>
      <c r="B89" s="131"/>
      <c r="C89" s="3"/>
      <c r="D89" s="3"/>
      <c r="E89" s="3"/>
      <c r="F89" s="3"/>
      <c r="G89" s="3"/>
      <c r="H89" s="3"/>
      <c r="I89" s="3"/>
      <c r="J89" s="3"/>
      <c r="K89" s="3"/>
      <c r="L89" s="3"/>
      <c r="M89" s="3"/>
      <c r="N89" s="3"/>
      <c r="O89" s="3"/>
      <c r="P89" s="3"/>
      <c r="Q89" s="3"/>
      <c r="R89" s="3"/>
      <c r="S89" s="3"/>
      <c r="T89" s="3"/>
      <c r="U89" s="3"/>
      <c r="V89" s="3"/>
      <c r="W89" s="3"/>
      <c r="X89" s="3"/>
      <c r="Y89" s="3"/>
      <c r="Z89" s="3"/>
      <c r="AA89" s="3"/>
    </row>
    <row r="90" spans="1:27">
      <c r="A90" s="131"/>
      <c r="B90" s="131"/>
      <c r="C90" s="3"/>
      <c r="D90" s="3"/>
      <c r="E90" s="3"/>
      <c r="F90" s="3"/>
      <c r="G90" s="3"/>
      <c r="H90" s="3"/>
      <c r="I90" s="3"/>
      <c r="J90" s="3"/>
      <c r="K90" s="3"/>
      <c r="L90" s="3"/>
      <c r="M90" s="3"/>
      <c r="N90" s="3"/>
      <c r="O90" s="3"/>
      <c r="P90" s="3"/>
      <c r="Q90" s="3"/>
      <c r="R90" s="3"/>
      <c r="S90" s="3"/>
      <c r="T90" s="3"/>
      <c r="U90" s="3"/>
      <c r="V90" s="3"/>
      <c r="W90" s="3"/>
      <c r="X90" s="3"/>
      <c r="Y90" s="3"/>
      <c r="Z90" s="3"/>
      <c r="AA90" s="3"/>
    </row>
    <row r="91" spans="1:27">
      <c r="A91" s="131"/>
      <c r="B91" s="131"/>
      <c r="C91" s="3"/>
      <c r="D91" s="3"/>
      <c r="E91" s="3"/>
      <c r="F91" s="3"/>
      <c r="G91" s="3"/>
      <c r="H91" s="3"/>
      <c r="I91" s="3"/>
      <c r="J91" s="3"/>
      <c r="K91" s="3"/>
      <c r="L91" s="3"/>
      <c r="M91" s="3"/>
      <c r="N91" s="3"/>
      <c r="O91" s="3"/>
      <c r="P91" s="3"/>
      <c r="Q91" s="3"/>
      <c r="R91" s="3"/>
      <c r="S91" s="3"/>
      <c r="T91" s="3"/>
      <c r="U91" s="3"/>
      <c r="V91" s="3"/>
      <c r="W91" s="3"/>
      <c r="X91" s="3"/>
      <c r="Y91" s="3"/>
      <c r="Z91" s="3"/>
      <c r="AA91" s="3"/>
    </row>
    <row r="92" spans="1:27">
      <c r="A92" s="131"/>
      <c r="B92" s="131"/>
      <c r="C92" s="3"/>
      <c r="D92" s="3"/>
      <c r="E92" s="3"/>
      <c r="F92" s="3"/>
      <c r="G92" s="3"/>
      <c r="H92" s="3"/>
      <c r="I92" s="3"/>
      <c r="J92" s="3"/>
      <c r="K92" s="3"/>
      <c r="L92" s="3"/>
      <c r="M92" s="3"/>
      <c r="N92" s="3"/>
      <c r="O92" s="3"/>
      <c r="P92" s="3"/>
      <c r="Q92" s="3"/>
      <c r="R92" s="3"/>
      <c r="S92" s="3"/>
      <c r="T92" s="3"/>
      <c r="U92" s="3"/>
      <c r="V92" s="3"/>
      <c r="W92" s="3"/>
      <c r="X92" s="3"/>
      <c r="Y92" s="3"/>
      <c r="Z92" s="3"/>
      <c r="AA92" s="3"/>
    </row>
    <row r="93" spans="1:27">
      <c r="A93" s="131"/>
      <c r="B93" s="131"/>
      <c r="C93" s="3"/>
      <c r="D93" s="3"/>
      <c r="E93" s="3"/>
      <c r="F93" s="3"/>
      <c r="G93" s="3"/>
      <c r="H93" s="3"/>
      <c r="I93" s="3"/>
      <c r="J93" s="3"/>
      <c r="K93" s="3"/>
      <c r="L93" s="3"/>
      <c r="M93" s="3"/>
      <c r="N93" s="3"/>
      <c r="O93" s="3"/>
      <c r="P93" s="3"/>
      <c r="Q93" s="3"/>
      <c r="R93" s="3"/>
      <c r="S93" s="3"/>
      <c r="T93" s="3"/>
      <c r="U93" s="3"/>
      <c r="V93" s="3"/>
      <c r="W93" s="3"/>
      <c r="X93" s="3"/>
      <c r="Y93" s="3"/>
      <c r="Z93" s="3"/>
      <c r="AA93" s="3"/>
    </row>
    <row r="94" spans="1:27">
      <c r="A94" s="131"/>
      <c r="B94" s="131"/>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131"/>
      <c r="B95" s="131"/>
      <c r="C95" s="3"/>
      <c r="D95" s="3"/>
      <c r="E95" s="3"/>
      <c r="F95" s="3"/>
      <c r="G95" s="3"/>
      <c r="H95" s="3"/>
      <c r="I95" s="3"/>
      <c r="J95" s="3"/>
      <c r="K95" s="3"/>
      <c r="L95" s="3"/>
      <c r="M95" s="3"/>
      <c r="N95" s="3"/>
      <c r="O95" s="3"/>
      <c r="P95" s="3"/>
      <c r="Q95" s="3"/>
      <c r="R95" s="3"/>
      <c r="S95" s="3"/>
      <c r="T95" s="3"/>
      <c r="U95" s="3"/>
      <c r="V95" s="3"/>
      <c r="W95" s="3"/>
      <c r="X95" s="3"/>
      <c r="Y95" s="3"/>
      <c r="Z95" s="3"/>
      <c r="AA95" s="3"/>
    </row>
    <row r="96" spans="1:27">
      <c r="A96" s="131"/>
      <c r="B96" s="131"/>
      <c r="C96" s="3"/>
      <c r="D96" s="3"/>
      <c r="E96" s="3"/>
      <c r="F96" s="3"/>
      <c r="G96" s="3"/>
      <c r="H96" s="3"/>
      <c r="I96" s="3"/>
      <c r="J96" s="3"/>
      <c r="K96" s="3"/>
      <c r="L96" s="3"/>
      <c r="M96" s="3"/>
      <c r="N96" s="3"/>
      <c r="O96" s="3"/>
      <c r="P96" s="3"/>
      <c r="Q96" s="3"/>
      <c r="R96" s="3"/>
      <c r="S96" s="3"/>
      <c r="T96" s="3"/>
      <c r="U96" s="3"/>
      <c r="V96" s="3"/>
      <c r="W96" s="3"/>
      <c r="X96" s="3"/>
      <c r="Y96" s="3"/>
      <c r="Z96" s="3"/>
      <c r="AA96" s="3"/>
    </row>
    <row r="97" spans="1:27">
      <c r="A97" s="131"/>
      <c r="B97" s="131"/>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131"/>
      <c r="B98" s="131"/>
      <c r="C98" s="3"/>
      <c r="D98" s="3"/>
      <c r="E98" s="3"/>
      <c r="F98" s="3"/>
      <c r="G98" s="3"/>
      <c r="H98" s="3"/>
      <c r="I98" s="3"/>
      <c r="J98" s="3"/>
      <c r="K98" s="3"/>
      <c r="L98" s="3"/>
      <c r="M98" s="3"/>
      <c r="N98" s="3"/>
      <c r="O98" s="3"/>
      <c r="P98" s="3"/>
      <c r="Q98" s="3"/>
      <c r="R98" s="3"/>
      <c r="S98" s="3"/>
      <c r="T98" s="3"/>
      <c r="U98" s="3"/>
      <c r="V98" s="3"/>
      <c r="W98" s="3"/>
      <c r="X98" s="3"/>
      <c r="Y98" s="3"/>
      <c r="Z98" s="3"/>
      <c r="AA98" s="3"/>
    </row>
    <row r="99" spans="1:27">
      <c r="A99" s="131"/>
      <c r="B99" s="131"/>
      <c r="C99" s="3"/>
      <c r="D99" s="3"/>
      <c r="E99" s="3"/>
      <c r="F99" s="3"/>
      <c r="G99" s="3"/>
      <c r="H99" s="3"/>
      <c r="I99" s="3"/>
      <c r="J99" s="3"/>
      <c r="K99" s="3"/>
      <c r="L99" s="3"/>
      <c r="M99" s="3"/>
      <c r="N99" s="3"/>
      <c r="O99" s="3"/>
      <c r="P99" s="3"/>
      <c r="Q99" s="3"/>
      <c r="R99" s="3"/>
      <c r="S99" s="3"/>
      <c r="T99" s="3"/>
      <c r="U99" s="3"/>
      <c r="V99" s="3"/>
      <c r="W99" s="3"/>
      <c r="X99" s="3"/>
      <c r="Y99" s="3"/>
      <c r="Z99" s="3"/>
      <c r="AA99" s="3"/>
    </row>
    <row r="100" spans="1:27">
      <c r="A100" s="131"/>
      <c r="B100" s="131"/>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c r="A101" s="131"/>
      <c r="B101" s="131"/>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c r="A102" s="131"/>
      <c r="B102" s="131"/>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c r="A103" s="131"/>
      <c r="B103" s="131"/>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c r="A104" s="131"/>
      <c r="B104" s="131"/>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c r="A105" s="131"/>
      <c r="B105" s="131"/>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c r="A106" s="131"/>
      <c r="B106" s="131"/>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c r="A107" s="131"/>
      <c r="B107" s="131"/>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c r="A108" s="131"/>
      <c r="B108" s="131"/>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c r="A109" s="131"/>
      <c r="B109" s="131"/>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c r="A110" s="131"/>
      <c r="B110" s="131"/>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c r="A111" s="131"/>
      <c r="B111" s="131"/>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c r="A112" s="131"/>
      <c r="B112" s="131"/>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36">
      <c r="A113" s="131"/>
      <c r="B113" s="131"/>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36">
      <c r="A114" s="131"/>
      <c r="B114" s="131"/>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36">
      <c r="A115" s="131"/>
      <c r="B115" s="131"/>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36">
      <c r="A116" s="131"/>
      <c r="B116" s="131"/>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36">
      <c r="A117" s="131"/>
      <c r="B117" s="131"/>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36">
      <c r="A118" s="131"/>
      <c r="B118" s="131"/>
      <c r="C118" s="131"/>
      <c r="D118" s="131"/>
      <c r="E118" s="131"/>
      <c r="F118" s="131"/>
      <c r="G118" s="131"/>
      <c r="H118" s="131"/>
      <c r="I118" s="131"/>
      <c r="J118" s="131"/>
      <c r="K118" s="131"/>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c r="A119" s="131"/>
      <c r="B119" s="131"/>
      <c r="C119" s="131"/>
      <c r="D119" s="131"/>
      <c r="E119" s="131"/>
      <c r="F119" s="131"/>
      <c r="G119" s="131"/>
      <c r="H119" s="131"/>
      <c r="I119" s="131"/>
      <c r="J119" s="131"/>
      <c r="K119" s="131"/>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c r="A120" s="131"/>
      <c r="B120" s="131"/>
      <c r="C120" s="131"/>
      <c r="D120" s="131"/>
      <c r="E120" s="131"/>
      <c r="F120" s="131"/>
      <c r="G120" s="131"/>
      <c r="H120" s="131"/>
      <c r="I120" s="131"/>
      <c r="J120" s="131"/>
      <c r="K120" s="131"/>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c r="A121" s="131"/>
      <c r="B121" s="131"/>
      <c r="C121" s="131"/>
      <c r="D121" s="131"/>
      <c r="E121" s="131"/>
      <c r="F121" s="131"/>
      <c r="G121" s="131"/>
      <c r="H121" s="131"/>
      <c r="I121" s="131"/>
      <c r="J121" s="131"/>
      <c r="K121" s="131"/>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c r="A122" s="131"/>
      <c r="B122" s="131"/>
      <c r="C122" s="131"/>
      <c r="D122" s="131"/>
      <c r="E122" s="131"/>
      <c r="F122" s="131"/>
      <c r="G122" s="131"/>
      <c r="H122" s="131"/>
      <c r="I122" s="131"/>
      <c r="J122" s="131"/>
      <c r="K122" s="131"/>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c r="A123" s="131"/>
      <c r="B123" s="131"/>
      <c r="C123" s="131"/>
      <c r="D123" s="131"/>
      <c r="E123" s="131"/>
      <c r="F123" s="131"/>
      <c r="G123" s="131"/>
      <c r="H123" s="131"/>
      <c r="I123" s="131"/>
      <c r="J123" s="131"/>
      <c r="K123" s="131"/>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c r="A124" s="131"/>
      <c r="B124" s="131"/>
      <c r="C124" s="131"/>
      <c r="D124" s="131"/>
      <c r="E124" s="131"/>
      <c r="F124" s="131"/>
      <c r="G124" s="131"/>
      <c r="H124" s="131"/>
      <c r="I124" s="131"/>
      <c r="J124" s="131"/>
      <c r="K124" s="131"/>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c r="A125" s="131"/>
      <c r="B125" s="131"/>
      <c r="C125" s="131"/>
      <c r="D125" s="131"/>
      <c r="E125" s="131"/>
      <c r="F125" s="131"/>
      <c r="G125" s="131"/>
      <c r="H125" s="131"/>
      <c r="I125" s="131"/>
      <c r="J125" s="131"/>
      <c r="K125" s="131"/>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c r="A126" s="131"/>
      <c r="B126" s="131"/>
      <c r="C126" s="131"/>
      <c r="D126" s="131"/>
      <c r="E126" s="131"/>
      <c r="F126" s="131"/>
      <c r="G126" s="131"/>
      <c r="H126" s="131"/>
      <c r="I126" s="131"/>
      <c r="J126" s="131"/>
      <c r="K126" s="131"/>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c r="A127" s="131"/>
      <c r="B127" s="131"/>
      <c r="C127" s="131"/>
      <c r="D127" s="131"/>
      <c r="E127" s="131"/>
      <c r="F127" s="131"/>
      <c r="G127" s="131"/>
      <c r="H127" s="131"/>
      <c r="I127" s="131"/>
      <c r="J127" s="131"/>
      <c r="K127" s="131"/>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c r="A128" s="131"/>
      <c r="B128" s="131"/>
      <c r="C128" s="131"/>
      <c r="D128" s="131"/>
      <c r="E128" s="131"/>
      <c r="F128" s="131"/>
      <c r="G128" s="131"/>
      <c r="H128" s="131"/>
      <c r="I128" s="131"/>
      <c r="J128" s="131"/>
      <c r="K128" s="131"/>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c r="A129" s="131"/>
      <c r="B129" s="131"/>
      <c r="C129" s="131"/>
      <c r="D129" s="131"/>
      <c r="E129" s="131"/>
      <c r="F129" s="131"/>
      <c r="G129" s="131"/>
      <c r="H129" s="131"/>
      <c r="I129" s="131"/>
      <c r="J129" s="131"/>
      <c r="K129" s="131"/>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c r="A130" s="131"/>
      <c r="B130" s="131"/>
      <c r="C130" s="131"/>
      <c r="D130" s="131"/>
      <c r="E130" s="131"/>
      <c r="F130" s="131"/>
      <c r="G130" s="131"/>
      <c r="H130" s="131"/>
      <c r="I130" s="131"/>
      <c r="J130" s="131"/>
      <c r="K130" s="131"/>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c r="A131" s="131"/>
      <c r="B131" s="131"/>
      <c r="C131" s="131"/>
      <c r="D131" s="131"/>
      <c r="E131" s="131"/>
      <c r="F131" s="131"/>
      <c r="G131" s="131"/>
      <c r="H131" s="131"/>
      <c r="I131" s="131"/>
      <c r="J131" s="131"/>
      <c r="K131" s="131"/>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c r="A132" s="131"/>
      <c r="B132" s="131"/>
      <c r="C132" s="131"/>
      <c r="D132" s="131"/>
      <c r="E132" s="131"/>
      <c r="F132" s="131"/>
      <c r="G132" s="131"/>
      <c r="H132" s="131"/>
      <c r="I132" s="131"/>
      <c r="J132" s="131"/>
      <c r="K132" s="131"/>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c r="A133" s="131"/>
      <c r="B133" s="131"/>
      <c r="C133" s="131"/>
      <c r="D133" s="131"/>
      <c r="E133" s="131"/>
      <c r="F133" s="131"/>
      <c r="G133" s="131"/>
      <c r="H133" s="131"/>
      <c r="I133" s="131"/>
      <c r="J133" s="131"/>
      <c r="K133" s="131"/>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c r="A134" s="131"/>
      <c r="B134" s="131"/>
      <c r="C134" s="131"/>
      <c r="D134" s="131"/>
      <c r="E134" s="131"/>
      <c r="F134" s="131"/>
      <c r="G134" s="131"/>
      <c r="H134" s="131"/>
      <c r="I134" s="131"/>
      <c r="J134" s="131"/>
      <c r="K134" s="131"/>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c r="A135" s="131"/>
      <c r="B135" s="131"/>
      <c r="C135" s="131"/>
      <c r="D135" s="131"/>
      <c r="E135" s="131"/>
      <c r="F135" s="131"/>
      <c r="G135" s="131"/>
      <c r="H135" s="131"/>
      <c r="I135" s="131"/>
      <c r="J135" s="131"/>
      <c r="K135" s="131"/>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c r="A136" s="131"/>
      <c r="B136" s="131"/>
      <c r="C136" s="131"/>
      <c r="D136" s="131"/>
      <c r="E136" s="131"/>
      <c r="F136" s="131"/>
      <c r="G136" s="131"/>
      <c r="H136" s="131"/>
      <c r="I136" s="131"/>
      <c r="J136" s="131"/>
      <c r="K136" s="131"/>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c r="A137" s="131"/>
      <c r="B137" s="131"/>
      <c r="C137" s="131"/>
      <c r="D137" s="131"/>
      <c r="E137" s="131"/>
      <c r="F137" s="131"/>
      <c r="G137" s="131"/>
      <c r="H137" s="131"/>
      <c r="I137" s="131"/>
      <c r="J137" s="131"/>
      <c r="K137" s="131"/>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c r="A138" s="131"/>
      <c r="B138" s="131"/>
      <c r="C138" s="131"/>
      <c r="D138" s="131"/>
      <c r="E138" s="131"/>
      <c r="F138" s="131"/>
      <c r="G138" s="131"/>
      <c r="H138" s="131"/>
      <c r="I138" s="131"/>
      <c r="J138" s="131"/>
      <c r="K138" s="131"/>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c r="A139" s="131"/>
      <c r="B139" s="131"/>
      <c r="C139" s="131"/>
      <c r="D139" s="131"/>
      <c r="E139" s="131"/>
      <c r="F139" s="131"/>
      <c r="G139" s="131"/>
      <c r="H139" s="131"/>
      <c r="I139" s="131"/>
      <c r="J139" s="131"/>
      <c r="K139" s="131"/>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c r="A140" s="131"/>
      <c r="B140" s="131"/>
      <c r="C140" s="131"/>
      <c r="D140" s="131"/>
      <c r="E140" s="131"/>
      <c r="F140" s="131"/>
      <c r="G140" s="131"/>
      <c r="H140" s="131"/>
      <c r="I140" s="131"/>
      <c r="J140" s="131"/>
      <c r="K140" s="131"/>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c r="A141" s="131"/>
      <c r="B141" s="131"/>
      <c r="C141" s="131"/>
      <c r="D141" s="131"/>
      <c r="E141" s="131"/>
      <c r="F141" s="131"/>
      <c r="G141" s="131"/>
      <c r="H141" s="131"/>
      <c r="I141" s="131"/>
      <c r="J141" s="131"/>
      <c r="K141" s="131"/>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c r="A142" s="131"/>
      <c r="B142" s="131"/>
      <c r="C142" s="131"/>
      <c r="D142" s="131"/>
      <c r="E142" s="131"/>
      <c r="F142" s="131"/>
      <c r="G142" s="131"/>
      <c r="H142" s="131"/>
      <c r="I142" s="131"/>
      <c r="J142" s="131"/>
      <c r="K142" s="131"/>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c r="A143" s="131"/>
      <c r="B143" s="131"/>
      <c r="C143" s="131"/>
      <c r="D143" s="131"/>
      <c r="E143" s="131"/>
      <c r="F143" s="131"/>
      <c r="G143" s="131"/>
      <c r="H143" s="131"/>
      <c r="I143" s="131"/>
      <c r="J143" s="131"/>
      <c r="K143" s="131"/>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c r="A144" s="131"/>
      <c r="B144" s="131"/>
      <c r="C144" s="131"/>
      <c r="D144" s="131"/>
      <c r="E144" s="131"/>
      <c r="F144" s="131"/>
      <c r="G144" s="131"/>
      <c r="H144" s="131"/>
      <c r="I144" s="131"/>
      <c r="J144" s="131"/>
      <c r="K144" s="131"/>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c r="A145" s="131"/>
      <c r="B145" s="131"/>
      <c r="C145" s="131"/>
      <c r="D145" s="131"/>
      <c r="E145" s="131"/>
      <c r="F145" s="131"/>
      <c r="G145" s="131"/>
      <c r="H145" s="131"/>
      <c r="I145" s="131"/>
      <c r="J145" s="131"/>
      <c r="K145" s="131"/>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c r="A146" s="131"/>
      <c r="B146" s="131"/>
      <c r="C146" s="131"/>
      <c r="D146" s="131"/>
      <c r="E146" s="131"/>
      <c r="F146" s="131"/>
      <c r="G146" s="131"/>
      <c r="H146" s="131"/>
      <c r="I146" s="131"/>
      <c r="J146" s="131"/>
      <c r="K146" s="131"/>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c r="A147" s="131"/>
      <c r="B147" s="131"/>
      <c r="C147" s="131"/>
      <c r="D147" s="131"/>
      <c r="E147" s="131"/>
      <c r="F147" s="131"/>
      <c r="G147" s="131"/>
      <c r="H147" s="131"/>
      <c r="I147" s="131"/>
      <c r="J147" s="131"/>
      <c r="K147" s="131"/>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c r="A148" s="131"/>
      <c r="B148" s="131"/>
      <c r="C148" s="131"/>
      <c r="D148" s="131"/>
      <c r="E148" s="131"/>
      <c r="F148" s="131"/>
      <c r="G148" s="131"/>
      <c r="H148" s="131"/>
      <c r="I148" s="131"/>
      <c r="J148" s="131"/>
      <c r="K148" s="131"/>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c r="A149" s="131"/>
      <c r="B149" s="131"/>
      <c r="C149" s="131"/>
      <c r="D149" s="131"/>
      <c r="E149" s="131"/>
      <c r="F149" s="131"/>
      <c r="G149" s="131"/>
      <c r="H149" s="131"/>
      <c r="I149" s="131"/>
      <c r="J149" s="131"/>
      <c r="K149" s="131"/>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c r="A150" s="131"/>
      <c r="B150" s="131"/>
      <c r="C150" s="131"/>
      <c r="D150" s="131"/>
      <c r="E150" s="131"/>
      <c r="F150" s="131"/>
      <c r="G150" s="131"/>
      <c r="H150" s="131"/>
      <c r="I150" s="131"/>
      <c r="J150" s="131"/>
      <c r="K150" s="131"/>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c r="A151" s="131"/>
      <c r="B151" s="131"/>
      <c r="C151" s="131"/>
      <c r="D151" s="131"/>
      <c r="E151" s="131"/>
      <c r="F151" s="131"/>
      <c r="G151" s="131"/>
      <c r="H151" s="131"/>
      <c r="I151" s="131"/>
      <c r="J151" s="131"/>
      <c r="K151" s="131"/>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c r="A152" s="131"/>
      <c r="B152" s="131"/>
      <c r="C152" s="131"/>
      <c r="D152" s="131"/>
      <c r="E152" s="131"/>
      <c r="F152" s="131"/>
      <c r="G152" s="131"/>
      <c r="H152" s="131"/>
      <c r="I152" s="131"/>
      <c r="J152" s="131"/>
      <c r="K152" s="131"/>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c r="A153" s="131"/>
      <c r="B153" s="131"/>
      <c r="C153" s="131"/>
      <c r="D153" s="131"/>
      <c r="E153" s="131"/>
      <c r="F153" s="131"/>
      <c r="G153" s="131"/>
      <c r="H153" s="131"/>
      <c r="I153" s="131"/>
      <c r="J153" s="131"/>
      <c r="K153" s="131"/>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c r="A154" s="131"/>
      <c r="B154" s="131"/>
      <c r="C154" s="131"/>
      <c r="D154" s="131"/>
      <c r="E154" s="131"/>
      <c r="F154" s="131"/>
      <c r="G154" s="131"/>
      <c r="H154" s="131"/>
      <c r="I154" s="131"/>
      <c r="J154" s="131"/>
      <c r="K154" s="131"/>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c r="A155" s="131"/>
      <c r="B155" s="131"/>
      <c r="C155" s="131"/>
      <c r="D155" s="131"/>
      <c r="E155" s="131"/>
      <c r="F155" s="131"/>
      <c r="G155" s="131"/>
      <c r="H155" s="131"/>
      <c r="I155" s="131"/>
      <c r="J155" s="131"/>
      <c r="K155" s="131"/>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c r="A156" s="131"/>
      <c r="B156" s="131"/>
      <c r="C156" s="131"/>
      <c r="D156" s="131"/>
      <c r="E156" s="131"/>
      <c r="F156" s="131"/>
      <c r="G156" s="131"/>
      <c r="H156" s="131"/>
      <c r="I156" s="131"/>
      <c r="J156" s="131"/>
      <c r="K156" s="131"/>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c r="A157" s="131"/>
      <c r="B157" s="131"/>
      <c r="C157" s="131"/>
      <c r="D157" s="131"/>
      <c r="E157" s="131"/>
      <c r="F157" s="131"/>
      <c r="G157" s="131"/>
      <c r="H157" s="131"/>
      <c r="I157" s="131"/>
      <c r="J157" s="131"/>
      <c r="K157" s="131"/>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c r="A158" s="131"/>
      <c r="B158" s="131"/>
      <c r="C158" s="131"/>
      <c r="D158" s="131"/>
      <c r="E158" s="131"/>
      <c r="F158" s="131"/>
      <c r="G158" s="131"/>
      <c r="H158" s="131"/>
      <c r="I158" s="131"/>
      <c r="J158" s="131"/>
      <c r="K158" s="131"/>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c r="A159" s="131"/>
      <c r="B159" s="131"/>
      <c r="C159" s="131"/>
      <c r="D159" s="131"/>
      <c r="E159" s="131"/>
      <c r="F159" s="131"/>
      <c r="G159" s="131"/>
      <c r="H159" s="131"/>
      <c r="I159" s="131"/>
      <c r="J159" s="131"/>
      <c r="K159" s="131"/>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c r="A160" s="131"/>
      <c r="B160" s="131"/>
      <c r="C160" s="131"/>
      <c r="D160" s="131"/>
      <c r="E160" s="131"/>
      <c r="F160" s="131"/>
      <c r="G160" s="131"/>
      <c r="H160" s="131"/>
      <c r="I160" s="131"/>
      <c r="J160" s="131"/>
      <c r="K160" s="131"/>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c r="A161" s="131"/>
      <c r="B161" s="131"/>
      <c r="C161" s="131"/>
      <c r="D161" s="131"/>
      <c r="E161" s="131"/>
      <c r="F161" s="131"/>
      <c r="G161" s="131"/>
      <c r="H161" s="131"/>
      <c r="I161" s="131"/>
      <c r="J161" s="131"/>
      <c r="K161" s="131"/>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c r="A162" s="131"/>
      <c r="B162" s="131"/>
      <c r="C162" s="131"/>
      <c r="D162" s="131"/>
      <c r="E162" s="131"/>
      <c r="F162" s="131"/>
      <c r="G162" s="131"/>
      <c r="H162" s="131"/>
      <c r="I162" s="131"/>
      <c r="J162" s="131"/>
      <c r="K162" s="131"/>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c r="A163" s="131"/>
      <c r="B163" s="131"/>
      <c r="C163" s="131"/>
      <c r="D163" s="131"/>
      <c r="E163" s="131"/>
      <c r="F163" s="131"/>
      <c r="G163" s="131"/>
      <c r="H163" s="131"/>
      <c r="I163" s="131"/>
      <c r="J163" s="131"/>
      <c r="K163" s="131"/>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c r="A164" s="131"/>
      <c r="B164" s="131"/>
      <c r="C164" s="131"/>
      <c r="D164" s="131"/>
      <c r="E164" s="131"/>
      <c r="F164" s="131"/>
      <c r="G164" s="131"/>
      <c r="H164" s="131"/>
      <c r="I164" s="131"/>
      <c r="J164" s="131"/>
      <c r="K164" s="131"/>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c r="A165" s="131"/>
      <c r="B165" s="131"/>
      <c r="C165" s="131"/>
      <c r="D165" s="131"/>
      <c r="E165" s="131"/>
      <c r="F165" s="131"/>
      <c r="G165" s="131"/>
      <c r="H165" s="131"/>
      <c r="I165" s="131"/>
      <c r="J165" s="131"/>
      <c r="K165" s="131"/>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c r="A166" s="131"/>
      <c r="B166" s="131"/>
      <c r="C166" s="131"/>
      <c r="D166" s="131"/>
      <c r="E166" s="131"/>
      <c r="F166" s="131"/>
      <c r="G166" s="131"/>
      <c r="H166" s="131"/>
      <c r="I166" s="131"/>
      <c r="J166" s="131"/>
      <c r="K166" s="131"/>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c r="A167" s="131"/>
      <c r="B167" s="131"/>
      <c r="C167" s="131"/>
      <c r="D167" s="131"/>
      <c r="E167" s="131"/>
      <c r="F167" s="131"/>
      <c r="G167" s="131"/>
      <c r="H167" s="131"/>
      <c r="I167" s="131"/>
      <c r="J167" s="131"/>
      <c r="K167" s="131"/>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c r="A168" s="131"/>
      <c r="B168" s="131"/>
      <c r="C168" s="131"/>
      <c r="D168" s="131"/>
      <c r="E168" s="131"/>
      <c r="F168" s="131"/>
      <c r="G168" s="131"/>
      <c r="H168" s="131"/>
      <c r="I168" s="131"/>
      <c r="J168" s="131"/>
      <c r="K168" s="131"/>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c r="A169" s="131"/>
      <c r="B169" s="131"/>
      <c r="C169" s="131"/>
      <c r="D169" s="131"/>
      <c r="E169" s="131"/>
      <c r="F169" s="131"/>
      <c r="G169" s="131"/>
      <c r="H169" s="131"/>
      <c r="I169" s="131"/>
      <c r="J169" s="131"/>
      <c r="K169" s="131"/>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c r="A170" s="131"/>
      <c r="B170" s="131"/>
      <c r="C170" s="131"/>
      <c r="D170" s="131"/>
      <c r="E170" s="131"/>
      <c r="F170" s="131"/>
      <c r="G170" s="131"/>
      <c r="H170" s="131"/>
      <c r="I170" s="131"/>
      <c r="J170" s="131"/>
      <c r="K170" s="131"/>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c r="A171" s="131"/>
      <c r="B171" s="131"/>
      <c r="C171" s="131"/>
      <c r="D171" s="131"/>
      <c r="E171" s="131"/>
      <c r="F171" s="131"/>
      <c r="G171" s="131"/>
      <c r="H171" s="131"/>
      <c r="I171" s="131"/>
      <c r="J171" s="131"/>
      <c r="K171" s="131"/>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c r="A172" s="131"/>
      <c r="B172" s="131"/>
      <c r="C172" s="131"/>
      <c r="D172" s="131"/>
      <c r="E172" s="131"/>
      <c r="F172" s="131"/>
      <c r="G172" s="131"/>
      <c r="H172" s="131"/>
      <c r="I172" s="131"/>
      <c r="J172" s="131"/>
      <c r="K172" s="131"/>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c r="A173" s="131"/>
      <c r="B173" s="131"/>
      <c r="C173" s="131"/>
      <c r="D173" s="131"/>
      <c r="E173" s="131"/>
      <c r="F173" s="131"/>
      <c r="G173" s="131"/>
      <c r="H173" s="131"/>
      <c r="I173" s="131"/>
      <c r="J173" s="131"/>
      <c r="K173" s="131"/>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c r="A174" s="131"/>
      <c r="B174" s="131"/>
      <c r="C174" s="131"/>
      <c r="D174" s="131"/>
      <c r="E174" s="131"/>
      <c r="F174" s="131"/>
      <c r="G174" s="131"/>
      <c r="H174" s="131"/>
      <c r="I174" s="131"/>
      <c r="J174" s="131"/>
      <c r="K174" s="131"/>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c r="A175" s="131"/>
      <c r="B175" s="131"/>
      <c r="C175" s="131"/>
      <c r="D175" s="131"/>
      <c r="E175" s="131"/>
      <c r="F175" s="131"/>
      <c r="G175" s="131"/>
      <c r="H175" s="131"/>
      <c r="I175" s="131"/>
      <c r="J175" s="131"/>
      <c r="K175" s="131"/>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c r="A176" s="131"/>
      <c r="B176" s="131"/>
      <c r="C176" s="131"/>
      <c r="D176" s="131"/>
      <c r="E176" s="131"/>
      <c r="F176" s="131"/>
      <c r="G176" s="131"/>
      <c r="H176" s="131"/>
      <c r="I176" s="131"/>
      <c r="J176" s="131"/>
      <c r="K176" s="131"/>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c r="A177" s="131"/>
      <c r="B177" s="131"/>
      <c r="C177" s="131"/>
      <c r="D177" s="131"/>
      <c r="E177" s="131"/>
      <c r="F177" s="131"/>
      <c r="G177" s="131"/>
      <c r="H177" s="131"/>
      <c r="I177" s="131"/>
      <c r="J177" s="131"/>
      <c r="K177" s="131"/>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c r="A178" s="131"/>
      <c r="B178" s="131"/>
      <c r="C178" s="131"/>
      <c r="D178" s="131"/>
      <c r="E178" s="131"/>
      <c r="F178" s="131"/>
      <c r="G178" s="131"/>
      <c r="H178" s="131"/>
      <c r="I178" s="131"/>
      <c r="J178" s="131"/>
      <c r="K178" s="131"/>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c r="A179" s="131"/>
      <c r="B179" s="131"/>
      <c r="C179" s="131"/>
      <c r="D179" s="131"/>
      <c r="E179" s="131"/>
      <c r="F179" s="131"/>
      <c r="G179" s="131"/>
      <c r="H179" s="131"/>
      <c r="I179" s="131"/>
      <c r="J179" s="131"/>
      <c r="K179" s="131"/>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c r="A180" s="131"/>
      <c r="B180" s="131"/>
      <c r="C180" s="131"/>
      <c r="D180" s="131"/>
      <c r="E180" s="131"/>
      <c r="F180" s="131"/>
      <c r="G180" s="131"/>
      <c r="H180" s="131"/>
      <c r="I180" s="131"/>
      <c r="J180" s="131"/>
      <c r="K180" s="131"/>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c r="A181" s="131"/>
      <c r="B181" s="131"/>
      <c r="C181" s="131"/>
      <c r="D181" s="131"/>
      <c r="E181" s="131"/>
      <c r="F181" s="131"/>
      <c r="G181" s="131"/>
      <c r="H181" s="131"/>
      <c r="I181" s="131"/>
      <c r="J181" s="131"/>
      <c r="K181" s="131"/>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c r="A182" s="131"/>
      <c r="B182" s="131"/>
      <c r="C182" s="131"/>
      <c r="D182" s="131"/>
      <c r="E182" s="131"/>
      <c r="F182" s="131"/>
      <c r="G182" s="131"/>
      <c r="H182" s="131"/>
      <c r="I182" s="131"/>
      <c r="J182" s="131"/>
      <c r="K182" s="131"/>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c r="A183" s="131"/>
      <c r="B183" s="131"/>
      <c r="C183" s="131"/>
      <c r="D183" s="131"/>
      <c r="E183" s="131"/>
      <c r="F183" s="131"/>
      <c r="G183" s="131"/>
      <c r="H183" s="131"/>
      <c r="I183" s="131"/>
      <c r="J183" s="131"/>
      <c r="K183" s="131"/>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c r="A184" s="131"/>
      <c r="B184" s="131"/>
      <c r="C184" s="131"/>
      <c r="D184" s="131"/>
      <c r="E184" s="131"/>
      <c r="F184" s="131"/>
      <c r="G184" s="131"/>
      <c r="H184" s="131"/>
      <c r="I184" s="131"/>
      <c r="J184" s="131"/>
      <c r="K184" s="131"/>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c r="A185" s="131"/>
      <c r="B185" s="131"/>
      <c r="C185" s="131"/>
      <c r="D185" s="131"/>
      <c r="E185" s="131"/>
      <c r="F185" s="131"/>
      <c r="G185" s="131"/>
      <c r="H185" s="131"/>
      <c r="I185" s="131"/>
      <c r="J185" s="131"/>
      <c r="K185" s="131"/>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c r="A186" s="131"/>
      <c r="B186" s="131"/>
      <c r="C186" s="131"/>
      <c r="D186" s="131"/>
      <c r="E186" s="131"/>
      <c r="F186" s="131"/>
      <c r="G186" s="131"/>
      <c r="H186" s="131"/>
      <c r="I186" s="131"/>
      <c r="J186" s="131"/>
      <c r="K186" s="131"/>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c r="A187" s="131"/>
      <c r="B187" s="131"/>
      <c r="C187" s="131"/>
      <c r="D187" s="131"/>
      <c r="E187" s="131"/>
      <c r="F187" s="131"/>
      <c r="G187" s="131"/>
      <c r="H187" s="131"/>
      <c r="I187" s="131"/>
      <c r="J187" s="131"/>
      <c r="K187" s="131"/>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c r="A188" s="131"/>
      <c r="B188" s="131"/>
      <c r="C188" s="131"/>
      <c r="D188" s="131"/>
      <c r="E188" s="131"/>
      <c r="F188" s="131"/>
      <c r="G188" s="131"/>
      <c r="H188" s="131"/>
      <c r="I188" s="131"/>
      <c r="J188" s="131"/>
      <c r="K188" s="131"/>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c r="A189" s="131"/>
      <c r="B189" s="131"/>
      <c r="C189" s="131"/>
      <c r="D189" s="131"/>
      <c r="E189" s="131"/>
      <c r="F189" s="131"/>
      <c r="G189" s="131"/>
      <c r="H189" s="131"/>
      <c r="I189" s="131"/>
      <c r="J189" s="131"/>
      <c r="K189" s="131"/>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c r="A190" s="131"/>
      <c r="B190" s="131"/>
      <c r="C190" s="131"/>
      <c r="D190" s="131"/>
      <c r="E190" s="131"/>
      <c r="F190" s="131"/>
      <c r="G190" s="131"/>
      <c r="H190" s="131"/>
      <c r="I190" s="131"/>
      <c r="J190" s="131"/>
      <c r="K190" s="131"/>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c r="A191" s="131"/>
      <c r="B191" s="131"/>
      <c r="C191" s="131"/>
      <c r="D191" s="131"/>
      <c r="E191" s="131"/>
      <c r="F191" s="131"/>
      <c r="G191" s="131"/>
      <c r="H191" s="131"/>
      <c r="I191" s="131"/>
      <c r="J191" s="131"/>
      <c r="K191" s="131"/>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c r="A192" s="131"/>
      <c r="B192" s="131"/>
      <c r="C192" s="131"/>
      <c r="D192" s="131"/>
      <c r="E192" s="131"/>
      <c r="F192" s="131"/>
      <c r="G192" s="131"/>
      <c r="H192" s="131"/>
      <c r="I192" s="131"/>
      <c r="J192" s="131"/>
      <c r="K192" s="131"/>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47">
      <c r="A193" s="131"/>
      <c r="B193" s="131"/>
      <c r="C193" s="131"/>
      <c r="D193" s="131"/>
      <c r="E193" s="131"/>
      <c r="F193" s="131"/>
      <c r="G193" s="131"/>
      <c r="H193" s="131"/>
      <c r="I193" s="131"/>
      <c r="J193" s="131"/>
      <c r="K193" s="131"/>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47">
      <c r="A194" s="131"/>
      <c r="B194" s="131"/>
      <c r="C194" s="131"/>
      <c r="D194" s="131"/>
      <c r="E194" s="131"/>
      <c r="F194" s="131"/>
      <c r="G194" s="131"/>
      <c r="H194" s="131"/>
      <c r="I194" s="131"/>
      <c r="J194" s="131"/>
      <c r="K194" s="131"/>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47">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row>
    <row r="221" spans="1:47">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row>
    <row r="222" spans="1:47">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row>
    <row r="223" spans="1:47">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row>
    <row r="224" spans="1:47">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row>
    <row r="225" spans="1:47">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row>
    <row r="226" spans="1:47">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row>
    <row r="248" spans="1:47">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row>
    <row r="249" spans="1:47">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row>
    <row r="250" spans="1:47">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row>
    <row r="251" spans="1:47">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row>
    <row r="252" spans="1:47">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row>
    <row r="254" spans="1:47">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row>
    <row r="255" spans="1:47">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row>
    <row r="256" spans="1:47">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row>
    <row r="257" spans="1:4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row>
    <row r="259" spans="1:4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row>
    <row r="260" spans="1:4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row>
    <row r="261" spans="1:4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row>
    <row r="262" spans="1:4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row>
    <row r="263" spans="1:4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row>
    <row r="287" spans="1:4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row>
    <row r="288" spans="1:4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row>
    <row r="289" spans="1:4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row>
    <row r="290" spans="1:4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row>
    <row r="291" spans="1:4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row>
    <row r="292" spans="1:4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row>
    <row r="293" spans="1:4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row>
    <row r="294" spans="1:4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row>
    <row r="295" spans="1:4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row>
    <row r="296" spans="1:4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row>
    <row r="340" spans="1:4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row>
    <row r="341" spans="1:4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row>
    <row r="342" spans="1:4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row>
    <row r="343" spans="1:4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row>
    <row r="344" spans="1:4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row>
    <row r="345" spans="1:4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row>
    <row r="346" spans="1:4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row>
    <row r="347" spans="1: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row>
    <row r="348" spans="1:4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row>
    <row r="349" spans="1:4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row>
    <row r="350" spans="1:4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row>
    <row r="351" spans="1:4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row>
    <row r="352" spans="1:4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row>
    <row r="353" spans="1:4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row>
    <row r="354" spans="1:4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row>
    <row r="355" spans="1:4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row>
    <row r="356" spans="1:4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row>
    <row r="372" spans="1:4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row>
    <row r="373" spans="1:4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row>
    <row r="374" spans="1:4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row>
    <row r="375" spans="1:4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row>
    <row r="376" spans="1:4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row>
    <row r="377" spans="1:4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row>
    <row r="378" spans="1:4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row>
    <row r="385" spans="1:4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row>
    <row r="386" spans="1:4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row>
    <row r="387" spans="1:4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row>
    <row r="388" spans="1:4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row>
    <row r="389" spans="1:4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row>
    <row r="390" spans="1:4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row>
    <row r="391" spans="1:4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row>
    <row r="398" spans="1:4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row>
    <row r="399" spans="1:4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row>
    <row r="400" spans="1:4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row>
    <row r="401" spans="1:4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row>
    <row r="402" spans="1:4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row>
    <row r="403" spans="1:4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row>
    <row r="404" spans="1:4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row>
    <row r="411" spans="1:4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row>
    <row r="412" spans="1:4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row>
    <row r="413" spans="1:4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row>
    <row r="414" spans="1:4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row>
    <row r="415" spans="1:4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row>
    <row r="416" spans="1:4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row>
    <row r="417" spans="1:4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row>
    <row r="418" spans="1:4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row>
    <row r="419" spans="1:4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row>
    <row r="420" spans="1:4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row>
    <row r="421" spans="1:4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row>
    <row r="422" spans="1:4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row>
    <row r="423" spans="1:4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row>
    <row r="424" spans="1:4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row>
    <row r="425" spans="1:4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row>
    <row r="426" spans="1:4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row>
    <row r="427" spans="1:4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row>
    <row r="428" spans="1:4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row>
    <row r="429" spans="1:4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row>
    <row r="430" spans="1:4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row>
    <row r="431" spans="1:4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row>
    <row r="432" spans="1:4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row>
    <row r="433" spans="1:12">
      <c r="A433" s="3"/>
      <c r="B433" s="3"/>
      <c r="C433" s="3"/>
      <c r="D433" s="3"/>
      <c r="E433" s="3"/>
      <c r="F433" s="3"/>
      <c r="G433" s="3"/>
      <c r="H433" s="3"/>
      <c r="I433" s="3"/>
      <c r="J433" s="3"/>
      <c r="K433" s="3"/>
      <c r="L433" s="3"/>
    </row>
    <row r="434" spans="1:12">
      <c r="A434" s="3"/>
      <c r="B434" s="3"/>
      <c r="C434" s="3"/>
      <c r="D434" s="3"/>
      <c r="E434" s="3"/>
      <c r="F434" s="3"/>
      <c r="G434" s="3"/>
      <c r="H434" s="3"/>
      <c r="I434" s="3"/>
      <c r="J434" s="3"/>
      <c r="K434" s="3"/>
      <c r="L434" s="3"/>
    </row>
    <row r="435" spans="1:12">
      <c r="A435" s="3"/>
      <c r="B435" s="3"/>
      <c r="C435" s="3"/>
      <c r="D435" s="3"/>
      <c r="E435" s="3"/>
      <c r="F435" s="3"/>
      <c r="G435" s="3"/>
      <c r="H435" s="3"/>
      <c r="I435" s="3"/>
      <c r="J435" s="3"/>
      <c r="K435" s="3"/>
      <c r="L435" s="3"/>
    </row>
    <row r="436" spans="1:12">
      <c r="A436" s="3"/>
      <c r="B436" s="3"/>
      <c r="C436" s="3"/>
      <c r="D436" s="3"/>
      <c r="E436" s="3"/>
      <c r="F436" s="3"/>
      <c r="G436" s="3"/>
      <c r="H436" s="3"/>
      <c r="I436" s="3"/>
      <c r="J436" s="3"/>
      <c r="K436" s="3"/>
      <c r="L436" s="3"/>
    </row>
    <row r="437" spans="1:12">
      <c r="A437" s="3"/>
      <c r="B437" s="3"/>
      <c r="C437" s="3"/>
      <c r="D437" s="3"/>
      <c r="E437" s="3"/>
      <c r="F437" s="3"/>
      <c r="G437" s="3"/>
      <c r="H437" s="3"/>
      <c r="I437" s="3"/>
      <c r="J437" s="3"/>
    </row>
    <row r="438" spans="1:12">
      <c r="A438" s="3"/>
      <c r="B438" s="3"/>
      <c r="C438" s="3"/>
      <c r="D438" s="3"/>
      <c r="E438" s="3"/>
      <c r="F438" s="3"/>
      <c r="G438" s="3"/>
      <c r="H438" s="3"/>
    </row>
    <row r="439" spans="1:12">
      <c r="A439" s="3"/>
      <c r="B439" s="3"/>
      <c r="C439" s="3"/>
      <c r="D439" s="3"/>
      <c r="E439" s="3"/>
      <c r="F439" s="3"/>
      <c r="G439" s="3"/>
      <c r="H439" s="3"/>
    </row>
    <row r="440" spans="1:12">
      <c r="A440" s="3"/>
      <c r="B440" s="3"/>
      <c r="C440" s="3"/>
      <c r="D440" s="3"/>
      <c r="E440" s="3"/>
      <c r="F440" s="3"/>
      <c r="G440" s="3"/>
      <c r="H440" s="3"/>
    </row>
    <row r="441" spans="1:12">
      <c r="A441" s="3"/>
      <c r="B441" s="3"/>
      <c r="C441" s="3"/>
      <c r="D441" s="3"/>
      <c r="E441" s="3"/>
      <c r="F441" s="3"/>
      <c r="G441" s="3"/>
      <c r="H441" s="3"/>
    </row>
    <row r="442" spans="1:12">
      <c r="A442" s="3"/>
      <c r="B442" s="3"/>
      <c r="C442" s="3"/>
      <c r="D442" s="3"/>
      <c r="E442" s="3"/>
      <c r="F442" s="3"/>
      <c r="G442" s="3"/>
      <c r="H442" s="3"/>
    </row>
    <row r="443" spans="1:12">
      <c r="A443" s="3"/>
      <c r="B443" s="3"/>
      <c r="C443" s="3"/>
      <c r="D443" s="3"/>
      <c r="E443" s="3"/>
      <c r="F443" s="3"/>
      <c r="G443" s="3"/>
      <c r="H443" s="3"/>
    </row>
    <row r="444" spans="1:12">
      <c r="A444" s="3"/>
      <c r="B444" s="3"/>
      <c r="C444" s="3"/>
      <c r="D444" s="3"/>
      <c r="E444" s="3"/>
      <c r="F444" s="3"/>
      <c r="G444" s="3"/>
      <c r="H444" s="3"/>
    </row>
    <row r="445" spans="1:12">
      <c r="A445" s="3"/>
      <c r="B445" s="3"/>
      <c r="C445" s="3"/>
      <c r="D445" s="3"/>
      <c r="E445" s="3"/>
      <c r="F445" s="3"/>
      <c r="G445" s="3"/>
      <c r="H445" s="3"/>
    </row>
    <row r="446" spans="1:12">
      <c r="A446" s="3"/>
      <c r="B446" s="3"/>
      <c r="C446" s="3"/>
      <c r="D446" s="3"/>
      <c r="E446" s="3"/>
      <c r="F446" s="3"/>
      <c r="G446" s="3"/>
      <c r="H446" s="3"/>
    </row>
    <row r="447" spans="1:12">
      <c r="A447" s="3"/>
      <c r="B447" s="3"/>
      <c r="C447" s="3"/>
      <c r="D447" s="3"/>
      <c r="E447" s="3"/>
      <c r="F447" s="3"/>
      <c r="G447" s="3"/>
      <c r="H447" s="3"/>
    </row>
    <row r="448" spans="1:12">
      <c r="A448" s="3"/>
      <c r="B448" s="3"/>
      <c r="C448" s="3"/>
      <c r="D448" s="3"/>
      <c r="E448" s="3"/>
      <c r="F448" s="3"/>
      <c r="G448" s="3"/>
      <c r="H448" s="3"/>
    </row>
    <row r="449" spans="1:8">
      <c r="A449" s="3"/>
      <c r="B449" s="3"/>
      <c r="C449" s="3"/>
      <c r="D449" s="3"/>
      <c r="E449" s="3"/>
      <c r="F449" s="3"/>
      <c r="G449" s="3"/>
      <c r="H449" s="3"/>
    </row>
    <row r="450" spans="1:8">
      <c r="A450" s="3"/>
      <c r="B450" s="3"/>
      <c r="C450" s="3"/>
      <c r="D450" s="3"/>
      <c r="E450" s="3"/>
      <c r="F450" s="3"/>
      <c r="G450" s="3"/>
      <c r="H450" s="3"/>
    </row>
    <row r="451" spans="1:8">
      <c r="A451" s="3"/>
      <c r="B451" s="3"/>
      <c r="C451" s="3"/>
      <c r="D451" s="3"/>
      <c r="E451" s="3"/>
      <c r="F451" s="3"/>
      <c r="G451" s="3"/>
      <c r="H451" s="3"/>
    </row>
    <row r="452" spans="1:8">
      <c r="A452" s="3"/>
      <c r="B452" s="3"/>
      <c r="C452" s="3"/>
      <c r="D452" s="3"/>
      <c r="E452" s="3"/>
      <c r="F452" s="3"/>
      <c r="G452" s="3"/>
      <c r="H452" s="3"/>
    </row>
    <row r="453" spans="1:8">
      <c r="A453" s="3"/>
      <c r="B453" s="3"/>
      <c r="C453" s="3"/>
      <c r="D453" s="3"/>
      <c r="E453" s="3"/>
      <c r="F453" s="3"/>
      <c r="G453" s="3"/>
      <c r="H453" s="3"/>
    </row>
    <row r="454" spans="1:8">
      <c r="A454" s="3"/>
      <c r="B454" s="3"/>
      <c r="C454" s="3"/>
      <c r="D454" s="3"/>
      <c r="E454" s="3"/>
      <c r="F454" s="3"/>
      <c r="G454" s="3"/>
      <c r="H454" s="3"/>
    </row>
    <row r="455" spans="1:8">
      <c r="A455" s="3"/>
      <c r="B455" s="3"/>
      <c r="C455" s="3"/>
      <c r="D455" s="3"/>
      <c r="E455" s="3"/>
      <c r="F455" s="3"/>
      <c r="G455" s="3"/>
      <c r="H455" s="3"/>
    </row>
    <row r="456" spans="1:8">
      <c r="A456" s="3"/>
      <c r="B456" s="3"/>
      <c r="C456" s="3"/>
      <c r="D456" s="3"/>
      <c r="E456" s="3"/>
      <c r="F456" s="3"/>
      <c r="G456" s="3"/>
      <c r="H456" s="3"/>
    </row>
    <row r="457" spans="1:8">
      <c r="A457" s="3"/>
      <c r="B457" s="3"/>
      <c r="C457" s="3"/>
      <c r="D457" s="3"/>
      <c r="E457" s="3"/>
      <c r="F457" s="3"/>
      <c r="G457" s="3"/>
      <c r="H457" s="3"/>
    </row>
    <row r="458" spans="1:8">
      <c r="A458" s="3"/>
      <c r="B458" s="3"/>
      <c r="C458" s="3"/>
      <c r="D458" s="3"/>
      <c r="E458" s="3"/>
      <c r="F458" s="3"/>
      <c r="G458" s="3"/>
      <c r="H458" s="3"/>
    </row>
    <row r="459" spans="1:8">
      <c r="A459" s="3"/>
      <c r="B459" s="3"/>
      <c r="C459" s="3"/>
      <c r="D459" s="3"/>
      <c r="E459" s="3"/>
      <c r="F459" s="3"/>
      <c r="G459" s="3"/>
      <c r="H459" s="3"/>
    </row>
    <row r="460" spans="1:8">
      <c r="A460" s="3"/>
      <c r="B460" s="3"/>
      <c r="C460" s="3"/>
      <c r="D460" s="3"/>
      <c r="E460" s="3"/>
      <c r="F460" s="3"/>
      <c r="G460" s="3"/>
      <c r="H460" s="3"/>
    </row>
    <row r="461" spans="1:8">
      <c r="A461" s="3"/>
      <c r="B461" s="3"/>
      <c r="C461" s="3"/>
      <c r="D461" s="3"/>
      <c r="E461" s="3"/>
      <c r="F461" s="3"/>
      <c r="G461" s="3"/>
      <c r="H461" s="3"/>
    </row>
    <row r="462" spans="1:8">
      <c r="A462" s="3"/>
      <c r="B462" s="3"/>
      <c r="C462" s="3"/>
      <c r="D462" s="3"/>
      <c r="E462" s="3"/>
      <c r="F462" s="3"/>
      <c r="G462" s="3"/>
      <c r="H462" s="3"/>
    </row>
    <row r="463" spans="1:8">
      <c r="A463" s="3"/>
      <c r="B463" s="3"/>
      <c r="C463" s="3"/>
      <c r="D463" s="3"/>
      <c r="E463" s="3"/>
      <c r="F463" s="3"/>
      <c r="G463" s="3"/>
      <c r="H463" s="3"/>
    </row>
    <row r="464" spans="1:8">
      <c r="A464" s="3"/>
      <c r="B464" s="3"/>
      <c r="C464" s="3"/>
      <c r="D464" s="3"/>
      <c r="E464" s="3"/>
      <c r="F464" s="3"/>
      <c r="G464" s="3"/>
      <c r="H464" s="3"/>
    </row>
    <row r="465" spans="1:8">
      <c r="A465" s="3"/>
      <c r="B465" s="3"/>
      <c r="C465" s="3"/>
      <c r="D465" s="3"/>
      <c r="E465" s="3"/>
      <c r="F465" s="3"/>
      <c r="G465" s="3"/>
      <c r="H465" s="3"/>
    </row>
    <row r="466" spans="1:8">
      <c r="A466" s="3"/>
      <c r="B466" s="3"/>
      <c r="C466" s="3"/>
      <c r="D466" s="3"/>
      <c r="E466" s="3"/>
      <c r="F466" s="3"/>
      <c r="G466" s="3"/>
      <c r="H466" s="3"/>
    </row>
    <row r="467" spans="1:8">
      <c r="A467" s="3"/>
      <c r="B467" s="3"/>
      <c r="C467" s="3"/>
      <c r="D467" s="3"/>
      <c r="E467" s="3"/>
      <c r="F467" s="3"/>
      <c r="G467" s="3"/>
      <c r="H467" s="3"/>
    </row>
    <row r="468" spans="1:8">
      <c r="A468" s="3"/>
      <c r="B468" s="3"/>
      <c r="C468" s="3"/>
      <c r="D468" s="3"/>
      <c r="E468" s="3"/>
      <c r="F468" s="3"/>
      <c r="G468" s="3"/>
      <c r="H468" s="3"/>
    </row>
    <row r="469" spans="1:8">
      <c r="A469" s="3"/>
      <c r="B469" s="3"/>
      <c r="C469" s="3"/>
      <c r="D469" s="3"/>
      <c r="E469" s="3"/>
      <c r="F469" s="3"/>
      <c r="G469" s="3"/>
      <c r="H469" s="3"/>
    </row>
    <row r="470" spans="1:8">
      <c r="A470" s="3"/>
      <c r="B470" s="3"/>
      <c r="C470" s="3"/>
      <c r="D470" s="3"/>
      <c r="E470" s="3"/>
      <c r="F470" s="3"/>
      <c r="G470" s="3"/>
      <c r="H470" s="3"/>
    </row>
    <row r="471" spans="1:8">
      <c r="A471" s="3"/>
      <c r="B471" s="3"/>
      <c r="C471" s="3"/>
      <c r="D471" s="3"/>
      <c r="E471" s="3"/>
      <c r="F471" s="3"/>
      <c r="G471" s="3"/>
      <c r="H471" s="3"/>
    </row>
    <row r="472" spans="1:8">
      <c r="A472" s="3"/>
      <c r="B472" s="3"/>
      <c r="C472" s="3"/>
      <c r="D472" s="3"/>
      <c r="E472" s="3"/>
      <c r="F472" s="3"/>
      <c r="G472" s="3"/>
      <c r="H472" s="3"/>
    </row>
    <row r="473" spans="1:8">
      <c r="A473" s="3"/>
      <c r="B473" s="3"/>
      <c r="C473" s="3"/>
      <c r="D473" s="3"/>
      <c r="E473" s="3"/>
      <c r="F473" s="3"/>
    </row>
    <row r="474" spans="1:8">
      <c r="A474" s="3"/>
      <c r="B474" s="3"/>
      <c r="C474" s="3"/>
      <c r="D474" s="3"/>
      <c r="E474" s="3"/>
      <c r="F474" s="3"/>
    </row>
    <row r="475" spans="1:8">
      <c r="A475" s="3"/>
      <c r="B475" s="3"/>
      <c r="C475" s="3"/>
      <c r="D475" s="3"/>
      <c r="E475" s="3"/>
      <c r="F475" s="3"/>
    </row>
    <row r="476" spans="1:8">
      <c r="A476" s="3"/>
      <c r="B476" s="3"/>
      <c r="C476" s="3"/>
      <c r="D476" s="3"/>
      <c r="E476" s="3"/>
      <c r="F476" s="3"/>
    </row>
    <row r="477" spans="1:8">
      <c r="A477" s="3"/>
      <c r="B477" s="3"/>
      <c r="C477" s="3"/>
      <c r="D477" s="3"/>
      <c r="E477" s="3"/>
      <c r="F477" s="3"/>
    </row>
    <row r="478" spans="1:8">
      <c r="A478" s="3"/>
      <c r="B478" s="3"/>
      <c r="C478" s="3"/>
      <c r="D478" s="3"/>
      <c r="E478" s="3"/>
      <c r="F478" s="3"/>
    </row>
    <row r="479" spans="1:8">
      <c r="A479" s="3"/>
      <c r="B479" s="3"/>
      <c r="C479" s="3"/>
      <c r="D479" s="3"/>
      <c r="E479" s="3"/>
      <c r="F479" s="3"/>
    </row>
    <row r="480" spans="1:8">
      <c r="A480" s="3"/>
      <c r="B480" s="3"/>
      <c r="C480" s="3"/>
      <c r="D480" s="3"/>
      <c r="E480" s="3"/>
      <c r="F480" s="3"/>
    </row>
    <row r="481" spans="1:6">
      <c r="A481" s="3"/>
      <c r="B481" s="3"/>
      <c r="C481" s="3"/>
      <c r="D481" s="3"/>
      <c r="E481" s="3"/>
      <c r="F481" s="3"/>
    </row>
    <row r="482" spans="1:6">
      <c r="A482" s="3"/>
      <c r="B482" s="3"/>
      <c r="C482" s="3"/>
      <c r="D482" s="3"/>
      <c r="E482" s="3"/>
      <c r="F482" s="3"/>
    </row>
    <row r="483" spans="1:6">
      <c r="A483" s="3"/>
      <c r="B483" s="3"/>
      <c r="C483" s="3"/>
      <c r="D483" s="3"/>
      <c r="E483" s="3"/>
      <c r="F483" s="3"/>
    </row>
    <row r="484" spans="1:6">
      <c r="A484" s="3"/>
      <c r="B484" s="3"/>
      <c r="C484" s="3"/>
      <c r="D484" s="3"/>
      <c r="E484" s="3"/>
      <c r="F484" s="3"/>
    </row>
    <row r="485" spans="1:6">
      <c r="A485" s="3"/>
      <c r="B485" s="3"/>
      <c r="C485" s="3"/>
      <c r="D485" s="3"/>
      <c r="E485" s="3"/>
      <c r="F485" s="3"/>
    </row>
    <row r="486" spans="1:6">
      <c r="A486" s="3"/>
      <c r="B486" s="3"/>
      <c r="C486" s="3"/>
      <c r="D486" s="3"/>
      <c r="E486" s="3"/>
      <c r="F486" s="3"/>
    </row>
    <row r="487" spans="1:6">
      <c r="A487" s="3"/>
      <c r="B487" s="3"/>
      <c r="C487" s="3"/>
      <c r="D487" s="3"/>
      <c r="E487" s="3"/>
      <c r="F487" s="3"/>
    </row>
    <row r="488" spans="1:6">
      <c r="A488" s="3"/>
      <c r="B488" s="3"/>
      <c r="C488" s="3"/>
      <c r="D488" s="3"/>
      <c r="E488" s="3"/>
      <c r="F488" s="3"/>
    </row>
    <row r="489" spans="1:6">
      <c r="A489" s="3"/>
      <c r="B489" s="3"/>
      <c r="C489" s="3"/>
      <c r="D489" s="3"/>
      <c r="E489" s="3"/>
      <c r="F489" s="3"/>
    </row>
  </sheetData>
  <sheetProtection algorithmName="SHA-512" hashValue="CeIMI+AVG//ze0mPY7/kHo5u7FOevCkZyOxQ0wy+y2wngw/DzaVz68VHoZESRprKId11ONrbENFUmZNPchhhew==" saltValue="2+m810wul3xI5WHfz6zLKQ==" spinCount="100000" sheet="1" objects="1" scenarios="1" selectLockedCells="1"/>
  <mergeCells count="13">
    <mergeCell ref="E48:F48"/>
    <mergeCell ref="E51:F51"/>
    <mergeCell ref="C53:F54"/>
    <mergeCell ref="E36:F36"/>
    <mergeCell ref="E37:F37"/>
    <mergeCell ref="E38:F38"/>
    <mergeCell ref="E39:F39"/>
    <mergeCell ref="E40:F40"/>
    <mergeCell ref="E41:F41"/>
    <mergeCell ref="E42:F42"/>
    <mergeCell ref="E43:F43"/>
    <mergeCell ref="E46:F46"/>
    <mergeCell ref="E47:F47"/>
  </mergeCells>
  <conditionalFormatting sqref="B5">
    <cfRule type="expression" dxfId="308" priority="5">
      <formula>$P$12</formula>
    </cfRule>
  </conditionalFormatting>
  <conditionalFormatting sqref="B44">
    <cfRule type="expression" dxfId="307" priority="3">
      <formula>$C$43&gt;$C$46</formula>
    </cfRule>
  </conditionalFormatting>
  <conditionalFormatting sqref="C43">
    <cfRule type="expression" dxfId="306" priority="2">
      <formula>$B$43&gt;$B$46</formula>
    </cfRule>
  </conditionalFormatting>
  <conditionalFormatting sqref="F44">
    <cfRule type="expression" dxfId="305" priority="4">
      <formula>$G$43&gt;1200000</formula>
    </cfRule>
  </conditionalFormatting>
  <conditionalFormatting sqref="G43:G44">
    <cfRule type="expression" dxfId="304" priority="6">
      <formula>$G$43&gt;1200000</formula>
    </cfRule>
  </conditionalFormatting>
  <conditionalFormatting sqref="I42:I43">
    <cfRule type="expression" dxfId="303" priority="1">
      <formula>$G$43&gt;1200000</formula>
    </cfRule>
  </conditionalFormatting>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9CAA-3CF9-4376-A7E6-D436612E0AE0}">
  <sheetPr codeName="Sheet11">
    <pageSetUpPr fitToPage="1"/>
  </sheetPr>
  <dimension ref="A1:CJ171"/>
  <sheetViews>
    <sheetView zoomScaleNormal="100" workbookViewId="0">
      <selection activeCell="J75" sqref="J75:L75"/>
    </sheetView>
  </sheetViews>
  <sheetFormatPr baseColWidth="10" defaultColWidth="9.1640625" defaultRowHeight="15"/>
  <cols>
    <col min="1" max="1" width="4.33203125" style="3" customWidth="1"/>
    <col min="2" max="2" width="9.5" style="29" customWidth="1"/>
    <col min="3" max="3" width="16" style="29" customWidth="1"/>
    <col min="4" max="4" width="22.33203125" style="29" bestFit="1" customWidth="1"/>
    <col min="5" max="5" width="17.1640625" style="29" customWidth="1"/>
    <col min="6" max="6" width="14.5" style="29" customWidth="1"/>
    <col min="7" max="7" width="15" style="29" customWidth="1"/>
    <col min="8" max="8" width="19.5" style="29" customWidth="1"/>
    <col min="9" max="9" width="14.5" style="29" customWidth="1"/>
    <col min="10" max="10" width="18.5" style="29" customWidth="1"/>
    <col min="11" max="11" width="12.83203125" style="29" customWidth="1"/>
    <col min="12" max="12" width="20.5" style="29" customWidth="1"/>
    <col min="13" max="13" width="18.1640625" style="29" customWidth="1"/>
    <col min="14" max="14" width="18.5" style="29" customWidth="1"/>
    <col min="15" max="15" width="19.1640625" style="29" customWidth="1"/>
    <col min="16" max="16" width="22.5" style="29" customWidth="1"/>
    <col min="17" max="18" width="20.5" style="29" customWidth="1"/>
    <col min="19" max="19" width="13.5" style="29" customWidth="1"/>
    <col min="20" max="20" width="22.5" style="29" customWidth="1"/>
    <col min="21" max="21" width="10.5" style="379" customWidth="1"/>
    <col min="22" max="22" width="13" style="379" customWidth="1"/>
    <col min="23" max="24" width="2.83203125" style="379" customWidth="1"/>
    <col min="25" max="25" width="9.1640625" style="367"/>
    <col min="26" max="26" width="18.33203125" style="101" customWidth="1"/>
    <col min="27" max="27" width="5.5" style="101" customWidth="1"/>
    <col min="28" max="28" width="11.83203125" style="101" customWidth="1"/>
    <col min="29" max="29" width="9.5" style="101" customWidth="1"/>
    <col min="30" max="30" width="10.5" style="101" customWidth="1"/>
    <col min="31" max="31" width="6.5" style="101" customWidth="1"/>
    <col min="32" max="37" width="7.5" style="101" customWidth="1"/>
    <col min="38" max="38" width="5.6640625" style="101" customWidth="1"/>
    <col min="39" max="39" width="6.5" style="101" customWidth="1"/>
    <col min="40" max="40" width="9.5" style="101" customWidth="1"/>
    <col min="41" max="41" width="6.5" style="101" customWidth="1"/>
    <col min="42" max="42" width="9" style="101" bestFit="1" customWidth="1"/>
    <col min="43" max="43" width="9.5" style="101" customWidth="1"/>
    <col min="44" max="44" width="8.5" style="101" customWidth="1"/>
    <col min="45" max="45" width="6.5" style="101" customWidth="1"/>
    <col min="46" max="46" width="9" style="101" customWidth="1"/>
    <col min="47" max="47" width="6.1640625" style="101" customWidth="1"/>
    <col min="48" max="48" width="6.5" style="101" customWidth="1"/>
    <col min="49" max="49" width="10" style="101" customWidth="1"/>
    <col min="50" max="51" width="6.5" style="101" customWidth="1"/>
    <col min="52" max="52" width="9.5" style="101" customWidth="1"/>
    <col min="53" max="53" width="13.5" style="101" customWidth="1"/>
    <col min="54" max="54" width="13.5" style="101" bestFit="1" customWidth="1"/>
    <col min="55" max="55" width="5.5" style="101" bestFit="1" customWidth="1"/>
    <col min="56" max="56" width="12.33203125" style="101" bestFit="1" customWidth="1"/>
    <col min="57" max="57" width="6.83203125" style="101" bestFit="1" customWidth="1"/>
    <col min="58" max="58" width="17.1640625" style="101" bestFit="1" customWidth="1"/>
    <col min="59" max="59" width="5.5" style="101" bestFit="1" customWidth="1"/>
    <col min="60" max="60" width="15.1640625" style="101" bestFit="1" customWidth="1"/>
    <col min="61" max="61" width="11.6640625" style="368" bestFit="1" customWidth="1"/>
    <col min="62" max="71" width="6.5" style="368" customWidth="1"/>
    <col min="72" max="76" width="9.1640625" style="368"/>
    <col min="77" max="16384" width="9.1640625" style="29"/>
  </cols>
  <sheetData>
    <row r="1" spans="1:87" s="26" customFormat="1" ht="29">
      <c r="A1" s="3"/>
      <c r="B1" s="30" t="str">
        <f>'1. TOC'!B1</f>
        <v>WHEDA 2025 Multifamily Application</v>
      </c>
      <c r="C1" s="30"/>
      <c r="D1" s="29"/>
      <c r="E1" s="29"/>
      <c r="F1" s="379" t="str">
        <f>'1. TOC'!L1</f>
        <v>v25.1.9</v>
      </c>
      <c r="G1" s="29"/>
      <c r="H1" s="1086" t="str">
        <f>HYPERLINK("#Table_of_Contents", Table_of_Contents)</f>
        <v>Table of Contents</v>
      </c>
      <c r="I1" s="29"/>
      <c r="J1" s="29"/>
      <c r="K1" s="29"/>
      <c r="L1" s="29"/>
      <c r="M1" s="97"/>
      <c r="N1" s="97"/>
      <c r="O1" s="97"/>
      <c r="P1" s="76"/>
      <c r="Q1" s="76"/>
      <c r="R1" s="76"/>
      <c r="S1" s="76"/>
      <c r="T1" s="76"/>
      <c r="U1" s="462"/>
      <c r="V1" s="462"/>
      <c r="W1" s="462"/>
      <c r="X1" s="462"/>
      <c r="Y1" s="366"/>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366"/>
      <c r="BJ1" s="366"/>
      <c r="BK1" s="366"/>
      <c r="BL1" s="366"/>
      <c r="BM1" s="366"/>
      <c r="BN1" s="366"/>
      <c r="BO1" s="366"/>
      <c r="BP1" s="366"/>
      <c r="BQ1" s="366"/>
      <c r="BR1" s="366"/>
      <c r="BS1" s="366"/>
      <c r="BT1" s="366"/>
      <c r="BU1" s="366"/>
      <c r="BV1" s="366"/>
      <c r="BW1" s="366"/>
      <c r="BX1" s="366"/>
      <c r="BY1" s="76"/>
      <c r="BZ1" s="76"/>
      <c r="CA1" s="76"/>
      <c r="CB1" s="76"/>
      <c r="CC1" s="76"/>
      <c r="CD1" s="76"/>
      <c r="CE1" s="76"/>
      <c r="CF1" s="76"/>
      <c r="CG1" s="76"/>
      <c r="CH1" s="98"/>
    </row>
    <row r="2" spans="1:87" s="26" customFormat="1" ht="19">
      <c r="A2" s="3"/>
      <c r="B2" s="934" t="str">
        <f>_xlfn.CONCAT(IF(ISBLANK(WHEDA_Project_Number),"",_xlfn.CONCAT(WHEDA_Project_Number,"-")), Project_Name, IF(ISBLANK(Credit_percentage_applied_for),"",_xlfn.CONCAT(" (", Credit_percentage_applied_for," HTC)")))</f>
        <v/>
      </c>
      <c r="C2" s="31"/>
      <c r="D2" s="29"/>
      <c r="E2" s="29"/>
      <c r="F2" s="29"/>
      <c r="G2" s="29"/>
      <c r="H2" s="29"/>
      <c r="I2" s="29"/>
      <c r="J2" s="29"/>
      <c r="K2" s="29"/>
      <c r="L2" s="29"/>
      <c r="M2" s="97"/>
      <c r="N2" s="97"/>
      <c r="O2" s="97"/>
      <c r="P2" s="76"/>
      <c r="Q2" s="76"/>
      <c r="R2" s="76"/>
      <c r="S2" s="76"/>
      <c r="T2" s="76"/>
      <c r="U2" s="462"/>
      <c r="V2" s="462"/>
      <c r="W2" s="462"/>
      <c r="X2" s="578"/>
      <c r="Y2" s="366"/>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366"/>
      <c r="BJ2" s="366"/>
      <c r="BK2" s="366"/>
      <c r="BL2" s="366"/>
      <c r="BM2" s="366"/>
      <c r="BN2" s="366"/>
      <c r="BO2" s="366"/>
      <c r="BP2" s="366"/>
      <c r="BQ2" s="366"/>
      <c r="BR2" s="366"/>
      <c r="BS2" s="366"/>
      <c r="BT2" s="366"/>
      <c r="BU2" s="366"/>
      <c r="BV2" s="366"/>
      <c r="BW2" s="366"/>
      <c r="BX2" s="366"/>
      <c r="BY2" s="76"/>
      <c r="BZ2" s="76"/>
      <c r="CA2" s="76"/>
      <c r="CB2" s="76"/>
      <c r="CC2" s="76"/>
      <c r="CD2" s="76"/>
      <c r="CE2" s="76"/>
      <c r="CF2" s="76"/>
      <c r="CG2" s="76"/>
      <c r="CH2" s="98"/>
    </row>
    <row r="3" spans="1:87" s="1039" customFormat="1" ht="16">
      <c r="A3" s="1017"/>
      <c r="B3" s="1021"/>
      <c r="C3" s="1032"/>
      <c r="D3" s="1032"/>
      <c r="E3" s="1032"/>
      <c r="F3" s="1032"/>
      <c r="G3" s="1032"/>
      <c r="H3" s="1032"/>
      <c r="I3" s="1032"/>
      <c r="J3" s="1032"/>
      <c r="K3" s="1032"/>
      <c r="L3" s="1032"/>
      <c r="M3" s="1033"/>
      <c r="N3" s="1033"/>
      <c r="O3" s="1033"/>
      <c r="P3" s="1034"/>
      <c r="Q3" s="1034"/>
      <c r="R3" s="1034"/>
      <c r="S3" s="1034"/>
      <c r="T3" s="1034"/>
      <c r="U3" s="1035"/>
      <c r="V3" s="1035"/>
      <c r="W3" s="1035"/>
      <c r="X3" s="1036"/>
      <c r="Y3" s="976"/>
      <c r="Z3" s="1037"/>
      <c r="AA3" s="1037"/>
      <c r="AB3" s="1037"/>
      <c r="AC3" s="1037"/>
      <c r="AD3" s="1037"/>
      <c r="AE3" s="1037"/>
      <c r="AF3" s="1037"/>
      <c r="AG3" s="1037"/>
      <c r="AH3" s="1037"/>
      <c r="AI3" s="1037"/>
      <c r="AJ3" s="1037"/>
      <c r="AK3" s="1037"/>
      <c r="AL3" s="1037"/>
      <c r="AM3" s="1037"/>
      <c r="AN3" s="1037"/>
      <c r="AO3" s="1037"/>
      <c r="AP3" s="1037"/>
      <c r="AQ3" s="1037"/>
      <c r="AR3" s="1037"/>
      <c r="AS3" s="1037"/>
      <c r="AT3" s="1037"/>
      <c r="AU3" s="1037"/>
      <c r="AV3" s="1037"/>
      <c r="AW3" s="1037"/>
      <c r="AX3" s="1037"/>
      <c r="AY3" s="1037"/>
      <c r="AZ3" s="1037"/>
      <c r="BA3" s="1037"/>
      <c r="BB3" s="1037"/>
      <c r="BC3" s="1037"/>
      <c r="BD3" s="1037"/>
      <c r="BE3" s="1037"/>
      <c r="BF3" s="1037"/>
      <c r="BG3" s="1037"/>
      <c r="BH3" s="1037"/>
      <c r="BI3" s="976"/>
      <c r="BJ3" s="976"/>
      <c r="BK3" s="976"/>
      <c r="BL3" s="976"/>
      <c r="BM3" s="976"/>
      <c r="BN3" s="976"/>
      <c r="BO3" s="976"/>
      <c r="BP3" s="976"/>
      <c r="BQ3" s="976"/>
      <c r="BR3" s="976"/>
      <c r="BS3" s="976"/>
      <c r="BT3" s="976"/>
      <c r="BU3" s="976"/>
      <c r="BV3" s="976"/>
      <c r="BW3" s="976"/>
      <c r="BX3" s="976"/>
      <c r="BY3" s="1038"/>
      <c r="BZ3" s="1038"/>
      <c r="CA3" s="1038"/>
      <c r="CB3" s="1038"/>
      <c r="CC3" s="1038"/>
      <c r="CD3" s="1038"/>
      <c r="CE3" s="1038"/>
      <c r="CF3" s="1038"/>
      <c r="CG3" s="1038"/>
      <c r="CH3" s="1037"/>
    </row>
    <row r="4" spans="1:87" ht="29">
      <c r="A4" s="308"/>
      <c r="B4" s="4" t="s">
        <v>184</v>
      </c>
      <c r="O4" s="26"/>
      <c r="T4" s="76"/>
      <c r="U4" s="462"/>
      <c r="X4" s="462"/>
      <c r="Y4" s="366"/>
      <c r="Z4" s="98"/>
      <c r="BI4" s="367"/>
      <c r="BJ4" s="367"/>
      <c r="BK4" s="367"/>
      <c r="BL4" s="367"/>
      <c r="BM4" s="367"/>
      <c r="BN4" s="367"/>
      <c r="BO4" s="367"/>
      <c r="BP4" s="367"/>
      <c r="BQ4" s="367"/>
      <c r="BR4" s="367"/>
      <c r="BS4" s="367"/>
      <c r="BT4" s="367"/>
      <c r="BU4" s="367"/>
      <c r="BV4" s="367"/>
      <c r="BW4" s="367"/>
      <c r="BX4" s="367"/>
      <c r="BY4" s="97"/>
      <c r="BZ4" s="97"/>
      <c r="CA4" s="97"/>
      <c r="CB4" s="97"/>
      <c r="CC4" s="97"/>
      <c r="CD4" s="97"/>
      <c r="CE4" s="97"/>
      <c r="CF4" s="97"/>
      <c r="CG4" s="97"/>
      <c r="CH4" s="101"/>
    </row>
    <row r="5" spans="1:87" ht="19">
      <c r="A5" s="308"/>
      <c r="B5" s="8" t="s">
        <v>3735</v>
      </c>
      <c r="T5" s="76"/>
      <c r="U5" s="462"/>
      <c r="X5" s="462"/>
      <c r="Y5" s="366"/>
      <c r="Z5" s="98"/>
      <c r="BI5" s="367"/>
      <c r="BJ5" s="367"/>
      <c r="BK5" s="367"/>
      <c r="BL5" s="367"/>
      <c r="BM5" s="367"/>
      <c r="BN5" s="367"/>
      <c r="BO5" s="367"/>
      <c r="BP5" s="367"/>
      <c r="BQ5" s="367"/>
      <c r="BR5" s="367"/>
      <c r="BS5" s="367"/>
      <c r="BT5" s="367"/>
      <c r="BU5" s="367"/>
      <c r="BV5" s="367"/>
      <c r="BW5" s="367"/>
      <c r="BX5" s="367"/>
      <c r="BY5" s="97"/>
      <c r="BZ5" s="97"/>
      <c r="CA5" s="97"/>
      <c r="CB5" s="97"/>
      <c r="CC5" s="97"/>
      <c r="CD5" s="97"/>
      <c r="CE5" s="97"/>
      <c r="CF5" s="97"/>
      <c r="CG5" s="97"/>
      <c r="CH5" s="101"/>
    </row>
    <row r="6" spans="1:87" ht="16">
      <c r="A6" s="308"/>
      <c r="B6" s="1226"/>
      <c r="C6" s="1381" t="s">
        <v>3736</v>
      </c>
      <c r="D6" s="1220"/>
      <c r="E6" s="1689"/>
      <c r="F6" s="1689"/>
      <c r="G6" s="1689"/>
      <c r="H6" s="1689"/>
      <c r="I6" s="1689"/>
      <c r="J6" s="1689"/>
      <c r="K6" s="1689"/>
      <c r="L6" s="1689"/>
      <c r="M6" s="1689"/>
      <c r="N6" s="1689"/>
      <c r="O6" s="1689"/>
      <c r="P6" s="1689"/>
      <c r="Q6" s="1689"/>
      <c r="R6" s="1689"/>
      <c r="S6" s="1689"/>
      <c r="T6" s="1689"/>
      <c r="U6" s="1689"/>
      <c r="V6" s="1228"/>
      <c r="W6" s="1228"/>
      <c r="X6" s="1228"/>
      <c r="Y6" s="366"/>
      <c r="Z6" s="98"/>
      <c r="AA6" s="98" t="e">
        <f>MATCH(Property_County,RentLimits!A5:A48, 0)+4</f>
        <v>#N/A</v>
      </c>
      <c r="BI6" s="367"/>
      <c r="BJ6" s="367"/>
      <c r="BK6" s="367"/>
      <c r="BL6" s="367"/>
      <c r="BM6" s="367"/>
      <c r="BN6" s="367"/>
      <c r="BO6" s="367"/>
      <c r="BP6" s="367"/>
      <c r="BQ6" s="367"/>
      <c r="BR6" s="367"/>
      <c r="BS6" s="367"/>
      <c r="BT6" s="367"/>
      <c r="BU6" s="367"/>
      <c r="BV6" s="367"/>
      <c r="BW6" s="367"/>
      <c r="BX6" s="367"/>
      <c r="BY6" s="97"/>
      <c r="BZ6" s="97"/>
      <c r="CA6" s="97"/>
      <c r="CB6" s="97"/>
      <c r="CC6" s="97"/>
      <c r="CD6" s="97"/>
      <c r="CE6" s="97"/>
      <c r="CF6" s="97"/>
      <c r="CG6" s="97"/>
      <c r="CH6" s="97"/>
      <c r="CI6" s="101"/>
    </row>
    <row r="7" spans="1:87" ht="16">
      <c r="A7" s="308"/>
      <c r="B7" s="1226"/>
      <c r="C7" s="1227" t="s">
        <v>3737</v>
      </c>
      <c r="D7" s="1220"/>
      <c r="E7" s="1689"/>
      <c r="F7" s="1689"/>
      <c r="G7" s="1689"/>
      <c r="H7" s="1689"/>
      <c r="I7" s="1689"/>
      <c r="J7" s="1689"/>
      <c r="K7" s="1689"/>
      <c r="L7" s="1689"/>
      <c r="M7" s="1689"/>
      <c r="N7" s="1689"/>
      <c r="O7" s="1689"/>
      <c r="P7" s="1689"/>
      <c r="Q7" s="1689"/>
      <c r="R7" s="1689"/>
      <c r="S7" s="1689"/>
      <c r="T7" s="1689"/>
      <c r="U7" s="1689"/>
      <c r="V7" s="1228"/>
      <c r="W7" s="1228"/>
      <c r="X7" s="1228"/>
      <c r="Y7" s="366"/>
      <c r="Z7" s="98"/>
      <c r="AA7" s="98"/>
      <c r="BI7" s="367"/>
      <c r="BJ7" s="367"/>
      <c r="BK7" s="367"/>
      <c r="BL7" s="367"/>
      <c r="BM7" s="367"/>
      <c r="BN7" s="367"/>
      <c r="BO7" s="367"/>
      <c r="BP7" s="367"/>
      <c r="BQ7" s="367"/>
      <c r="BR7" s="367"/>
      <c r="BS7" s="367"/>
      <c r="BT7" s="367"/>
      <c r="BU7" s="367"/>
      <c r="BV7" s="367"/>
      <c r="BW7" s="367"/>
      <c r="BX7" s="367"/>
      <c r="BY7" s="97"/>
      <c r="BZ7" s="97"/>
      <c r="CA7" s="97"/>
      <c r="CB7" s="97"/>
      <c r="CC7" s="97"/>
      <c r="CD7" s="97"/>
      <c r="CE7" s="97"/>
      <c r="CF7" s="97"/>
      <c r="CG7" s="97"/>
      <c r="CH7" s="97"/>
      <c r="CI7" s="101"/>
    </row>
    <row r="8" spans="1:87" ht="16">
      <c r="A8" s="308"/>
      <c r="B8" s="1226"/>
      <c r="C8" s="1227" t="s">
        <v>3738</v>
      </c>
      <c r="D8" s="1220"/>
      <c r="E8" s="1689"/>
      <c r="F8" s="1689"/>
      <c r="G8" s="1689"/>
      <c r="H8" s="1689"/>
      <c r="I8" s="1689"/>
      <c r="J8" s="1689"/>
      <c r="K8" s="1689"/>
      <c r="L8" s="1689"/>
      <c r="M8" s="1689"/>
      <c r="N8" s="1689"/>
      <c r="O8" s="1689"/>
      <c r="P8" s="1689"/>
      <c r="Q8" s="1689"/>
      <c r="R8" s="1689"/>
      <c r="S8" s="1689"/>
      <c r="T8" s="1689"/>
      <c r="U8" s="1689"/>
      <c r="V8" s="1228"/>
      <c r="W8" s="1228"/>
      <c r="X8" s="1228"/>
      <c r="Y8" s="366"/>
      <c r="Z8" s="98"/>
      <c r="AA8" s="98">
        <f>IF(ISNUMBER(AA6), AA6,49)</f>
        <v>49</v>
      </c>
      <c r="AD8" s="101" t="s">
        <v>3739</v>
      </c>
      <c r="BI8" s="367"/>
      <c r="BJ8" s="367"/>
      <c r="BK8" s="367"/>
      <c r="BL8" s="367"/>
      <c r="BM8" s="367"/>
      <c r="BN8" s="367"/>
      <c r="BO8" s="367"/>
      <c r="BP8" s="367"/>
      <c r="BQ8" s="367"/>
      <c r="BR8" s="367"/>
      <c r="BS8" s="367"/>
      <c r="BT8" s="367"/>
      <c r="BU8" s="367"/>
      <c r="BV8" s="367"/>
      <c r="BW8" s="367"/>
      <c r="BX8" s="367"/>
      <c r="BY8" s="97"/>
      <c r="BZ8" s="97"/>
      <c r="CA8" s="97"/>
      <c r="CB8" s="97"/>
      <c r="CC8" s="97"/>
      <c r="CD8" s="97"/>
      <c r="CE8" s="97"/>
      <c r="CF8" s="97"/>
      <c r="CG8" s="97"/>
      <c r="CH8" s="97"/>
      <c r="CI8" s="101"/>
    </row>
    <row r="9" spans="1:87" ht="16">
      <c r="A9" s="308"/>
      <c r="B9" s="1226"/>
      <c r="C9" s="1227" t="s">
        <v>3740</v>
      </c>
      <c r="D9" s="1220"/>
      <c r="E9" s="1689"/>
      <c r="F9" s="1689"/>
      <c r="G9" s="1689"/>
      <c r="H9" s="1689"/>
      <c r="I9" s="1689"/>
      <c r="J9" s="1689"/>
      <c r="K9" s="1689"/>
      <c r="L9" s="1689"/>
      <c r="M9" s="1689"/>
      <c r="N9" s="1689"/>
      <c r="O9" s="1689"/>
      <c r="P9" s="1689"/>
      <c r="Q9" s="1689"/>
      <c r="R9" s="1689"/>
      <c r="S9" s="1689"/>
      <c r="T9" s="1689"/>
      <c r="U9" s="1689"/>
      <c r="V9" s="1228"/>
      <c r="W9" s="1228"/>
      <c r="X9" s="1228"/>
      <c r="Y9" s="366"/>
      <c r="Z9" s="98"/>
      <c r="AA9" s="98"/>
      <c r="BI9" s="367"/>
      <c r="BJ9" s="367"/>
      <c r="BK9" s="367"/>
      <c r="BL9" s="367"/>
      <c r="BM9" s="367"/>
      <c r="BN9" s="367"/>
      <c r="BO9" s="367"/>
      <c r="BP9" s="367"/>
      <c r="BQ9" s="367"/>
      <c r="BR9" s="367"/>
      <c r="BS9" s="367"/>
      <c r="BT9" s="367"/>
      <c r="BU9" s="367"/>
      <c r="BV9" s="367"/>
      <c r="BW9" s="367"/>
      <c r="BX9" s="367"/>
      <c r="BY9" s="97"/>
      <c r="BZ9" s="97"/>
      <c r="CA9" s="97"/>
      <c r="CB9" s="97"/>
      <c r="CC9" s="97"/>
      <c r="CD9" s="97"/>
      <c r="CE9" s="97"/>
      <c r="CF9" s="97"/>
      <c r="CG9" s="97"/>
      <c r="CH9" s="97"/>
      <c r="CI9" s="101"/>
    </row>
    <row r="10" spans="1:87" ht="16">
      <c r="A10" s="308"/>
      <c r="B10" s="1226"/>
      <c r="C10" s="1227" t="s">
        <v>3741</v>
      </c>
      <c r="D10" s="1220"/>
      <c r="E10" s="1689"/>
      <c r="F10" s="1689"/>
      <c r="G10" s="1689"/>
      <c r="H10" s="1689"/>
      <c r="I10" s="1689"/>
      <c r="J10" s="1689"/>
      <c r="K10" s="1689"/>
      <c r="L10" s="1689"/>
      <c r="M10" s="1689"/>
      <c r="N10" s="1689"/>
      <c r="O10" s="1689"/>
      <c r="P10" s="1689"/>
      <c r="Q10" s="1689"/>
      <c r="R10" s="1689"/>
      <c r="S10" s="1689"/>
      <c r="T10" s="1689"/>
      <c r="U10" s="1689"/>
      <c r="V10" s="1228"/>
      <c r="W10" s="1228"/>
      <c r="X10" s="1228"/>
      <c r="Y10" s="366"/>
      <c r="Z10" s="98"/>
      <c r="AA10" s="98"/>
      <c r="BI10" s="367"/>
      <c r="BJ10" s="367"/>
      <c r="BK10" s="367"/>
      <c r="BL10" s="367"/>
      <c r="BM10" s="367"/>
      <c r="BN10" s="367"/>
      <c r="BO10" s="367"/>
      <c r="BP10" s="367"/>
      <c r="BQ10" s="367"/>
      <c r="BR10" s="367"/>
      <c r="BS10" s="367"/>
      <c r="BT10" s="367"/>
      <c r="BU10" s="367"/>
      <c r="BV10" s="367"/>
      <c r="BW10" s="367"/>
      <c r="BX10" s="367"/>
      <c r="BY10" s="97"/>
      <c r="BZ10" s="97"/>
      <c r="CA10" s="97"/>
      <c r="CB10" s="97"/>
      <c r="CC10" s="97"/>
      <c r="CD10" s="97"/>
      <c r="CE10" s="97"/>
      <c r="CF10" s="97"/>
      <c r="CG10" s="97"/>
      <c r="CH10" s="97"/>
      <c r="CI10" s="101"/>
    </row>
    <row r="11" spans="1:87" ht="16">
      <c r="A11" s="308"/>
      <c r="B11" s="1226"/>
      <c r="C11" s="1227" t="s">
        <v>3742</v>
      </c>
      <c r="D11" s="1220"/>
      <c r="E11" s="1689"/>
      <c r="F11" s="1689"/>
      <c r="G11" s="1689"/>
      <c r="H11" s="1689"/>
      <c r="I11" s="1689"/>
      <c r="J11" s="1689"/>
      <c r="K11" s="1689"/>
      <c r="L11" s="1689"/>
      <c r="M11" s="1689"/>
      <c r="N11" s="1689"/>
      <c r="O11" s="1689"/>
      <c r="P11" s="1689"/>
      <c r="Q11" s="1689"/>
      <c r="R11" s="1689"/>
      <c r="S11" s="1689"/>
      <c r="T11" s="1689"/>
      <c r="U11" s="1689"/>
      <c r="V11" s="1228"/>
      <c r="W11" s="1228"/>
      <c r="X11" s="1228"/>
      <c r="Y11" s="366"/>
      <c r="Z11" s="98"/>
      <c r="AA11" s="1493" t="s">
        <v>3743</v>
      </c>
      <c r="BI11" s="367"/>
      <c r="BJ11" s="367"/>
      <c r="BK11" s="367"/>
      <c r="BL11" s="367"/>
      <c r="BM11" s="367"/>
      <c r="BN11" s="367"/>
      <c r="BO11" s="367"/>
      <c r="BP11" s="367"/>
      <c r="BQ11" s="367"/>
      <c r="BR11" s="367"/>
      <c r="BS11" s="367"/>
      <c r="BT11" s="367"/>
      <c r="BU11" s="367"/>
      <c r="BV11" s="367"/>
      <c r="BW11" s="367"/>
      <c r="BX11" s="367"/>
      <c r="BY11" s="97"/>
      <c r="BZ11" s="97"/>
      <c r="CA11" s="97"/>
      <c r="CB11" s="97"/>
      <c r="CC11" s="97"/>
      <c r="CD11" s="97"/>
      <c r="CE11" s="97"/>
      <c r="CF11" s="97"/>
      <c r="CG11" s="97"/>
      <c r="CH11" s="97"/>
      <c r="CI11" s="101"/>
    </row>
    <row r="12" spans="1:87" s="368" customFormat="1" ht="16">
      <c r="A12" s="1107"/>
      <c r="B12" s="1229"/>
      <c r="C12" s="1230" t="s">
        <v>3744</v>
      </c>
      <c r="D12" s="1473"/>
      <c r="E12" s="1231"/>
      <c r="F12" s="1231"/>
      <c r="G12" s="1231"/>
      <c r="H12" s="1231"/>
      <c r="I12" s="1231"/>
      <c r="J12" s="1231"/>
      <c r="K12" s="1231"/>
      <c r="L12" s="1231"/>
      <c r="M12" s="1231"/>
      <c r="N12" s="1231"/>
      <c r="O12" s="1231"/>
      <c r="P12" s="1231"/>
      <c r="Q12" s="1231"/>
      <c r="R12" s="1231"/>
      <c r="S12" s="1231"/>
      <c r="T12" s="1231"/>
      <c r="U12" s="1231"/>
      <c r="V12" s="1231"/>
      <c r="W12" s="1231"/>
      <c r="X12" s="1231"/>
      <c r="Y12" s="366"/>
      <c r="Z12" s="366"/>
      <c r="AA12" s="98" t="s">
        <v>3745</v>
      </c>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row>
    <row r="13" spans="1:87" s="368" customFormat="1" hidden="1">
      <c r="A13" s="1106"/>
      <c r="B13" s="1231"/>
      <c r="C13" s="1232"/>
      <c r="D13" s="2088" t="s">
        <v>3746</v>
      </c>
      <c r="E13" s="2088"/>
      <c r="F13" s="2089"/>
      <c r="G13" s="1233" t="s">
        <v>13</v>
      </c>
      <c r="H13" s="1231"/>
      <c r="I13" s="1231"/>
      <c r="J13" s="1234"/>
      <c r="K13" s="1231"/>
      <c r="L13" s="1231"/>
      <c r="M13" s="1231"/>
      <c r="N13" s="1231"/>
      <c r="O13" s="1231"/>
      <c r="P13" s="1231"/>
      <c r="Q13" s="1231"/>
      <c r="R13" s="1231"/>
      <c r="S13" s="1231"/>
      <c r="T13" s="1231"/>
      <c r="U13" s="1231"/>
      <c r="V13" s="1231"/>
      <c r="W13" s="1231"/>
      <c r="X13" s="1231"/>
      <c r="Y13" s="366"/>
      <c r="Z13" s="366"/>
      <c r="AA13" s="98" t="str">
        <f>_xlfn.CONCAT($E16," Bdrm")</f>
        <v xml:space="preserve"> Bdrm</v>
      </c>
      <c r="AB13" s="101"/>
      <c r="AC13" s="101"/>
      <c r="AD13" s="2090" t="s">
        <v>3735</v>
      </c>
      <c r="AE13" s="2090"/>
      <c r="AF13" s="2090"/>
      <c r="AG13" s="2090"/>
      <c r="AH13" s="2090"/>
      <c r="AI13" s="2090"/>
      <c r="AJ13" s="2090"/>
      <c r="AK13" s="2090"/>
      <c r="AL13" s="2090"/>
      <c r="AM13" s="2090"/>
      <c r="AN13" s="2090"/>
      <c r="AO13" s="2090"/>
      <c r="AP13" s="2090"/>
      <c r="AQ13" s="2090"/>
      <c r="AR13" s="2090"/>
      <c r="AS13" s="1691"/>
      <c r="AT13" s="101"/>
      <c r="AU13" s="101"/>
      <c r="AV13" s="101"/>
      <c r="AW13" s="101"/>
      <c r="AX13" s="101"/>
      <c r="AY13" s="101"/>
      <c r="AZ13" s="101"/>
      <c r="BA13" s="101"/>
      <c r="BB13" s="101"/>
      <c r="BC13" s="101"/>
      <c r="BD13" s="101"/>
      <c r="BE13" s="101"/>
      <c r="BF13" s="101"/>
      <c r="BG13" s="101"/>
      <c r="BH13" s="367"/>
      <c r="BI13" s="367"/>
      <c r="BJ13" s="367"/>
      <c r="BK13" s="367"/>
      <c r="BL13" s="367"/>
      <c r="BM13" s="367"/>
      <c r="BN13" s="367"/>
      <c r="BO13" s="367"/>
      <c r="BP13" s="367"/>
      <c r="BQ13" s="367"/>
      <c r="BR13" s="367"/>
      <c r="BS13" s="367"/>
      <c r="BT13" s="367"/>
      <c r="BU13" s="367"/>
      <c r="BV13" s="367"/>
      <c r="BW13" s="367"/>
      <c r="BX13" s="367"/>
      <c r="BY13" s="367"/>
      <c r="BZ13" s="367"/>
      <c r="CA13" s="367"/>
      <c r="CB13" s="367"/>
      <c r="CC13" s="367"/>
      <c r="CD13" s="367"/>
      <c r="CE13" s="367"/>
      <c r="CF13" s="367"/>
      <c r="CG13" s="367"/>
      <c r="CH13" s="367"/>
      <c r="CI13" s="367"/>
    </row>
    <row r="14" spans="1:87" s="368" customFormat="1">
      <c r="A14" s="1106"/>
      <c r="B14" s="1231"/>
      <c r="C14" s="1234" t="s">
        <v>3747</v>
      </c>
      <c r="D14" s="1235"/>
      <c r="E14" s="1231"/>
      <c r="F14" s="1231"/>
      <c r="G14" s="1231"/>
      <c r="H14" s="1231"/>
      <c r="I14" s="1231"/>
      <c r="J14" s="1231"/>
      <c r="K14" s="1231"/>
      <c r="L14" s="1231"/>
      <c r="M14" s="1231"/>
      <c r="N14" s="1231"/>
      <c r="O14" s="1231"/>
      <c r="P14" s="1231"/>
      <c r="Q14" s="1231"/>
      <c r="R14" s="1231"/>
      <c r="S14" s="1231"/>
      <c r="T14" s="1231"/>
      <c r="U14" s="1231"/>
      <c r="V14" s="1231"/>
      <c r="W14" s="1231"/>
      <c r="X14" s="1231"/>
      <c r="Y14" s="366"/>
      <c r="Z14" s="366"/>
      <c r="AA14" s="98"/>
      <c r="AB14" s="101"/>
      <c r="AC14" s="101"/>
      <c r="AD14" s="2090" t="s">
        <v>3748</v>
      </c>
      <c r="AE14" s="2090" t="s">
        <v>3749</v>
      </c>
      <c r="AF14" s="2090"/>
      <c r="AG14" s="2090"/>
      <c r="AH14" s="2090"/>
      <c r="AI14" s="2090"/>
      <c r="AJ14" s="2090"/>
      <c r="AK14" s="2090"/>
      <c r="AL14" s="2090" t="s">
        <v>3750</v>
      </c>
      <c r="AM14" s="2090"/>
      <c r="AN14" s="2090"/>
      <c r="AO14" s="2090"/>
      <c r="AP14" s="2090"/>
      <c r="AQ14" s="2090"/>
      <c r="AR14" s="2090"/>
      <c r="AS14" s="2090" t="s">
        <v>3751</v>
      </c>
      <c r="AT14" s="2090"/>
      <c r="AU14" s="2090"/>
      <c r="AV14" s="2090" t="s">
        <v>3752</v>
      </c>
      <c r="AW14" s="2090"/>
      <c r="AX14" s="2090"/>
      <c r="AY14" s="2090" t="s">
        <v>3753</v>
      </c>
      <c r="AZ14" s="2090"/>
      <c r="BA14" s="2090"/>
      <c r="BB14" s="2090" t="s">
        <v>3754</v>
      </c>
      <c r="BC14" s="2090"/>
      <c r="BD14" s="101" t="s">
        <v>299</v>
      </c>
      <c r="BE14" s="101"/>
      <c r="BF14" s="2090" t="s">
        <v>3755</v>
      </c>
      <c r="BG14" s="2090"/>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c r="CG14" s="367"/>
      <c r="CH14" s="367"/>
      <c r="CI14" s="367"/>
    </row>
    <row r="15" spans="1:87" ht="28.25" customHeight="1">
      <c r="A15" s="309"/>
      <c r="B15" s="1689"/>
      <c r="C15" s="847" t="s">
        <v>3756</v>
      </c>
      <c r="D15" s="847" t="s">
        <v>3757</v>
      </c>
      <c r="E15" s="847" t="s">
        <v>3758</v>
      </c>
      <c r="F15" s="847" t="s">
        <v>3759</v>
      </c>
      <c r="G15" s="847" t="s">
        <v>3760</v>
      </c>
      <c r="H15" s="847" t="s">
        <v>3672</v>
      </c>
      <c r="I15" s="847" t="s">
        <v>3673</v>
      </c>
      <c r="J15" s="847" t="s">
        <v>2560</v>
      </c>
      <c r="K15" s="847" t="s">
        <v>3674</v>
      </c>
      <c r="L15" s="847" t="s">
        <v>3761</v>
      </c>
      <c r="M15" s="847" t="s">
        <v>3762</v>
      </c>
      <c r="N15" s="847" t="s">
        <v>3763</v>
      </c>
      <c r="O15" s="847" t="str">
        <f>_xlfn.CONCAT("Max HTC Rent for ",RentLimits!A2)</f>
        <v>Max HTC Rent for Year 2024</v>
      </c>
      <c r="P15" s="847" t="s">
        <v>3764</v>
      </c>
      <c r="Q15" s="847" t="s">
        <v>3765</v>
      </c>
      <c r="R15" s="847" t="s">
        <v>3766</v>
      </c>
      <c r="S15" s="847" t="s">
        <v>3767</v>
      </c>
      <c r="T15" s="847" t="s">
        <v>3768</v>
      </c>
      <c r="U15" s="847" t="s">
        <v>3769</v>
      </c>
      <c r="V15" s="847" t="s">
        <v>3770</v>
      </c>
      <c r="W15" s="1236"/>
      <c r="X15" s="1236"/>
      <c r="Y15" s="366"/>
      <c r="Z15" s="98"/>
      <c r="AA15" s="98"/>
      <c r="AD15" s="2090"/>
      <c r="AE15" s="1031">
        <v>0.2</v>
      </c>
      <c r="AF15" s="1494">
        <f t="shared" ref="AF15:AK15" si="0">AE15+10%</f>
        <v>0.30000000000000004</v>
      </c>
      <c r="AG15" s="1494">
        <f t="shared" si="0"/>
        <v>0.4</v>
      </c>
      <c r="AH15" s="1494">
        <f t="shared" si="0"/>
        <v>0.5</v>
      </c>
      <c r="AI15" s="1494">
        <f t="shared" si="0"/>
        <v>0.6</v>
      </c>
      <c r="AJ15" s="1494">
        <f t="shared" si="0"/>
        <v>0.7</v>
      </c>
      <c r="AK15" s="1494">
        <f t="shared" si="0"/>
        <v>0.79999999999999993</v>
      </c>
      <c r="AL15" s="1031">
        <v>0.2</v>
      </c>
      <c r="AM15" s="1494">
        <f t="shared" ref="AM15:AR15" si="1">AL15+10%</f>
        <v>0.30000000000000004</v>
      </c>
      <c r="AN15" s="1494">
        <f t="shared" si="1"/>
        <v>0.4</v>
      </c>
      <c r="AO15" s="1494">
        <f t="shared" si="1"/>
        <v>0.5</v>
      </c>
      <c r="AP15" s="1494">
        <f t="shared" si="1"/>
        <v>0.6</v>
      </c>
      <c r="AQ15" s="1494">
        <f t="shared" si="1"/>
        <v>0.7</v>
      </c>
      <c r="AR15" s="1494">
        <f t="shared" si="1"/>
        <v>0.79999999999999993</v>
      </c>
      <c r="AS15" s="1495" t="s">
        <v>3771</v>
      </c>
      <c r="AT15" s="101" t="s">
        <v>3772</v>
      </c>
      <c r="AU15" s="101" t="s">
        <v>3773</v>
      </c>
      <c r="AV15" s="1496" t="s">
        <v>3774</v>
      </c>
      <c r="AW15" s="101" t="s">
        <v>3772</v>
      </c>
      <c r="AX15" s="101" t="s">
        <v>3773</v>
      </c>
      <c r="AY15" s="1496" t="s">
        <v>3775</v>
      </c>
      <c r="AZ15" s="101" t="s">
        <v>3772</v>
      </c>
      <c r="BA15" s="101" t="s">
        <v>3773</v>
      </c>
      <c r="BB15" s="1497" t="s">
        <v>3776</v>
      </c>
      <c r="BC15" s="101" t="s">
        <v>3772</v>
      </c>
      <c r="BD15" s="101" t="s">
        <v>3777</v>
      </c>
      <c r="BE15" s="101" t="s">
        <v>3778</v>
      </c>
      <c r="BF15" s="101" t="s">
        <v>3779</v>
      </c>
      <c r="BG15" s="101" t="s">
        <v>3772</v>
      </c>
      <c r="BH15" s="101" t="s">
        <v>3780</v>
      </c>
      <c r="BI15" s="367"/>
      <c r="BJ15" s="367"/>
      <c r="BK15" s="367"/>
      <c r="BL15" s="367"/>
      <c r="BM15" s="367"/>
      <c r="BN15" s="367"/>
      <c r="BO15" s="367"/>
      <c r="BP15" s="367"/>
      <c r="BQ15" s="367"/>
      <c r="BR15" s="367"/>
      <c r="BS15" s="367"/>
      <c r="BT15" s="367"/>
      <c r="BU15" s="367"/>
      <c r="BV15" s="367"/>
      <c r="BW15" s="367"/>
      <c r="BX15" s="367"/>
      <c r="BY15" s="367"/>
      <c r="BZ15" s="367"/>
      <c r="CA15" s="367"/>
      <c r="CB15" s="97"/>
      <c r="CC15" s="97"/>
      <c r="CD15" s="97"/>
      <c r="CE15" s="97"/>
      <c r="CF15" s="97"/>
      <c r="CG15" s="97"/>
      <c r="CH15" s="97"/>
      <c r="CI15" s="101"/>
    </row>
    <row r="16" spans="1:87">
      <c r="A16" s="309"/>
      <c r="B16" s="1689"/>
      <c r="C16" s="208"/>
      <c r="D16" s="208"/>
      <c r="E16" s="61"/>
      <c r="F16" s="209"/>
      <c r="G16" s="61"/>
      <c r="H16" s="61"/>
      <c r="I16" s="210"/>
      <c r="J16" s="61"/>
      <c r="K16" s="365"/>
      <c r="L16" s="103">
        <f>IF(G16=0, 0,K16/G16)</f>
        <v>0</v>
      </c>
      <c r="M16" s="63" t="str">
        <f>IF(E16&lt;&gt;"",HLOOKUP(_xlfn.CONCAT($E16," Bdrm"),$M$73:$R$86,14,FALSE),"")</f>
        <v/>
      </c>
      <c r="N16" s="104">
        <f>IF(M16&lt;&gt;"",K16+M16,0)</f>
        <v>0</v>
      </c>
      <c r="O16" s="104">
        <f ca="1">AC16</f>
        <v>0</v>
      </c>
      <c r="P16" s="105">
        <f ca="1">IF(O16=0,0,N16/O16)</f>
        <v>0</v>
      </c>
      <c r="Q16" s="35"/>
      <c r="R16" s="106">
        <f>IF(Q16=0,0,K16/Q16)</f>
        <v>0</v>
      </c>
      <c r="S16" s="104">
        <f t="shared" ref="S16:S26" si="2">K16*H16*12</f>
        <v>0</v>
      </c>
      <c r="T16" s="156">
        <f t="shared" ref="T16:T47" si="3">IF(SUM($H$16:$H$65)=0,0,H16/SUM($H$16:$H$65))</f>
        <v>0</v>
      </c>
      <c r="U16" s="105">
        <f t="shared" ref="U16:U27" si="4">I16*T16</f>
        <v>0</v>
      </c>
      <c r="V16" s="35"/>
      <c r="W16" s="1236"/>
      <c r="X16" s="1236"/>
      <c r="Y16" s="366"/>
      <c r="Z16" s="98"/>
      <c r="AA16" s="98">
        <f t="shared" ref="AA16:AA27" si="5">((I16-20%)*10*6)+2</f>
        <v>-10</v>
      </c>
      <c r="AB16" s="101">
        <f t="shared" ref="AB16:AB27" si="6">IF(E16="Studio",0,E16)</f>
        <v>0</v>
      </c>
      <c r="AC16" s="101">
        <f ca="1">IF(AA16&lt;0, 0, INDIRECT("RentLimits!"&amp;ADDRESS($AA$8, AA16+AB16)))</f>
        <v>0</v>
      </c>
      <c r="AD16" s="101" t="b">
        <f t="shared" ref="AD16:AD27" si="7">$J16="Low Income"</f>
        <v>0</v>
      </c>
      <c r="AE16" s="101">
        <f t="shared" ref="AE16:AK27" si="8">IF($I16=AE$15,$H16,0)</f>
        <v>0</v>
      </c>
      <c r="AF16" s="101">
        <f t="shared" si="8"/>
        <v>0</v>
      </c>
      <c r="AG16" s="101">
        <f t="shared" si="8"/>
        <v>0</v>
      </c>
      <c r="AH16" s="101">
        <f t="shared" si="8"/>
        <v>0</v>
      </c>
      <c r="AI16" s="101">
        <f t="shared" si="8"/>
        <v>0</v>
      </c>
      <c r="AJ16" s="101">
        <f t="shared" si="8"/>
        <v>0</v>
      </c>
      <c r="AK16" s="101">
        <f t="shared" si="8"/>
        <v>0</v>
      </c>
      <c r="AL16" s="1498">
        <f t="shared" ref="AL16:AL27" si="9">AE16*$K16*12</f>
        <v>0</v>
      </c>
      <c r="AM16" s="1498">
        <f t="shared" ref="AM16:AM27" si="10">AF16*$K16*12</f>
        <v>0</v>
      </c>
      <c r="AN16" s="1498">
        <f t="shared" ref="AN16:AN27" si="11">AG16*$K16*12</f>
        <v>0</v>
      </c>
      <c r="AO16" s="1498">
        <f t="shared" ref="AO16:AO27" si="12">AH16*$K16*12</f>
        <v>0</v>
      </c>
      <c r="AP16" s="1498">
        <f t="shared" ref="AP16:AP27" si="13">AI16*$K16*12</f>
        <v>0</v>
      </c>
      <c r="AQ16" s="1498">
        <f t="shared" ref="AQ16:AQ27" si="14">AJ16*$K16*12</f>
        <v>0</v>
      </c>
      <c r="AR16" s="1498">
        <f t="shared" ref="AR16:AR27" si="15">AK16*$K16*12</f>
        <v>0</v>
      </c>
      <c r="AS16" s="101" t="b">
        <f t="shared" ref="AS16:AS27" si="16">$J16="Voucher"</f>
        <v>0</v>
      </c>
      <c r="AT16" s="101">
        <f t="shared" ref="AT16:AT27" si="17">IF(AS16,$H16,0)</f>
        <v>0</v>
      </c>
      <c r="AU16" s="1498">
        <f t="shared" ref="AU16:AU27" si="18">AT16*K16</f>
        <v>0</v>
      </c>
      <c r="AV16" s="101" t="b">
        <f t="shared" ref="AV16:AV27" si="19">$J16="HOME"</f>
        <v>0</v>
      </c>
      <c r="AW16" s="101">
        <f t="shared" ref="AW16:AW27" si="20">IF(AV16,$H16,0)</f>
        <v>0</v>
      </c>
      <c r="AX16" s="1498">
        <f t="shared" ref="AX16:AX65" si="21">AW16*N16</f>
        <v>0</v>
      </c>
      <c r="AY16" s="101" t="b">
        <f t="shared" ref="AY16:AY27" si="22">$J16="Employee"</f>
        <v>0</v>
      </c>
      <c r="AZ16" s="101">
        <f t="shared" ref="AZ16:AZ27" si="23">IF(AY16,$H16,0)</f>
        <v>0</v>
      </c>
      <c r="BA16" s="1498">
        <f t="shared" ref="BA16:BA65" si="24">AZ16*Q16</f>
        <v>0</v>
      </c>
      <c r="BB16" s="101" t="b">
        <f t="shared" ref="BB16:BB65" si="25">AND(E16&gt;=3,OR(AD16,AS16))</f>
        <v>0</v>
      </c>
      <c r="BC16" s="101">
        <f t="shared" ref="BC16:BC27" si="26">IF(BB16,H16, 0)</f>
        <v>0</v>
      </c>
      <c r="BD16" s="101" t="b">
        <f t="shared" ref="BD16:BD47" si="27">C16="Single Family"</f>
        <v>0</v>
      </c>
      <c r="BE16" s="101">
        <f t="shared" ref="BE16:BE27" si="28">IF(BD16,H16, 0)</f>
        <v>0</v>
      </c>
      <c r="BF16" s="101" t="b">
        <f t="shared" ref="BF16:BF27" si="29">AND(AS16,I16=60%)</f>
        <v>0</v>
      </c>
      <c r="BG16" s="101">
        <f t="shared" ref="BG16:BG27" si="30">IF($BF16, $H16,0)</f>
        <v>0</v>
      </c>
      <c r="BH16" s="101">
        <f>IF(OR(I16='Dropdown Lists'!$I$3,'11. Unit Mix'!J16='Dropdown Lists'!$W$3),H16,0)</f>
        <v>0</v>
      </c>
      <c r="BI16" s="367"/>
      <c r="BJ16" s="367"/>
      <c r="BK16" s="367"/>
      <c r="BL16" s="367"/>
      <c r="BM16" s="367"/>
      <c r="BN16" s="367"/>
      <c r="BO16" s="367"/>
      <c r="BP16" s="367"/>
      <c r="BQ16" s="367"/>
      <c r="BR16" s="367"/>
      <c r="BS16" s="367"/>
      <c r="BT16" s="367"/>
      <c r="BU16" s="367"/>
      <c r="BV16" s="367"/>
      <c r="BW16" s="367"/>
      <c r="BX16" s="367"/>
      <c r="BY16" s="367"/>
      <c r="BZ16" s="367"/>
      <c r="CA16" s="367"/>
      <c r="CB16" s="97"/>
      <c r="CC16" s="97"/>
      <c r="CD16" s="97"/>
      <c r="CE16" s="97"/>
      <c r="CF16" s="97"/>
      <c r="CG16" s="97"/>
      <c r="CH16" s="97"/>
      <c r="CI16" s="101"/>
    </row>
    <row r="17" spans="1:87">
      <c r="A17" s="309"/>
      <c r="B17" s="1689"/>
      <c r="C17" s="208"/>
      <c r="D17" s="208"/>
      <c r="E17" s="61"/>
      <c r="F17" s="209"/>
      <c r="G17" s="61"/>
      <c r="H17" s="61"/>
      <c r="I17" s="210"/>
      <c r="J17" s="61"/>
      <c r="K17" s="365"/>
      <c r="L17" s="103">
        <f t="shared" ref="L17:L27" si="31">IF(G17=0, 0,K17/G17)</f>
        <v>0</v>
      </c>
      <c r="M17" s="63" t="str">
        <f>IF(E17&lt;&gt;"",HLOOKUP(_xlfn.CONCAT($E17," Bdrm"),$M$73:$R$86,14,FALSE),"")</f>
        <v/>
      </c>
      <c r="N17" s="104">
        <f t="shared" ref="N17:N65" si="32">IF(M17&lt;&gt;"",K17+M17,0)</f>
        <v>0</v>
      </c>
      <c r="O17" s="104">
        <f t="shared" ref="O17:O65" ca="1" si="33">AC17</f>
        <v>0</v>
      </c>
      <c r="P17" s="105">
        <f t="shared" ref="P17:P65" ca="1" si="34">IF(O17=0,0,N17/O17)</f>
        <v>0</v>
      </c>
      <c r="Q17" s="35"/>
      <c r="R17" s="106">
        <f t="shared" ref="R17:R27" si="35">IF(Q17=0,0,K17/Q17)</f>
        <v>0</v>
      </c>
      <c r="S17" s="104">
        <f t="shared" si="2"/>
        <v>0</v>
      </c>
      <c r="T17" s="156">
        <f t="shared" si="3"/>
        <v>0</v>
      </c>
      <c r="U17" s="105">
        <f t="shared" si="4"/>
        <v>0</v>
      </c>
      <c r="V17" s="35"/>
      <c r="W17" s="1236"/>
      <c r="X17" s="1236"/>
      <c r="Y17" s="366"/>
      <c r="Z17" s="98"/>
      <c r="AA17" s="98">
        <f t="shared" si="5"/>
        <v>-10</v>
      </c>
      <c r="AB17" s="101">
        <f t="shared" si="6"/>
        <v>0</v>
      </c>
      <c r="AC17" s="101">
        <f ca="1">IF(AA17&lt;0, 0, INDIRECT("RentLimits!"&amp;ADDRESS($AA$8, AA17+AB17)))</f>
        <v>0</v>
      </c>
      <c r="AD17" s="101" t="b">
        <f t="shared" si="7"/>
        <v>0</v>
      </c>
      <c r="AE17" s="101">
        <f t="shared" si="8"/>
        <v>0</v>
      </c>
      <c r="AF17" s="101">
        <f t="shared" si="8"/>
        <v>0</v>
      </c>
      <c r="AG17" s="101">
        <f t="shared" si="8"/>
        <v>0</v>
      </c>
      <c r="AH17" s="101">
        <f t="shared" si="8"/>
        <v>0</v>
      </c>
      <c r="AI17" s="101">
        <f t="shared" si="8"/>
        <v>0</v>
      </c>
      <c r="AJ17" s="101">
        <f t="shared" si="8"/>
        <v>0</v>
      </c>
      <c r="AK17" s="101">
        <f t="shared" si="8"/>
        <v>0</v>
      </c>
      <c r="AL17" s="1498">
        <f t="shared" si="9"/>
        <v>0</v>
      </c>
      <c r="AM17" s="1498">
        <f t="shared" si="10"/>
        <v>0</v>
      </c>
      <c r="AN17" s="1498">
        <f t="shared" si="11"/>
        <v>0</v>
      </c>
      <c r="AO17" s="1498">
        <f t="shared" si="12"/>
        <v>0</v>
      </c>
      <c r="AP17" s="1498">
        <f t="shared" si="13"/>
        <v>0</v>
      </c>
      <c r="AQ17" s="1498">
        <f t="shared" si="14"/>
        <v>0</v>
      </c>
      <c r="AR17" s="1498">
        <f t="shared" si="15"/>
        <v>0</v>
      </c>
      <c r="AS17" s="101" t="b">
        <f t="shared" si="16"/>
        <v>0</v>
      </c>
      <c r="AT17" s="101">
        <f t="shared" si="17"/>
        <v>0</v>
      </c>
      <c r="AU17" s="1498">
        <f t="shared" si="18"/>
        <v>0</v>
      </c>
      <c r="AV17" s="101" t="b">
        <f t="shared" si="19"/>
        <v>0</v>
      </c>
      <c r="AW17" s="101">
        <f t="shared" si="20"/>
        <v>0</v>
      </c>
      <c r="AX17" s="1498">
        <f t="shared" si="21"/>
        <v>0</v>
      </c>
      <c r="AY17" s="101" t="b">
        <f t="shared" si="22"/>
        <v>0</v>
      </c>
      <c r="AZ17" s="101">
        <f t="shared" si="23"/>
        <v>0</v>
      </c>
      <c r="BA17" s="1498">
        <f t="shared" si="24"/>
        <v>0</v>
      </c>
      <c r="BB17" s="101" t="b">
        <f t="shared" si="25"/>
        <v>0</v>
      </c>
      <c r="BC17" s="101">
        <f t="shared" si="26"/>
        <v>0</v>
      </c>
      <c r="BD17" s="101" t="b">
        <f t="shared" si="27"/>
        <v>0</v>
      </c>
      <c r="BE17" s="101">
        <f t="shared" si="28"/>
        <v>0</v>
      </c>
      <c r="BF17" s="101" t="b">
        <f t="shared" si="29"/>
        <v>0</v>
      </c>
      <c r="BG17" s="101">
        <f t="shared" si="30"/>
        <v>0</v>
      </c>
      <c r="BH17" s="101">
        <f>IF(OR(I17='Dropdown Lists'!$I$3,'11. Unit Mix'!J17='Dropdown Lists'!$W$3),H17,0)</f>
        <v>0</v>
      </c>
      <c r="BI17" s="367"/>
      <c r="BJ17" s="367"/>
      <c r="BK17" s="367"/>
      <c r="BL17" s="367"/>
      <c r="BM17" s="367"/>
      <c r="BN17" s="367"/>
      <c r="BO17" s="367"/>
      <c r="BP17" s="367"/>
      <c r="BQ17" s="367"/>
      <c r="BR17" s="367"/>
      <c r="BS17" s="367"/>
      <c r="BT17" s="367"/>
      <c r="BU17" s="367"/>
      <c r="BV17" s="367"/>
      <c r="BW17" s="367"/>
      <c r="BX17" s="367"/>
      <c r="BY17" s="367"/>
      <c r="BZ17" s="367"/>
      <c r="CA17" s="367"/>
      <c r="CB17" s="97"/>
      <c r="CC17" s="97"/>
      <c r="CD17" s="97"/>
      <c r="CE17" s="97"/>
      <c r="CF17" s="97"/>
      <c r="CG17" s="97"/>
      <c r="CH17" s="97"/>
      <c r="CI17" s="101"/>
    </row>
    <row r="18" spans="1:87">
      <c r="A18" s="309"/>
      <c r="B18" s="1689"/>
      <c r="C18" s="208"/>
      <c r="D18" s="208"/>
      <c r="E18" s="61"/>
      <c r="F18" s="209"/>
      <c r="G18" s="61"/>
      <c r="H18" s="61"/>
      <c r="I18" s="210"/>
      <c r="J18" s="61"/>
      <c r="K18" s="365"/>
      <c r="L18" s="103">
        <f t="shared" si="31"/>
        <v>0</v>
      </c>
      <c r="M18" s="63" t="str">
        <f>IF(E18&lt;&gt;"",HLOOKUP(_xlfn.CONCAT($E18," Bdrm"),$M$73:$R$86,14,FALSE),"")</f>
        <v/>
      </c>
      <c r="N18" s="104">
        <f t="shared" si="32"/>
        <v>0</v>
      </c>
      <c r="O18" s="104">
        <f t="shared" ca="1" si="33"/>
        <v>0</v>
      </c>
      <c r="P18" s="105">
        <f t="shared" ca="1" si="34"/>
        <v>0</v>
      </c>
      <c r="Q18" s="35"/>
      <c r="R18" s="106">
        <f t="shared" si="35"/>
        <v>0</v>
      </c>
      <c r="S18" s="104">
        <f t="shared" si="2"/>
        <v>0</v>
      </c>
      <c r="T18" s="156">
        <f t="shared" si="3"/>
        <v>0</v>
      </c>
      <c r="U18" s="105">
        <f t="shared" si="4"/>
        <v>0</v>
      </c>
      <c r="V18" s="35"/>
      <c r="W18" s="1236"/>
      <c r="X18" s="1236"/>
      <c r="Y18" s="366"/>
      <c r="Z18" s="98"/>
      <c r="AA18" s="98">
        <f t="shared" si="5"/>
        <v>-10</v>
      </c>
      <c r="AB18" s="101">
        <f t="shared" si="6"/>
        <v>0</v>
      </c>
      <c r="AC18" s="101">
        <f t="shared" ref="AC18:AC47" ca="1" si="36">IF(AA18&lt;0, 0, INDIRECT("RentLimits!"&amp;ADDRESS($AA$8, AA18+AB18)))</f>
        <v>0</v>
      </c>
      <c r="AD18" s="101" t="b">
        <f t="shared" si="7"/>
        <v>0</v>
      </c>
      <c r="AE18" s="101">
        <f t="shared" si="8"/>
        <v>0</v>
      </c>
      <c r="AF18" s="101">
        <f t="shared" si="8"/>
        <v>0</v>
      </c>
      <c r="AG18" s="101">
        <f t="shared" si="8"/>
        <v>0</v>
      </c>
      <c r="AH18" s="101">
        <f t="shared" si="8"/>
        <v>0</v>
      </c>
      <c r="AI18" s="101">
        <f t="shared" si="8"/>
        <v>0</v>
      </c>
      <c r="AJ18" s="101">
        <f t="shared" si="8"/>
        <v>0</v>
      </c>
      <c r="AK18" s="101">
        <f t="shared" si="8"/>
        <v>0</v>
      </c>
      <c r="AL18" s="1498">
        <f t="shared" si="9"/>
        <v>0</v>
      </c>
      <c r="AM18" s="1498">
        <f t="shared" si="10"/>
        <v>0</v>
      </c>
      <c r="AN18" s="1498">
        <f t="shared" si="11"/>
        <v>0</v>
      </c>
      <c r="AO18" s="1498">
        <f t="shared" si="12"/>
        <v>0</v>
      </c>
      <c r="AP18" s="1498">
        <f t="shared" si="13"/>
        <v>0</v>
      </c>
      <c r="AQ18" s="1498">
        <f t="shared" si="14"/>
        <v>0</v>
      </c>
      <c r="AR18" s="1498">
        <f t="shared" si="15"/>
        <v>0</v>
      </c>
      <c r="AS18" s="101" t="b">
        <f t="shared" si="16"/>
        <v>0</v>
      </c>
      <c r="AT18" s="101">
        <f t="shared" si="17"/>
        <v>0</v>
      </c>
      <c r="AU18" s="1498">
        <f t="shared" si="18"/>
        <v>0</v>
      </c>
      <c r="AV18" s="101" t="b">
        <f t="shared" si="19"/>
        <v>0</v>
      </c>
      <c r="AW18" s="101">
        <f t="shared" si="20"/>
        <v>0</v>
      </c>
      <c r="AX18" s="1498">
        <f t="shared" si="21"/>
        <v>0</v>
      </c>
      <c r="AY18" s="101" t="b">
        <f t="shared" si="22"/>
        <v>0</v>
      </c>
      <c r="AZ18" s="101">
        <f t="shared" si="23"/>
        <v>0</v>
      </c>
      <c r="BA18" s="1498">
        <f t="shared" si="24"/>
        <v>0</v>
      </c>
      <c r="BB18" s="101" t="b">
        <f t="shared" si="25"/>
        <v>0</v>
      </c>
      <c r="BC18" s="101">
        <f t="shared" si="26"/>
        <v>0</v>
      </c>
      <c r="BD18" s="101" t="b">
        <f t="shared" si="27"/>
        <v>0</v>
      </c>
      <c r="BE18" s="101">
        <f t="shared" si="28"/>
        <v>0</v>
      </c>
      <c r="BF18" s="101" t="b">
        <f t="shared" si="29"/>
        <v>0</v>
      </c>
      <c r="BG18" s="101">
        <f t="shared" si="30"/>
        <v>0</v>
      </c>
      <c r="BH18" s="101">
        <f>IF(OR(I18='Dropdown Lists'!$I$3,'11. Unit Mix'!J18='Dropdown Lists'!$W$3),H18,0)</f>
        <v>0</v>
      </c>
      <c r="BI18" s="367"/>
      <c r="BJ18" s="367"/>
      <c r="BK18" s="367"/>
      <c r="BL18" s="367"/>
      <c r="BM18" s="367"/>
      <c r="BN18" s="367"/>
      <c r="BO18" s="367"/>
      <c r="BP18" s="367"/>
      <c r="BQ18" s="367"/>
      <c r="BR18" s="367"/>
      <c r="BS18" s="367"/>
      <c r="BT18" s="367"/>
      <c r="BU18" s="367"/>
      <c r="BV18" s="367"/>
      <c r="BW18" s="367"/>
      <c r="BX18" s="367"/>
      <c r="BY18" s="367"/>
      <c r="BZ18" s="367"/>
      <c r="CA18" s="367"/>
      <c r="CB18" s="97"/>
      <c r="CC18" s="97"/>
      <c r="CD18" s="97"/>
      <c r="CE18" s="97"/>
      <c r="CF18" s="97"/>
      <c r="CG18" s="97"/>
      <c r="CH18" s="97"/>
      <c r="CI18" s="101"/>
    </row>
    <row r="19" spans="1:87">
      <c r="A19" s="309"/>
      <c r="B19" s="1689"/>
      <c r="C19" s="208"/>
      <c r="D19" s="208"/>
      <c r="E19" s="61"/>
      <c r="F19" s="209"/>
      <c r="G19" s="61"/>
      <c r="H19" s="61"/>
      <c r="I19" s="210"/>
      <c r="J19" s="61"/>
      <c r="K19" s="365"/>
      <c r="L19" s="103">
        <f t="shared" si="31"/>
        <v>0</v>
      </c>
      <c r="M19" s="63" t="str">
        <f>IF(E19&lt;&gt;"",HLOOKUP(_xlfn.CONCAT($E19," Bdrm"),$M$73:$R$86,14,FALSE),"")</f>
        <v/>
      </c>
      <c r="N19" s="104">
        <f t="shared" si="32"/>
        <v>0</v>
      </c>
      <c r="O19" s="104">
        <f t="shared" ca="1" si="33"/>
        <v>0</v>
      </c>
      <c r="P19" s="105">
        <f t="shared" ca="1" si="34"/>
        <v>0</v>
      </c>
      <c r="Q19" s="35"/>
      <c r="R19" s="106">
        <f t="shared" si="35"/>
        <v>0</v>
      </c>
      <c r="S19" s="104">
        <f t="shared" si="2"/>
        <v>0</v>
      </c>
      <c r="T19" s="156">
        <f t="shared" si="3"/>
        <v>0</v>
      </c>
      <c r="U19" s="105">
        <f t="shared" si="4"/>
        <v>0</v>
      </c>
      <c r="V19" s="35"/>
      <c r="W19" s="1228"/>
      <c r="X19" s="1228"/>
      <c r="Y19" s="366"/>
      <c r="Z19" s="98"/>
      <c r="AA19" s="98">
        <f t="shared" si="5"/>
        <v>-10</v>
      </c>
      <c r="AB19" s="101">
        <f t="shared" si="6"/>
        <v>0</v>
      </c>
      <c r="AC19" s="101">
        <f t="shared" ca="1" si="36"/>
        <v>0</v>
      </c>
      <c r="AD19" s="101" t="b">
        <f t="shared" si="7"/>
        <v>0</v>
      </c>
      <c r="AE19" s="101">
        <f t="shared" si="8"/>
        <v>0</v>
      </c>
      <c r="AF19" s="101">
        <f t="shared" si="8"/>
        <v>0</v>
      </c>
      <c r="AG19" s="101">
        <f t="shared" si="8"/>
        <v>0</v>
      </c>
      <c r="AH19" s="101">
        <f t="shared" si="8"/>
        <v>0</v>
      </c>
      <c r="AI19" s="101">
        <f t="shared" si="8"/>
        <v>0</v>
      </c>
      <c r="AJ19" s="101">
        <f t="shared" si="8"/>
        <v>0</v>
      </c>
      <c r="AK19" s="101">
        <f t="shared" si="8"/>
        <v>0</v>
      </c>
      <c r="AL19" s="1498">
        <f t="shared" si="9"/>
        <v>0</v>
      </c>
      <c r="AM19" s="1498">
        <f t="shared" si="10"/>
        <v>0</v>
      </c>
      <c r="AN19" s="1498">
        <f t="shared" si="11"/>
        <v>0</v>
      </c>
      <c r="AO19" s="1498">
        <f t="shared" si="12"/>
        <v>0</v>
      </c>
      <c r="AP19" s="1498">
        <f t="shared" si="13"/>
        <v>0</v>
      </c>
      <c r="AQ19" s="1498">
        <f t="shared" si="14"/>
        <v>0</v>
      </c>
      <c r="AR19" s="1498">
        <f t="shared" si="15"/>
        <v>0</v>
      </c>
      <c r="AS19" s="101" t="b">
        <f t="shared" si="16"/>
        <v>0</v>
      </c>
      <c r="AT19" s="101">
        <f t="shared" si="17"/>
        <v>0</v>
      </c>
      <c r="AU19" s="1498">
        <f t="shared" si="18"/>
        <v>0</v>
      </c>
      <c r="AV19" s="101" t="b">
        <f t="shared" si="19"/>
        <v>0</v>
      </c>
      <c r="AW19" s="101">
        <f t="shared" si="20"/>
        <v>0</v>
      </c>
      <c r="AX19" s="1498">
        <f t="shared" si="21"/>
        <v>0</v>
      </c>
      <c r="AY19" s="101" t="b">
        <f t="shared" si="22"/>
        <v>0</v>
      </c>
      <c r="AZ19" s="101">
        <f t="shared" si="23"/>
        <v>0</v>
      </c>
      <c r="BA19" s="1498">
        <f t="shared" si="24"/>
        <v>0</v>
      </c>
      <c r="BB19" s="101" t="b">
        <f t="shared" si="25"/>
        <v>0</v>
      </c>
      <c r="BC19" s="101">
        <f t="shared" si="26"/>
        <v>0</v>
      </c>
      <c r="BD19" s="101" t="b">
        <f t="shared" si="27"/>
        <v>0</v>
      </c>
      <c r="BE19" s="101">
        <f t="shared" si="28"/>
        <v>0</v>
      </c>
      <c r="BF19" s="101" t="b">
        <f t="shared" si="29"/>
        <v>0</v>
      </c>
      <c r="BG19" s="101">
        <f t="shared" si="30"/>
        <v>0</v>
      </c>
      <c r="BH19" s="101">
        <f>IF(OR(I19='Dropdown Lists'!$I$3,'11. Unit Mix'!J19='Dropdown Lists'!$W$3),H19,0)</f>
        <v>0</v>
      </c>
      <c r="BI19" s="367"/>
      <c r="BJ19" s="367"/>
      <c r="BK19" s="367"/>
      <c r="BL19" s="367"/>
      <c r="BM19" s="367"/>
      <c r="BN19" s="367"/>
      <c r="BO19" s="367"/>
      <c r="BP19" s="367"/>
      <c r="BQ19" s="367"/>
      <c r="BR19" s="367"/>
      <c r="BS19" s="367"/>
      <c r="BT19" s="367"/>
      <c r="BU19" s="367"/>
      <c r="BV19" s="367"/>
      <c r="BW19" s="367"/>
      <c r="BX19" s="367"/>
      <c r="BY19" s="367"/>
      <c r="BZ19" s="367"/>
      <c r="CA19" s="367"/>
      <c r="CB19" s="97"/>
      <c r="CC19" s="97"/>
      <c r="CD19" s="97"/>
      <c r="CE19" s="97"/>
      <c r="CF19" s="97"/>
      <c r="CG19" s="97"/>
      <c r="CH19" s="97"/>
      <c r="CI19" s="101"/>
    </row>
    <row r="20" spans="1:87">
      <c r="A20" s="309"/>
      <c r="B20" s="1689"/>
      <c r="C20" s="208"/>
      <c r="D20" s="208"/>
      <c r="E20" s="61"/>
      <c r="F20" s="209"/>
      <c r="G20" s="61"/>
      <c r="H20" s="61"/>
      <c r="I20" s="210"/>
      <c r="J20" s="61"/>
      <c r="K20" s="365"/>
      <c r="L20" s="103">
        <f t="shared" si="31"/>
        <v>0</v>
      </c>
      <c r="M20" s="63" t="str">
        <f t="shared" ref="M20:M65" si="37">IF(E20&lt;&gt;"",HLOOKUP(_xlfn.CONCAT($E20," Bdrm"),$M$73:$R$86,14,FALSE),"")</f>
        <v/>
      </c>
      <c r="N20" s="104">
        <f t="shared" si="32"/>
        <v>0</v>
      </c>
      <c r="O20" s="104">
        <f t="shared" ca="1" si="33"/>
        <v>0</v>
      </c>
      <c r="P20" s="105">
        <f t="shared" ca="1" si="34"/>
        <v>0</v>
      </c>
      <c r="Q20" s="35"/>
      <c r="R20" s="106">
        <f t="shared" si="35"/>
        <v>0</v>
      </c>
      <c r="S20" s="104">
        <f t="shared" si="2"/>
        <v>0</v>
      </c>
      <c r="T20" s="156">
        <f t="shared" si="3"/>
        <v>0</v>
      </c>
      <c r="U20" s="105">
        <f t="shared" si="4"/>
        <v>0</v>
      </c>
      <c r="V20" s="35"/>
      <c r="W20" s="1228"/>
      <c r="X20" s="1228"/>
      <c r="Y20" s="366"/>
      <c r="Z20" s="98"/>
      <c r="AA20" s="98">
        <f t="shared" si="5"/>
        <v>-10</v>
      </c>
      <c r="AB20" s="101">
        <f t="shared" si="6"/>
        <v>0</v>
      </c>
      <c r="AC20" s="101">
        <f t="shared" ca="1" si="36"/>
        <v>0</v>
      </c>
      <c r="AD20" s="101" t="b">
        <f t="shared" si="7"/>
        <v>0</v>
      </c>
      <c r="AE20" s="101">
        <f t="shared" si="8"/>
        <v>0</v>
      </c>
      <c r="AF20" s="101">
        <f t="shared" si="8"/>
        <v>0</v>
      </c>
      <c r="AG20" s="101">
        <f t="shared" si="8"/>
        <v>0</v>
      </c>
      <c r="AH20" s="101">
        <f t="shared" si="8"/>
        <v>0</v>
      </c>
      <c r="AI20" s="101">
        <f t="shared" si="8"/>
        <v>0</v>
      </c>
      <c r="AJ20" s="101">
        <f t="shared" si="8"/>
        <v>0</v>
      </c>
      <c r="AK20" s="101">
        <f t="shared" si="8"/>
        <v>0</v>
      </c>
      <c r="AL20" s="1498">
        <f t="shared" si="9"/>
        <v>0</v>
      </c>
      <c r="AM20" s="1498">
        <f t="shared" si="10"/>
        <v>0</v>
      </c>
      <c r="AN20" s="1498">
        <f t="shared" si="11"/>
        <v>0</v>
      </c>
      <c r="AO20" s="1498">
        <f t="shared" si="12"/>
        <v>0</v>
      </c>
      <c r="AP20" s="1498">
        <f t="shared" si="13"/>
        <v>0</v>
      </c>
      <c r="AQ20" s="1498">
        <f t="shared" si="14"/>
        <v>0</v>
      </c>
      <c r="AR20" s="1498">
        <f t="shared" si="15"/>
        <v>0</v>
      </c>
      <c r="AS20" s="101" t="b">
        <f t="shared" si="16"/>
        <v>0</v>
      </c>
      <c r="AT20" s="101">
        <f t="shared" si="17"/>
        <v>0</v>
      </c>
      <c r="AU20" s="1498">
        <f t="shared" si="18"/>
        <v>0</v>
      </c>
      <c r="AV20" s="101" t="b">
        <f t="shared" si="19"/>
        <v>0</v>
      </c>
      <c r="AW20" s="101">
        <f t="shared" si="20"/>
        <v>0</v>
      </c>
      <c r="AX20" s="1498">
        <f t="shared" si="21"/>
        <v>0</v>
      </c>
      <c r="AY20" s="101" t="b">
        <f t="shared" si="22"/>
        <v>0</v>
      </c>
      <c r="AZ20" s="101">
        <f t="shared" si="23"/>
        <v>0</v>
      </c>
      <c r="BA20" s="1498">
        <f t="shared" si="24"/>
        <v>0</v>
      </c>
      <c r="BB20" s="101" t="b">
        <f t="shared" si="25"/>
        <v>0</v>
      </c>
      <c r="BC20" s="101">
        <f t="shared" si="26"/>
        <v>0</v>
      </c>
      <c r="BD20" s="101" t="b">
        <f t="shared" si="27"/>
        <v>0</v>
      </c>
      <c r="BE20" s="101">
        <f t="shared" si="28"/>
        <v>0</v>
      </c>
      <c r="BF20" s="101" t="b">
        <f t="shared" si="29"/>
        <v>0</v>
      </c>
      <c r="BG20" s="101">
        <f t="shared" si="30"/>
        <v>0</v>
      </c>
      <c r="BH20" s="101">
        <f>IF(OR(I20='Dropdown Lists'!$I$3,'11. Unit Mix'!J20='Dropdown Lists'!$W$3),H20,0)</f>
        <v>0</v>
      </c>
      <c r="BI20" s="367"/>
      <c r="BJ20" s="367"/>
      <c r="BK20" s="367"/>
      <c r="BL20" s="367"/>
      <c r="BM20" s="367"/>
      <c r="BN20" s="367"/>
      <c r="BO20" s="367"/>
      <c r="BP20" s="367"/>
      <c r="BQ20" s="367"/>
      <c r="BR20" s="367"/>
      <c r="BS20" s="367"/>
      <c r="BT20" s="367"/>
      <c r="BU20" s="367"/>
      <c r="BV20" s="367"/>
      <c r="BW20" s="367"/>
      <c r="BX20" s="367"/>
      <c r="BY20" s="367"/>
      <c r="BZ20" s="367"/>
      <c r="CA20" s="367"/>
      <c r="CB20" s="97"/>
      <c r="CC20" s="97"/>
      <c r="CD20" s="97"/>
      <c r="CE20" s="97"/>
      <c r="CF20" s="97"/>
      <c r="CG20" s="97"/>
      <c r="CH20" s="97"/>
      <c r="CI20" s="101"/>
    </row>
    <row r="21" spans="1:87">
      <c r="A21" s="309"/>
      <c r="B21" s="1689"/>
      <c r="C21" s="208"/>
      <c r="D21" s="208"/>
      <c r="E21" s="61"/>
      <c r="F21" s="209"/>
      <c r="G21" s="61"/>
      <c r="H21" s="61"/>
      <c r="I21" s="210"/>
      <c r="J21" s="61"/>
      <c r="K21" s="365"/>
      <c r="L21" s="103">
        <f t="shared" si="31"/>
        <v>0</v>
      </c>
      <c r="M21" s="63" t="str">
        <f t="shared" si="37"/>
        <v/>
      </c>
      <c r="N21" s="104">
        <f t="shared" si="32"/>
        <v>0</v>
      </c>
      <c r="O21" s="104">
        <f t="shared" ca="1" si="33"/>
        <v>0</v>
      </c>
      <c r="P21" s="105">
        <f t="shared" ca="1" si="34"/>
        <v>0</v>
      </c>
      <c r="Q21" s="35"/>
      <c r="R21" s="106">
        <f t="shared" si="35"/>
        <v>0</v>
      </c>
      <c r="S21" s="104">
        <f t="shared" si="2"/>
        <v>0</v>
      </c>
      <c r="T21" s="156">
        <f t="shared" si="3"/>
        <v>0</v>
      </c>
      <c r="U21" s="105">
        <f t="shared" si="4"/>
        <v>0</v>
      </c>
      <c r="V21" s="35"/>
      <c r="W21" s="1228"/>
      <c r="X21" s="1228"/>
      <c r="Y21" s="366"/>
      <c r="Z21" s="98"/>
      <c r="AA21" s="98">
        <f t="shared" si="5"/>
        <v>-10</v>
      </c>
      <c r="AB21" s="101">
        <f t="shared" si="6"/>
        <v>0</v>
      </c>
      <c r="AC21" s="101">
        <f t="shared" ca="1" si="36"/>
        <v>0</v>
      </c>
      <c r="AD21" s="101" t="b">
        <f t="shared" si="7"/>
        <v>0</v>
      </c>
      <c r="AE21" s="101">
        <f t="shared" si="8"/>
        <v>0</v>
      </c>
      <c r="AF21" s="101">
        <f t="shared" si="8"/>
        <v>0</v>
      </c>
      <c r="AG21" s="101">
        <f t="shared" si="8"/>
        <v>0</v>
      </c>
      <c r="AH21" s="101">
        <f t="shared" si="8"/>
        <v>0</v>
      </c>
      <c r="AI21" s="101">
        <f t="shared" si="8"/>
        <v>0</v>
      </c>
      <c r="AJ21" s="101">
        <f t="shared" si="8"/>
        <v>0</v>
      </c>
      <c r="AK21" s="101">
        <f t="shared" si="8"/>
        <v>0</v>
      </c>
      <c r="AL21" s="1498">
        <f t="shared" si="9"/>
        <v>0</v>
      </c>
      <c r="AM21" s="1498">
        <f t="shared" si="10"/>
        <v>0</v>
      </c>
      <c r="AN21" s="1498">
        <f t="shared" si="11"/>
        <v>0</v>
      </c>
      <c r="AO21" s="1498">
        <f t="shared" si="12"/>
        <v>0</v>
      </c>
      <c r="AP21" s="1498">
        <f t="shared" si="13"/>
        <v>0</v>
      </c>
      <c r="AQ21" s="1498">
        <f t="shared" si="14"/>
        <v>0</v>
      </c>
      <c r="AR21" s="1498">
        <f t="shared" si="15"/>
        <v>0</v>
      </c>
      <c r="AS21" s="101" t="b">
        <f t="shared" si="16"/>
        <v>0</v>
      </c>
      <c r="AT21" s="101">
        <f t="shared" si="17"/>
        <v>0</v>
      </c>
      <c r="AU21" s="1498">
        <f t="shared" si="18"/>
        <v>0</v>
      </c>
      <c r="AV21" s="101" t="b">
        <f t="shared" si="19"/>
        <v>0</v>
      </c>
      <c r="AW21" s="101">
        <f t="shared" si="20"/>
        <v>0</v>
      </c>
      <c r="AX21" s="1498">
        <f t="shared" si="21"/>
        <v>0</v>
      </c>
      <c r="AY21" s="101" t="b">
        <f t="shared" si="22"/>
        <v>0</v>
      </c>
      <c r="AZ21" s="101">
        <f t="shared" si="23"/>
        <v>0</v>
      </c>
      <c r="BA21" s="1498">
        <f t="shared" si="24"/>
        <v>0</v>
      </c>
      <c r="BB21" s="101" t="b">
        <f t="shared" si="25"/>
        <v>0</v>
      </c>
      <c r="BC21" s="101">
        <f t="shared" si="26"/>
        <v>0</v>
      </c>
      <c r="BD21" s="101" t="b">
        <f t="shared" si="27"/>
        <v>0</v>
      </c>
      <c r="BE21" s="101">
        <f t="shared" si="28"/>
        <v>0</v>
      </c>
      <c r="BF21" s="101" t="b">
        <f t="shared" si="29"/>
        <v>0</v>
      </c>
      <c r="BG21" s="101">
        <f t="shared" si="30"/>
        <v>0</v>
      </c>
      <c r="BH21" s="101">
        <f>IF(OR(I21='Dropdown Lists'!$I$3,'11. Unit Mix'!J21='Dropdown Lists'!$W$3),H21,0)</f>
        <v>0</v>
      </c>
      <c r="BI21" s="367"/>
      <c r="BJ21" s="367"/>
      <c r="BK21" s="367"/>
      <c r="BL21" s="367"/>
      <c r="BM21" s="367"/>
      <c r="BN21" s="367"/>
      <c r="BO21" s="367"/>
      <c r="BP21" s="367"/>
      <c r="BQ21" s="367"/>
      <c r="BR21" s="367"/>
      <c r="BS21" s="367"/>
      <c r="BT21" s="367"/>
      <c r="BU21" s="367"/>
      <c r="BV21" s="367"/>
      <c r="BW21" s="367"/>
      <c r="BX21" s="367"/>
      <c r="BY21" s="367"/>
      <c r="BZ21" s="367"/>
      <c r="CA21" s="367"/>
      <c r="CB21" s="97"/>
      <c r="CC21" s="97"/>
      <c r="CD21" s="97"/>
      <c r="CE21" s="97"/>
      <c r="CF21" s="97"/>
      <c r="CG21" s="97"/>
      <c r="CH21" s="97"/>
      <c r="CI21" s="101"/>
    </row>
    <row r="22" spans="1:87">
      <c r="A22" s="309"/>
      <c r="B22" s="1689"/>
      <c r="C22" s="208"/>
      <c r="D22" s="208"/>
      <c r="E22" s="61"/>
      <c r="F22" s="209"/>
      <c r="G22" s="61"/>
      <c r="H22" s="61"/>
      <c r="I22" s="210"/>
      <c r="J22" s="61"/>
      <c r="K22" s="365"/>
      <c r="L22" s="103">
        <f t="shared" si="31"/>
        <v>0</v>
      </c>
      <c r="M22" s="63" t="str">
        <f t="shared" si="37"/>
        <v/>
      </c>
      <c r="N22" s="104">
        <f t="shared" si="32"/>
        <v>0</v>
      </c>
      <c r="O22" s="104">
        <f t="shared" ca="1" si="33"/>
        <v>0</v>
      </c>
      <c r="P22" s="105">
        <f t="shared" ca="1" si="34"/>
        <v>0</v>
      </c>
      <c r="Q22" s="35"/>
      <c r="R22" s="106">
        <f t="shared" si="35"/>
        <v>0</v>
      </c>
      <c r="S22" s="104">
        <f t="shared" si="2"/>
        <v>0</v>
      </c>
      <c r="T22" s="156">
        <f t="shared" si="3"/>
        <v>0</v>
      </c>
      <c r="U22" s="105">
        <f t="shared" si="4"/>
        <v>0</v>
      </c>
      <c r="V22" s="35"/>
      <c r="W22" s="1228"/>
      <c r="X22" s="1228"/>
      <c r="Y22" s="366"/>
      <c r="Z22" s="98"/>
      <c r="AA22" s="98">
        <f t="shared" si="5"/>
        <v>-10</v>
      </c>
      <c r="AB22" s="101">
        <f t="shared" si="6"/>
        <v>0</v>
      </c>
      <c r="AC22" s="101">
        <f t="shared" ca="1" si="36"/>
        <v>0</v>
      </c>
      <c r="AD22" s="101" t="b">
        <f t="shared" si="7"/>
        <v>0</v>
      </c>
      <c r="AE22" s="101">
        <f t="shared" si="8"/>
        <v>0</v>
      </c>
      <c r="AF22" s="101">
        <f t="shared" si="8"/>
        <v>0</v>
      </c>
      <c r="AG22" s="101">
        <f t="shared" si="8"/>
        <v>0</v>
      </c>
      <c r="AH22" s="101">
        <f t="shared" si="8"/>
        <v>0</v>
      </c>
      <c r="AI22" s="101">
        <f t="shared" si="8"/>
        <v>0</v>
      </c>
      <c r="AJ22" s="101">
        <f t="shared" si="8"/>
        <v>0</v>
      </c>
      <c r="AK22" s="101">
        <f t="shared" si="8"/>
        <v>0</v>
      </c>
      <c r="AL22" s="1498">
        <f t="shared" si="9"/>
        <v>0</v>
      </c>
      <c r="AM22" s="1498">
        <f t="shared" si="10"/>
        <v>0</v>
      </c>
      <c r="AN22" s="1498">
        <f t="shared" si="11"/>
        <v>0</v>
      </c>
      <c r="AO22" s="1498">
        <f t="shared" si="12"/>
        <v>0</v>
      </c>
      <c r="AP22" s="1498">
        <f t="shared" si="13"/>
        <v>0</v>
      </c>
      <c r="AQ22" s="1498">
        <f t="shared" si="14"/>
        <v>0</v>
      </c>
      <c r="AR22" s="1498">
        <f t="shared" si="15"/>
        <v>0</v>
      </c>
      <c r="AS22" s="101" t="b">
        <f t="shared" si="16"/>
        <v>0</v>
      </c>
      <c r="AT22" s="101">
        <f t="shared" si="17"/>
        <v>0</v>
      </c>
      <c r="AU22" s="1498">
        <f t="shared" si="18"/>
        <v>0</v>
      </c>
      <c r="AV22" s="101" t="b">
        <f t="shared" si="19"/>
        <v>0</v>
      </c>
      <c r="AW22" s="101">
        <f t="shared" si="20"/>
        <v>0</v>
      </c>
      <c r="AX22" s="1498">
        <f t="shared" si="21"/>
        <v>0</v>
      </c>
      <c r="AY22" s="101" t="b">
        <f t="shared" si="22"/>
        <v>0</v>
      </c>
      <c r="AZ22" s="101">
        <f t="shared" si="23"/>
        <v>0</v>
      </c>
      <c r="BA22" s="1498">
        <f t="shared" si="24"/>
        <v>0</v>
      </c>
      <c r="BB22" s="101" t="b">
        <f t="shared" si="25"/>
        <v>0</v>
      </c>
      <c r="BC22" s="101">
        <f t="shared" si="26"/>
        <v>0</v>
      </c>
      <c r="BD22" s="101" t="b">
        <f t="shared" si="27"/>
        <v>0</v>
      </c>
      <c r="BE22" s="101">
        <f t="shared" si="28"/>
        <v>0</v>
      </c>
      <c r="BF22" s="101" t="b">
        <f t="shared" si="29"/>
        <v>0</v>
      </c>
      <c r="BG22" s="101">
        <f t="shared" si="30"/>
        <v>0</v>
      </c>
      <c r="BH22" s="101">
        <f>IF(OR(I22='Dropdown Lists'!$I$3,'11. Unit Mix'!J22='Dropdown Lists'!$W$3),H22,0)</f>
        <v>0</v>
      </c>
      <c r="BI22" s="367"/>
      <c r="BJ22" s="367"/>
      <c r="BK22" s="367"/>
      <c r="BL22" s="367"/>
      <c r="BM22" s="367"/>
      <c r="BN22" s="367"/>
      <c r="BO22" s="367"/>
      <c r="BP22" s="367"/>
      <c r="BQ22" s="367"/>
      <c r="BR22" s="367"/>
      <c r="BS22" s="367"/>
      <c r="BT22" s="367"/>
      <c r="BU22" s="367"/>
      <c r="BV22" s="367"/>
      <c r="BW22" s="367"/>
      <c r="BX22" s="367"/>
      <c r="BY22" s="367"/>
      <c r="BZ22" s="367"/>
      <c r="CA22" s="367"/>
      <c r="CB22" s="97"/>
      <c r="CC22" s="97"/>
      <c r="CD22" s="97"/>
      <c r="CE22" s="97"/>
      <c r="CF22" s="97"/>
      <c r="CG22" s="97"/>
      <c r="CH22" s="97"/>
      <c r="CI22" s="101"/>
    </row>
    <row r="23" spans="1:87">
      <c r="A23" s="309"/>
      <c r="B23" s="1689"/>
      <c r="C23" s="208"/>
      <c r="D23" s="208"/>
      <c r="E23" s="61"/>
      <c r="F23" s="209"/>
      <c r="G23" s="61"/>
      <c r="H23" s="61"/>
      <c r="I23" s="210"/>
      <c r="J23" s="61"/>
      <c r="K23" s="365"/>
      <c r="L23" s="103">
        <f t="shared" si="31"/>
        <v>0</v>
      </c>
      <c r="M23" s="63" t="str">
        <f t="shared" si="37"/>
        <v/>
      </c>
      <c r="N23" s="104">
        <f t="shared" si="32"/>
        <v>0</v>
      </c>
      <c r="O23" s="104">
        <f t="shared" ca="1" si="33"/>
        <v>0</v>
      </c>
      <c r="P23" s="105">
        <f t="shared" ca="1" si="34"/>
        <v>0</v>
      </c>
      <c r="Q23" s="35"/>
      <c r="R23" s="106">
        <f t="shared" si="35"/>
        <v>0</v>
      </c>
      <c r="S23" s="104">
        <f t="shared" si="2"/>
        <v>0</v>
      </c>
      <c r="T23" s="156">
        <f t="shared" si="3"/>
        <v>0</v>
      </c>
      <c r="U23" s="105">
        <f t="shared" si="4"/>
        <v>0</v>
      </c>
      <c r="V23" s="35"/>
      <c r="W23" s="1228"/>
      <c r="X23" s="1228"/>
      <c r="Y23" s="366"/>
      <c r="Z23" s="98"/>
      <c r="AA23" s="98">
        <f t="shared" si="5"/>
        <v>-10</v>
      </c>
      <c r="AB23" s="101">
        <f t="shared" si="6"/>
        <v>0</v>
      </c>
      <c r="AC23" s="101">
        <f t="shared" ca="1" si="36"/>
        <v>0</v>
      </c>
      <c r="AD23" s="101" t="b">
        <f t="shared" si="7"/>
        <v>0</v>
      </c>
      <c r="AE23" s="101">
        <f t="shared" si="8"/>
        <v>0</v>
      </c>
      <c r="AF23" s="101">
        <f t="shared" si="8"/>
        <v>0</v>
      </c>
      <c r="AG23" s="101">
        <f t="shared" si="8"/>
        <v>0</v>
      </c>
      <c r="AH23" s="101">
        <f t="shared" si="8"/>
        <v>0</v>
      </c>
      <c r="AI23" s="101">
        <f t="shared" si="8"/>
        <v>0</v>
      </c>
      <c r="AJ23" s="101">
        <f t="shared" si="8"/>
        <v>0</v>
      </c>
      <c r="AK23" s="101">
        <f t="shared" si="8"/>
        <v>0</v>
      </c>
      <c r="AL23" s="1498">
        <f t="shared" si="9"/>
        <v>0</v>
      </c>
      <c r="AM23" s="1498">
        <f t="shared" si="10"/>
        <v>0</v>
      </c>
      <c r="AN23" s="1498">
        <f t="shared" si="11"/>
        <v>0</v>
      </c>
      <c r="AO23" s="1498">
        <f t="shared" si="12"/>
        <v>0</v>
      </c>
      <c r="AP23" s="1498">
        <f t="shared" si="13"/>
        <v>0</v>
      </c>
      <c r="AQ23" s="1498">
        <f t="shared" si="14"/>
        <v>0</v>
      </c>
      <c r="AR23" s="1498">
        <f t="shared" si="15"/>
        <v>0</v>
      </c>
      <c r="AS23" s="101" t="b">
        <f t="shared" si="16"/>
        <v>0</v>
      </c>
      <c r="AT23" s="101">
        <f t="shared" si="17"/>
        <v>0</v>
      </c>
      <c r="AU23" s="1498">
        <f t="shared" si="18"/>
        <v>0</v>
      </c>
      <c r="AV23" s="101" t="b">
        <f t="shared" si="19"/>
        <v>0</v>
      </c>
      <c r="AW23" s="101">
        <f t="shared" si="20"/>
        <v>0</v>
      </c>
      <c r="AX23" s="1498">
        <f t="shared" si="21"/>
        <v>0</v>
      </c>
      <c r="AY23" s="101" t="b">
        <f t="shared" si="22"/>
        <v>0</v>
      </c>
      <c r="AZ23" s="101">
        <f t="shared" si="23"/>
        <v>0</v>
      </c>
      <c r="BA23" s="1498">
        <f t="shared" si="24"/>
        <v>0</v>
      </c>
      <c r="BB23" s="101" t="b">
        <f t="shared" si="25"/>
        <v>0</v>
      </c>
      <c r="BC23" s="101">
        <f t="shared" si="26"/>
        <v>0</v>
      </c>
      <c r="BD23" s="101" t="b">
        <f t="shared" si="27"/>
        <v>0</v>
      </c>
      <c r="BE23" s="101">
        <f t="shared" si="28"/>
        <v>0</v>
      </c>
      <c r="BF23" s="101" t="b">
        <f t="shared" si="29"/>
        <v>0</v>
      </c>
      <c r="BG23" s="101">
        <f t="shared" si="30"/>
        <v>0</v>
      </c>
      <c r="BH23" s="101">
        <f>IF(OR(I23='Dropdown Lists'!$I$3,'11. Unit Mix'!J23='Dropdown Lists'!$W$3),H23,0)</f>
        <v>0</v>
      </c>
      <c r="BI23" s="367"/>
      <c r="BJ23" s="367"/>
      <c r="BK23" s="367"/>
      <c r="BL23" s="367"/>
      <c r="BM23" s="367"/>
      <c r="BN23" s="367"/>
      <c r="BO23" s="367"/>
      <c r="BP23" s="367"/>
      <c r="BQ23" s="367"/>
      <c r="BR23" s="367"/>
      <c r="BS23" s="367"/>
      <c r="BT23" s="367"/>
      <c r="BU23" s="367"/>
      <c r="BV23" s="367"/>
      <c r="BW23" s="367"/>
      <c r="BX23" s="367"/>
      <c r="BY23" s="367"/>
      <c r="BZ23" s="367"/>
      <c r="CA23" s="367"/>
      <c r="CB23" s="97"/>
      <c r="CC23" s="97"/>
      <c r="CD23" s="97"/>
      <c r="CE23" s="97"/>
      <c r="CF23" s="97"/>
      <c r="CG23" s="97"/>
      <c r="CH23" s="97"/>
      <c r="CI23" s="101"/>
    </row>
    <row r="24" spans="1:87">
      <c r="A24" s="309"/>
      <c r="B24" s="1689"/>
      <c r="C24" s="208"/>
      <c r="D24" s="208"/>
      <c r="E24" s="61"/>
      <c r="F24" s="209"/>
      <c r="G24" s="61"/>
      <c r="H24" s="61"/>
      <c r="I24" s="210"/>
      <c r="J24" s="61"/>
      <c r="K24" s="365"/>
      <c r="L24" s="103">
        <f t="shared" si="31"/>
        <v>0</v>
      </c>
      <c r="M24" s="63" t="str">
        <f t="shared" si="37"/>
        <v/>
      </c>
      <c r="N24" s="104">
        <f t="shared" si="32"/>
        <v>0</v>
      </c>
      <c r="O24" s="104">
        <f t="shared" ca="1" si="33"/>
        <v>0</v>
      </c>
      <c r="P24" s="105">
        <f t="shared" ca="1" si="34"/>
        <v>0</v>
      </c>
      <c r="Q24" s="35"/>
      <c r="R24" s="106">
        <f t="shared" si="35"/>
        <v>0</v>
      </c>
      <c r="S24" s="104">
        <f t="shared" si="2"/>
        <v>0</v>
      </c>
      <c r="T24" s="156">
        <f t="shared" si="3"/>
        <v>0</v>
      </c>
      <c r="U24" s="105">
        <f t="shared" si="4"/>
        <v>0</v>
      </c>
      <c r="V24" s="35"/>
      <c r="W24" s="1228"/>
      <c r="X24" s="1228"/>
      <c r="Y24" s="366"/>
      <c r="Z24" s="98"/>
      <c r="AA24" s="98">
        <f t="shared" si="5"/>
        <v>-10</v>
      </c>
      <c r="AB24" s="101">
        <f t="shared" si="6"/>
        <v>0</v>
      </c>
      <c r="AC24" s="101">
        <f t="shared" ca="1" si="36"/>
        <v>0</v>
      </c>
      <c r="AD24" s="101" t="b">
        <f t="shared" si="7"/>
        <v>0</v>
      </c>
      <c r="AE24" s="101">
        <f t="shared" si="8"/>
        <v>0</v>
      </c>
      <c r="AF24" s="101">
        <f t="shared" si="8"/>
        <v>0</v>
      </c>
      <c r="AG24" s="101">
        <f t="shared" si="8"/>
        <v>0</v>
      </c>
      <c r="AH24" s="101">
        <f t="shared" si="8"/>
        <v>0</v>
      </c>
      <c r="AI24" s="101">
        <f t="shared" si="8"/>
        <v>0</v>
      </c>
      <c r="AJ24" s="101">
        <f t="shared" si="8"/>
        <v>0</v>
      </c>
      <c r="AK24" s="101">
        <f t="shared" si="8"/>
        <v>0</v>
      </c>
      <c r="AL24" s="1498">
        <f t="shared" si="9"/>
        <v>0</v>
      </c>
      <c r="AM24" s="1498">
        <f t="shared" si="10"/>
        <v>0</v>
      </c>
      <c r="AN24" s="1498">
        <f t="shared" si="11"/>
        <v>0</v>
      </c>
      <c r="AO24" s="1498">
        <f t="shared" si="12"/>
        <v>0</v>
      </c>
      <c r="AP24" s="1498">
        <f t="shared" si="13"/>
        <v>0</v>
      </c>
      <c r="AQ24" s="1498">
        <f t="shared" si="14"/>
        <v>0</v>
      </c>
      <c r="AR24" s="1498">
        <f t="shared" si="15"/>
        <v>0</v>
      </c>
      <c r="AS24" s="101" t="b">
        <f t="shared" si="16"/>
        <v>0</v>
      </c>
      <c r="AT24" s="101">
        <f t="shared" si="17"/>
        <v>0</v>
      </c>
      <c r="AU24" s="1498">
        <f t="shared" si="18"/>
        <v>0</v>
      </c>
      <c r="AV24" s="101" t="b">
        <f t="shared" si="19"/>
        <v>0</v>
      </c>
      <c r="AW24" s="101">
        <f t="shared" si="20"/>
        <v>0</v>
      </c>
      <c r="AX24" s="1498">
        <f t="shared" si="21"/>
        <v>0</v>
      </c>
      <c r="AY24" s="101" t="b">
        <f t="shared" si="22"/>
        <v>0</v>
      </c>
      <c r="AZ24" s="101">
        <f t="shared" si="23"/>
        <v>0</v>
      </c>
      <c r="BA24" s="1498">
        <f t="shared" si="24"/>
        <v>0</v>
      </c>
      <c r="BB24" s="101" t="b">
        <f t="shared" si="25"/>
        <v>0</v>
      </c>
      <c r="BC24" s="101">
        <f t="shared" si="26"/>
        <v>0</v>
      </c>
      <c r="BD24" s="101" t="b">
        <f t="shared" si="27"/>
        <v>0</v>
      </c>
      <c r="BE24" s="101">
        <f t="shared" si="28"/>
        <v>0</v>
      </c>
      <c r="BF24" s="101" t="b">
        <f t="shared" si="29"/>
        <v>0</v>
      </c>
      <c r="BG24" s="101">
        <f t="shared" si="30"/>
        <v>0</v>
      </c>
      <c r="BH24" s="101">
        <f>IF(OR(I24='Dropdown Lists'!$I$3,'11. Unit Mix'!J24='Dropdown Lists'!$W$3),H24,0)</f>
        <v>0</v>
      </c>
      <c r="BI24" s="367"/>
      <c r="BJ24" s="367"/>
      <c r="BK24" s="367"/>
      <c r="BL24" s="367"/>
      <c r="BM24" s="367"/>
      <c r="BN24" s="367"/>
      <c r="BO24" s="367"/>
      <c r="BP24" s="367"/>
      <c r="BQ24" s="367"/>
      <c r="BR24" s="367"/>
      <c r="BS24" s="367"/>
      <c r="BT24" s="367"/>
      <c r="BU24" s="367"/>
      <c r="BV24" s="367"/>
      <c r="BW24" s="367"/>
      <c r="BX24" s="367"/>
      <c r="BY24" s="367"/>
      <c r="BZ24" s="367"/>
      <c r="CA24" s="367"/>
      <c r="CB24" s="97"/>
      <c r="CC24" s="97"/>
      <c r="CD24" s="97"/>
      <c r="CE24" s="97"/>
      <c r="CF24" s="97"/>
      <c r="CG24" s="97"/>
      <c r="CH24" s="97"/>
      <c r="CI24" s="101"/>
    </row>
    <row r="25" spans="1:87">
      <c r="A25" s="309"/>
      <c r="B25" s="1689"/>
      <c r="C25" s="208"/>
      <c r="D25" s="208"/>
      <c r="E25" s="61"/>
      <c r="F25" s="209"/>
      <c r="G25" s="61"/>
      <c r="H25" s="61"/>
      <c r="I25" s="210"/>
      <c r="J25" s="61"/>
      <c r="K25" s="365"/>
      <c r="L25" s="103">
        <f t="shared" si="31"/>
        <v>0</v>
      </c>
      <c r="M25" s="63" t="str">
        <f t="shared" si="37"/>
        <v/>
      </c>
      <c r="N25" s="104">
        <f t="shared" si="32"/>
        <v>0</v>
      </c>
      <c r="O25" s="104">
        <f t="shared" ca="1" si="33"/>
        <v>0</v>
      </c>
      <c r="P25" s="105">
        <f t="shared" ca="1" si="34"/>
        <v>0</v>
      </c>
      <c r="Q25" s="35"/>
      <c r="R25" s="106">
        <f t="shared" si="35"/>
        <v>0</v>
      </c>
      <c r="S25" s="104">
        <f t="shared" si="2"/>
        <v>0</v>
      </c>
      <c r="T25" s="156">
        <f t="shared" si="3"/>
        <v>0</v>
      </c>
      <c r="U25" s="105">
        <f t="shared" si="4"/>
        <v>0</v>
      </c>
      <c r="V25" s="35"/>
      <c r="W25" s="1228"/>
      <c r="X25" s="1228"/>
      <c r="Y25" s="366"/>
      <c r="Z25" s="98"/>
      <c r="AA25" s="98">
        <f t="shared" si="5"/>
        <v>-10</v>
      </c>
      <c r="AB25" s="101">
        <f t="shared" si="6"/>
        <v>0</v>
      </c>
      <c r="AC25" s="101">
        <f t="shared" ca="1" si="36"/>
        <v>0</v>
      </c>
      <c r="AD25" s="101" t="b">
        <f t="shared" si="7"/>
        <v>0</v>
      </c>
      <c r="AE25" s="101">
        <f t="shared" si="8"/>
        <v>0</v>
      </c>
      <c r="AF25" s="101">
        <f t="shared" si="8"/>
        <v>0</v>
      </c>
      <c r="AG25" s="101">
        <f t="shared" si="8"/>
        <v>0</v>
      </c>
      <c r="AH25" s="101">
        <f t="shared" si="8"/>
        <v>0</v>
      </c>
      <c r="AI25" s="101">
        <f t="shared" si="8"/>
        <v>0</v>
      </c>
      <c r="AJ25" s="101">
        <f t="shared" si="8"/>
        <v>0</v>
      </c>
      <c r="AK25" s="101">
        <f t="shared" si="8"/>
        <v>0</v>
      </c>
      <c r="AL25" s="1498">
        <f t="shared" si="9"/>
        <v>0</v>
      </c>
      <c r="AM25" s="1498">
        <f t="shared" si="10"/>
        <v>0</v>
      </c>
      <c r="AN25" s="1498">
        <f t="shared" si="11"/>
        <v>0</v>
      </c>
      <c r="AO25" s="1498">
        <f t="shared" si="12"/>
        <v>0</v>
      </c>
      <c r="AP25" s="1498">
        <f t="shared" si="13"/>
        <v>0</v>
      </c>
      <c r="AQ25" s="1498">
        <f t="shared" si="14"/>
        <v>0</v>
      </c>
      <c r="AR25" s="1498">
        <f t="shared" si="15"/>
        <v>0</v>
      </c>
      <c r="AS25" s="101" t="b">
        <f t="shared" si="16"/>
        <v>0</v>
      </c>
      <c r="AT25" s="101">
        <f t="shared" si="17"/>
        <v>0</v>
      </c>
      <c r="AU25" s="1498">
        <f t="shared" si="18"/>
        <v>0</v>
      </c>
      <c r="AV25" s="101" t="b">
        <f t="shared" si="19"/>
        <v>0</v>
      </c>
      <c r="AW25" s="101">
        <f t="shared" si="20"/>
        <v>0</v>
      </c>
      <c r="AX25" s="1498">
        <f t="shared" si="21"/>
        <v>0</v>
      </c>
      <c r="AY25" s="101" t="b">
        <f t="shared" si="22"/>
        <v>0</v>
      </c>
      <c r="AZ25" s="101">
        <f t="shared" si="23"/>
        <v>0</v>
      </c>
      <c r="BA25" s="1498">
        <f t="shared" si="24"/>
        <v>0</v>
      </c>
      <c r="BB25" s="101" t="b">
        <f t="shared" si="25"/>
        <v>0</v>
      </c>
      <c r="BC25" s="101">
        <f t="shared" si="26"/>
        <v>0</v>
      </c>
      <c r="BD25" s="101" t="b">
        <f t="shared" si="27"/>
        <v>0</v>
      </c>
      <c r="BE25" s="101">
        <f t="shared" si="28"/>
        <v>0</v>
      </c>
      <c r="BF25" s="101" t="b">
        <f t="shared" si="29"/>
        <v>0</v>
      </c>
      <c r="BG25" s="101">
        <f t="shared" si="30"/>
        <v>0</v>
      </c>
      <c r="BH25" s="101">
        <f>IF(OR(I25='Dropdown Lists'!$I$3,'11. Unit Mix'!J25='Dropdown Lists'!$W$3),H25,0)</f>
        <v>0</v>
      </c>
      <c r="BI25" s="367"/>
      <c r="BJ25" s="367"/>
      <c r="BK25" s="367"/>
      <c r="BL25" s="367"/>
      <c r="BM25" s="367"/>
      <c r="BN25" s="367"/>
      <c r="BO25" s="367"/>
      <c r="BP25" s="367"/>
      <c r="BQ25" s="367"/>
      <c r="BR25" s="367"/>
      <c r="BS25" s="367"/>
      <c r="BT25" s="367"/>
      <c r="BU25" s="367"/>
      <c r="BV25" s="367"/>
      <c r="BW25" s="367"/>
      <c r="BX25" s="367"/>
      <c r="BY25" s="367"/>
      <c r="BZ25" s="367"/>
      <c r="CA25" s="367"/>
      <c r="CB25" s="97"/>
      <c r="CC25" s="97"/>
      <c r="CD25" s="97"/>
      <c r="CE25" s="97"/>
      <c r="CF25" s="97"/>
      <c r="CG25" s="97"/>
      <c r="CH25" s="97"/>
      <c r="CI25" s="101"/>
    </row>
    <row r="26" spans="1:87">
      <c r="A26" s="309"/>
      <c r="B26" s="1689"/>
      <c r="C26" s="208"/>
      <c r="D26" s="208"/>
      <c r="E26" s="61"/>
      <c r="F26" s="209"/>
      <c r="G26" s="61"/>
      <c r="H26" s="61"/>
      <c r="I26" s="210"/>
      <c r="J26" s="61"/>
      <c r="K26" s="365"/>
      <c r="L26" s="103">
        <f t="shared" si="31"/>
        <v>0</v>
      </c>
      <c r="M26" s="63" t="str">
        <f t="shared" si="37"/>
        <v/>
      </c>
      <c r="N26" s="104">
        <f t="shared" si="32"/>
        <v>0</v>
      </c>
      <c r="O26" s="104">
        <f t="shared" ca="1" si="33"/>
        <v>0</v>
      </c>
      <c r="P26" s="105">
        <f t="shared" ca="1" si="34"/>
        <v>0</v>
      </c>
      <c r="Q26" s="35"/>
      <c r="R26" s="106">
        <f t="shared" si="35"/>
        <v>0</v>
      </c>
      <c r="S26" s="104">
        <f t="shared" si="2"/>
        <v>0</v>
      </c>
      <c r="T26" s="156">
        <f t="shared" si="3"/>
        <v>0</v>
      </c>
      <c r="U26" s="105">
        <f t="shared" si="4"/>
        <v>0</v>
      </c>
      <c r="V26" s="35"/>
      <c r="W26" s="1228"/>
      <c r="X26" s="1228"/>
      <c r="Y26" s="366"/>
      <c r="Z26" s="98"/>
      <c r="AA26" s="98">
        <f t="shared" si="5"/>
        <v>-10</v>
      </c>
      <c r="AB26" s="101">
        <f t="shared" si="6"/>
        <v>0</v>
      </c>
      <c r="AC26" s="101">
        <f t="shared" ca="1" si="36"/>
        <v>0</v>
      </c>
      <c r="AD26" s="101" t="b">
        <f t="shared" si="7"/>
        <v>0</v>
      </c>
      <c r="AE26" s="101">
        <f t="shared" si="8"/>
        <v>0</v>
      </c>
      <c r="AF26" s="101">
        <f t="shared" si="8"/>
        <v>0</v>
      </c>
      <c r="AG26" s="101">
        <f t="shared" si="8"/>
        <v>0</v>
      </c>
      <c r="AH26" s="101">
        <f t="shared" si="8"/>
        <v>0</v>
      </c>
      <c r="AI26" s="101">
        <f t="shared" si="8"/>
        <v>0</v>
      </c>
      <c r="AJ26" s="101">
        <f t="shared" si="8"/>
        <v>0</v>
      </c>
      <c r="AK26" s="101">
        <f t="shared" si="8"/>
        <v>0</v>
      </c>
      <c r="AL26" s="1498">
        <f t="shared" si="9"/>
        <v>0</v>
      </c>
      <c r="AM26" s="1498">
        <f t="shared" si="10"/>
        <v>0</v>
      </c>
      <c r="AN26" s="1498">
        <f t="shared" si="11"/>
        <v>0</v>
      </c>
      <c r="AO26" s="1498">
        <f t="shared" si="12"/>
        <v>0</v>
      </c>
      <c r="AP26" s="1498">
        <f t="shared" si="13"/>
        <v>0</v>
      </c>
      <c r="AQ26" s="1498">
        <f t="shared" si="14"/>
        <v>0</v>
      </c>
      <c r="AR26" s="1498">
        <f t="shared" si="15"/>
        <v>0</v>
      </c>
      <c r="AS26" s="101" t="b">
        <f t="shared" si="16"/>
        <v>0</v>
      </c>
      <c r="AT26" s="101">
        <f t="shared" si="17"/>
        <v>0</v>
      </c>
      <c r="AU26" s="1498">
        <f t="shared" si="18"/>
        <v>0</v>
      </c>
      <c r="AV26" s="101" t="b">
        <f t="shared" si="19"/>
        <v>0</v>
      </c>
      <c r="AW26" s="101">
        <f t="shared" si="20"/>
        <v>0</v>
      </c>
      <c r="AX26" s="1498">
        <f t="shared" si="21"/>
        <v>0</v>
      </c>
      <c r="AY26" s="101" t="b">
        <f t="shared" si="22"/>
        <v>0</v>
      </c>
      <c r="AZ26" s="101">
        <f t="shared" si="23"/>
        <v>0</v>
      </c>
      <c r="BA26" s="1498">
        <f t="shared" si="24"/>
        <v>0</v>
      </c>
      <c r="BB26" s="101" t="b">
        <f t="shared" si="25"/>
        <v>0</v>
      </c>
      <c r="BC26" s="101">
        <f t="shared" si="26"/>
        <v>0</v>
      </c>
      <c r="BD26" s="101" t="b">
        <f t="shared" si="27"/>
        <v>0</v>
      </c>
      <c r="BE26" s="101">
        <f t="shared" si="28"/>
        <v>0</v>
      </c>
      <c r="BF26" s="101" t="b">
        <f t="shared" si="29"/>
        <v>0</v>
      </c>
      <c r="BG26" s="101">
        <f t="shared" si="30"/>
        <v>0</v>
      </c>
      <c r="BH26" s="101">
        <f>IF(OR(I26='Dropdown Lists'!$I$3,'11. Unit Mix'!J26='Dropdown Lists'!$W$3),H26,0)</f>
        <v>0</v>
      </c>
      <c r="BI26" s="367"/>
      <c r="BJ26" s="367"/>
      <c r="BK26" s="367"/>
      <c r="BL26" s="367"/>
      <c r="BM26" s="367"/>
      <c r="BN26" s="367"/>
      <c r="BO26" s="367"/>
      <c r="BP26" s="367"/>
      <c r="BQ26" s="367"/>
      <c r="BR26" s="367"/>
      <c r="BS26" s="367"/>
      <c r="BT26" s="367"/>
      <c r="BU26" s="367"/>
      <c r="BV26" s="367"/>
      <c r="BW26" s="367"/>
      <c r="BX26" s="367"/>
      <c r="BY26" s="367"/>
      <c r="BZ26" s="367"/>
      <c r="CA26" s="367"/>
      <c r="CB26" s="97"/>
      <c r="CC26" s="97"/>
      <c r="CD26" s="97"/>
      <c r="CE26" s="97"/>
      <c r="CF26" s="97"/>
      <c r="CG26" s="97"/>
      <c r="CH26" s="97"/>
      <c r="CI26" s="101"/>
    </row>
    <row r="27" spans="1:87">
      <c r="A27" s="309"/>
      <c r="B27" s="1689"/>
      <c r="C27" s="208"/>
      <c r="D27" s="208"/>
      <c r="E27" s="61"/>
      <c r="F27" s="209"/>
      <c r="G27" s="61"/>
      <c r="H27" s="61"/>
      <c r="I27" s="210"/>
      <c r="J27" s="61"/>
      <c r="K27" s="365"/>
      <c r="L27" s="103">
        <f t="shared" si="31"/>
        <v>0</v>
      </c>
      <c r="M27" s="63" t="str">
        <f t="shared" si="37"/>
        <v/>
      </c>
      <c r="N27" s="104">
        <f t="shared" si="32"/>
        <v>0</v>
      </c>
      <c r="O27" s="104">
        <f t="shared" ca="1" si="33"/>
        <v>0</v>
      </c>
      <c r="P27" s="105">
        <f t="shared" ca="1" si="34"/>
        <v>0</v>
      </c>
      <c r="Q27" s="35"/>
      <c r="R27" s="106">
        <f t="shared" si="35"/>
        <v>0</v>
      </c>
      <c r="S27" s="104">
        <f>K27*H27*12</f>
        <v>0</v>
      </c>
      <c r="T27" s="156">
        <f t="shared" si="3"/>
        <v>0</v>
      </c>
      <c r="U27" s="105">
        <f t="shared" si="4"/>
        <v>0</v>
      </c>
      <c r="V27" s="35"/>
      <c r="W27" s="1228"/>
      <c r="X27" s="1228"/>
      <c r="Y27" s="366"/>
      <c r="Z27" s="98"/>
      <c r="AA27" s="98">
        <f t="shared" si="5"/>
        <v>-10</v>
      </c>
      <c r="AB27" s="101">
        <f t="shared" si="6"/>
        <v>0</v>
      </c>
      <c r="AC27" s="101">
        <f t="shared" ca="1" si="36"/>
        <v>0</v>
      </c>
      <c r="AD27" s="101" t="b">
        <f t="shared" si="7"/>
        <v>0</v>
      </c>
      <c r="AE27" s="101">
        <f t="shared" si="8"/>
        <v>0</v>
      </c>
      <c r="AF27" s="101">
        <f t="shared" si="8"/>
        <v>0</v>
      </c>
      <c r="AG27" s="101">
        <f t="shared" si="8"/>
        <v>0</v>
      </c>
      <c r="AH27" s="101">
        <f t="shared" si="8"/>
        <v>0</v>
      </c>
      <c r="AI27" s="101">
        <f t="shared" si="8"/>
        <v>0</v>
      </c>
      <c r="AJ27" s="101">
        <f t="shared" si="8"/>
        <v>0</v>
      </c>
      <c r="AK27" s="101">
        <f t="shared" si="8"/>
        <v>0</v>
      </c>
      <c r="AL27" s="1498">
        <f t="shared" si="9"/>
        <v>0</v>
      </c>
      <c r="AM27" s="1498">
        <f t="shared" si="10"/>
        <v>0</v>
      </c>
      <c r="AN27" s="1498">
        <f t="shared" si="11"/>
        <v>0</v>
      </c>
      <c r="AO27" s="1498">
        <f t="shared" si="12"/>
        <v>0</v>
      </c>
      <c r="AP27" s="1498">
        <f t="shared" si="13"/>
        <v>0</v>
      </c>
      <c r="AQ27" s="1498">
        <f t="shared" si="14"/>
        <v>0</v>
      </c>
      <c r="AR27" s="1498">
        <f t="shared" si="15"/>
        <v>0</v>
      </c>
      <c r="AS27" s="101" t="b">
        <f t="shared" si="16"/>
        <v>0</v>
      </c>
      <c r="AT27" s="101">
        <f t="shared" si="17"/>
        <v>0</v>
      </c>
      <c r="AU27" s="1498">
        <f t="shared" si="18"/>
        <v>0</v>
      </c>
      <c r="AV27" s="101" t="b">
        <f t="shared" si="19"/>
        <v>0</v>
      </c>
      <c r="AW27" s="101">
        <f t="shared" si="20"/>
        <v>0</v>
      </c>
      <c r="AX27" s="1498">
        <f t="shared" si="21"/>
        <v>0</v>
      </c>
      <c r="AY27" s="101" t="b">
        <f t="shared" si="22"/>
        <v>0</v>
      </c>
      <c r="AZ27" s="101">
        <f t="shared" si="23"/>
        <v>0</v>
      </c>
      <c r="BA27" s="1498">
        <f t="shared" si="24"/>
        <v>0</v>
      </c>
      <c r="BB27" s="101" t="b">
        <f t="shared" si="25"/>
        <v>0</v>
      </c>
      <c r="BC27" s="101">
        <f t="shared" si="26"/>
        <v>0</v>
      </c>
      <c r="BD27" s="101" t="b">
        <f t="shared" si="27"/>
        <v>0</v>
      </c>
      <c r="BE27" s="101">
        <f t="shared" si="28"/>
        <v>0</v>
      </c>
      <c r="BF27" s="101" t="b">
        <f t="shared" si="29"/>
        <v>0</v>
      </c>
      <c r="BG27" s="101">
        <f t="shared" si="30"/>
        <v>0</v>
      </c>
      <c r="BH27" s="101">
        <f>IF(OR(I27='Dropdown Lists'!$I$3,'11. Unit Mix'!J27='Dropdown Lists'!$W$3),H27,0)</f>
        <v>0</v>
      </c>
      <c r="BI27" s="367"/>
      <c r="BJ27" s="367"/>
      <c r="BK27" s="367"/>
      <c r="BL27" s="367"/>
      <c r="BM27" s="367"/>
      <c r="BN27" s="367"/>
      <c r="BO27" s="367"/>
      <c r="BP27" s="367"/>
      <c r="BQ27" s="367"/>
      <c r="BR27" s="367"/>
      <c r="BS27" s="367"/>
      <c r="BT27" s="367"/>
      <c r="BU27" s="367"/>
      <c r="BV27" s="367"/>
      <c r="BW27" s="367"/>
      <c r="BX27" s="367"/>
      <c r="BY27" s="367"/>
      <c r="BZ27" s="367"/>
      <c r="CA27" s="367"/>
      <c r="CB27" s="97"/>
      <c r="CC27" s="97"/>
      <c r="CD27" s="97"/>
      <c r="CE27" s="97"/>
      <c r="CF27" s="97"/>
      <c r="CG27" s="97"/>
      <c r="CH27" s="97"/>
      <c r="CI27" s="101"/>
    </row>
    <row r="28" spans="1:87">
      <c r="A28" s="309"/>
      <c r="B28" s="1689"/>
      <c r="C28" s="208"/>
      <c r="D28" s="208"/>
      <c r="E28" s="61"/>
      <c r="F28" s="209"/>
      <c r="G28" s="61"/>
      <c r="H28" s="61"/>
      <c r="I28" s="210"/>
      <c r="J28" s="61"/>
      <c r="K28" s="365"/>
      <c r="L28" s="103">
        <f t="shared" ref="L28:L65" si="38">IF(G28=0, 0,K28/G28)</f>
        <v>0</v>
      </c>
      <c r="M28" s="63" t="str">
        <f t="shared" si="37"/>
        <v/>
      </c>
      <c r="N28" s="104">
        <f t="shared" si="32"/>
        <v>0</v>
      </c>
      <c r="O28" s="104">
        <f t="shared" ca="1" si="33"/>
        <v>0</v>
      </c>
      <c r="P28" s="105">
        <f t="shared" ca="1" si="34"/>
        <v>0</v>
      </c>
      <c r="Q28" s="35"/>
      <c r="R28" s="106">
        <f t="shared" ref="R28:R65" si="39">IF(Q28=0,0,K28/Q28)</f>
        <v>0</v>
      </c>
      <c r="S28" s="104">
        <f>K28*H28*12</f>
        <v>0</v>
      </c>
      <c r="T28" s="156">
        <f t="shared" si="3"/>
        <v>0</v>
      </c>
      <c r="U28" s="105">
        <f t="shared" ref="U28:U65" si="40">I28*T28</f>
        <v>0</v>
      </c>
      <c r="V28" s="35"/>
      <c r="W28" s="1228"/>
      <c r="X28" s="1228"/>
      <c r="Y28" s="366"/>
      <c r="Z28" s="98"/>
      <c r="AA28" s="98">
        <f t="shared" ref="AA28:AA65" si="41">((I28-20%)*10*6)+2</f>
        <v>-10</v>
      </c>
      <c r="AB28" s="101">
        <f t="shared" ref="AB28:AB65" si="42">IF(E28="Studio",0,E28)</f>
        <v>0</v>
      </c>
      <c r="AC28" s="101">
        <f t="shared" ca="1" si="36"/>
        <v>0</v>
      </c>
      <c r="AD28" s="101" t="b">
        <f t="shared" ref="AD28:AD47" si="43">$J28="Low Income"</f>
        <v>0</v>
      </c>
      <c r="AE28" s="101">
        <f t="shared" ref="AE28:AK35" si="44">IF($I28=AE$15,$H28,0)</f>
        <v>0</v>
      </c>
      <c r="AF28" s="101">
        <f t="shared" si="44"/>
        <v>0</v>
      </c>
      <c r="AG28" s="101">
        <f t="shared" si="44"/>
        <v>0</v>
      </c>
      <c r="AH28" s="101">
        <f t="shared" si="44"/>
        <v>0</v>
      </c>
      <c r="AI28" s="101">
        <f t="shared" si="44"/>
        <v>0</v>
      </c>
      <c r="AJ28" s="101">
        <f t="shared" si="44"/>
        <v>0</v>
      </c>
      <c r="AK28" s="101">
        <f t="shared" si="44"/>
        <v>0</v>
      </c>
      <c r="AL28" s="1498">
        <f t="shared" ref="AL28:AL47" si="45">AE28*$K28*12</f>
        <v>0</v>
      </c>
      <c r="AM28" s="1498">
        <f t="shared" ref="AM28:AM47" si="46">AF28*$K28*12</f>
        <v>0</v>
      </c>
      <c r="AN28" s="1498">
        <f t="shared" ref="AN28:AN47" si="47">AG28*$K28*12</f>
        <v>0</v>
      </c>
      <c r="AO28" s="1498">
        <f t="shared" ref="AO28:AO47" si="48">AH28*$K28*12</f>
        <v>0</v>
      </c>
      <c r="AP28" s="1498">
        <f t="shared" ref="AP28:AP47" si="49">AI28*$K28*12</f>
        <v>0</v>
      </c>
      <c r="AQ28" s="1498">
        <f t="shared" ref="AQ28:AQ47" si="50">AJ28*$K28*12</f>
        <v>0</v>
      </c>
      <c r="AR28" s="1498">
        <f t="shared" ref="AR28:AR47" si="51">AK28*$K28*12</f>
        <v>0</v>
      </c>
      <c r="AS28" s="101" t="b">
        <f t="shared" ref="AS28:AS47" si="52">$J28="Voucher"</f>
        <v>0</v>
      </c>
      <c r="AT28" s="101">
        <f t="shared" ref="AT28:AT47" si="53">IF(AS28,$H28,0)</f>
        <v>0</v>
      </c>
      <c r="AU28" s="1498">
        <f t="shared" ref="AU28:AU65" si="54">AT28*K28</f>
        <v>0</v>
      </c>
      <c r="AV28" s="101" t="b">
        <f t="shared" ref="AV28:AV47" si="55">$J28="HOME"</f>
        <v>0</v>
      </c>
      <c r="AW28" s="101">
        <f t="shared" ref="AW28:AW47" si="56">IF(AV28,$H28,0)</f>
        <v>0</v>
      </c>
      <c r="AX28" s="1498">
        <f t="shared" si="21"/>
        <v>0</v>
      </c>
      <c r="AY28" s="101" t="b">
        <f t="shared" ref="AY28:AY47" si="57">$J28="Employee"</f>
        <v>0</v>
      </c>
      <c r="AZ28" s="101">
        <f t="shared" ref="AZ28:AZ47" si="58">IF(AY28,$H28,0)</f>
        <v>0</v>
      </c>
      <c r="BA28" s="1498">
        <f t="shared" si="24"/>
        <v>0</v>
      </c>
      <c r="BB28" s="101" t="b">
        <f t="shared" si="25"/>
        <v>0</v>
      </c>
      <c r="BC28" s="101">
        <f t="shared" ref="BC28:BC47" si="59">IF(BB28,H28, 0)</f>
        <v>0</v>
      </c>
      <c r="BD28" s="101" t="b">
        <f t="shared" si="27"/>
        <v>0</v>
      </c>
      <c r="BE28" s="101">
        <f t="shared" ref="BE28:BE65" si="60">IF(BD28,H28, 0)</f>
        <v>0</v>
      </c>
      <c r="BF28" s="101" t="b">
        <f t="shared" ref="BF28:BF65" si="61">AND(AS28,I28=60%)</f>
        <v>0</v>
      </c>
      <c r="BG28" s="101">
        <f t="shared" ref="BG28:BG47" si="62">IF($BF28, $H28,0)</f>
        <v>0</v>
      </c>
      <c r="BH28" s="101">
        <f>IF(OR(I28='Dropdown Lists'!$I$3,'11. Unit Mix'!J28='Dropdown Lists'!$W$3),H28,0)</f>
        <v>0</v>
      </c>
      <c r="BI28" s="367"/>
      <c r="BJ28" s="367"/>
      <c r="BK28" s="367"/>
      <c r="BL28" s="367"/>
      <c r="BM28" s="367"/>
      <c r="BN28" s="367"/>
      <c r="BO28" s="367"/>
      <c r="BP28" s="367"/>
      <c r="BQ28" s="367"/>
      <c r="BR28" s="367"/>
      <c r="BS28" s="367"/>
      <c r="BT28" s="367"/>
      <c r="BU28" s="367"/>
      <c r="BV28" s="367"/>
      <c r="BW28" s="367"/>
      <c r="BX28" s="367"/>
      <c r="BY28" s="367"/>
      <c r="BZ28" s="367"/>
      <c r="CA28" s="367"/>
      <c r="CB28" s="97"/>
      <c r="CC28" s="97"/>
      <c r="CD28" s="97"/>
      <c r="CE28" s="97"/>
      <c r="CF28" s="97"/>
      <c r="CG28" s="97"/>
      <c r="CH28" s="97"/>
      <c r="CI28" s="101"/>
    </row>
    <row r="29" spans="1:87">
      <c r="A29" s="309"/>
      <c r="B29" s="1689"/>
      <c r="C29" s="208"/>
      <c r="D29" s="208"/>
      <c r="E29" s="61"/>
      <c r="F29" s="209"/>
      <c r="G29" s="61"/>
      <c r="H29" s="61"/>
      <c r="I29" s="210"/>
      <c r="J29" s="61"/>
      <c r="K29" s="365"/>
      <c r="L29" s="103">
        <f t="shared" si="38"/>
        <v>0</v>
      </c>
      <c r="M29" s="63" t="str">
        <f t="shared" si="37"/>
        <v/>
      </c>
      <c r="N29" s="104">
        <f t="shared" si="32"/>
        <v>0</v>
      </c>
      <c r="O29" s="104">
        <f t="shared" ca="1" si="33"/>
        <v>0</v>
      </c>
      <c r="P29" s="105">
        <f t="shared" ca="1" si="34"/>
        <v>0</v>
      </c>
      <c r="Q29" s="35"/>
      <c r="R29" s="106">
        <f t="shared" si="39"/>
        <v>0</v>
      </c>
      <c r="S29" s="104">
        <f>K29*H29*12</f>
        <v>0</v>
      </c>
      <c r="T29" s="156">
        <f t="shared" si="3"/>
        <v>0</v>
      </c>
      <c r="U29" s="105">
        <f t="shared" si="40"/>
        <v>0</v>
      </c>
      <c r="V29" s="35"/>
      <c r="W29" s="1228"/>
      <c r="X29" s="1228"/>
      <c r="Y29" s="366"/>
      <c r="Z29" s="98"/>
      <c r="AA29" s="98">
        <f t="shared" si="41"/>
        <v>-10</v>
      </c>
      <c r="AB29" s="101">
        <f t="shared" si="42"/>
        <v>0</v>
      </c>
      <c r="AC29" s="101">
        <f t="shared" ca="1" si="36"/>
        <v>0</v>
      </c>
      <c r="AD29" s="101" t="b">
        <f t="shared" si="43"/>
        <v>0</v>
      </c>
      <c r="AE29" s="101">
        <f t="shared" si="44"/>
        <v>0</v>
      </c>
      <c r="AF29" s="101">
        <f t="shared" si="44"/>
        <v>0</v>
      </c>
      <c r="AG29" s="101">
        <f t="shared" si="44"/>
        <v>0</v>
      </c>
      <c r="AH29" s="101">
        <f t="shared" si="44"/>
        <v>0</v>
      </c>
      <c r="AI29" s="101">
        <f t="shared" si="44"/>
        <v>0</v>
      </c>
      <c r="AJ29" s="101">
        <f t="shared" si="44"/>
        <v>0</v>
      </c>
      <c r="AK29" s="101">
        <f t="shared" si="44"/>
        <v>0</v>
      </c>
      <c r="AL29" s="1498">
        <f t="shared" si="45"/>
        <v>0</v>
      </c>
      <c r="AM29" s="1498">
        <f t="shared" si="46"/>
        <v>0</v>
      </c>
      <c r="AN29" s="1498">
        <f t="shared" si="47"/>
        <v>0</v>
      </c>
      <c r="AO29" s="1498">
        <f t="shared" si="48"/>
        <v>0</v>
      </c>
      <c r="AP29" s="1498">
        <f t="shared" si="49"/>
        <v>0</v>
      </c>
      <c r="AQ29" s="1498">
        <f t="shared" si="50"/>
        <v>0</v>
      </c>
      <c r="AR29" s="1498">
        <f t="shared" si="51"/>
        <v>0</v>
      </c>
      <c r="AS29" s="101" t="b">
        <f t="shared" si="52"/>
        <v>0</v>
      </c>
      <c r="AT29" s="101">
        <f t="shared" si="53"/>
        <v>0</v>
      </c>
      <c r="AU29" s="1498">
        <f t="shared" si="54"/>
        <v>0</v>
      </c>
      <c r="AV29" s="101" t="b">
        <f t="shared" si="55"/>
        <v>0</v>
      </c>
      <c r="AW29" s="101">
        <f t="shared" si="56"/>
        <v>0</v>
      </c>
      <c r="AX29" s="1498">
        <f t="shared" si="21"/>
        <v>0</v>
      </c>
      <c r="AY29" s="101" t="b">
        <f t="shared" si="57"/>
        <v>0</v>
      </c>
      <c r="AZ29" s="101">
        <f t="shared" si="58"/>
        <v>0</v>
      </c>
      <c r="BA29" s="1498">
        <f t="shared" si="24"/>
        <v>0</v>
      </c>
      <c r="BB29" s="101" t="b">
        <f t="shared" si="25"/>
        <v>0</v>
      </c>
      <c r="BC29" s="101">
        <f t="shared" si="59"/>
        <v>0</v>
      </c>
      <c r="BD29" s="101" t="b">
        <f t="shared" si="27"/>
        <v>0</v>
      </c>
      <c r="BE29" s="101">
        <f t="shared" si="60"/>
        <v>0</v>
      </c>
      <c r="BF29" s="101" t="b">
        <f t="shared" si="61"/>
        <v>0</v>
      </c>
      <c r="BG29" s="101">
        <f t="shared" si="62"/>
        <v>0</v>
      </c>
      <c r="BH29" s="101">
        <f>IF(OR(I29='Dropdown Lists'!$I$3,'11. Unit Mix'!J29='Dropdown Lists'!$W$3),H29,0)</f>
        <v>0</v>
      </c>
      <c r="BI29" s="367"/>
      <c r="BJ29" s="367"/>
      <c r="BK29" s="367"/>
      <c r="BL29" s="367"/>
      <c r="BM29" s="367"/>
      <c r="BN29" s="367"/>
      <c r="BO29" s="367"/>
      <c r="BP29" s="367"/>
      <c r="BQ29" s="367"/>
      <c r="BR29" s="367"/>
      <c r="BS29" s="367"/>
      <c r="BT29" s="367"/>
      <c r="BU29" s="367"/>
      <c r="BV29" s="367"/>
      <c r="BW29" s="367"/>
      <c r="BX29" s="367"/>
      <c r="BY29" s="367"/>
      <c r="BZ29" s="367"/>
      <c r="CA29" s="367"/>
      <c r="CB29" s="97"/>
      <c r="CC29" s="97"/>
      <c r="CD29" s="97"/>
      <c r="CE29" s="97"/>
      <c r="CF29" s="97"/>
      <c r="CG29" s="97"/>
      <c r="CH29" s="97"/>
      <c r="CI29" s="101"/>
    </row>
    <row r="30" spans="1:87">
      <c r="A30" s="309"/>
      <c r="B30" s="1689"/>
      <c r="C30" s="208"/>
      <c r="D30" s="208"/>
      <c r="E30" s="61"/>
      <c r="F30" s="209"/>
      <c r="G30" s="61"/>
      <c r="H30" s="61"/>
      <c r="I30" s="210"/>
      <c r="J30" s="61"/>
      <c r="K30" s="365"/>
      <c r="L30" s="103">
        <f t="shared" si="38"/>
        <v>0</v>
      </c>
      <c r="M30" s="63" t="str">
        <f t="shared" si="37"/>
        <v/>
      </c>
      <c r="N30" s="104">
        <f t="shared" si="32"/>
        <v>0</v>
      </c>
      <c r="O30" s="104">
        <f t="shared" ca="1" si="33"/>
        <v>0</v>
      </c>
      <c r="P30" s="105">
        <f t="shared" ca="1" si="34"/>
        <v>0</v>
      </c>
      <c r="Q30" s="35"/>
      <c r="R30" s="106">
        <f t="shared" si="39"/>
        <v>0</v>
      </c>
      <c r="S30" s="104">
        <f t="shared" ref="S30:S65" si="63">K30*H30*12</f>
        <v>0</v>
      </c>
      <c r="T30" s="156">
        <f t="shared" si="3"/>
        <v>0</v>
      </c>
      <c r="U30" s="105">
        <f t="shared" si="40"/>
        <v>0</v>
      </c>
      <c r="V30" s="35"/>
      <c r="W30" s="1228"/>
      <c r="X30" s="1228"/>
      <c r="Y30" s="366"/>
      <c r="Z30" s="98"/>
      <c r="AA30" s="98">
        <f t="shared" si="41"/>
        <v>-10</v>
      </c>
      <c r="AB30" s="101">
        <f t="shared" si="42"/>
        <v>0</v>
      </c>
      <c r="AC30" s="101">
        <f t="shared" ca="1" si="36"/>
        <v>0</v>
      </c>
      <c r="AD30" s="101" t="b">
        <f t="shared" si="43"/>
        <v>0</v>
      </c>
      <c r="AE30" s="101">
        <f t="shared" si="44"/>
        <v>0</v>
      </c>
      <c r="AF30" s="101">
        <f t="shared" si="44"/>
        <v>0</v>
      </c>
      <c r="AG30" s="101">
        <f t="shared" si="44"/>
        <v>0</v>
      </c>
      <c r="AH30" s="101">
        <f t="shared" si="44"/>
        <v>0</v>
      </c>
      <c r="AI30" s="101">
        <f t="shared" si="44"/>
        <v>0</v>
      </c>
      <c r="AJ30" s="101">
        <f t="shared" si="44"/>
        <v>0</v>
      </c>
      <c r="AK30" s="101">
        <f t="shared" si="44"/>
        <v>0</v>
      </c>
      <c r="AL30" s="1498">
        <f t="shared" si="45"/>
        <v>0</v>
      </c>
      <c r="AM30" s="1498">
        <f t="shared" si="46"/>
        <v>0</v>
      </c>
      <c r="AN30" s="1498">
        <f t="shared" si="47"/>
        <v>0</v>
      </c>
      <c r="AO30" s="1498">
        <f t="shared" si="48"/>
        <v>0</v>
      </c>
      <c r="AP30" s="1498">
        <f t="shared" si="49"/>
        <v>0</v>
      </c>
      <c r="AQ30" s="1498">
        <f t="shared" si="50"/>
        <v>0</v>
      </c>
      <c r="AR30" s="1498">
        <f t="shared" si="51"/>
        <v>0</v>
      </c>
      <c r="AS30" s="101" t="b">
        <f t="shared" si="52"/>
        <v>0</v>
      </c>
      <c r="AT30" s="101">
        <f t="shared" si="53"/>
        <v>0</v>
      </c>
      <c r="AU30" s="1498">
        <f t="shared" si="54"/>
        <v>0</v>
      </c>
      <c r="AV30" s="101" t="b">
        <f t="shared" si="55"/>
        <v>0</v>
      </c>
      <c r="AW30" s="101">
        <f t="shared" si="56"/>
        <v>0</v>
      </c>
      <c r="AX30" s="1498">
        <f t="shared" si="21"/>
        <v>0</v>
      </c>
      <c r="AY30" s="101" t="b">
        <f t="shared" si="57"/>
        <v>0</v>
      </c>
      <c r="AZ30" s="101">
        <f t="shared" si="58"/>
        <v>0</v>
      </c>
      <c r="BA30" s="1498">
        <f t="shared" si="24"/>
        <v>0</v>
      </c>
      <c r="BB30" s="101" t="b">
        <f t="shared" si="25"/>
        <v>0</v>
      </c>
      <c r="BC30" s="101">
        <f t="shared" si="59"/>
        <v>0</v>
      </c>
      <c r="BD30" s="101" t="b">
        <f t="shared" si="27"/>
        <v>0</v>
      </c>
      <c r="BE30" s="101">
        <f t="shared" si="60"/>
        <v>0</v>
      </c>
      <c r="BF30" s="101" t="b">
        <f t="shared" si="61"/>
        <v>0</v>
      </c>
      <c r="BG30" s="101">
        <f t="shared" si="62"/>
        <v>0</v>
      </c>
      <c r="BH30" s="101">
        <f>IF(OR(I30='Dropdown Lists'!$I$3,'11. Unit Mix'!J30='Dropdown Lists'!$W$3),H30,0)</f>
        <v>0</v>
      </c>
      <c r="BI30" s="367"/>
      <c r="BJ30" s="367"/>
      <c r="BK30" s="367"/>
      <c r="BL30" s="367"/>
      <c r="BM30" s="367"/>
      <c r="BN30" s="367"/>
      <c r="BO30" s="367"/>
      <c r="BP30" s="367"/>
      <c r="BQ30" s="367"/>
      <c r="BR30" s="367"/>
      <c r="BS30" s="367"/>
      <c r="BT30" s="367"/>
      <c r="BU30" s="367"/>
      <c r="BV30" s="367"/>
      <c r="BW30" s="367"/>
      <c r="BX30" s="367"/>
      <c r="BY30" s="367"/>
      <c r="BZ30" s="367"/>
      <c r="CA30" s="367"/>
      <c r="CB30" s="97"/>
      <c r="CC30" s="97"/>
      <c r="CD30" s="97"/>
      <c r="CE30" s="97"/>
      <c r="CF30" s="97"/>
      <c r="CG30" s="97"/>
      <c r="CH30" s="97"/>
      <c r="CI30" s="101"/>
    </row>
    <row r="31" spans="1:87">
      <c r="A31" s="309"/>
      <c r="B31" s="1689"/>
      <c r="C31" s="208"/>
      <c r="D31" s="208"/>
      <c r="E31" s="61"/>
      <c r="F31" s="209"/>
      <c r="G31" s="61"/>
      <c r="H31" s="61"/>
      <c r="I31" s="210"/>
      <c r="J31" s="61"/>
      <c r="K31" s="365"/>
      <c r="L31" s="103">
        <f t="shared" si="38"/>
        <v>0</v>
      </c>
      <c r="M31" s="63" t="str">
        <f t="shared" si="37"/>
        <v/>
      </c>
      <c r="N31" s="104">
        <f t="shared" si="32"/>
        <v>0</v>
      </c>
      <c r="O31" s="104">
        <f t="shared" ca="1" si="33"/>
        <v>0</v>
      </c>
      <c r="P31" s="105">
        <f t="shared" ca="1" si="34"/>
        <v>0</v>
      </c>
      <c r="Q31" s="35"/>
      <c r="R31" s="106">
        <f t="shared" si="39"/>
        <v>0</v>
      </c>
      <c r="S31" s="104">
        <f t="shared" si="63"/>
        <v>0</v>
      </c>
      <c r="T31" s="156">
        <f t="shared" si="3"/>
        <v>0</v>
      </c>
      <c r="U31" s="105">
        <f t="shared" si="40"/>
        <v>0</v>
      </c>
      <c r="V31" s="35"/>
      <c r="W31" s="1228"/>
      <c r="X31" s="1228"/>
      <c r="Y31" s="366"/>
      <c r="Z31" s="98"/>
      <c r="AA31" s="98">
        <f t="shared" si="41"/>
        <v>-10</v>
      </c>
      <c r="AB31" s="101">
        <f t="shared" si="42"/>
        <v>0</v>
      </c>
      <c r="AC31" s="101">
        <f t="shared" ca="1" si="36"/>
        <v>0</v>
      </c>
      <c r="AD31" s="101" t="b">
        <f t="shared" si="43"/>
        <v>0</v>
      </c>
      <c r="AE31" s="101">
        <f t="shared" si="44"/>
        <v>0</v>
      </c>
      <c r="AF31" s="101">
        <f t="shared" si="44"/>
        <v>0</v>
      </c>
      <c r="AG31" s="101">
        <f t="shared" si="44"/>
        <v>0</v>
      </c>
      <c r="AH31" s="101">
        <f t="shared" si="44"/>
        <v>0</v>
      </c>
      <c r="AI31" s="101">
        <f t="shared" si="44"/>
        <v>0</v>
      </c>
      <c r="AJ31" s="101">
        <f t="shared" si="44"/>
        <v>0</v>
      </c>
      <c r="AK31" s="101">
        <f t="shared" si="44"/>
        <v>0</v>
      </c>
      <c r="AL31" s="1498">
        <f t="shared" si="45"/>
        <v>0</v>
      </c>
      <c r="AM31" s="1498">
        <f t="shared" si="46"/>
        <v>0</v>
      </c>
      <c r="AN31" s="1498">
        <f t="shared" si="47"/>
        <v>0</v>
      </c>
      <c r="AO31" s="1498">
        <f t="shared" si="48"/>
        <v>0</v>
      </c>
      <c r="AP31" s="1498">
        <f t="shared" si="49"/>
        <v>0</v>
      </c>
      <c r="AQ31" s="1498">
        <f t="shared" si="50"/>
        <v>0</v>
      </c>
      <c r="AR31" s="1498">
        <f t="shared" si="51"/>
        <v>0</v>
      </c>
      <c r="AS31" s="101" t="b">
        <f t="shared" si="52"/>
        <v>0</v>
      </c>
      <c r="AT31" s="101">
        <f t="shared" si="53"/>
        <v>0</v>
      </c>
      <c r="AU31" s="1498">
        <f t="shared" si="54"/>
        <v>0</v>
      </c>
      <c r="AV31" s="101" t="b">
        <f t="shared" si="55"/>
        <v>0</v>
      </c>
      <c r="AW31" s="101">
        <f t="shared" si="56"/>
        <v>0</v>
      </c>
      <c r="AX31" s="1498">
        <f t="shared" si="21"/>
        <v>0</v>
      </c>
      <c r="AY31" s="101" t="b">
        <f t="shared" si="57"/>
        <v>0</v>
      </c>
      <c r="AZ31" s="101">
        <f t="shared" si="58"/>
        <v>0</v>
      </c>
      <c r="BA31" s="1498">
        <f t="shared" si="24"/>
        <v>0</v>
      </c>
      <c r="BB31" s="101" t="b">
        <f t="shared" si="25"/>
        <v>0</v>
      </c>
      <c r="BC31" s="101">
        <f t="shared" si="59"/>
        <v>0</v>
      </c>
      <c r="BD31" s="101" t="b">
        <f t="shared" si="27"/>
        <v>0</v>
      </c>
      <c r="BE31" s="101">
        <f t="shared" si="60"/>
        <v>0</v>
      </c>
      <c r="BF31" s="101" t="b">
        <f t="shared" si="61"/>
        <v>0</v>
      </c>
      <c r="BG31" s="101">
        <f t="shared" si="62"/>
        <v>0</v>
      </c>
      <c r="BH31" s="101">
        <f>IF(OR(I31='Dropdown Lists'!$I$3,'11. Unit Mix'!J31='Dropdown Lists'!$W$3),H31,0)</f>
        <v>0</v>
      </c>
      <c r="BI31" s="367"/>
      <c r="BJ31" s="367"/>
      <c r="BK31" s="367"/>
      <c r="BL31" s="367"/>
      <c r="BM31" s="367"/>
      <c r="BN31" s="367"/>
      <c r="BO31" s="367"/>
      <c r="BP31" s="367"/>
      <c r="BQ31" s="367"/>
      <c r="BR31" s="367"/>
      <c r="BS31" s="367"/>
      <c r="BT31" s="367"/>
      <c r="BU31" s="367"/>
      <c r="BV31" s="367"/>
      <c r="BW31" s="367"/>
      <c r="BX31" s="367"/>
      <c r="BY31" s="367"/>
      <c r="BZ31" s="367"/>
      <c r="CA31" s="367"/>
      <c r="CB31" s="97"/>
      <c r="CC31" s="97"/>
      <c r="CD31" s="97"/>
      <c r="CE31" s="97"/>
      <c r="CF31" s="97"/>
      <c r="CG31" s="97"/>
      <c r="CH31" s="97"/>
      <c r="CI31" s="101"/>
    </row>
    <row r="32" spans="1:87">
      <c r="A32" s="309"/>
      <c r="B32" s="1689"/>
      <c r="C32" s="208"/>
      <c r="D32" s="208"/>
      <c r="E32" s="61"/>
      <c r="F32" s="209"/>
      <c r="G32" s="61"/>
      <c r="H32" s="61"/>
      <c r="I32" s="210"/>
      <c r="J32" s="61"/>
      <c r="K32" s="365"/>
      <c r="L32" s="103">
        <f t="shared" si="38"/>
        <v>0</v>
      </c>
      <c r="M32" s="63" t="str">
        <f t="shared" si="37"/>
        <v/>
      </c>
      <c r="N32" s="104">
        <f t="shared" si="32"/>
        <v>0</v>
      </c>
      <c r="O32" s="104">
        <f t="shared" ca="1" si="33"/>
        <v>0</v>
      </c>
      <c r="P32" s="105">
        <f t="shared" ca="1" si="34"/>
        <v>0</v>
      </c>
      <c r="Q32" s="35"/>
      <c r="R32" s="106">
        <f t="shared" si="39"/>
        <v>0</v>
      </c>
      <c r="S32" s="104">
        <f t="shared" si="63"/>
        <v>0</v>
      </c>
      <c r="T32" s="156">
        <f t="shared" si="3"/>
        <v>0</v>
      </c>
      <c r="U32" s="105">
        <f t="shared" si="40"/>
        <v>0</v>
      </c>
      <c r="V32" s="35"/>
      <c r="W32" s="1228"/>
      <c r="X32" s="1228"/>
      <c r="Y32" s="366"/>
      <c r="Z32" s="98"/>
      <c r="AA32" s="98">
        <f t="shared" si="41"/>
        <v>-10</v>
      </c>
      <c r="AB32" s="101">
        <f t="shared" si="42"/>
        <v>0</v>
      </c>
      <c r="AC32" s="101">
        <f t="shared" ca="1" si="36"/>
        <v>0</v>
      </c>
      <c r="AD32" s="101" t="b">
        <f t="shared" si="43"/>
        <v>0</v>
      </c>
      <c r="AE32" s="101">
        <f t="shared" si="44"/>
        <v>0</v>
      </c>
      <c r="AF32" s="101">
        <f t="shared" si="44"/>
        <v>0</v>
      </c>
      <c r="AG32" s="101">
        <f t="shared" si="44"/>
        <v>0</v>
      </c>
      <c r="AH32" s="101">
        <f t="shared" si="44"/>
        <v>0</v>
      </c>
      <c r="AI32" s="101">
        <f t="shared" si="44"/>
        <v>0</v>
      </c>
      <c r="AJ32" s="101">
        <f t="shared" si="44"/>
        <v>0</v>
      </c>
      <c r="AK32" s="101">
        <f t="shared" si="44"/>
        <v>0</v>
      </c>
      <c r="AL32" s="1498">
        <f t="shared" si="45"/>
        <v>0</v>
      </c>
      <c r="AM32" s="1498">
        <f t="shared" si="46"/>
        <v>0</v>
      </c>
      <c r="AN32" s="1498">
        <f t="shared" si="47"/>
        <v>0</v>
      </c>
      <c r="AO32" s="1498">
        <f t="shared" si="48"/>
        <v>0</v>
      </c>
      <c r="AP32" s="1498">
        <f t="shared" si="49"/>
        <v>0</v>
      </c>
      <c r="AQ32" s="1498">
        <f t="shared" si="50"/>
        <v>0</v>
      </c>
      <c r="AR32" s="1498">
        <f t="shared" si="51"/>
        <v>0</v>
      </c>
      <c r="AS32" s="101" t="b">
        <f t="shared" si="52"/>
        <v>0</v>
      </c>
      <c r="AT32" s="101">
        <f t="shared" si="53"/>
        <v>0</v>
      </c>
      <c r="AU32" s="1498">
        <f t="shared" si="54"/>
        <v>0</v>
      </c>
      <c r="AV32" s="101" t="b">
        <f t="shared" si="55"/>
        <v>0</v>
      </c>
      <c r="AW32" s="101">
        <f t="shared" si="56"/>
        <v>0</v>
      </c>
      <c r="AX32" s="1498">
        <f t="shared" si="21"/>
        <v>0</v>
      </c>
      <c r="AY32" s="101" t="b">
        <f t="shared" si="57"/>
        <v>0</v>
      </c>
      <c r="AZ32" s="101">
        <f t="shared" si="58"/>
        <v>0</v>
      </c>
      <c r="BA32" s="1498">
        <f t="shared" si="24"/>
        <v>0</v>
      </c>
      <c r="BB32" s="101" t="b">
        <f t="shared" si="25"/>
        <v>0</v>
      </c>
      <c r="BC32" s="101">
        <f t="shared" si="59"/>
        <v>0</v>
      </c>
      <c r="BD32" s="101" t="b">
        <f t="shared" si="27"/>
        <v>0</v>
      </c>
      <c r="BE32" s="101">
        <f t="shared" si="60"/>
        <v>0</v>
      </c>
      <c r="BF32" s="101" t="b">
        <f t="shared" si="61"/>
        <v>0</v>
      </c>
      <c r="BG32" s="101">
        <f t="shared" si="62"/>
        <v>0</v>
      </c>
      <c r="BH32" s="101">
        <f>IF(OR(I32='Dropdown Lists'!$I$3,'11. Unit Mix'!J32='Dropdown Lists'!$W$3),H32,0)</f>
        <v>0</v>
      </c>
      <c r="BI32" s="367"/>
      <c r="BJ32" s="367"/>
      <c r="BK32" s="367"/>
      <c r="BL32" s="367"/>
      <c r="BM32" s="367"/>
      <c r="BN32" s="367"/>
      <c r="BO32" s="367"/>
      <c r="BP32" s="367"/>
      <c r="BQ32" s="367"/>
      <c r="BR32" s="367"/>
      <c r="BS32" s="367"/>
      <c r="BT32" s="367"/>
      <c r="BU32" s="367"/>
      <c r="BV32" s="367"/>
      <c r="BW32" s="367"/>
      <c r="BX32" s="367"/>
      <c r="BY32" s="367"/>
      <c r="BZ32" s="367"/>
      <c r="CA32" s="367"/>
      <c r="CB32" s="97"/>
      <c r="CC32" s="97"/>
      <c r="CD32" s="97"/>
      <c r="CE32" s="97"/>
      <c r="CF32" s="97"/>
      <c r="CG32" s="97"/>
      <c r="CH32" s="97"/>
      <c r="CI32" s="101"/>
    </row>
    <row r="33" spans="1:87">
      <c r="A33" s="309"/>
      <c r="B33" s="1689"/>
      <c r="C33" s="208"/>
      <c r="D33" s="208"/>
      <c r="E33" s="61"/>
      <c r="F33" s="209"/>
      <c r="G33" s="61"/>
      <c r="H33" s="61"/>
      <c r="I33" s="210"/>
      <c r="J33" s="61"/>
      <c r="K33" s="365"/>
      <c r="L33" s="103">
        <f t="shared" si="38"/>
        <v>0</v>
      </c>
      <c r="M33" s="63" t="str">
        <f t="shared" si="37"/>
        <v/>
      </c>
      <c r="N33" s="104">
        <f t="shared" si="32"/>
        <v>0</v>
      </c>
      <c r="O33" s="104">
        <f t="shared" ca="1" si="33"/>
        <v>0</v>
      </c>
      <c r="P33" s="105">
        <f t="shared" ca="1" si="34"/>
        <v>0</v>
      </c>
      <c r="Q33" s="35"/>
      <c r="R33" s="106">
        <f t="shared" si="39"/>
        <v>0</v>
      </c>
      <c r="S33" s="104">
        <f t="shared" si="63"/>
        <v>0</v>
      </c>
      <c r="T33" s="156">
        <f t="shared" si="3"/>
        <v>0</v>
      </c>
      <c r="U33" s="105">
        <f t="shared" si="40"/>
        <v>0</v>
      </c>
      <c r="V33" s="35"/>
      <c r="W33" s="1228"/>
      <c r="X33" s="1228"/>
      <c r="Y33" s="366"/>
      <c r="Z33" s="98"/>
      <c r="AA33" s="98">
        <f t="shared" si="41"/>
        <v>-10</v>
      </c>
      <c r="AB33" s="101">
        <f t="shared" si="42"/>
        <v>0</v>
      </c>
      <c r="AC33" s="101">
        <f t="shared" ca="1" si="36"/>
        <v>0</v>
      </c>
      <c r="AD33" s="101" t="b">
        <f t="shared" si="43"/>
        <v>0</v>
      </c>
      <c r="AE33" s="101">
        <f t="shared" si="44"/>
        <v>0</v>
      </c>
      <c r="AF33" s="101">
        <f t="shared" si="44"/>
        <v>0</v>
      </c>
      <c r="AG33" s="101">
        <f t="shared" si="44"/>
        <v>0</v>
      </c>
      <c r="AH33" s="101">
        <f t="shared" si="44"/>
        <v>0</v>
      </c>
      <c r="AI33" s="101">
        <f t="shared" si="44"/>
        <v>0</v>
      </c>
      <c r="AJ33" s="101">
        <f t="shared" si="44"/>
        <v>0</v>
      </c>
      <c r="AK33" s="101">
        <f t="shared" si="44"/>
        <v>0</v>
      </c>
      <c r="AL33" s="1498">
        <f t="shared" si="45"/>
        <v>0</v>
      </c>
      <c r="AM33" s="1498">
        <f t="shared" si="46"/>
        <v>0</v>
      </c>
      <c r="AN33" s="1498">
        <f t="shared" si="47"/>
        <v>0</v>
      </c>
      <c r="AO33" s="1498">
        <f t="shared" si="48"/>
        <v>0</v>
      </c>
      <c r="AP33" s="1498">
        <f t="shared" si="49"/>
        <v>0</v>
      </c>
      <c r="AQ33" s="1498">
        <f t="shared" si="50"/>
        <v>0</v>
      </c>
      <c r="AR33" s="1498">
        <f t="shared" si="51"/>
        <v>0</v>
      </c>
      <c r="AS33" s="101" t="b">
        <f t="shared" si="52"/>
        <v>0</v>
      </c>
      <c r="AT33" s="101">
        <f t="shared" si="53"/>
        <v>0</v>
      </c>
      <c r="AU33" s="1498">
        <f t="shared" si="54"/>
        <v>0</v>
      </c>
      <c r="AV33" s="101" t="b">
        <f t="shared" si="55"/>
        <v>0</v>
      </c>
      <c r="AW33" s="101">
        <f t="shared" si="56"/>
        <v>0</v>
      </c>
      <c r="AX33" s="1498">
        <f t="shared" si="21"/>
        <v>0</v>
      </c>
      <c r="AY33" s="101" t="b">
        <f t="shared" si="57"/>
        <v>0</v>
      </c>
      <c r="AZ33" s="101">
        <f t="shared" si="58"/>
        <v>0</v>
      </c>
      <c r="BA33" s="1498">
        <f t="shared" si="24"/>
        <v>0</v>
      </c>
      <c r="BB33" s="101" t="b">
        <f t="shared" si="25"/>
        <v>0</v>
      </c>
      <c r="BC33" s="101">
        <f t="shared" si="59"/>
        <v>0</v>
      </c>
      <c r="BD33" s="101" t="b">
        <f t="shared" si="27"/>
        <v>0</v>
      </c>
      <c r="BE33" s="101">
        <f t="shared" si="60"/>
        <v>0</v>
      </c>
      <c r="BF33" s="101" t="b">
        <f t="shared" si="61"/>
        <v>0</v>
      </c>
      <c r="BG33" s="101">
        <f t="shared" si="62"/>
        <v>0</v>
      </c>
      <c r="BH33" s="101">
        <f>IF(OR(I33='Dropdown Lists'!$I$3,'11. Unit Mix'!J33='Dropdown Lists'!$W$3),H33,0)</f>
        <v>0</v>
      </c>
      <c r="BI33" s="367"/>
      <c r="BJ33" s="367"/>
      <c r="BK33" s="367"/>
      <c r="BL33" s="367"/>
      <c r="BM33" s="367"/>
      <c r="BN33" s="367"/>
      <c r="BO33" s="367"/>
      <c r="BP33" s="367"/>
      <c r="BQ33" s="367"/>
      <c r="BR33" s="367"/>
      <c r="BS33" s="367"/>
      <c r="BT33" s="367"/>
      <c r="BU33" s="367"/>
      <c r="BV33" s="367"/>
      <c r="BW33" s="367"/>
      <c r="BX33" s="367"/>
      <c r="BY33" s="367"/>
      <c r="BZ33" s="367"/>
      <c r="CA33" s="367"/>
      <c r="CB33" s="97"/>
      <c r="CC33" s="97"/>
      <c r="CD33" s="97"/>
      <c r="CE33" s="97"/>
      <c r="CF33" s="97"/>
      <c r="CG33" s="97"/>
      <c r="CH33" s="97"/>
      <c r="CI33" s="101"/>
    </row>
    <row r="34" spans="1:87">
      <c r="A34" s="309"/>
      <c r="B34" s="1689"/>
      <c r="C34" s="208"/>
      <c r="D34" s="208"/>
      <c r="E34" s="61"/>
      <c r="F34" s="209"/>
      <c r="G34" s="61"/>
      <c r="H34" s="61"/>
      <c r="I34" s="210"/>
      <c r="J34" s="61"/>
      <c r="K34" s="365"/>
      <c r="L34" s="103">
        <f t="shared" si="38"/>
        <v>0</v>
      </c>
      <c r="M34" s="63" t="str">
        <f t="shared" si="37"/>
        <v/>
      </c>
      <c r="N34" s="104">
        <f t="shared" si="32"/>
        <v>0</v>
      </c>
      <c r="O34" s="104">
        <f t="shared" ca="1" si="33"/>
        <v>0</v>
      </c>
      <c r="P34" s="105">
        <f t="shared" ca="1" si="34"/>
        <v>0</v>
      </c>
      <c r="Q34" s="35"/>
      <c r="R34" s="106">
        <f t="shared" si="39"/>
        <v>0</v>
      </c>
      <c r="S34" s="104">
        <f t="shared" si="63"/>
        <v>0</v>
      </c>
      <c r="T34" s="156">
        <f t="shared" si="3"/>
        <v>0</v>
      </c>
      <c r="U34" s="105">
        <f t="shared" si="40"/>
        <v>0</v>
      </c>
      <c r="V34" s="35"/>
      <c r="W34" s="1228"/>
      <c r="X34" s="1228"/>
      <c r="Y34" s="366"/>
      <c r="Z34" s="98"/>
      <c r="AA34" s="98">
        <f t="shared" si="41"/>
        <v>-10</v>
      </c>
      <c r="AB34" s="101">
        <f t="shared" si="42"/>
        <v>0</v>
      </c>
      <c r="AC34" s="101">
        <f t="shared" ca="1" si="36"/>
        <v>0</v>
      </c>
      <c r="AD34" s="101" t="b">
        <f t="shared" si="43"/>
        <v>0</v>
      </c>
      <c r="AE34" s="101">
        <f t="shared" si="44"/>
        <v>0</v>
      </c>
      <c r="AF34" s="101">
        <f t="shared" si="44"/>
        <v>0</v>
      </c>
      <c r="AG34" s="101">
        <f t="shared" si="44"/>
        <v>0</v>
      </c>
      <c r="AH34" s="101">
        <f t="shared" si="44"/>
        <v>0</v>
      </c>
      <c r="AI34" s="101">
        <f t="shared" si="44"/>
        <v>0</v>
      </c>
      <c r="AJ34" s="101">
        <f t="shared" si="44"/>
        <v>0</v>
      </c>
      <c r="AK34" s="101">
        <f t="shared" si="44"/>
        <v>0</v>
      </c>
      <c r="AL34" s="1498">
        <f t="shared" si="45"/>
        <v>0</v>
      </c>
      <c r="AM34" s="1498">
        <f t="shared" si="46"/>
        <v>0</v>
      </c>
      <c r="AN34" s="1498">
        <f t="shared" si="47"/>
        <v>0</v>
      </c>
      <c r="AO34" s="1498">
        <f t="shared" si="48"/>
        <v>0</v>
      </c>
      <c r="AP34" s="1498">
        <f t="shared" si="49"/>
        <v>0</v>
      </c>
      <c r="AQ34" s="1498">
        <f t="shared" si="50"/>
        <v>0</v>
      </c>
      <c r="AR34" s="1498">
        <f t="shared" si="51"/>
        <v>0</v>
      </c>
      <c r="AS34" s="101" t="b">
        <f t="shared" si="52"/>
        <v>0</v>
      </c>
      <c r="AT34" s="101">
        <f t="shared" si="53"/>
        <v>0</v>
      </c>
      <c r="AU34" s="1498">
        <f t="shared" si="54"/>
        <v>0</v>
      </c>
      <c r="AV34" s="101" t="b">
        <f t="shared" si="55"/>
        <v>0</v>
      </c>
      <c r="AW34" s="101">
        <f t="shared" si="56"/>
        <v>0</v>
      </c>
      <c r="AX34" s="1498">
        <f t="shared" si="21"/>
        <v>0</v>
      </c>
      <c r="AY34" s="101" t="b">
        <f t="shared" si="57"/>
        <v>0</v>
      </c>
      <c r="AZ34" s="101">
        <f t="shared" si="58"/>
        <v>0</v>
      </c>
      <c r="BA34" s="1498">
        <f t="shared" si="24"/>
        <v>0</v>
      </c>
      <c r="BB34" s="101" t="b">
        <f t="shared" si="25"/>
        <v>0</v>
      </c>
      <c r="BC34" s="101">
        <f t="shared" si="59"/>
        <v>0</v>
      </c>
      <c r="BD34" s="101" t="b">
        <f t="shared" si="27"/>
        <v>0</v>
      </c>
      <c r="BE34" s="101">
        <f t="shared" si="60"/>
        <v>0</v>
      </c>
      <c r="BF34" s="101" t="b">
        <f t="shared" si="61"/>
        <v>0</v>
      </c>
      <c r="BG34" s="101">
        <f t="shared" si="62"/>
        <v>0</v>
      </c>
      <c r="BH34" s="101">
        <f>IF(OR(I34='Dropdown Lists'!$I$3,'11. Unit Mix'!J34='Dropdown Lists'!$W$3),H34,0)</f>
        <v>0</v>
      </c>
      <c r="BI34" s="367"/>
      <c r="BJ34" s="367"/>
      <c r="BK34" s="367"/>
      <c r="BL34" s="367"/>
      <c r="BM34" s="367"/>
      <c r="BN34" s="367"/>
      <c r="BO34" s="367"/>
      <c r="BP34" s="367"/>
      <c r="BQ34" s="367"/>
      <c r="BR34" s="367"/>
      <c r="BS34" s="367"/>
      <c r="BT34" s="367"/>
      <c r="BU34" s="367"/>
      <c r="BV34" s="367"/>
      <c r="BW34" s="367"/>
      <c r="BX34" s="367"/>
      <c r="BY34" s="367"/>
      <c r="BZ34" s="367"/>
      <c r="CA34" s="367"/>
      <c r="CB34" s="97"/>
      <c r="CC34" s="97"/>
      <c r="CD34" s="97"/>
      <c r="CE34" s="97"/>
      <c r="CF34" s="97"/>
      <c r="CG34" s="97"/>
      <c r="CH34" s="97"/>
      <c r="CI34" s="101"/>
    </row>
    <row r="35" spans="1:87">
      <c r="A35" s="309"/>
      <c r="B35" s="1689"/>
      <c r="C35" s="208"/>
      <c r="D35" s="208"/>
      <c r="E35" s="61"/>
      <c r="F35" s="209"/>
      <c r="G35" s="61"/>
      <c r="H35" s="61"/>
      <c r="I35" s="210"/>
      <c r="J35" s="61"/>
      <c r="K35" s="365"/>
      <c r="L35" s="103">
        <f t="shared" si="38"/>
        <v>0</v>
      </c>
      <c r="M35" s="63" t="str">
        <f t="shared" si="37"/>
        <v/>
      </c>
      <c r="N35" s="104">
        <f t="shared" si="32"/>
        <v>0</v>
      </c>
      <c r="O35" s="104">
        <f t="shared" ca="1" si="33"/>
        <v>0</v>
      </c>
      <c r="P35" s="105">
        <f t="shared" ca="1" si="34"/>
        <v>0</v>
      </c>
      <c r="Q35" s="35"/>
      <c r="R35" s="106">
        <f t="shared" si="39"/>
        <v>0</v>
      </c>
      <c r="S35" s="104">
        <f t="shared" si="63"/>
        <v>0</v>
      </c>
      <c r="T35" s="156">
        <f t="shared" si="3"/>
        <v>0</v>
      </c>
      <c r="U35" s="105">
        <f t="shared" si="40"/>
        <v>0</v>
      </c>
      <c r="V35" s="35"/>
      <c r="W35" s="1228"/>
      <c r="X35" s="1228"/>
      <c r="Y35" s="366"/>
      <c r="Z35" s="98"/>
      <c r="AA35" s="98">
        <f t="shared" si="41"/>
        <v>-10</v>
      </c>
      <c r="AB35" s="101">
        <f t="shared" si="42"/>
        <v>0</v>
      </c>
      <c r="AC35" s="101">
        <f t="shared" ca="1" si="36"/>
        <v>0</v>
      </c>
      <c r="AD35" s="101" t="b">
        <f t="shared" si="43"/>
        <v>0</v>
      </c>
      <c r="AE35" s="101">
        <f t="shared" si="44"/>
        <v>0</v>
      </c>
      <c r="AF35" s="101">
        <f t="shared" si="44"/>
        <v>0</v>
      </c>
      <c r="AG35" s="101">
        <f t="shared" si="44"/>
        <v>0</v>
      </c>
      <c r="AH35" s="101">
        <f t="shared" si="44"/>
        <v>0</v>
      </c>
      <c r="AI35" s="101">
        <f t="shared" si="44"/>
        <v>0</v>
      </c>
      <c r="AJ35" s="101">
        <f t="shared" si="44"/>
        <v>0</v>
      </c>
      <c r="AK35" s="101">
        <f t="shared" si="44"/>
        <v>0</v>
      </c>
      <c r="AL35" s="1498">
        <f t="shared" si="45"/>
        <v>0</v>
      </c>
      <c r="AM35" s="1498">
        <f t="shared" si="46"/>
        <v>0</v>
      </c>
      <c r="AN35" s="1498">
        <f t="shared" si="47"/>
        <v>0</v>
      </c>
      <c r="AO35" s="1498">
        <f t="shared" si="48"/>
        <v>0</v>
      </c>
      <c r="AP35" s="1498">
        <f t="shared" si="49"/>
        <v>0</v>
      </c>
      <c r="AQ35" s="1498">
        <f t="shared" si="50"/>
        <v>0</v>
      </c>
      <c r="AR35" s="1498">
        <f t="shared" si="51"/>
        <v>0</v>
      </c>
      <c r="AS35" s="101" t="b">
        <f t="shared" si="52"/>
        <v>0</v>
      </c>
      <c r="AT35" s="101">
        <f t="shared" si="53"/>
        <v>0</v>
      </c>
      <c r="AU35" s="1498">
        <f t="shared" si="54"/>
        <v>0</v>
      </c>
      <c r="AV35" s="101" t="b">
        <f t="shared" si="55"/>
        <v>0</v>
      </c>
      <c r="AW35" s="101">
        <f t="shared" si="56"/>
        <v>0</v>
      </c>
      <c r="AX35" s="1498">
        <f t="shared" si="21"/>
        <v>0</v>
      </c>
      <c r="AY35" s="101" t="b">
        <f t="shared" si="57"/>
        <v>0</v>
      </c>
      <c r="AZ35" s="101">
        <f t="shared" si="58"/>
        <v>0</v>
      </c>
      <c r="BA35" s="1498">
        <f t="shared" si="24"/>
        <v>0</v>
      </c>
      <c r="BB35" s="101" t="b">
        <f t="shared" si="25"/>
        <v>0</v>
      </c>
      <c r="BC35" s="101">
        <f t="shared" si="59"/>
        <v>0</v>
      </c>
      <c r="BD35" s="101" t="b">
        <f t="shared" si="27"/>
        <v>0</v>
      </c>
      <c r="BE35" s="101">
        <f t="shared" si="60"/>
        <v>0</v>
      </c>
      <c r="BF35" s="101" t="b">
        <f t="shared" si="61"/>
        <v>0</v>
      </c>
      <c r="BG35" s="101">
        <f t="shared" si="62"/>
        <v>0</v>
      </c>
      <c r="BH35" s="101">
        <f>IF(OR(I35='Dropdown Lists'!$I$3,'11. Unit Mix'!J35='Dropdown Lists'!$W$3),H35,0)</f>
        <v>0</v>
      </c>
      <c r="BI35" s="367"/>
      <c r="BJ35" s="367"/>
      <c r="BK35" s="367"/>
      <c r="BL35" s="367"/>
      <c r="BM35" s="367"/>
      <c r="BN35" s="367"/>
      <c r="BO35" s="367"/>
      <c r="BP35" s="367"/>
      <c r="BQ35" s="367"/>
      <c r="BR35" s="367"/>
      <c r="BS35" s="367"/>
      <c r="BT35" s="367"/>
      <c r="BU35" s="367"/>
      <c r="BV35" s="367"/>
      <c r="BW35" s="367"/>
      <c r="BX35" s="367"/>
      <c r="BY35" s="367"/>
      <c r="BZ35" s="367"/>
      <c r="CA35" s="367"/>
      <c r="CB35" s="97"/>
      <c r="CC35" s="97"/>
      <c r="CD35" s="97"/>
      <c r="CE35" s="97"/>
      <c r="CF35" s="97"/>
      <c r="CG35" s="97"/>
      <c r="CH35" s="97"/>
      <c r="CI35" s="101"/>
    </row>
    <row r="36" spans="1:87">
      <c r="A36" s="309"/>
      <c r="B36" s="1689"/>
      <c r="C36" s="208"/>
      <c r="D36" s="208"/>
      <c r="E36" s="61"/>
      <c r="F36" s="209"/>
      <c r="G36" s="61"/>
      <c r="H36" s="61"/>
      <c r="I36" s="210"/>
      <c r="J36" s="61"/>
      <c r="K36" s="365"/>
      <c r="L36" s="103">
        <f t="shared" si="38"/>
        <v>0</v>
      </c>
      <c r="M36" s="63" t="str">
        <f t="shared" si="37"/>
        <v/>
      </c>
      <c r="N36" s="104">
        <f t="shared" si="32"/>
        <v>0</v>
      </c>
      <c r="O36" s="104">
        <f t="shared" ca="1" si="33"/>
        <v>0</v>
      </c>
      <c r="P36" s="105">
        <f t="shared" ca="1" si="34"/>
        <v>0</v>
      </c>
      <c r="Q36" s="35"/>
      <c r="R36" s="106">
        <f t="shared" si="39"/>
        <v>0</v>
      </c>
      <c r="S36" s="104">
        <f t="shared" si="63"/>
        <v>0</v>
      </c>
      <c r="T36" s="156">
        <f t="shared" si="3"/>
        <v>0</v>
      </c>
      <c r="U36" s="105">
        <f t="shared" si="40"/>
        <v>0</v>
      </c>
      <c r="V36" s="35"/>
      <c r="W36" s="1228"/>
      <c r="X36" s="1228"/>
      <c r="Y36" s="366"/>
      <c r="Z36" s="98"/>
      <c r="AA36" s="98">
        <f t="shared" si="41"/>
        <v>-10</v>
      </c>
      <c r="AB36" s="101">
        <f t="shared" si="42"/>
        <v>0</v>
      </c>
      <c r="AC36" s="101">
        <f t="shared" ca="1" si="36"/>
        <v>0</v>
      </c>
      <c r="AD36" s="101" t="b">
        <f t="shared" si="43"/>
        <v>0</v>
      </c>
      <c r="AE36" s="101">
        <f t="shared" ref="AE36:AK45" si="64">IF($I36=AE$15,$H36,0)</f>
        <v>0</v>
      </c>
      <c r="AF36" s="101">
        <f t="shared" si="64"/>
        <v>0</v>
      </c>
      <c r="AG36" s="101">
        <f t="shared" si="64"/>
        <v>0</v>
      </c>
      <c r="AH36" s="101">
        <f t="shared" si="64"/>
        <v>0</v>
      </c>
      <c r="AI36" s="101">
        <f t="shared" si="64"/>
        <v>0</v>
      </c>
      <c r="AJ36" s="101">
        <f t="shared" si="64"/>
        <v>0</v>
      </c>
      <c r="AK36" s="101">
        <f t="shared" si="64"/>
        <v>0</v>
      </c>
      <c r="AL36" s="1498">
        <f t="shared" si="45"/>
        <v>0</v>
      </c>
      <c r="AM36" s="1498">
        <f t="shared" si="46"/>
        <v>0</v>
      </c>
      <c r="AN36" s="1498">
        <f t="shared" si="47"/>
        <v>0</v>
      </c>
      <c r="AO36" s="1498">
        <f t="shared" si="48"/>
        <v>0</v>
      </c>
      <c r="AP36" s="1498">
        <f t="shared" si="49"/>
        <v>0</v>
      </c>
      <c r="AQ36" s="1498">
        <f t="shared" si="50"/>
        <v>0</v>
      </c>
      <c r="AR36" s="1498">
        <f t="shared" si="51"/>
        <v>0</v>
      </c>
      <c r="AS36" s="101" t="b">
        <f t="shared" si="52"/>
        <v>0</v>
      </c>
      <c r="AT36" s="101">
        <f t="shared" si="53"/>
        <v>0</v>
      </c>
      <c r="AU36" s="1498">
        <f t="shared" si="54"/>
        <v>0</v>
      </c>
      <c r="AV36" s="101" t="b">
        <f t="shared" si="55"/>
        <v>0</v>
      </c>
      <c r="AW36" s="101">
        <f t="shared" si="56"/>
        <v>0</v>
      </c>
      <c r="AX36" s="1498">
        <f t="shared" si="21"/>
        <v>0</v>
      </c>
      <c r="AY36" s="101" t="b">
        <f t="shared" si="57"/>
        <v>0</v>
      </c>
      <c r="AZ36" s="101">
        <f t="shared" si="58"/>
        <v>0</v>
      </c>
      <c r="BA36" s="1498">
        <f t="shared" si="24"/>
        <v>0</v>
      </c>
      <c r="BB36" s="101" t="b">
        <f t="shared" si="25"/>
        <v>0</v>
      </c>
      <c r="BC36" s="101">
        <f t="shared" si="59"/>
        <v>0</v>
      </c>
      <c r="BD36" s="101" t="b">
        <f t="shared" si="27"/>
        <v>0</v>
      </c>
      <c r="BE36" s="101">
        <f t="shared" si="60"/>
        <v>0</v>
      </c>
      <c r="BF36" s="101" t="b">
        <f t="shared" si="61"/>
        <v>0</v>
      </c>
      <c r="BG36" s="101">
        <f t="shared" si="62"/>
        <v>0</v>
      </c>
      <c r="BH36" s="101">
        <f>IF(OR(I36='Dropdown Lists'!$I$3,'11. Unit Mix'!J36='Dropdown Lists'!$W$3),H36,0)</f>
        <v>0</v>
      </c>
      <c r="BI36" s="367"/>
      <c r="BJ36" s="367"/>
      <c r="BK36" s="367"/>
      <c r="BL36" s="367"/>
      <c r="BM36" s="367"/>
      <c r="BN36" s="367"/>
      <c r="BO36" s="367"/>
      <c r="BP36" s="367"/>
      <c r="BQ36" s="367"/>
      <c r="BR36" s="367"/>
      <c r="BS36" s="367"/>
      <c r="BT36" s="367"/>
      <c r="BU36" s="367"/>
      <c r="BV36" s="367"/>
      <c r="BW36" s="367"/>
      <c r="BX36" s="367"/>
      <c r="BY36" s="367"/>
      <c r="BZ36" s="367"/>
      <c r="CA36" s="367"/>
      <c r="CB36" s="97"/>
      <c r="CC36" s="97"/>
      <c r="CD36" s="97"/>
      <c r="CE36" s="97"/>
      <c r="CF36" s="97"/>
      <c r="CG36" s="97"/>
      <c r="CH36" s="97"/>
      <c r="CI36" s="101"/>
    </row>
    <row r="37" spans="1:87">
      <c r="A37" s="309"/>
      <c r="B37" s="1689"/>
      <c r="C37" s="208"/>
      <c r="D37" s="208"/>
      <c r="E37" s="61"/>
      <c r="F37" s="209"/>
      <c r="G37" s="61"/>
      <c r="H37" s="61"/>
      <c r="I37" s="210"/>
      <c r="J37" s="61"/>
      <c r="K37" s="365"/>
      <c r="L37" s="103">
        <f t="shared" si="38"/>
        <v>0</v>
      </c>
      <c r="M37" s="63" t="str">
        <f t="shared" si="37"/>
        <v/>
      </c>
      <c r="N37" s="104">
        <f t="shared" si="32"/>
        <v>0</v>
      </c>
      <c r="O37" s="104">
        <f t="shared" ca="1" si="33"/>
        <v>0</v>
      </c>
      <c r="P37" s="105">
        <f t="shared" ca="1" si="34"/>
        <v>0</v>
      </c>
      <c r="Q37" s="35"/>
      <c r="R37" s="106">
        <f t="shared" si="39"/>
        <v>0</v>
      </c>
      <c r="S37" s="104">
        <f t="shared" si="63"/>
        <v>0</v>
      </c>
      <c r="T37" s="156">
        <f t="shared" si="3"/>
        <v>0</v>
      </c>
      <c r="U37" s="105">
        <f t="shared" si="40"/>
        <v>0</v>
      </c>
      <c r="V37" s="35"/>
      <c r="W37" s="1228"/>
      <c r="X37" s="1228"/>
      <c r="Y37" s="366"/>
      <c r="Z37" s="98"/>
      <c r="AA37" s="98">
        <f t="shared" si="41"/>
        <v>-10</v>
      </c>
      <c r="AB37" s="101">
        <f t="shared" si="42"/>
        <v>0</v>
      </c>
      <c r="AC37" s="101">
        <f t="shared" ca="1" si="36"/>
        <v>0</v>
      </c>
      <c r="AD37" s="101" t="b">
        <f t="shared" si="43"/>
        <v>0</v>
      </c>
      <c r="AE37" s="101">
        <f t="shared" si="64"/>
        <v>0</v>
      </c>
      <c r="AF37" s="101">
        <f t="shared" si="64"/>
        <v>0</v>
      </c>
      <c r="AG37" s="101">
        <f t="shared" si="64"/>
        <v>0</v>
      </c>
      <c r="AH37" s="101">
        <f t="shared" si="64"/>
        <v>0</v>
      </c>
      <c r="AI37" s="101">
        <f t="shared" si="64"/>
        <v>0</v>
      </c>
      <c r="AJ37" s="101">
        <f t="shared" si="64"/>
        <v>0</v>
      </c>
      <c r="AK37" s="101">
        <f t="shared" si="64"/>
        <v>0</v>
      </c>
      <c r="AL37" s="1498">
        <f t="shared" si="45"/>
        <v>0</v>
      </c>
      <c r="AM37" s="1498">
        <f t="shared" si="46"/>
        <v>0</v>
      </c>
      <c r="AN37" s="1498">
        <f t="shared" si="47"/>
        <v>0</v>
      </c>
      <c r="AO37" s="1498">
        <f t="shared" si="48"/>
        <v>0</v>
      </c>
      <c r="AP37" s="1498">
        <f t="shared" si="49"/>
        <v>0</v>
      </c>
      <c r="AQ37" s="1498">
        <f t="shared" si="50"/>
        <v>0</v>
      </c>
      <c r="AR37" s="1498">
        <f t="shared" si="51"/>
        <v>0</v>
      </c>
      <c r="AS37" s="101" t="b">
        <f t="shared" si="52"/>
        <v>0</v>
      </c>
      <c r="AT37" s="101">
        <f t="shared" si="53"/>
        <v>0</v>
      </c>
      <c r="AU37" s="1498">
        <f t="shared" si="54"/>
        <v>0</v>
      </c>
      <c r="AV37" s="101" t="b">
        <f t="shared" si="55"/>
        <v>0</v>
      </c>
      <c r="AW37" s="101">
        <f t="shared" si="56"/>
        <v>0</v>
      </c>
      <c r="AX37" s="1498">
        <f t="shared" si="21"/>
        <v>0</v>
      </c>
      <c r="AY37" s="101" t="b">
        <f t="shared" si="57"/>
        <v>0</v>
      </c>
      <c r="AZ37" s="101">
        <f t="shared" si="58"/>
        <v>0</v>
      </c>
      <c r="BA37" s="1498">
        <f t="shared" si="24"/>
        <v>0</v>
      </c>
      <c r="BB37" s="101" t="b">
        <f t="shared" si="25"/>
        <v>0</v>
      </c>
      <c r="BC37" s="101">
        <f t="shared" si="59"/>
        <v>0</v>
      </c>
      <c r="BD37" s="101" t="b">
        <f t="shared" si="27"/>
        <v>0</v>
      </c>
      <c r="BE37" s="101">
        <f t="shared" si="60"/>
        <v>0</v>
      </c>
      <c r="BF37" s="101" t="b">
        <f t="shared" si="61"/>
        <v>0</v>
      </c>
      <c r="BG37" s="101">
        <f t="shared" si="62"/>
        <v>0</v>
      </c>
      <c r="BH37" s="101">
        <f>IF(OR(I37='Dropdown Lists'!$I$3,'11. Unit Mix'!J37='Dropdown Lists'!$W$3),H37,0)</f>
        <v>0</v>
      </c>
      <c r="BI37" s="367"/>
      <c r="BJ37" s="367"/>
      <c r="BK37" s="367"/>
      <c r="BL37" s="367"/>
      <c r="BM37" s="367"/>
      <c r="BN37" s="367"/>
      <c r="BO37" s="367"/>
      <c r="BP37" s="367"/>
      <c r="BQ37" s="367"/>
      <c r="BR37" s="367"/>
      <c r="BS37" s="367"/>
      <c r="BT37" s="367"/>
      <c r="BU37" s="367"/>
      <c r="BV37" s="367"/>
      <c r="BW37" s="367"/>
      <c r="BX37" s="367"/>
      <c r="BY37" s="367"/>
      <c r="BZ37" s="367"/>
      <c r="CA37" s="367"/>
      <c r="CB37" s="97"/>
      <c r="CC37" s="97"/>
      <c r="CD37" s="97"/>
      <c r="CE37" s="97"/>
      <c r="CF37" s="97"/>
      <c r="CG37" s="97"/>
      <c r="CH37" s="97"/>
      <c r="CI37" s="101"/>
    </row>
    <row r="38" spans="1:87">
      <c r="A38" s="309"/>
      <c r="B38" s="1689"/>
      <c r="C38" s="208"/>
      <c r="D38" s="208"/>
      <c r="E38" s="61"/>
      <c r="F38" s="209"/>
      <c r="G38" s="61"/>
      <c r="H38" s="61"/>
      <c r="I38" s="210"/>
      <c r="J38" s="61"/>
      <c r="K38" s="365"/>
      <c r="L38" s="103">
        <f t="shared" si="38"/>
        <v>0</v>
      </c>
      <c r="M38" s="63" t="str">
        <f t="shared" si="37"/>
        <v/>
      </c>
      <c r="N38" s="104">
        <f t="shared" si="32"/>
        <v>0</v>
      </c>
      <c r="O38" s="104">
        <f t="shared" ca="1" si="33"/>
        <v>0</v>
      </c>
      <c r="P38" s="105">
        <f t="shared" ca="1" si="34"/>
        <v>0</v>
      </c>
      <c r="Q38" s="35"/>
      <c r="R38" s="106">
        <f t="shared" si="39"/>
        <v>0</v>
      </c>
      <c r="S38" s="104">
        <f t="shared" si="63"/>
        <v>0</v>
      </c>
      <c r="T38" s="156">
        <f t="shared" si="3"/>
        <v>0</v>
      </c>
      <c r="U38" s="105">
        <f t="shared" si="40"/>
        <v>0</v>
      </c>
      <c r="V38" s="35"/>
      <c r="W38" s="1228"/>
      <c r="X38" s="1228"/>
      <c r="Y38" s="366"/>
      <c r="Z38" s="98"/>
      <c r="AA38" s="98">
        <f t="shared" si="41"/>
        <v>-10</v>
      </c>
      <c r="AB38" s="101">
        <f t="shared" si="42"/>
        <v>0</v>
      </c>
      <c r="AC38" s="101">
        <f t="shared" ca="1" si="36"/>
        <v>0</v>
      </c>
      <c r="AD38" s="101" t="b">
        <f t="shared" si="43"/>
        <v>0</v>
      </c>
      <c r="AE38" s="101">
        <f t="shared" si="64"/>
        <v>0</v>
      </c>
      <c r="AF38" s="101">
        <f t="shared" si="64"/>
        <v>0</v>
      </c>
      <c r="AG38" s="101">
        <f t="shared" si="64"/>
        <v>0</v>
      </c>
      <c r="AH38" s="101">
        <f t="shared" si="64"/>
        <v>0</v>
      </c>
      <c r="AI38" s="101">
        <f t="shared" si="64"/>
        <v>0</v>
      </c>
      <c r="AJ38" s="101">
        <f t="shared" si="64"/>
        <v>0</v>
      </c>
      <c r="AK38" s="101">
        <f t="shared" si="64"/>
        <v>0</v>
      </c>
      <c r="AL38" s="1498">
        <f t="shared" si="45"/>
        <v>0</v>
      </c>
      <c r="AM38" s="1498">
        <f t="shared" si="46"/>
        <v>0</v>
      </c>
      <c r="AN38" s="1498">
        <f t="shared" si="47"/>
        <v>0</v>
      </c>
      <c r="AO38" s="1498">
        <f t="shared" si="48"/>
        <v>0</v>
      </c>
      <c r="AP38" s="1498">
        <f t="shared" si="49"/>
        <v>0</v>
      </c>
      <c r="AQ38" s="1498">
        <f t="shared" si="50"/>
        <v>0</v>
      </c>
      <c r="AR38" s="1498">
        <f t="shared" si="51"/>
        <v>0</v>
      </c>
      <c r="AS38" s="101" t="b">
        <f t="shared" si="52"/>
        <v>0</v>
      </c>
      <c r="AT38" s="101">
        <f t="shared" si="53"/>
        <v>0</v>
      </c>
      <c r="AU38" s="1498">
        <f t="shared" si="54"/>
        <v>0</v>
      </c>
      <c r="AV38" s="101" t="b">
        <f t="shared" si="55"/>
        <v>0</v>
      </c>
      <c r="AW38" s="101">
        <f t="shared" si="56"/>
        <v>0</v>
      </c>
      <c r="AX38" s="1498">
        <f t="shared" si="21"/>
        <v>0</v>
      </c>
      <c r="AY38" s="101" t="b">
        <f t="shared" si="57"/>
        <v>0</v>
      </c>
      <c r="AZ38" s="101">
        <f t="shared" si="58"/>
        <v>0</v>
      </c>
      <c r="BA38" s="1498">
        <f t="shared" si="24"/>
        <v>0</v>
      </c>
      <c r="BB38" s="101" t="b">
        <f t="shared" si="25"/>
        <v>0</v>
      </c>
      <c r="BC38" s="101">
        <f t="shared" si="59"/>
        <v>0</v>
      </c>
      <c r="BD38" s="101" t="b">
        <f t="shared" si="27"/>
        <v>0</v>
      </c>
      <c r="BE38" s="101">
        <f t="shared" si="60"/>
        <v>0</v>
      </c>
      <c r="BF38" s="101" t="b">
        <f t="shared" si="61"/>
        <v>0</v>
      </c>
      <c r="BG38" s="101">
        <f t="shared" si="62"/>
        <v>0</v>
      </c>
      <c r="BH38" s="101">
        <f>IF(OR(I38='Dropdown Lists'!$I$3,'11. Unit Mix'!J38='Dropdown Lists'!$W$3),H38,0)</f>
        <v>0</v>
      </c>
      <c r="BI38" s="367"/>
      <c r="BJ38" s="367"/>
      <c r="BK38" s="367"/>
      <c r="BL38" s="367"/>
      <c r="BM38" s="367"/>
      <c r="BN38" s="367"/>
      <c r="BO38" s="367"/>
      <c r="BP38" s="367"/>
      <c r="BQ38" s="367"/>
      <c r="BR38" s="367"/>
      <c r="BS38" s="367"/>
      <c r="BT38" s="367"/>
      <c r="BU38" s="367"/>
      <c r="BV38" s="367"/>
      <c r="BW38" s="367"/>
      <c r="BX38" s="367"/>
      <c r="BY38" s="367"/>
      <c r="BZ38" s="367"/>
      <c r="CA38" s="367"/>
      <c r="CB38" s="97"/>
      <c r="CC38" s="97"/>
      <c r="CD38" s="97"/>
      <c r="CE38" s="97"/>
      <c r="CF38" s="97"/>
      <c r="CG38" s="97"/>
      <c r="CH38" s="97"/>
      <c r="CI38" s="101"/>
    </row>
    <row r="39" spans="1:87">
      <c r="A39" s="309"/>
      <c r="B39" s="1689"/>
      <c r="C39" s="208"/>
      <c r="D39" s="208"/>
      <c r="E39" s="61"/>
      <c r="F39" s="209"/>
      <c r="G39" s="61"/>
      <c r="H39" s="61"/>
      <c r="I39" s="210"/>
      <c r="J39" s="61"/>
      <c r="K39" s="365"/>
      <c r="L39" s="103">
        <f t="shared" si="38"/>
        <v>0</v>
      </c>
      <c r="M39" s="63" t="str">
        <f t="shared" si="37"/>
        <v/>
      </c>
      <c r="N39" s="104">
        <f t="shared" si="32"/>
        <v>0</v>
      </c>
      <c r="O39" s="104">
        <f t="shared" ca="1" si="33"/>
        <v>0</v>
      </c>
      <c r="P39" s="105">
        <f t="shared" ca="1" si="34"/>
        <v>0</v>
      </c>
      <c r="Q39" s="35"/>
      <c r="R39" s="106">
        <f t="shared" si="39"/>
        <v>0</v>
      </c>
      <c r="S39" s="104">
        <f t="shared" si="63"/>
        <v>0</v>
      </c>
      <c r="T39" s="156">
        <f t="shared" si="3"/>
        <v>0</v>
      </c>
      <c r="U39" s="105">
        <f t="shared" si="40"/>
        <v>0</v>
      </c>
      <c r="V39" s="35"/>
      <c r="W39" s="1228"/>
      <c r="X39" s="1228"/>
      <c r="Y39" s="366"/>
      <c r="Z39" s="98"/>
      <c r="AA39" s="98">
        <f t="shared" si="41"/>
        <v>-10</v>
      </c>
      <c r="AB39" s="101">
        <f t="shared" si="42"/>
        <v>0</v>
      </c>
      <c r="AC39" s="101">
        <f t="shared" ca="1" si="36"/>
        <v>0</v>
      </c>
      <c r="AD39" s="101" t="b">
        <f t="shared" si="43"/>
        <v>0</v>
      </c>
      <c r="AE39" s="101">
        <f t="shared" si="64"/>
        <v>0</v>
      </c>
      <c r="AF39" s="101">
        <f t="shared" si="64"/>
        <v>0</v>
      </c>
      <c r="AG39" s="101">
        <f t="shared" si="64"/>
        <v>0</v>
      </c>
      <c r="AH39" s="101">
        <f t="shared" si="64"/>
        <v>0</v>
      </c>
      <c r="AI39" s="101">
        <f t="shared" si="64"/>
        <v>0</v>
      </c>
      <c r="AJ39" s="101">
        <f t="shared" si="64"/>
        <v>0</v>
      </c>
      <c r="AK39" s="101">
        <f t="shared" si="64"/>
        <v>0</v>
      </c>
      <c r="AL39" s="1498">
        <f t="shared" si="45"/>
        <v>0</v>
      </c>
      <c r="AM39" s="1498">
        <f t="shared" si="46"/>
        <v>0</v>
      </c>
      <c r="AN39" s="1498">
        <f t="shared" si="47"/>
        <v>0</v>
      </c>
      <c r="AO39" s="1498">
        <f t="shared" si="48"/>
        <v>0</v>
      </c>
      <c r="AP39" s="1498">
        <f t="shared" si="49"/>
        <v>0</v>
      </c>
      <c r="AQ39" s="1498">
        <f t="shared" si="50"/>
        <v>0</v>
      </c>
      <c r="AR39" s="1498">
        <f t="shared" si="51"/>
        <v>0</v>
      </c>
      <c r="AS39" s="101" t="b">
        <f t="shared" si="52"/>
        <v>0</v>
      </c>
      <c r="AT39" s="101">
        <f t="shared" si="53"/>
        <v>0</v>
      </c>
      <c r="AU39" s="1498">
        <f t="shared" si="54"/>
        <v>0</v>
      </c>
      <c r="AV39" s="101" t="b">
        <f t="shared" si="55"/>
        <v>0</v>
      </c>
      <c r="AW39" s="101">
        <f t="shared" si="56"/>
        <v>0</v>
      </c>
      <c r="AX39" s="1498">
        <f t="shared" si="21"/>
        <v>0</v>
      </c>
      <c r="AY39" s="101" t="b">
        <f t="shared" si="57"/>
        <v>0</v>
      </c>
      <c r="AZ39" s="101">
        <f t="shared" si="58"/>
        <v>0</v>
      </c>
      <c r="BA39" s="1498">
        <f t="shared" si="24"/>
        <v>0</v>
      </c>
      <c r="BB39" s="101" t="b">
        <f t="shared" si="25"/>
        <v>0</v>
      </c>
      <c r="BC39" s="101">
        <f t="shared" si="59"/>
        <v>0</v>
      </c>
      <c r="BD39" s="101" t="b">
        <f t="shared" si="27"/>
        <v>0</v>
      </c>
      <c r="BE39" s="101">
        <f t="shared" si="60"/>
        <v>0</v>
      </c>
      <c r="BF39" s="101" t="b">
        <f t="shared" si="61"/>
        <v>0</v>
      </c>
      <c r="BG39" s="101">
        <f t="shared" si="62"/>
        <v>0</v>
      </c>
      <c r="BH39" s="101">
        <f>IF(OR(I39='Dropdown Lists'!$I$3,'11. Unit Mix'!J39='Dropdown Lists'!$W$3),H39,0)</f>
        <v>0</v>
      </c>
      <c r="BI39" s="367"/>
      <c r="BJ39" s="367"/>
      <c r="BK39" s="367"/>
      <c r="BL39" s="367"/>
      <c r="BM39" s="367"/>
      <c r="BN39" s="367"/>
      <c r="BO39" s="367"/>
      <c r="BP39" s="367"/>
      <c r="BQ39" s="367"/>
      <c r="BR39" s="367"/>
      <c r="BS39" s="367"/>
      <c r="BT39" s="367"/>
      <c r="BU39" s="367"/>
      <c r="BV39" s="367"/>
      <c r="BW39" s="367"/>
      <c r="BX39" s="367"/>
      <c r="BY39" s="367"/>
      <c r="BZ39" s="367"/>
      <c r="CA39" s="367"/>
      <c r="CB39" s="97"/>
      <c r="CC39" s="97"/>
      <c r="CD39" s="97"/>
      <c r="CE39" s="97"/>
      <c r="CF39" s="97"/>
      <c r="CG39" s="97"/>
      <c r="CH39" s="97"/>
      <c r="CI39" s="101"/>
    </row>
    <row r="40" spans="1:87">
      <c r="A40" s="309"/>
      <c r="B40" s="1689"/>
      <c r="C40" s="208"/>
      <c r="D40" s="208"/>
      <c r="E40" s="61"/>
      <c r="F40" s="209"/>
      <c r="G40" s="61"/>
      <c r="H40" s="61"/>
      <c r="I40" s="210"/>
      <c r="J40" s="61"/>
      <c r="K40" s="365"/>
      <c r="L40" s="103">
        <f t="shared" si="38"/>
        <v>0</v>
      </c>
      <c r="M40" s="63" t="str">
        <f t="shared" si="37"/>
        <v/>
      </c>
      <c r="N40" s="104">
        <f t="shared" si="32"/>
        <v>0</v>
      </c>
      <c r="O40" s="104">
        <f t="shared" ca="1" si="33"/>
        <v>0</v>
      </c>
      <c r="P40" s="105">
        <f t="shared" ca="1" si="34"/>
        <v>0</v>
      </c>
      <c r="Q40" s="35"/>
      <c r="R40" s="106">
        <f t="shared" si="39"/>
        <v>0</v>
      </c>
      <c r="S40" s="104">
        <f t="shared" si="63"/>
        <v>0</v>
      </c>
      <c r="T40" s="156">
        <f t="shared" si="3"/>
        <v>0</v>
      </c>
      <c r="U40" s="105">
        <f t="shared" si="40"/>
        <v>0</v>
      </c>
      <c r="V40" s="35"/>
      <c r="W40" s="1228"/>
      <c r="X40" s="1228"/>
      <c r="Y40" s="366"/>
      <c r="Z40" s="98"/>
      <c r="AA40" s="98">
        <f t="shared" si="41"/>
        <v>-10</v>
      </c>
      <c r="AB40" s="101">
        <f t="shared" si="42"/>
        <v>0</v>
      </c>
      <c r="AC40" s="101">
        <f t="shared" ca="1" si="36"/>
        <v>0</v>
      </c>
      <c r="AD40" s="101" t="b">
        <f t="shared" si="43"/>
        <v>0</v>
      </c>
      <c r="AE40" s="101">
        <f t="shared" si="64"/>
        <v>0</v>
      </c>
      <c r="AF40" s="101">
        <f t="shared" si="64"/>
        <v>0</v>
      </c>
      <c r="AG40" s="101">
        <f t="shared" si="64"/>
        <v>0</v>
      </c>
      <c r="AH40" s="101">
        <f t="shared" si="64"/>
        <v>0</v>
      </c>
      <c r="AI40" s="101">
        <f t="shared" si="64"/>
        <v>0</v>
      </c>
      <c r="AJ40" s="101">
        <f t="shared" si="64"/>
        <v>0</v>
      </c>
      <c r="AK40" s="101">
        <f t="shared" si="64"/>
        <v>0</v>
      </c>
      <c r="AL40" s="1498">
        <f t="shared" si="45"/>
        <v>0</v>
      </c>
      <c r="AM40" s="1498">
        <f t="shared" si="46"/>
        <v>0</v>
      </c>
      <c r="AN40" s="1498">
        <f t="shared" si="47"/>
        <v>0</v>
      </c>
      <c r="AO40" s="1498">
        <f t="shared" si="48"/>
        <v>0</v>
      </c>
      <c r="AP40" s="1498">
        <f t="shared" si="49"/>
        <v>0</v>
      </c>
      <c r="AQ40" s="1498">
        <f t="shared" si="50"/>
        <v>0</v>
      </c>
      <c r="AR40" s="1498">
        <f t="shared" si="51"/>
        <v>0</v>
      </c>
      <c r="AS40" s="101" t="b">
        <f t="shared" si="52"/>
        <v>0</v>
      </c>
      <c r="AT40" s="101">
        <f t="shared" si="53"/>
        <v>0</v>
      </c>
      <c r="AU40" s="1498">
        <f t="shared" si="54"/>
        <v>0</v>
      </c>
      <c r="AV40" s="101" t="b">
        <f t="shared" si="55"/>
        <v>0</v>
      </c>
      <c r="AW40" s="101">
        <f t="shared" si="56"/>
        <v>0</v>
      </c>
      <c r="AX40" s="1498">
        <f t="shared" si="21"/>
        <v>0</v>
      </c>
      <c r="AY40" s="101" t="b">
        <f t="shared" si="57"/>
        <v>0</v>
      </c>
      <c r="AZ40" s="101">
        <f t="shared" si="58"/>
        <v>0</v>
      </c>
      <c r="BA40" s="1498">
        <f t="shared" si="24"/>
        <v>0</v>
      </c>
      <c r="BB40" s="101" t="b">
        <f t="shared" si="25"/>
        <v>0</v>
      </c>
      <c r="BC40" s="101">
        <f t="shared" si="59"/>
        <v>0</v>
      </c>
      <c r="BD40" s="101" t="b">
        <f t="shared" si="27"/>
        <v>0</v>
      </c>
      <c r="BE40" s="101">
        <f t="shared" si="60"/>
        <v>0</v>
      </c>
      <c r="BF40" s="101" t="b">
        <f t="shared" si="61"/>
        <v>0</v>
      </c>
      <c r="BG40" s="101">
        <f t="shared" si="62"/>
        <v>0</v>
      </c>
      <c r="BH40" s="101">
        <f>IF(OR(I40='Dropdown Lists'!$I$3,'11. Unit Mix'!J40='Dropdown Lists'!$W$3),H40,0)</f>
        <v>0</v>
      </c>
      <c r="BI40" s="367"/>
      <c r="BJ40" s="367"/>
      <c r="BK40" s="367"/>
      <c r="BL40" s="367"/>
      <c r="BM40" s="367"/>
      <c r="BN40" s="367"/>
      <c r="BO40" s="367"/>
      <c r="BP40" s="367"/>
      <c r="BQ40" s="367"/>
      <c r="BR40" s="367"/>
      <c r="BS40" s="367"/>
      <c r="BT40" s="367"/>
      <c r="BU40" s="367"/>
      <c r="BV40" s="367"/>
      <c r="BW40" s="367"/>
      <c r="BX40" s="367"/>
      <c r="BY40" s="367"/>
      <c r="BZ40" s="367"/>
      <c r="CA40" s="367"/>
      <c r="CB40" s="97"/>
      <c r="CC40" s="97"/>
      <c r="CD40" s="97"/>
      <c r="CE40" s="97"/>
      <c r="CF40" s="97"/>
      <c r="CG40" s="97"/>
      <c r="CH40" s="97"/>
      <c r="CI40" s="101"/>
    </row>
    <row r="41" spans="1:87">
      <c r="A41" s="309"/>
      <c r="B41" s="1689"/>
      <c r="C41" s="208"/>
      <c r="D41" s="208"/>
      <c r="E41" s="61"/>
      <c r="F41" s="209"/>
      <c r="G41" s="61"/>
      <c r="H41" s="61"/>
      <c r="I41" s="210"/>
      <c r="J41" s="61"/>
      <c r="K41" s="365"/>
      <c r="L41" s="103">
        <f t="shared" si="38"/>
        <v>0</v>
      </c>
      <c r="M41" s="63" t="str">
        <f t="shared" si="37"/>
        <v/>
      </c>
      <c r="N41" s="104">
        <f t="shared" si="32"/>
        <v>0</v>
      </c>
      <c r="O41" s="104">
        <f t="shared" ca="1" si="33"/>
        <v>0</v>
      </c>
      <c r="P41" s="105">
        <f t="shared" ca="1" si="34"/>
        <v>0</v>
      </c>
      <c r="Q41" s="35"/>
      <c r="R41" s="106">
        <f t="shared" si="39"/>
        <v>0</v>
      </c>
      <c r="S41" s="104">
        <f t="shared" si="63"/>
        <v>0</v>
      </c>
      <c r="T41" s="156">
        <f t="shared" si="3"/>
        <v>0</v>
      </c>
      <c r="U41" s="105">
        <f t="shared" si="40"/>
        <v>0</v>
      </c>
      <c r="V41" s="35"/>
      <c r="W41" s="1228"/>
      <c r="X41" s="1228"/>
      <c r="Y41" s="366"/>
      <c r="Z41" s="98"/>
      <c r="AA41" s="98">
        <f t="shared" si="41"/>
        <v>-10</v>
      </c>
      <c r="AB41" s="101">
        <f t="shared" si="42"/>
        <v>0</v>
      </c>
      <c r="AC41" s="101">
        <f t="shared" ca="1" si="36"/>
        <v>0</v>
      </c>
      <c r="AD41" s="101" t="b">
        <f t="shared" si="43"/>
        <v>0</v>
      </c>
      <c r="AE41" s="101">
        <f t="shared" si="64"/>
        <v>0</v>
      </c>
      <c r="AF41" s="101">
        <f t="shared" si="64"/>
        <v>0</v>
      </c>
      <c r="AG41" s="101">
        <f t="shared" si="64"/>
        <v>0</v>
      </c>
      <c r="AH41" s="101">
        <f t="shared" si="64"/>
        <v>0</v>
      </c>
      <c r="AI41" s="101">
        <f t="shared" si="64"/>
        <v>0</v>
      </c>
      <c r="AJ41" s="101">
        <f t="shared" si="64"/>
        <v>0</v>
      </c>
      <c r="AK41" s="101">
        <f t="shared" si="64"/>
        <v>0</v>
      </c>
      <c r="AL41" s="1498">
        <f t="shared" si="45"/>
        <v>0</v>
      </c>
      <c r="AM41" s="1498">
        <f t="shared" si="46"/>
        <v>0</v>
      </c>
      <c r="AN41" s="1498">
        <f t="shared" si="47"/>
        <v>0</v>
      </c>
      <c r="AO41" s="1498">
        <f t="shared" si="48"/>
        <v>0</v>
      </c>
      <c r="AP41" s="1498">
        <f t="shared" si="49"/>
        <v>0</v>
      </c>
      <c r="AQ41" s="1498">
        <f t="shared" si="50"/>
        <v>0</v>
      </c>
      <c r="AR41" s="1498">
        <f t="shared" si="51"/>
        <v>0</v>
      </c>
      <c r="AS41" s="101" t="b">
        <f t="shared" si="52"/>
        <v>0</v>
      </c>
      <c r="AT41" s="101">
        <f t="shared" si="53"/>
        <v>0</v>
      </c>
      <c r="AU41" s="1498">
        <f t="shared" si="54"/>
        <v>0</v>
      </c>
      <c r="AV41" s="101" t="b">
        <f t="shared" si="55"/>
        <v>0</v>
      </c>
      <c r="AW41" s="101">
        <f t="shared" si="56"/>
        <v>0</v>
      </c>
      <c r="AX41" s="1498">
        <f t="shared" si="21"/>
        <v>0</v>
      </c>
      <c r="AY41" s="101" t="b">
        <f t="shared" si="57"/>
        <v>0</v>
      </c>
      <c r="AZ41" s="101">
        <f t="shared" si="58"/>
        <v>0</v>
      </c>
      <c r="BA41" s="1498">
        <f t="shared" si="24"/>
        <v>0</v>
      </c>
      <c r="BB41" s="101" t="b">
        <f t="shared" si="25"/>
        <v>0</v>
      </c>
      <c r="BC41" s="101">
        <f t="shared" si="59"/>
        <v>0</v>
      </c>
      <c r="BD41" s="101" t="b">
        <f t="shared" si="27"/>
        <v>0</v>
      </c>
      <c r="BE41" s="101">
        <f t="shared" si="60"/>
        <v>0</v>
      </c>
      <c r="BF41" s="101" t="b">
        <f t="shared" si="61"/>
        <v>0</v>
      </c>
      <c r="BG41" s="101">
        <f t="shared" si="62"/>
        <v>0</v>
      </c>
      <c r="BH41" s="101">
        <f>IF(OR(I41='Dropdown Lists'!$I$3,'11. Unit Mix'!J41='Dropdown Lists'!$W$3),H41,0)</f>
        <v>0</v>
      </c>
      <c r="BI41" s="367"/>
      <c r="BJ41" s="367"/>
      <c r="BK41" s="367"/>
      <c r="BL41" s="367"/>
      <c r="BM41" s="367"/>
      <c r="BN41" s="367"/>
      <c r="BO41" s="367"/>
      <c r="BP41" s="367"/>
      <c r="BQ41" s="367"/>
      <c r="BR41" s="367"/>
      <c r="BS41" s="367"/>
      <c r="BT41" s="367"/>
      <c r="BU41" s="367"/>
      <c r="BV41" s="367"/>
      <c r="BW41" s="367"/>
      <c r="BX41" s="367"/>
      <c r="BY41" s="367"/>
      <c r="BZ41" s="367"/>
      <c r="CA41" s="367"/>
      <c r="CB41" s="97"/>
      <c r="CC41" s="97"/>
      <c r="CD41" s="97"/>
      <c r="CE41" s="97"/>
      <c r="CF41" s="97"/>
      <c r="CG41" s="97"/>
      <c r="CH41" s="97"/>
      <c r="CI41" s="101"/>
    </row>
    <row r="42" spans="1:87">
      <c r="A42" s="309"/>
      <c r="B42" s="1689"/>
      <c r="C42" s="208"/>
      <c r="D42" s="208"/>
      <c r="E42" s="61"/>
      <c r="F42" s="209"/>
      <c r="G42" s="61"/>
      <c r="H42" s="61"/>
      <c r="I42" s="210"/>
      <c r="J42" s="61"/>
      <c r="K42" s="365"/>
      <c r="L42" s="103">
        <f t="shared" si="38"/>
        <v>0</v>
      </c>
      <c r="M42" s="63" t="str">
        <f t="shared" si="37"/>
        <v/>
      </c>
      <c r="N42" s="104">
        <f t="shared" si="32"/>
        <v>0</v>
      </c>
      <c r="O42" s="104">
        <f t="shared" ca="1" si="33"/>
        <v>0</v>
      </c>
      <c r="P42" s="105">
        <f t="shared" ca="1" si="34"/>
        <v>0</v>
      </c>
      <c r="Q42" s="35"/>
      <c r="R42" s="106">
        <f t="shared" si="39"/>
        <v>0</v>
      </c>
      <c r="S42" s="104">
        <f t="shared" si="63"/>
        <v>0</v>
      </c>
      <c r="T42" s="156">
        <f t="shared" si="3"/>
        <v>0</v>
      </c>
      <c r="U42" s="105">
        <f t="shared" si="40"/>
        <v>0</v>
      </c>
      <c r="V42" s="35"/>
      <c r="W42" s="1228"/>
      <c r="X42" s="1228"/>
      <c r="Y42" s="366"/>
      <c r="Z42" s="98"/>
      <c r="AA42" s="98">
        <f t="shared" si="41"/>
        <v>-10</v>
      </c>
      <c r="AB42" s="101">
        <f t="shared" si="42"/>
        <v>0</v>
      </c>
      <c r="AC42" s="101">
        <f t="shared" ca="1" si="36"/>
        <v>0</v>
      </c>
      <c r="AD42" s="101" t="b">
        <f t="shared" si="43"/>
        <v>0</v>
      </c>
      <c r="AE42" s="101">
        <f t="shared" si="64"/>
        <v>0</v>
      </c>
      <c r="AF42" s="101">
        <f t="shared" si="64"/>
        <v>0</v>
      </c>
      <c r="AG42" s="101">
        <f t="shared" si="64"/>
        <v>0</v>
      </c>
      <c r="AH42" s="101">
        <f t="shared" si="64"/>
        <v>0</v>
      </c>
      <c r="AI42" s="101">
        <f t="shared" si="64"/>
        <v>0</v>
      </c>
      <c r="AJ42" s="101">
        <f t="shared" si="64"/>
        <v>0</v>
      </c>
      <c r="AK42" s="101">
        <f t="shared" si="64"/>
        <v>0</v>
      </c>
      <c r="AL42" s="1498">
        <f t="shared" si="45"/>
        <v>0</v>
      </c>
      <c r="AM42" s="1498">
        <f t="shared" si="46"/>
        <v>0</v>
      </c>
      <c r="AN42" s="1498">
        <f t="shared" si="47"/>
        <v>0</v>
      </c>
      <c r="AO42" s="1498">
        <f t="shared" si="48"/>
        <v>0</v>
      </c>
      <c r="AP42" s="1498">
        <f t="shared" si="49"/>
        <v>0</v>
      </c>
      <c r="AQ42" s="1498">
        <f t="shared" si="50"/>
        <v>0</v>
      </c>
      <c r="AR42" s="1498">
        <f t="shared" si="51"/>
        <v>0</v>
      </c>
      <c r="AS42" s="101" t="b">
        <f t="shared" si="52"/>
        <v>0</v>
      </c>
      <c r="AT42" s="101">
        <f t="shared" si="53"/>
        <v>0</v>
      </c>
      <c r="AU42" s="1498">
        <f t="shared" si="54"/>
        <v>0</v>
      </c>
      <c r="AV42" s="101" t="b">
        <f t="shared" si="55"/>
        <v>0</v>
      </c>
      <c r="AW42" s="101">
        <f t="shared" si="56"/>
        <v>0</v>
      </c>
      <c r="AX42" s="1498">
        <f t="shared" si="21"/>
        <v>0</v>
      </c>
      <c r="AY42" s="101" t="b">
        <f t="shared" si="57"/>
        <v>0</v>
      </c>
      <c r="AZ42" s="101">
        <f t="shared" si="58"/>
        <v>0</v>
      </c>
      <c r="BA42" s="1498">
        <f t="shared" si="24"/>
        <v>0</v>
      </c>
      <c r="BB42" s="101" t="b">
        <f t="shared" si="25"/>
        <v>0</v>
      </c>
      <c r="BC42" s="101">
        <f t="shared" si="59"/>
        <v>0</v>
      </c>
      <c r="BD42" s="101" t="b">
        <f t="shared" si="27"/>
        <v>0</v>
      </c>
      <c r="BE42" s="101">
        <f t="shared" si="60"/>
        <v>0</v>
      </c>
      <c r="BF42" s="101" t="b">
        <f t="shared" si="61"/>
        <v>0</v>
      </c>
      <c r="BG42" s="101">
        <f t="shared" si="62"/>
        <v>0</v>
      </c>
      <c r="BH42" s="101">
        <f>IF(OR(I42='Dropdown Lists'!$I$3,'11. Unit Mix'!J42='Dropdown Lists'!$W$3),H42,0)</f>
        <v>0</v>
      </c>
      <c r="BI42" s="367"/>
      <c r="BJ42" s="367"/>
      <c r="BK42" s="367"/>
      <c r="BL42" s="367"/>
      <c r="BM42" s="367"/>
      <c r="BN42" s="367"/>
      <c r="BO42" s="367"/>
      <c r="BP42" s="367"/>
      <c r="BQ42" s="367"/>
      <c r="BR42" s="367"/>
      <c r="BS42" s="367"/>
      <c r="BT42" s="367"/>
      <c r="BU42" s="367"/>
      <c r="BV42" s="367"/>
      <c r="BW42" s="367"/>
      <c r="BX42" s="367"/>
      <c r="BY42" s="367"/>
      <c r="BZ42" s="367"/>
      <c r="CA42" s="367"/>
      <c r="CB42" s="97"/>
      <c r="CC42" s="97"/>
      <c r="CD42" s="97"/>
      <c r="CE42" s="97"/>
      <c r="CF42" s="97"/>
      <c r="CG42" s="97"/>
      <c r="CH42" s="97"/>
      <c r="CI42" s="101"/>
    </row>
    <row r="43" spans="1:87">
      <c r="A43" s="435"/>
      <c r="B43" s="1689"/>
      <c r="C43" s="208"/>
      <c r="D43" s="208"/>
      <c r="E43" s="61"/>
      <c r="F43" s="209"/>
      <c r="G43" s="61"/>
      <c r="H43" s="61"/>
      <c r="I43" s="210"/>
      <c r="J43" s="61"/>
      <c r="K43" s="365"/>
      <c r="L43" s="103">
        <f t="shared" si="38"/>
        <v>0</v>
      </c>
      <c r="M43" s="63" t="str">
        <f t="shared" si="37"/>
        <v/>
      </c>
      <c r="N43" s="104">
        <f t="shared" si="32"/>
        <v>0</v>
      </c>
      <c r="O43" s="104">
        <f t="shared" ca="1" si="33"/>
        <v>0</v>
      </c>
      <c r="P43" s="105">
        <f t="shared" ca="1" si="34"/>
        <v>0</v>
      </c>
      <c r="Q43" s="35"/>
      <c r="R43" s="106">
        <f t="shared" si="39"/>
        <v>0</v>
      </c>
      <c r="S43" s="104">
        <f t="shared" si="63"/>
        <v>0</v>
      </c>
      <c r="T43" s="156">
        <f t="shared" si="3"/>
        <v>0</v>
      </c>
      <c r="U43" s="105">
        <f t="shared" si="40"/>
        <v>0</v>
      </c>
      <c r="V43" s="35"/>
      <c r="W43" s="1228"/>
      <c r="X43" s="1228"/>
      <c r="Y43" s="366"/>
      <c r="Z43" s="98"/>
      <c r="AA43" s="98">
        <f t="shared" si="41"/>
        <v>-10</v>
      </c>
      <c r="AB43" s="101">
        <f t="shared" si="42"/>
        <v>0</v>
      </c>
      <c r="AC43" s="101">
        <f t="shared" ca="1" si="36"/>
        <v>0</v>
      </c>
      <c r="AD43" s="101" t="b">
        <f t="shared" si="43"/>
        <v>0</v>
      </c>
      <c r="AE43" s="101">
        <f t="shared" si="64"/>
        <v>0</v>
      </c>
      <c r="AF43" s="101">
        <f t="shared" si="64"/>
        <v>0</v>
      </c>
      <c r="AG43" s="101">
        <f t="shared" si="64"/>
        <v>0</v>
      </c>
      <c r="AH43" s="101">
        <f t="shared" si="64"/>
        <v>0</v>
      </c>
      <c r="AI43" s="101">
        <f t="shared" si="64"/>
        <v>0</v>
      </c>
      <c r="AJ43" s="101">
        <f t="shared" si="64"/>
        <v>0</v>
      </c>
      <c r="AK43" s="101">
        <f t="shared" si="64"/>
        <v>0</v>
      </c>
      <c r="AL43" s="1498">
        <f t="shared" si="45"/>
        <v>0</v>
      </c>
      <c r="AM43" s="1498">
        <f t="shared" si="46"/>
        <v>0</v>
      </c>
      <c r="AN43" s="1498">
        <f t="shared" si="47"/>
        <v>0</v>
      </c>
      <c r="AO43" s="1498">
        <f t="shared" si="48"/>
        <v>0</v>
      </c>
      <c r="AP43" s="1498">
        <f t="shared" si="49"/>
        <v>0</v>
      </c>
      <c r="AQ43" s="1498">
        <f t="shared" si="50"/>
        <v>0</v>
      </c>
      <c r="AR43" s="1498">
        <f t="shared" si="51"/>
        <v>0</v>
      </c>
      <c r="AS43" s="101" t="b">
        <f t="shared" si="52"/>
        <v>0</v>
      </c>
      <c r="AT43" s="101">
        <f t="shared" si="53"/>
        <v>0</v>
      </c>
      <c r="AU43" s="1498">
        <f t="shared" si="54"/>
        <v>0</v>
      </c>
      <c r="AV43" s="101" t="b">
        <f t="shared" si="55"/>
        <v>0</v>
      </c>
      <c r="AW43" s="101">
        <f t="shared" si="56"/>
        <v>0</v>
      </c>
      <c r="AX43" s="1498">
        <f t="shared" si="21"/>
        <v>0</v>
      </c>
      <c r="AY43" s="101" t="b">
        <f t="shared" si="57"/>
        <v>0</v>
      </c>
      <c r="AZ43" s="101">
        <f t="shared" si="58"/>
        <v>0</v>
      </c>
      <c r="BA43" s="1498">
        <f t="shared" si="24"/>
        <v>0</v>
      </c>
      <c r="BB43" s="101" t="b">
        <f t="shared" si="25"/>
        <v>0</v>
      </c>
      <c r="BC43" s="101">
        <f t="shared" si="59"/>
        <v>0</v>
      </c>
      <c r="BD43" s="101" t="b">
        <f t="shared" si="27"/>
        <v>0</v>
      </c>
      <c r="BE43" s="101">
        <f t="shared" si="60"/>
        <v>0</v>
      </c>
      <c r="BF43" s="101" t="b">
        <f t="shared" si="61"/>
        <v>0</v>
      </c>
      <c r="BG43" s="101">
        <f t="shared" si="62"/>
        <v>0</v>
      </c>
      <c r="BH43" s="101">
        <f>IF(OR(I43='Dropdown Lists'!$I$3,'11. Unit Mix'!J43='Dropdown Lists'!$W$3),H43,0)</f>
        <v>0</v>
      </c>
      <c r="BI43" s="367"/>
      <c r="BJ43" s="367"/>
      <c r="BK43" s="367"/>
      <c r="BL43" s="367"/>
      <c r="BM43" s="367"/>
      <c r="BN43" s="367"/>
      <c r="BO43" s="367"/>
      <c r="BP43" s="367"/>
      <c r="BQ43" s="367"/>
      <c r="BR43" s="367"/>
      <c r="BS43" s="367"/>
      <c r="BT43" s="367"/>
      <c r="BU43" s="367"/>
      <c r="BV43" s="367"/>
      <c r="BW43" s="367"/>
      <c r="BX43" s="367"/>
      <c r="BY43" s="367"/>
      <c r="BZ43" s="367"/>
      <c r="CA43" s="367"/>
      <c r="CB43" s="97"/>
      <c r="CC43" s="97"/>
      <c r="CD43" s="97"/>
      <c r="CE43" s="97"/>
      <c r="CF43" s="97"/>
      <c r="CG43" s="97"/>
      <c r="CH43" s="97"/>
      <c r="CI43" s="101"/>
    </row>
    <row r="44" spans="1:87">
      <c r="A44" s="435"/>
      <c r="B44" s="1689"/>
      <c r="C44" s="208"/>
      <c r="D44" s="208"/>
      <c r="E44" s="61"/>
      <c r="F44" s="209"/>
      <c r="G44" s="61"/>
      <c r="H44" s="61"/>
      <c r="I44" s="210"/>
      <c r="J44" s="61"/>
      <c r="K44" s="365"/>
      <c r="L44" s="103">
        <f t="shared" si="38"/>
        <v>0</v>
      </c>
      <c r="M44" s="63" t="str">
        <f t="shared" si="37"/>
        <v/>
      </c>
      <c r="N44" s="104">
        <f t="shared" si="32"/>
        <v>0</v>
      </c>
      <c r="O44" s="104">
        <f t="shared" ca="1" si="33"/>
        <v>0</v>
      </c>
      <c r="P44" s="105">
        <f t="shared" ca="1" si="34"/>
        <v>0</v>
      </c>
      <c r="Q44" s="35"/>
      <c r="R44" s="106">
        <f t="shared" si="39"/>
        <v>0</v>
      </c>
      <c r="S44" s="104">
        <f t="shared" si="63"/>
        <v>0</v>
      </c>
      <c r="T44" s="156">
        <f t="shared" si="3"/>
        <v>0</v>
      </c>
      <c r="U44" s="105">
        <f t="shared" si="40"/>
        <v>0</v>
      </c>
      <c r="V44" s="35"/>
      <c r="W44" s="1228"/>
      <c r="X44" s="1228"/>
      <c r="Y44" s="366"/>
      <c r="Z44" s="98"/>
      <c r="AA44" s="98">
        <f t="shared" si="41"/>
        <v>-10</v>
      </c>
      <c r="AB44" s="101">
        <f t="shared" si="42"/>
        <v>0</v>
      </c>
      <c r="AC44" s="101">
        <f t="shared" ca="1" si="36"/>
        <v>0</v>
      </c>
      <c r="AD44" s="101" t="b">
        <f t="shared" si="43"/>
        <v>0</v>
      </c>
      <c r="AE44" s="101">
        <f t="shared" si="64"/>
        <v>0</v>
      </c>
      <c r="AF44" s="101">
        <f t="shared" si="64"/>
        <v>0</v>
      </c>
      <c r="AG44" s="101">
        <f t="shared" si="64"/>
        <v>0</v>
      </c>
      <c r="AH44" s="101">
        <f t="shared" si="64"/>
        <v>0</v>
      </c>
      <c r="AI44" s="101">
        <f t="shared" si="64"/>
        <v>0</v>
      </c>
      <c r="AJ44" s="101">
        <f t="shared" si="64"/>
        <v>0</v>
      </c>
      <c r="AK44" s="101">
        <f t="shared" si="64"/>
        <v>0</v>
      </c>
      <c r="AL44" s="1498">
        <f t="shared" si="45"/>
        <v>0</v>
      </c>
      <c r="AM44" s="1498">
        <f t="shared" si="46"/>
        <v>0</v>
      </c>
      <c r="AN44" s="1498">
        <f t="shared" si="47"/>
        <v>0</v>
      </c>
      <c r="AO44" s="1498">
        <f t="shared" si="48"/>
        <v>0</v>
      </c>
      <c r="AP44" s="1498">
        <f t="shared" si="49"/>
        <v>0</v>
      </c>
      <c r="AQ44" s="1498">
        <f t="shared" si="50"/>
        <v>0</v>
      </c>
      <c r="AR44" s="1498">
        <f t="shared" si="51"/>
        <v>0</v>
      </c>
      <c r="AS44" s="101" t="b">
        <f t="shared" si="52"/>
        <v>0</v>
      </c>
      <c r="AT44" s="101">
        <f t="shared" si="53"/>
        <v>0</v>
      </c>
      <c r="AU44" s="1498">
        <f t="shared" si="54"/>
        <v>0</v>
      </c>
      <c r="AV44" s="101" t="b">
        <f t="shared" si="55"/>
        <v>0</v>
      </c>
      <c r="AW44" s="101">
        <f t="shared" si="56"/>
        <v>0</v>
      </c>
      <c r="AX44" s="1498">
        <f t="shared" si="21"/>
        <v>0</v>
      </c>
      <c r="AY44" s="101" t="b">
        <f t="shared" si="57"/>
        <v>0</v>
      </c>
      <c r="AZ44" s="101">
        <f t="shared" si="58"/>
        <v>0</v>
      </c>
      <c r="BA44" s="1498">
        <f t="shared" si="24"/>
        <v>0</v>
      </c>
      <c r="BB44" s="101" t="b">
        <f t="shared" si="25"/>
        <v>0</v>
      </c>
      <c r="BC44" s="101">
        <f t="shared" si="59"/>
        <v>0</v>
      </c>
      <c r="BD44" s="101" t="b">
        <f t="shared" si="27"/>
        <v>0</v>
      </c>
      <c r="BE44" s="101">
        <f t="shared" si="60"/>
        <v>0</v>
      </c>
      <c r="BF44" s="101" t="b">
        <f t="shared" si="61"/>
        <v>0</v>
      </c>
      <c r="BG44" s="101">
        <f t="shared" si="62"/>
        <v>0</v>
      </c>
      <c r="BH44" s="101">
        <f>IF(OR(I44='Dropdown Lists'!$I$3,'11. Unit Mix'!J44='Dropdown Lists'!$W$3),H44,0)</f>
        <v>0</v>
      </c>
      <c r="BI44" s="367"/>
      <c r="BJ44" s="367"/>
      <c r="BK44" s="367"/>
      <c r="BL44" s="367"/>
      <c r="BM44" s="367"/>
      <c r="BN44" s="367"/>
      <c r="BO44" s="367"/>
      <c r="BP44" s="367"/>
      <c r="BQ44" s="367"/>
      <c r="BR44" s="367"/>
      <c r="BS44" s="367"/>
      <c r="BT44" s="367"/>
      <c r="BU44" s="367"/>
      <c r="BV44" s="367"/>
      <c r="BW44" s="367"/>
      <c r="BX44" s="367"/>
      <c r="BY44" s="367"/>
      <c r="BZ44" s="367"/>
      <c r="CA44" s="367"/>
      <c r="CB44" s="97"/>
      <c r="CC44" s="97"/>
      <c r="CD44" s="97"/>
      <c r="CE44" s="97"/>
      <c r="CF44" s="97"/>
      <c r="CG44" s="97"/>
      <c r="CH44" s="97"/>
      <c r="CI44" s="101"/>
    </row>
    <row r="45" spans="1:87">
      <c r="A45" s="435"/>
      <c r="B45" s="1689"/>
      <c r="C45" s="208"/>
      <c r="D45" s="208"/>
      <c r="E45" s="61"/>
      <c r="F45" s="209"/>
      <c r="G45" s="61"/>
      <c r="H45" s="61"/>
      <c r="I45" s="210"/>
      <c r="J45" s="61"/>
      <c r="K45" s="365"/>
      <c r="L45" s="103">
        <f t="shared" si="38"/>
        <v>0</v>
      </c>
      <c r="M45" s="63" t="str">
        <f t="shared" si="37"/>
        <v/>
      </c>
      <c r="N45" s="104">
        <f t="shared" si="32"/>
        <v>0</v>
      </c>
      <c r="O45" s="104">
        <f t="shared" ca="1" si="33"/>
        <v>0</v>
      </c>
      <c r="P45" s="105">
        <f t="shared" ca="1" si="34"/>
        <v>0</v>
      </c>
      <c r="Q45" s="35"/>
      <c r="R45" s="106">
        <f t="shared" si="39"/>
        <v>0</v>
      </c>
      <c r="S45" s="104">
        <f t="shared" si="63"/>
        <v>0</v>
      </c>
      <c r="T45" s="156">
        <f t="shared" si="3"/>
        <v>0</v>
      </c>
      <c r="U45" s="105">
        <f t="shared" si="40"/>
        <v>0</v>
      </c>
      <c r="V45" s="35"/>
      <c r="W45" s="1228"/>
      <c r="X45" s="1228"/>
      <c r="Y45" s="366"/>
      <c r="Z45" s="98"/>
      <c r="AA45" s="98">
        <f t="shared" si="41"/>
        <v>-10</v>
      </c>
      <c r="AB45" s="101">
        <f t="shared" si="42"/>
        <v>0</v>
      </c>
      <c r="AC45" s="101">
        <f t="shared" ca="1" si="36"/>
        <v>0</v>
      </c>
      <c r="AD45" s="101" t="b">
        <f t="shared" si="43"/>
        <v>0</v>
      </c>
      <c r="AE45" s="101">
        <f t="shared" si="64"/>
        <v>0</v>
      </c>
      <c r="AF45" s="101">
        <f t="shared" si="64"/>
        <v>0</v>
      </c>
      <c r="AG45" s="101">
        <f t="shared" si="64"/>
        <v>0</v>
      </c>
      <c r="AH45" s="101">
        <f t="shared" si="64"/>
        <v>0</v>
      </c>
      <c r="AI45" s="101">
        <f t="shared" si="64"/>
        <v>0</v>
      </c>
      <c r="AJ45" s="101">
        <f t="shared" si="64"/>
        <v>0</v>
      </c>
      <c r="AK45" s="101">
        <f t="shared" si="64"/>
        <v>0</v>
      </c>
      <c r="AL45" s="1498">
        <f t="shared" si="45"/>
        <v>0</v>
      </c>
      <c r="AM45" s="1498">
        <f t="shared" si="46"/>
        <v>0</v>
      </c>
      <c r="AN45" s="1498">
        <f t="shared" si="47"/>
        <v>0</v>
      </c>
      <c r="AO45" s="1498">
        <f t="shared" si="48"/>
        <v>0</v>
      </c>
      <c r="AP45" s="1498">
        <f t="shared" si="49"/>
        <v>0</v>
      </c>
      <c r="AQ45" s="1498">
        <f t="shared" si="50"/>
        <v>0</v>
      </c>
      <c r="AR45" s="1498">
        <f t="shared" si="51"/>
        <v>0</v>
      </c>
      <c r="AS45" s="101" t="b">
        <f t="shared" si="52"/>
        <v>0</v>
      </c>
      <c r="AT45" s="101">
        <f t="shared" si="53"/>
        <v>0</v>
      </c>
      <c r="AU45" s="1498">
        <f t="shared" si="54"/>
        <v>0</v>
      </c>
      <c r="AV45" s="101" t="b">
        <f t="shared" si="55"/>
        <v>0</v>
      </c>
      <c r="AW45" s="101">
        <f t="shared" si="56"/>
        <v>0</v>
      </c>
      <c r="AX45" s="1498">
        <f t="shared" si="21"/>
        <v>0</v>
      </c>
      <c r="AY45" s="101" t="b">
        <f t="shared" si="57"/>
        <v>0</v>
      </c>
      <c r="AZ45" s="101">
        <f t="shared" si="58"/>
        <v>0</v>
      </c>
      <c r="BA45" s="1498">
        <f t="shared" si="24"/>
        <v>0</v>
      </c>
      <c r="BB45" s="101" t="b">
        <f t="shared" si="25"/>
        <v>0</v>
      </c>
      <c r="BC45" s="101">
        <f t="shared" si="59"/>
        <v>0</v>
      </c>
      <c r="BD45" s="101" t="b">
        <f t="shared" si="27"/>
        <v>0</v>
      </c>
      <c r="BE45" s="101">
        <f t="shared" si="60"/>
        <v>0</v>
      </c>
      <c r="BF45" s="101" t="b">
        <f t="shared" si="61"/>
        <v>0</v>
      </c>
      <c r="BG45" s="101">
        <f t="shared" si="62"/>
        <v>0</v>
      </c>
      <c r="BH45" s="101">
        <f>IF(OR(I45='Dropdown Lists'!$I$3,'11. Unit Mix'!J45='Dropdown Lists'!$W$3),H45,0)</f>
        <v>0</v>
      </c>
      <c r="BI45" s="367"/>
      <c r="BJ45" s="367"/>
      <c r="BK45" s="367"/>
      <c r="BL45" s="367"/>
      <c r="BM45" s="367"/>
      <c r="BN45" s="367"/>
      <c r="BO45" s="367"/>
      <c r="BP45" s="367"/>
      <c r="BQ45" s="367"/>
      <c r="BR45" s="367"/>
      <c r="BS45" s="367"/>
      <c r="BT45" s="367"/>
      <c r="BU45" s="367"/>
      <c r="BV45" s="367"/>
      <c r="BW45" s="367"/>
      <c r="BX45" s="367"/>
      <c r="BY45" s="367"/>
      <c r="BZ45" s="367"/>
      <c r="CA45" s="367"/>
      <c r="CB45" s="97"/>
      <c r="CC45" s="97"/>
      <c r="CD45" s="97"/>
      <c r="CE45" s="97"/>
      <c r="CF45" s="97"/>
      <c r="CG45" s="97"/>
      <c r="CH45" s="97"/>
      <c r="CI45" s="101"/>
    </row>
    <row r="46" spans="1:87">
      <c r="A46" s="435"/>
      <c r="B46" s="1689"/>
      <c r="C46" s="208"/>
      <c r="D46" s="208"/>
      <c r="E46" s="61"/>
      <c r="F46" s="209"/>
      <c r="G46" s="61"/>
      <c r="H46" s="61"/>
      <c r="I46" s="210"/>
      <c r="J46" s="61"/>
      <c r="K46" s="365"/>
      <c r="L46" s="103">
        <f t="shared" si="38"/>
        <v>0</v>
      </c>
      <c r="M46" s="63" t="str">
        <f t="shared" si="37"/>
        <v/>
      </c>
      <c r="N46" s="104">
        <f t="shared" si="32"/>
        <v>0</v>
      </c>
      <c r="O46" s="104">
        <f t="shared" ca="1" si="33"/>
        <v>0</v>
      </c>
      <c r="P46" s="105">
        <f t="shared" ca="1" si="34"/>
        <v>0</v>
      </c>
      <c r="Q46" s="35"/>
      <c r="R46" s="106">
        <f t="shared" si="39"/>
        <v>0</v>
      </c>
      <c r="S46" s="104">
        <f t="shared" si="63"/>
        <v>0</v>
      </c>
      <c r="T46" s="156">
        <f t="shared" si="3"/>
        <v>0</v>
      </c>
      <c r="U46" s="105">
        <f t="shared" si="40"/>
        <v>0</v>
      </c>
      <c r="V46" s="35"/>
      <c r="W46" s="1228"/>
      <c r="X46" s="1228"/>
      <c r="Y46" s="366"/>
      <c r="Z46" s="98"/>
      <c r="AA46" s="98">
        <f t="shared" si="41"/>
        <v>-10</v>
      </c>
      <c r="AB46" s="101">
        <f t="shared" si="42"/>
        <v>0</v>
      </c>
      <c r="AC46" s="101">
        <f t="shared" ca="1" si="36"/>
        <v>0</v>
      </c>
      <c r="AD46" s="101" t="b">
        <f t="shared" si="43"/>
        <v>0</v>
      </c>
      <c r="AE46" s="101">
        <f t="shared" ref="AE46:AK55" si="65">IF($I46=AE$15,$H46,0)</f>
        <v>0</v>
      </c>
      <c r="AF46" s="101">
        <f t="shared" si="65"/>
        <v>0</v>
      </c>
      <c r="AG46" s="101">
        <f t="shared" si="65"/>
        <v>0</v>
      </c>
      <c r="AH46" s="101">
        <f t="shared" si="65"/>
        <v>0</v>
      </c>
      <c r="AI46" s="101">
        <f t="shared" si="65"/>
        <v>0</v>
      </c>
      <c r="AJ46" s="101">
        <f t="shared" si="65"/>
        <v>0</v>
      </c>
      <c r="AK46" s="101">
        <f t="shared" si="65"/>
        <v>0</v>
      </c>
      <c r="AL46" s="1498">
        <f t="shared" si="45"/>
        <v>0</v>
      </c>
      <c r="AM46" s="1498">
        <f t="shared" si="46"/>
        <v>0</v>
      </c>
      <c r="AN46" s="1498">
        <f t="shared" si="47"/>
        <v>0</v>
      </c>
      <c r="AO46" s="1498">
        <f t="shared" si="48"/>
        <v>0</v>
      </c>
      <c r="AP46" s="1498">
        <f t="shared" si="49"/>
        <v>0</v>
      </c>
      <c r="AQ46" s="1498">
        <f t="shared" si="50"/>
        <v>0</v>
      </c>
      <c r="AR46" s="1498">
        <f t="shared" si="51"/>
        <v>0</v>
      </c>
      <c r="AS46" s="101" t="b">
        <f t="shared" si="52"/>
        <v>0</v>
      </c>
      <c r="AT46" s="101">
        <f t="shared" si="53"/>
        <v>0</v>
      </c>
      <c r="AU46" s="1498">
        <f t="shared" si="54"/>
        <v>0</v>
      </c>
      <c r="AV46" s="101" t="b">
        <f t="shared" si="55"/>
        <v>0</v>
      </c>
      <c r="AW46" s="101">
        <f t="shared" si="56"/>
        <v>0</v>
      </c>
      <c r="AX46" s="1498">
        <f t="shared" si="21"/>
        <v>0</v>
      </c>
      <c r="AY46" s="101" t="b">
        <f t="shared" si="57"/>
        <v>0</v>
      </c>
      <c r="AZ46" s="101">
        <f t="shared" si="58"/>
        <v>0</v>
      </c>
      <c r="BA46" s="1498">
        <f t="shared" si="24"/>
        <v>0</v>
      </c>
      <c r="BB46" s="101" t="b">
        <f t="shared" si="25"/>
        <v>0</v>
      </c>
      <c r="BC46" s="101">
        <f t="shared" si="59"/>
        <v>0</v>
      </c>
      <c r="BD46" s="101" t="b">
        <f t="shared" si="27"/>
        <v>0</v>
      </c>
      <c r="BE46" s="101">
        <f t="shared" si="60"/>
        <v>0</v>
      </c>
      <c r="BF46" s="101" t="b">
        <f t="shared" si="61"/>
        <v>0</v>
      </c>
      <c r="BG46" s="101">
        <f t="shared" si="62"/>
        <v>0</v>
      </c>
      <c r="BH46" s="101">
        <f>IF(OR(I46='Dropdown Lists'!$I$3,'11. Unit Mix'!J46='Dropdown Lists'!$W$3),H46,0)</f>
        <v>0</v>
      </c>
      <c r="BI46" s="367"/>
      <c r="BJ46" s="367"/>
      <c r="BK46" s="367"/>
      <c r="BL46" s="367"/>
      <c r="BM46" s="367"/>
      <c r="BN46" s="367"/>
      <c r="BO46" s="367"/>
      <c r="BP46" s="367"/>
      <c r="BQ46" s="367"/>
      <c r="BR46" s="367"/>
      <c r="BS46" s="367"/>
      <c r="BT46" s="367"/>
      <c r="BU46" s="367"/>
      <c r="BV46" s="367"/>
      <c r="BW46" s="367"/>
      <c r="BX46" s="367"/>
      <c r="BY46" s="367"/>
      <c r="BZ46" s="367"/>
      <c r="CA46" s="367"/>
      <c r="CB46" s="97"/>
      <c r="CC46" s="97"/>
      <c r="CD46" s="97"/>
      <c r="CE46" s="97"/>
      <c r="CF46" s="97"/>
      <c r="CG46" s="97"/>
      <c r="CH46" s="97"/>
      <c r="CI46" s="101"/>
    </row>
    <row r="47" spans="1:87">
      <c r="A47" s="435"/>
      <c r="B47" s="1689"/>
      <c r="C47" s="208"/>
      <c r="D47" s="208"/>
      <c r="E47" s="61"/>
      <c r="F47" s="209"/>
      <c r="G47" s="61"/>
      <c r="H47" s="61"/>
      <c r="I47" s="210"/>
      <c r="J47" s="61"/>
      <c r="K47" s="365"/>
      <c r="L47" s="103">
        <f t="shared" si="38"/>
        <v>0</v>
      </c>
      <c r="M47" s="63" t="str">
        <f t="shared" si="37"/>
        <v/>
      </c>
      <c r="N47" s="104">
        <f t="shared" si="32"/>
        <v>0</v>
      </c>
      <c r="O47" s="104">
        <f t="shared" ca="1" si="33"/>
        <v>0</v>
      </c>
      <c r="P47" s="105">
        <f t="shared" ca="1" si="34"/>
        <v>0</v>
      </c>
      <c r="Q47" s="35"/>
      <c r="R47" s="106">
        <f t="shared" si="39"/>
        <v>0</v>
      </c>
      <c r="S47" s="104">
        <f t="shared" si="63"/>
        <v>0</v>
      </c>
      <c r="T47" s="156">
        <f t="shared" si="3"/>
        <v>0</v>
      </c>
      <c r="U47" s="105">
        <f t="shared" si="40"/>
        <v>0</v>
      </c>
      <c r="V47" s="35"/>
      <c r="W47" s="1228"/>
      <c r="X47" s="1228"/>
      <c r="Y47" s="366"/>
      <c r="Z47" s="98"/>
      <c r="AA47" s="98">
        <f t="shared" si="41"/>
        <v>-10</v>
      </c>
      <c r="AB47" s="101">
        <f t="shared" si="42"/>
        <v>0</v>
      </c>
      <c r="AC47" s="101">
        <f t="shared" ca="1" si="36"/>
        <v>0</v>
      </c>
      <c r="AD47" s="101" t="b">
        <f t="shared" si="43"/>
        <v>0</v>
      </c>
      <c r="AE47" s="101">
        <f t="shared" si="65"/>
        <v>0</v>
      </c>
      <c r="AF47" s="101">
        <f t="shared" si="65"/>
        <v>0</v>
      </c>
      <c r="AG47" s="101">
        <f t="shared" si="65"/>
        <v>0</v>
      </c>
      <c r="AH47" s="101">
        <f t="shared" si="65"/>
        <v>0</v>
      </c>
      <c r="AI47" s="101">
        <f t="shared" si="65"/>
        <v>0</v>
      </c>
      <c r="AJ47" s="101">
        <f t="shared" si="65"/>
        <v>0</v>
      </c>
      <c r="AK47" s="101">
        <f t="shared" si="65"/>
        <v>0</v>
      </c>
      <c r="AL47" s="1498">
        <f t="shared" si="45"/>
        <v>0</v>
      </c>
      <c r="AM47" s="1498">
        <f t="shared" si="46"/>
        <v>0</v>
      </c>
      <c r="AN47" s="1498">
        <f t="shared" si="47"/>
        <v>0</v>
      </c>
      <c r="AO47" s="1498">
        <f t="shared" si="48"/>
        <v>0</v>
      </c>
      <c r="AP47" s="1498">
        <f t="shared" si="49"/>
        <v>0</v>
      </c>
      <c r="AQ47" s="1498">
        <f t="shared" si="50"/>
        <v>0</v>
      </c>
      <c r="AR47" s="1498">
        <f t="shared" si="51"/>
        <v>0</v>
      </c>
      <c r="AS47" s="101" t="b">
        <f t="shared" si="52"/>
        <v>0</v>
      </c>
      <c r="AT47" s="101">
        <f t="shared" si="53"/>
        <v>0</v>
      </c>
      <c r="AU47" s="1498">
        <f t="shared" si="54"/>
        <v>0</v>
      </c>
      <c r="AV47" s="101" t="b">
        <f t="shared" si="55"/>
        <v>0</v>
      </c>
      <c r="AW47" s="101">
        <f t="shared" si="56"/>
        <v>0</v>
      </c>
      <c r="AX47" s="1498">
        <f t="shared" si="21"/>
        <v>0</v>
      </c>
      <c r="AY47" s="101" t="b">
        <f t="shared" si="57"/>
        <v>0</v>
      </c>
      <c r="AZ47" s="101">
        <f t="shared" si="58"/>
        <v>0</v>
      </c>
      <c r="BA47" s="1498">
        <f t="shared" si="24"/>
        <v>0</v>
      </c>
      <c r="BB47" s="101" t="b">
        <f t="shared" si="25"/>
        <v>0</v>
      </c>
      <c r="BC47" s="101">
        <f t="shared" si="59"/>
        <v>0</v>
      </c>
      <c r="BD47" s="101" t="b">
        <f t="shared" si="27"/>
        <v>0</v>
      </c>
      <c r="BE47" s="101">
        <f t="shared" si="60"/>
        <v>0</v>
      </c>
      <c r="BF47" s="101" t="b">
        <f t="shared" si="61"/>
        <v>0</v>
      </c>
      <c r="BG47" s="101">
        <f t="shared" si="62"/>
        <v>0</v>
      </c>
      <c r="BH47" s="101">
        <f>IF(OR(I47='Dropdown Lists'!$I$3,'11. Unit Mix'!J47='Dropdown Lists'!$W$3),H47,0)</f>
        <v>0</v>
      </c>
      <c r="BI47" s="367"/>
      <c r="BJ47" s="367"/>
      <c r="BK47" s="367"/>
      <c r="BL47" s="367"/>
      <c r="BM47" s="367"/>
      <c r="BN47" s="367"/>
      <c r="BO47" s="367"/>
      <c r="BP47" s="367"/>
      <c r="BQ47" s="367"/>
      <c r="BR47" s="367"/>
      <c r="BS47" s="367"/>
      <c r="BT47" s="367"/>
      <c r="BU47" s="367"/>
      <c r="BV47" s="367"/>
      <c r="BW47" s="367"/>
      <c r="BX47" s="367"/>
      <c r="BY47" s="367"/>
      <c r="BZ47" s="367"/>
      <c r="CA47" s="367"/>
      <c r="CB47" s="97"/>
      <c r="CC47" s="97"/>
      <c r="CD47" s="97"/>
      <c r="CE47" s="97"/>
      <c r="CF47" s="97"/>
      <c r="CG47" s="97"/>
      <c r="CH47" s="97"/>
      <c r="CI47" s="101"/>
    </row>
    <row r="48" spans="1:87">
      <c r="A48" s="309"/>
      <c r="B48" s="1689"/>
      <c r="C48" s="208"/>
      <c r="D48" s="208"/>
      <c r="E48" s="61"/>
      <c r="F48" s="209"/>
      <c r="G48" s="61"/>
      <c r="H48" s="61"/>
      <c r="I48" s="210"/>
      <c r="J48" s="61"/>
      <c r="K48" s="365"/>
      <c r="L48" s="103">
        <f t="shared" si="38"/>
        <v>0</v>
      </c>
      <c r="M48" s="63" t="str">
        <f t="shared" si="37"/>
        <v/>
      </c>
      <c r="N48" s="104">
        <f t="shared" si="32"/>
        <v>0</v>
      </c>
      <c r="O48" s="104">
        <f t="shared" ca="1" si="33"/>
        <v>0</v>
      </c>
      <c r="P48" s="105">
        <f t="shared" ca="1" si="34"/>
        <v>0</v>
      </c>
      <c r="Q48" s="35"/>
      <c r="R48" s="106">
        <f t="shared" si="39"/>
        <v>0</v>
      </c>
      <c r="S48" s="104">
        <f t="shared" si="63"/>
        <v>0</v>
      </c>
      <c r="T48" s="156">
        <f t="shared" ref="T48:T65" si="66">IF(SUM($H$16:$H$65)=0,0,H48/SUM($H$16:$H$65))</f>
        <v>0</v>
      </c>
      <c r="U48" s="105">
        <f t="shared" si="40"/>
        <v>0</v>
      </c>
      <c r="V48" s="35"/>
      <c r="W48" s="1228"/>
      <c r="X48" s="1228"/>
      <c r="Y48" s="366"/>
      <c r="Z48" s="98"/>
      <c r="AA48" s="98">
        <f t="shared" si="41"/>
        <v>-10</v>
      </c>
      <c r="AB48" s="101">
        <f t="shared" si="42"/>
        <v>0</v>
      </c>
      <c r="AC48" s="101">
        <f t="shared" ref="AC48:AC65" ca="1" si="67">IF(AA48&lt;0, 0, INDIRECT("RentLimits!"&amp;ADDRESS($AA$8, AA48+AB48)))</f>
        <v>0</v>
      </c>
      <c r="AD48" s="101" t="b">
        <f t="shared" ref="AD48:AD65" si="68">$J48="Low Income"</f>
        <v>0</v>
      </c>
      <c r="AE48" s="101">
        <f t="shared" si="65"/>
        <v>0</v>
      </c>
      <c r="AF48" s="101">
        <f t="shared" si="65"/>
        <v>0</v>
      </c>
      <c r="AG48" s="101">
        <f t="shared" si="65"/>
        <v>0</v>
      </c>
      <c r="AH48" s="101">
        <f t="shared" si="65"/>
        <v>0</v>
      </c>
      <c r="AI48" s="101">
        <f t="shared" si="65"/>
        <v>0</v>
      </c>
      <c r="AJ48" s="101">
        <f t="shared" si="65"/>
        <v>0</v>
      </c>
      <c r="AK48" s="101">
        <f t="shared" si="65"/>
        <v>0</v>
      </c>
      <c r="AL48" s="1498">
        <f t="shared" ref="AL48:AL65" si="69">AE48*$K48*12</f>
        <v>0</v>
      </c>
      <c r="AM48" s="1498">
        <f t="shared" ref="AM48:AM65" si="70">AF48*$K48*12</f>
        <v>0</v>
      </c>
      <c r="AN48" s="1498">
        <f t="shared" ref="AN48:AN65" si="71">AG48*$K48*12</f>
        <v>0</v>
      </c>
      <c r="AO48" s="1498">
        <f t="shared" ref="AO48:AO65" si="72">AH48*$K48*12</f>
        <v>0</v>
      </c>
      <c r="AP48" s="1498">
        <f t="shared" ref="AP48:AP65" si="73">AI48*$K48*12</f>
        <v>0</v>
      </c>
      <c r="AQ48" s="1498">
        <f t="shared" ref="AQ48:AQ65" si="74">AJ48*$K48*12</f>
        <v>0</v>
      </c>
      <c r="AR48" s="1498">
        <f t="shared" ref="AR48:AR65" si="75">AK48*$K48*12</f>
        <v>0</v>
      </c>
      <c r="AS48" s="101" t="b">
        <f t="shared" ref="AS48:AS65" si="76">$J48="Voucher"</f>
        <v>0</v>
      </c>
      <c r="AT48" s="101">
        <f t="shared" ref="AT48:AT65" si="77">IF(AS48,$H48,0)</f>
        <v>0</v>
      </c>
      <c r="AU48" s="1498">
        <f t="shared" si="54"/>
        <v>0</v>
      </c>
      <c r="AV48" s="101" t="b">
        <f t="shared" ref="AV48:AV65" si="78">$J48="HOME"</f>
        <v>0</v>
      </c>
      <c r="AW48" s="101">
        <f t="shared" ref="AW48:AW65" si="79">IF(AV48,$H48,0)</f>
        <v>0</v>
      </c>
      <c r="AX48" s="1498">
        <f t="shared" si="21"/>
        <v>0</v>
      </c>
      <c r="AY48" s="101" t="b">
        <f t="shared" ref="AY48:AY65" si="80">$J48="Employee"</f>
        <v>0</v>
      </c>
      <c r="AZ48" s="101">
        <f t="shared" ref="AZ48:AZ65" si="81">IF(AY48,$H48,0)</f>
        <v>0</v>
      </c>
      <c r="BA48" s="1498">
        <f t="shared" si="24"/>
        <v>0</v>
      </c>
      <c r="BB48" s="101" t="b">
        <f t="shared" si="25"/>
        <v>0</v>
      </c>
      <c r="BC48" s="101">
        <f t="shared" ref="BC48:BC65" si="82">IF(BB48,H48, 0)</f>
        <v>0</v>
      </c>
      <c r="BD48" s="101" t="b">
        <f t="shared" ref="BD48:BD65" si="83">C48="Single Family"</f>
        <v>0</v>
      </c>
      <c r="BE48" s="101">
        <f t="shared" si="60"/>
        <v>0</v>
      </c>
      <c r="BF48" s="101" t="b">
        <f t="shared" si="61"/>
        <v>0</v>
      </c>
      <c r="BG48" s="101">
        <f t="shared" ref="BG48:BG65" si="84">IF($BF48, $H48,0)</f>
        <v>0</v>
      </c>
      <c r="BH48" s="101">
        <f>IF(OR(I48='Dropdown Lists'!$I$3,'11. Unit Mix'!J48='Dropdown Lists'!$W$3),H48,0)</f>
        <v>0</v>
      </c>
      <c r="BI48" s="367"/>
      <c r="BJ48" s="367"/>
      <c r="BK48" s="367"/>
      <c r="BL48" s="367"/>
      <c r="BM48" s="367"/>
      <c r="BN48" s="367"/>
      <c r="BO48" s="367"/>
      <c r="BP48" s="367"/>
      <c r="BQ48" s="367"/>
      <c r="BR48" s="367"/>
      <c r="BS48" s="367"/>
      <c r="BT48" s="367"/>
      <c r="BU48" s="367"/>
      <c r="BV48" s="367"/>
      <c r="BW48" s="367"/>
      <c r="BX48" s="367"/>
      <c r="BY48" s="367"/>
      <c r="BZ48" s="367"/>
      <c r="CA48" s="367"/>
      <c r="CB48" s="97"/>
      <c r="CC48" s="97"/>
      <c r="CD48" s="97"/>
      <c r="CE48" s="97"/>
      <c r="CF48" s="97"/>
      <c r="CG48" s="97"/>
      <c r="CH48" s="97"/>
      <c r="CI48" s="101"/>
    </row>
    <row r="49" spans="1:87">
      <c r="A49" s="309"/>
      <c r="B49" s="1689"/>
      <c r="C49" s="208"/>
      <c r="D49" s="208"/>
      <c r="E49" s="61"/>
      <c r="F49" s="209"/>
      <c r="G49" s="61"/>
      <c r="H49" s="61"/>
      <c r="I49" s="210"/>
      <c r="J49" s="61"/>
      <c r="K49" s="365"/>
      <c r="L49" s="103">
        <f t="shared" si="38"/>
        <v>0</v>
      </c>
      <c r="M49" s="63" t="str">
        <f t="shared" si="37"/>
        <v/>
      </c>
      <c r="N49" s="104">
        <f t="shared" si="32"/>
        <v>0</v>
      </c>
      <c r="O49" s="104">
        <f t="shared" ca="1" si="33"/>
        <v>0</v>
      </c>
      <c r="P49" s="105">
        <f t="shared" ca="1" si="34"/>
        <v>0</v>
      </c>
      <c r="Q49" s="35"/>
      <c r="R49" s="106">
        <f t="shared" si="39"/>
        <v>0</v>
      </c>
      <c r="S49" s="104">
        <f t="shared" si="63"/>
        <v>0</v>
      </c>
      <c r="T49" s="156">
        <f t="shared" si="66"/>
        <v>0</v>
      </c>
      <c r="U49" s="105">
        <f t="shared" si="40"/>
        <v>0</v>
      </c>
      <c r="V49" s="35"/>
      <c r="W49" s="1228"/>
      <c r="X49" s="1228"/>
      <c r="Y49" s="366"/>
      <c r="Z49" s="98"/>
      <c r="AA49" s="98">
        <f t="shared" si="41"/>
        <v>-10</v>
      </c>
      <c r="AB49" s="101">
        <f t="shared" si="42"/>
        <v>0</v>
      </c>
      <c r="AC49" s="101">
        <f t="shared" ca="1" si="67"/>
        <v>0</v>
      </c>
      <c r="AD49" s="101" t="b">
        <f t="shared" si="68"/>
        <v>0</v>
      </c>
      <c r="AE49" s="101">
        <f t="shared" si="65"/>
        <v>0</v>
      </c>
      <c r="AF49" s="101">
        <f t="shared" si="65"/>
        <v>0</v>
      </c>
      <c r="AG49" s="101">
        <f t="shared" si="65"/>
        <v>0</v>
      </c>
      <c r="AH49" s="101">
        <f t="shared" si="65"/>
        <v>0</v>
      </c>
      <c r="AI49" s="101">
        <f t="shared" si="65"/>
        <v>0</v>
      </c>
      <c r="AJ49" s="101">
        <f t="shared" si="65"/>
        <v>0</v>
      </c>
      <c r="AK49" s="101">
        <f t="shared" si="65"/>
        <v>0</v>
      </c>
      <c r="AL49" s="1498">
        <f t="shared" si="69"/>
        <v>0</v>
      </c>
      <c r="AM49" s="1498">
        <f t="shared" si="70"/>
        <v>0</v>
      </c>
      <c r="AN49" s="1498">
        <f t="shared" si="71"/>
        <v>0</v>
      </c>
      <c r="AO49" s="1498">
        <f t="shared" si="72"/>
        <v>0</v>
      </c>
      <c r="AP49" s="1498">
        <f t="shared" si="73"/>
        <v>0</v>
      </c>
      <c r="AQ49" s="1498">
        <f t="shared" si="74"/>
        <v>0</v>
      </c>
      <c r="AR49" s="1498">
        <f t="shared" si="75"/>
        <v>0</v>
      </c>
      <c r="AS49" s="101" t="b">
        <f t="shared" si="76"/>
        <v>0</v>
      </c>
      <c r="AT49" s="101">
        <f t="shared" si="77"/>
        <v>0</v>
      </c>
      <c r="AU49" s="1498">
        <f t="shared" si="54"/>
        <v>0</v>
      </c>
      <c r="AV49" s="101" t="b">
        <f t="shared" si="78"/>
        <v>0</v>
      </c>
      <c r="AW49" s="101">
        <f t="shared" si="79"/>
        <v>0</v>
      </c>
      <c r="AX49" s="1498">
        <f t="shared" si="21"/>
        <v>0</v>
      </c>
      <c r="AY49" s="101" t="b">
        <f t="shared" si="80"/>
        <v>0</v>
      </c>
      <c r="AZ49" s="101">
        <f t="shared" si="81"/>
        <v>0</v>
      </c>
      <c r="BA49" s="1498">
        <f t="shared" si="24"/>
        <v>0</v>
      </c>
      <c r="BB49" s="101" t="b">
        <f t="shared" si="25"/>
        <v>0</v>
      </c>
      <c r="BC49" s="101">
        <f t="shared" si="82"/>
        <v>0</v>
      </c>
      <c r="BD49" s="101" t="b">
        <f t="shared" si="83"/>
        <v>0</v>
      </c>
      <c r="BE49" s="101">
        <f t="shared" si="60"/>
        <v>0</v>
      </c>
      <c r="BF49" s="101" t="b">
        <f t="shared" si="61"/>
        <v>0</v>
      </c>
      <c r="BG49" s="101">
        <f t="shared" si="84"/>
        <v>0</v>
      </c>
      <c r="BH49" s="101">
        <f>IF(OR(I49='Dropdown Lists'!$I$3,'11. Unit Mix'!J49='Dropdown Lists'!$W$3),H49,0)</f>
        <v>0</v>
      </c>
      <c r="BI49" s="367"/>
      <c r="BJ49" s="367"/>
      <c r="BK49" s="367"/>
      <c r="BL49" s="367"/>
      <c r="BM49" s="367"/>
      <c r="BN49" s="367"/>
      <c r="BO49" s="367"/>
      <c r="BP49" s="367"/>
      <c r="BQ49" s="367"/>
      <c r="BR49" s="367"/>
      <c r="BS49" s="367"/>
      <c r="BT49" s="367"/>
      <c r="BU49" s="367"/>
      <c r="BV49" s="367"/>
      <c r="BW49" s="367"/>
      <c r="BX49" s="367"/>
      <c r="BY49" s="367"/>
      <c r="BZ49" s="367"/>
      <c r="CA49" s="367"/>
      <c r="CB49" s="97"/>
      <c r="CC49" s="97"/>
      <c r="CD49" s="97"/>
      <c r="CE49" s="97"/>
      <c r="CF49" s="97"/>
      <c r="CG49" s="97"/>
      <c r="CH49" s="97"/>
      <c r="CI49" s="101"/>
    </row>
    <row r="50" spans="1:87">
      <c r="A50" s="309"/>
      <c r="B50" s="1689"/>
      <c r="C50" s="208"/>
      <c r="D50" s="208"/>
      <c r="E50" s="61"/>
      <c r="F50" s="209"/>
      <c r="G50" s="61"/>
      <c r="H50" s="61"/>
      <c r="I50" s="210"/>
      <c r="J50" s="61"/>
      <c r="K50" s="365"/>
      <c r="L50" s="103">
        <f t="shared" si="38"/>
        <v>0</v>
      </c>
      <c r="M50" s="63" t="str">
        <f t="shared" si="37"/>
        <v/>
      </c>
      <c r="N50" s="104">
        <f t="shared" si="32"/>
        <v>0</v>
      </c>
      <c r="O50" s="104">
        <f t="shared" ca="1" si="33"/>
        <v>0</v>
      </c>
      <c r="P50" s="105">
        <f t="shared" ca="1" si="34"/>
        <v>0</v>
      </c>
      <c r="Q50" s="35"/>
      <c r="R50" s="106">
        <f t="shared" si="39"/>
        <v>0</v>
      </c>
      <c r="S50" s="104">
        <f t="shared" si="63"/>
        <v>0</v>
      </c>
      <c r="T50" s="156">
        <f t="shared" si="66"/>
        <v>0</v>
      </c>
      <c r="U50" s="105">
        <f t="shared" si="40"/>
        <v>0</v>
      </c>
      <c r="V50" s="35"/>
      <c r="W50" s="1228"/>
      <c r="X50" s="1228"/>
      <c r="Y50" s="366"/>
      <c r="Z50" s="98"/>
      <c r="AA50" s="98">
        <f t="shared" si="41"/>
        <v>-10</v>
      </c>
      <c r="AB50" s="101">
        <f t="shared" si="42"/>
        <v>0</v>
      </c>
      <c r="AC50" s="101">
        <f t="shared" ca="1" si="67"/>
        <v>0</v>
      </c>
      <c r="AD50" s="101" t="b">
        <f t="shared" si="68"/>
        <v>0</v>
      </c>
      <c r="AE50" s="101">
        <f t="shared" si="65"/>
        <v>0</v>
      </c>
      <c r="AF50" s="101">
        <f t="shared" si="65"/>
        <v>0</v>
      </c>
      <c r="AG50" s="101">
        <f t="shared" si="65"/>
        <v>0</v>
      </c>
      <c r="AH50" s="101">
        <f t="shared" si="65"/>
        <v>0</v>
      </c>
      <c r="AI50" s="101">
        <f t="shared" si="65"/>
        <v>0</v>
      </c>
      <c r="AJ50" s="101">
        <f t="shared" si="65"/>
        <v>0</v>
      </c>
      <c r="AK50" s="101">
        <f t="shared" si="65"/>
        <v>0</v>
      </c>
      <c r="AL50" s="1498">
        <f t="shared" si="69"/>
        <v>0</v>
      </c>
      <c r="AM50" s="1498">
        <f t="shared" si="70"/>
        <v>0</v>
      </c>
      <c r="AN50" s="1498">
        <f t="shared" si="71"/>
        <v>0</v>
      </c>
      <c r="AO50" s="1498">
        <f t="shared" si="72"/>
        <v>0</v>
      </c>
      <c r="AP50" s="1498">
        <f t="shared" si="73"/>
        <v>0</v>
      </c>
      <c r="AQ50" s="1498">
        <f t="shared" si="74"/>
        <v>0</v>
      </c>
      <c r="AR50" s="1498">
        <f t="shared" si="75"/>
        <v>0</v>
      </c>
      <c r="AS50" s="101" t="b">
        <f t="shared" si="76"/>
        <v>0</v>
      </c>
      <c r="AT50" s="101">
        <f t="shared" si="77"/>
        <v>0</v>
      </c>
      <c r="AU50" s="1498">
        <f t="shared" si="54"/>
        <v>0</v>
      </c>
      <c r="AV50" s="101" t="b">
        <f t="shared" si="78"/>
        <v>0</v>
      </c>
      <c r="AW50" s="101">
        <f t="shared" si="79"/>
        <v>0</v>
      </c>
      <c r="AX50" s="1498">
        <f t="shared" si="21"/>
        <v>0</v>
      </c>
      <c r="AY50" s="101" t="b">
        <f t="shared" si="80"/>
        <v>0</v>
      </c>
      <c r="AZ50" s="101">
        <f t="shared" si="81"/>
        <v>0</v>
      </c>
      <c r="BA50" s="1498">
        <f t="shared" si="24"/>
        <v>0</v>
      </c>
      <c r="BB50" s="101" t="b">
        <f t="shared" si="25"/>
        <v>0</v>
      </c>
      <c r="BC50" s="101">
        <f t="shared" si="82"/>
        <v>0</v>
      </c>
      <c r="BD50" s="101" t="b">
        <f t="shared" si="83"/>
        <v>0</v>
      </c>
      <c r="BE50" s="101">
        <f t="shared" si="60"/>
        <v>0</v>
      </c>
      <c r="BF50" s="101" t="b">
        <f t="shared" si="61"/>
        <v>0</v>
      </c>
      <c r="BG50" s="101">
        <f t="shared" si="84"/>
        <v>0</v>
      </c>
      <c r="BH50" s="101">
        <f>IF(OR(I50='Dropdown Lists'!$I$3,'11. Unit Mix'!J50='Dropdown Lists'!$W$3),H50,0)</f>
        <v>0</v>
      </c>
      <c r="BI50" s="367"/>
      <c r="BJ50" s="367"/>
      <c r="BK50" s="367"/>
      <c r="BL50" s="367"/>
      <c r="BM50" s="367"/>
      <c r="BN50" s="367"/>
      <c r="BO50" s="367"/>
      <c r="BP50" s="367"/>
      <c r="BQ50" s="367"/>
      <c r="BR50" s="367"/>
      <c r="BS50" s="367"/>
      <c r="BT50" s="367"/>
      <c r="BU50" s="367"/>
      <c r="BV50" s="367"/>
      <c r="BW50" s="367"/>
      <c r="BX50" s="367"/>
      <c r="BY50" s="367"/>
      <c r="BZ50" s="367"/>
      <c r="CA50" s="367"/>
      <c r="CB50" s="97"/>
      <c r="CC50" s="97"/>
      <c r="CD50" s="97"/>
      <c r="CE50" s="97"/>
      <c r="CF50" s="97"/>
      <c r="CG50" s="97"/>
      <c r="CH50" s="97"/>
      <c r="CI50" s="101"/>
    </row>
    <row r="51" spans="1:87">
      <c r="A51" s="309"/>
      <c r="B51" s="1689"/>
      <c r="C51" s="208"/>
      <c r="D51" s="208"/>
      <c r="E51" s="61"/>
      <c r="F51" s="209"/>
      <c r="G51" s="61"/>
      <c r="H51" s="61"/>
      <c r="I51" s="210"/>
      <c r="J51" s="61"/>
      <c r="K51" s="365"/>
      <c r="L51" s="103">
        <f t="shared" si="38"/>
        <v>0</v>
      </c>
      <c r="M51" s="63" t="str">
        <f t="shared" si="37"/>
        <v/>
      </c>
      <c r="N51" s="104">
        <f t="shared" si="32"/>
        <v>0</v>
      </c>
      <c r="O51" s="104">
        <f t="shared" ca="1" si="33"/>
        <v>0</v>
      </c>
      <c r="P51" s="105">
        <f t="shared" ca="1" si="34"/>
        <v>0</v>
      </c>
      <c r="Q51" s="35"/>
      <c r="R51" s="106">
        <f t="shared" si="39"/>
        <v>0</v>
      </c>
      <c r="S51" s="104">
        <f t="shared" si="63"/>
        <v>0</v>
      </c>
      <c r="T51" s="156">
        <f t="shared" si="66"/>
        <v>0</v>
      </c>
      <c r="U51" s="105">
        <f t="shared" si="40"/>
        <v>0</v>
      </c>
      <c r="V51" s="35"/>
      <c r="W51" s="1228"/>
      <c r="X51" s="1228"/>
      <c r="Y51" s="366"/>
      <c r="Z51" s="98"/>
      <c r="AA51" s="98">
        <f t="shared" si="41"/>
        <v>-10</v>
      </c>
      <c r="AB51" s="101">
        <f t="shared" si="42"/>
        <v>0</v>
      </c>
      <c r="AC51" s="101">
        <f t="shared" ca="1" si="67"/>
        <v>0</v>
      </c>
      <c r="AD51" s="101" t="b">
        <f t="shared" si="68"/>
        <v>0</v>
      </c>
      <c r="AE51" s="101">
        <f t="shared" si="65"/>
        <v>0</v>
      </c>
      <c r="AF51" s="101">
        <f t="shared" si="65"/>
        <v>0</v>
      </c>
      <c r="AG51" s="101">
        <f t="shared" si="65"/>
        <v>0</v>
      </c>
      <c r="AH51" s="101">
        <f t="shared" si="65"/>
        <v>0</v>
      </c>
      <c r="AI51" s="101">
        <f t="shared" si="65"/>
        <v>0</v>
      </c>
      <c r="AJ51" s="101">
        <f t="shared" si="65"/>
        <v>0</v>
      </c>
      <c r="AK51" s="101">
        <f t="shared" si="65"/>
        <v>0</v>
      </c>
      <c r="AL51" s="1498">
        <f t="shared" si="69"/>
        <v>0</v>
      </c>
      <c r="AM51" s="1498">
        <f t="shared" si="70"/>
        <v>0</v>
      </c>
      <c r="AN51" s="1498">
        <f t="shared" si="71"/>
        <v>0</v>
      </c>
      <c r="AO51" s="1498">
        <f t="shared" si="72"/>
        <v>0</v>
      </c>
      <c r="AP51" s="1498">
        <f t="shared" si="73"/>
        <v>0</v>
      </c>
      <c r="AQ51" s="1498">
        <f t="shared" si="74"/>
        <v>0</v>
      </c>
      <c r="AR51" s="1498">
        <f t="shared" si="75"/>
        <v>0</v>
      </c>
      <c r="AS51" s="101" t="b">
        <f t="shared" si="76"/>
        <v>0</v>
      </c>
      <c r="AT51" s="101">
        <f t="shared" si="77"/>
        <v>0</v>
      </c>
      <c r="AU51" s="1498">
        <f t="shared" si="54"/>
        <v>0</v>
      </c>
      <c r="AV51" s="101" t="b">
        <f t="shared" si="78"/>
        <v>0</v>
      </c>
      <c r="AW51" s="101">
        <f t="shared" si="79"/>
        <v>0</v>
      </c>
      <c r="AX51" s="1498">
        <f t="shared" si="21"/>
        <v>0</v>
      </c>
      <c r="AY51" s="101" t="b">
        <f t="shared" si="80"/>
        <v>0</v>
      </c>
      <c r="AZ51" s="101">
        <f t="shared" si="81"/>
        <v>0</v>
      </c>
      <c r="BA51" s="1498">
        <f t="shared" si="24"/>
        <v>0</v>
      </c>
      <c r="BB51" s="101" t="b">
        <f t="shared" si="25"/>
        <v>0</v>
      </c>
      <c r="BC51" s="101">
        <f t="shared" si="82"/>
        <v>0</v>
      </c>
      <c r="BD51" s="101" t="b">
        <f t="shared" si="83"/>
        <v>0</v>
      </c>
      <c r="BE51" s="101">
        <f t="shared" si="60"/>
        <v>0</v>
      </c>
      <c r="BF51" s="101" t="b">
        <f t="shared" si="61"/>
        <v>0</v>
      </c>
      <c r="BG51" s="101">
        <f t="shared" si="84"/>
        <v>0</v>
      </c>
      <c r="BH51" s="101">
        <f>IF(OR(I51='Dropdown Lists'!$I$3,'11. Unit Mix'!J51='Dropdown Lists'!$W$3),H51,0)</f>
        <v>0</v>
      </c>
      <c r="BI51" s="367"/>
      <c r="BJ51" s="367"/>
      <c r="BK51" s="367"/>
      <c r="BL51" s="367"/>
      <c r="BM51" s="367"/>
      <c r="BN51" s="367"/>
      <c r="BO51" s="367"/>
      <c r="BP51" s="367"/>
      <c r="BQ51" s="367"/>
      <c r="BR51" s="367"/>
      <c r="BS51" s="367"/>
      <c r="BT51" s="367"/>
      <c r="BU51" s="367"/>
      <c r="BV51" s="367"/>
      <c r="BW51" s="367"/>
      <c r="BX51" s="367"/>
      <c r="BY51" s="367"/>
      <c r="BZ51" s="367"/>
      <c r="CA51" s="367"/>
      <c r="CB51" s="97"/>
      <c r="CC51" s="97"/>
      <c r="CD51" s="97"/>
      <c r="CE51" s="97"/>
      <c r="CF51" s="97"/>
      <c r="CG51" s="97"/>
      <c r="CH51" s="97"/>
      <c r="CI51" s="101"/>
    </row>
    <row r="52" spans="1:87">
      <c r="B52" s="1689"/>
      <c r="C52" s="208"/>
      <c r="D52" s="208"/>
      <c r="E52" s="61"/>
      <c r="F52" s="209"/>
      <c r="G52" s="61"/>
      <c r="H52" s="61"/>
      <c r="I52" s="210"/>
      <c r="J52" s="61"/>
      <c r="K52" s="365"/>
      <c r="L52" s="103">
        <f t="shared" si="38"/>
        <v>0</v>
      </c>
      <c r="M52" s="63" t="str">
        <f t="shared" si="37"/>
        <v/>
      </c>
      <c r="N52" s="104">
        <f t="shared" si="32"/>
        <v>0</v>
      </c>
      <c r="O52" s="104">
        <f t="shared" ca="1" si="33"/>
        <v>0</v>
      </c>
      <c r="P52" s="105">
        <f t="shared" ca="1" si="34"/>
        <v>0</v>
      </c>
      <c r="Q52" s="35"/>
      <c r="R52" s="106">
        <f t="shared" si="39"/>
        <v>0</v>
      </c>
      <c r="S52" s="104">
        <f t="shared" si="63"/>
        <v>0</v>
      </c>
      <c r="T52" s="156">
        <f t="shared" si="66"/>
        <v>0</v>
      </c>
      <c r="U52" s="105">
        <f t="shared" si="40"/>
        <v>0</v>
      </c>
      <c r="V52" s="35"/>
      <c r="W52" s="1228"/>
      <c r="X52" s="1228"/>
      <c r="Y52" s="366"/>
      <c r="Z52" s="98"/>
      <c r="AA52" s="98">
        <f t="shared" si="41"/>
        <v>-10</v>
      </c>
      <c r="AB52" s="101">
        <f t="shared" si="42"/>
        <v>0</v>
      </c>
      <c r="AC52" s="101">
        <f t="shared" ca="1" si="67"/>
        <v>0</v>
      </c>
      <c r="AD52" s="101" t="b">
        <f t="shared" si="68"/>
        <v>0</v>
      </c>
      <c r="AE52" s="101">
        <f t="shared" si="65"/>
        <v>0</v>
      </c>
      <c r="AF52" s="101">
        <f t="shared" si="65"/>
        <v>0</v>
      </c>
      <c r="AG52" s="101">
        <f t="shared" si="65"/>
        <v>0</v>
      </c>
      <c r="AH52" s="101">
        <f t="shared" si="65"/>
        <v>0</v>
      </c>
      <c r="AI52" s="101">
        <f t="shared" si="65"/>
        <v>0</v>
      </c>
      <c r="AJ52" s="101">
        <f t="shared" si="65"/>
        <v>0</v>
      </c>
      <c r="AK52" s="101">
        <f t="shared" si="65"/>
        <v>0</v>
      </c>
      <c r="AL52" s="1498">
        <f t="shared" si="69"/>
        <v>0</v>
      </c>
      <c r="AM52" s="1498">
        <f t="shared" si="70"/>
        <v>0</v>
      </c>
      <c r="AN52" s="1498">
        <f t="shared" si="71"/>
        <v>0</v>
      </c>
      <c r="AO52" s="1498">
        <f t="shared" si="72"/>
        <v>0</v>
      </c>
      <c r="AP52" s="1498">
        <f t="shared" si="73"/>
        <v>0</v>
      </c>
      <c r="AQ52" s="1498">
        <f t="shared" si="74"/>
        <v>0</v>
      </c>
      <c r="AR52" s="1498">
        <f t="shared" si="75"/>
        <v>0</v>
      </c>
      <c r="AS52" s="101" t="b">
        <f t="shared" si="76"/>
        <v>0</v>
      </c>
      <c r="AT52" s="101">
        <f t="shared" si="77"/>
        <v>0</v>
      </c>
      <c r="AU52" s="1498">
        <f t="shared" si="54"/>
        <v>0</v>
      </c>
      <c r="AV52" s="101" t="b">
        <f t="shared" si="78"/>
        <v>0</v>
      </c>
      <c r="AW52" s="101">
        <f t="shared" si="79"/>
        <v>0</v>
      </c>
      <c r="AX52" s="1498">
        <f t="shared" si="21"/>
        <v>0</v>
      </c>
      <c r="AY52" s="101" t="b">
        <f t="shared" si="80"/>
        <v>0</v>
      </c>
      <c r="AZ52" s="101">
        <f t="shared" si="81"/>
        <v>0</v>
      </c>
      <c r="BA52" s="1498">
        <f t="shared" si="24"/>
        <v>0</v>
      </c>
      <c r="BB52" s="101" t="b">
        <f t="shared" si="25"/>
        <v>0</v>
      </c>
      <c r="BC52" s="101">
        <f t="shared" si="82"/>
        <v>0</v>
      </c>
      <c r="BD52" s="101" t="b">
        <f t="shared" si="83"/>
        <v>0</v>
      </c>
      <c r="BE52" s="101">
        <f t="shared" si="60"/>
        <v>0</v>
      </c>
      <c r="BF52" s="101" t="b">
        <f t="shared" si="61"/>
        <v>0</v>
      </c>
      <c r="BG52" s="101">
        <f t="shared" si="84"/>
        <v>0</v>
      </c>
      <c r="BH52" s="101">
        <f>IF(OR(I52='Dropdown Lists'!$I$3,'11. Unit Mix'!J52='Dropdown Lists'!$W$3),H52,0)</f>
        <v>0</v>
      </c>
      <c r="BI52" s="367"/>
      <c r="BJ52" s="367"/>
      <c r="BK52" s="367"/>
      <c r="BL52" s="367"/>
      <c r="BM52" s="367"/>
      <c r="BN52" s="367"/>
      <c r="BO52" s="367"/>
      <c r="BP52" s="367"/>
      <c r="BQ52" s="367"/>
      <c r="BR52" s="367"/>
      <c r="BS52" s="367"/>
      <c r="BT52" s="367"/>
      <c r="BU52" s="367"/>
      <c r="BV52" s="367"/>
      <c r="BW52" s="367"/>
      <c r="BX52" s="367"/>
      <c r="BY52" s="367"/>
      <c r="BZ52" s="367"/>
      <c r="CA52" s="367"/>
      <c r="CB52" s="97"/>
      <c r="CC52" s="97"/>
      <c r="CD52" s="97"/>
      <c r="CE52" s="97"/>
      <c r="CF52" s="97"/>
      <c r="CG52" s="97"/>
      <c r="CH52" s="97"/>
      <c r="CI52" s="101"/>
    </row>
    <row r="53" spans="1:87">
      <c r="B53" s="1689"/>
      <c r="C53" s="208"/>
      <c r="D53" s="208"/>
      <c r="E53" s="61"/>
      <c r="F53" s="209"/>
      <c r="G53" s="61"/>
      <c r="H53" s="61"/>
      <c r="I53" s="210"/>
      <c r="J53" s="61"/>
      <c r="K53" s="365"/>
      <c r="L53" s="103">
        <f t="shared" si="38"/>
        <v>0</v>
      </c>
      <c r="M53" s="63" t="str">
        <f t="shared" si="37"/>
        <v/>
      </c>
      <c r="N53" s="104">
        <f t="shared" si="32"/>
        <v>0</v>
      </c>
      <c r="O53" s="104">
        <f t="shared" ca="1" si="33"/>
        <v>0</v>
      </c>
      <c r="P53" s="105">
        <f t="shared" ca="1" si="34"/>
        <v>0</v>
      </c>
      <c r="Q53" s="35"/>
      <c r="R53" s="106">
        <f t="shared" si="39"/>
        <v>0</v>
      </c>
      <c r="S53" s="104">
        <f t="shared" si="63"/>
        <v>0</v>
      </c>
      <c r="T53" s="156">
        <f t="shared" si="66"/>
        <v>0</v>
      </c>
      <c r="U53" s="105">
        <f t="shared" si="40"/>
        <v>0</v>
      </c>
      <c r="V53" s="35"/>
      <c r="W53" s="1228"/>
      <c r="X53" s="1228"/>
      <c r="Y53" s="366"/>
      <c r="Z53" s="98"/>
      <c r="AA53" s="98">
        <f t="shared" si="41"/>
        <v>-10</v>
      </c>
      <c r="AB53" s="101">
        <f t="shared" si="42"/>
        <v>0</v>
      </c>
      <c r="AC53" s="101">
        <f t="shared" ca="1" si="67"/>
        <v>0</v>
      </c>
      <c r="AD53" s="101" t="b">
        <f t="shared" si="68"/>
        <v>0</v>
      </c>
      <c r="AE53" s="101">
        <f t="shared" si="65"/>
        <v>0</v>
      </c>
      <c r="AF53" s="101">
        <f t="shared" si="65"/>
        <v>0</v>
      </c>
      <c r="AG53" s="101">
        <f t="shared" si="65"/>
        <v>0</v>
      </c>
      <c r="AH53" s="101">
        <f t="shared" si="65"/>
        <v>0</v>
      </c>
      <c r="AI53" s="101">
        <f t="shared" si="65"/>
        <v>0</v>
      </c>
      <c r="AJ53" s="101">
        <f t="shared" si="65"/>
        <v>0</v>
      </c>
      <c r="AK53" s="101">
        <f t="shared" si="65"/>
        <v>0</v>
      </c>
      <c r="AL53" s="1498">
        <f t="shared" si="69"/>
        <v>0</v>
      </c>
      <c r="AM53" s="1498">
        <f t="shared" si="70"/>
        <v>0</v>
      </c>
      <c r="AN53" s="1498">
        <f t="shared" si="71"/>
        <v>0</v>
      </c>
      <c r="AO53" s="1498">
        <f t="shared" si="72"/>
        <v>0</v>
      </c>
      <c r="AP53" s="1498">
        <f t="shared" si="73"/>
        <v>0</v>
      </c>
      <c r="AQ53" s="1498">
        <f t="shared" si="74"/>
        <v>0</v>
      </c>
      <c r="AR53" s="1498">
        <f t="shared" si="75"/>
        <v>0</v>
      </c>
      <c r="AS53" s="101" t="b">
        <f t="shared" si="76"/>
        <v>0</v>
      </c>
      <c r="AT53" s="101">
        <f t="shared" si="77"/>
        <v>0</v>
      </c>
      <c r="AU53" s="1498">
        <f t="shared" si="54"/>
        <v>0</v>
      </c>
      <c r="AV53" s="101" t="b">
        <f t="shared" si="78"/>
        <v>0</v>
      </c>
      <c r="AW53" s="101">
        <f t="shared" si="79"/>
        <v>0</v>
      </c>
      <c r="AX53" s="1498">
        <f t="shared" si="21"/>
        <v>0</v>
      </c>
      <c r="AY53" s="101" t="b">
        <f t="shared" si="80"/>
        <v>0</v>
      </c>
      <c r="AZ53" s="101">
        <f t="shared" si="81"/>
        <v>0</v>
      </c>
      <c r="BA53" s="1498">
        <f t="shared" si="24"/>
        <v>0</v>
      </c>
      <c r="BB53" s="101" t="b">
        <f t="shared" si="25"/>
        <v>0</v>
      </c>
      <c r="BC53" s="101">
        <f t="shared" si="82"/>
        <v>0</v>
      </c>
      <c r="BD53" s="101" t="b">
        <f t="shared" si="83"/>
        <v>0</v>
      </c>
      <c r="BE53" s="101">
        <f t="shared" si="60"/>
        <v>0</v>
      </c>
      <c r="BF53" s="101" t="b">
        <f t="shared" si="61"/>
        <v>0</v>
      </c>
      <c r="BG53" s="101">
        <f t="shared" si="84"/>
        <v>0</v>
      </c>
      <c r="BH53" s="101">
        <f>IF(OR(I53='Dropdown Lists'!$I$3,'11. Unit Mix'!J53='Dropdown Lists'!$W$3),H53,0)</f>
        <v>0</v>
      </c>
      <c r="BI53" s="367"/>
      <c r="BJ53" s="367"/>
      <c r="BK53" s="367"/>
      <c r="BL53" s="367"/>
      <c r="BM53" s="367"/>
      <c r="BN53" s="367"/>
      <c r="BO53" s="367"/>
      <c r="BP53" s="367"/>
      <c r="BQ53" s="367"/>
      <c r="BR53" s="367"/>
      <c r="BS53" s="367"/>
      <c r="BT53" s="367"/>
      <c r="BU53" s="367"/>
      <c r="BV53" s="367"/>
      <c r="BW53" s="367"/>
      <c r="BX53" s="367"/>
      <c r="BY53" s="367"/>
      <c r="BZ53" s="367"/>
      <c r="CA53" s="367"/>
      <c r="CB53" s="97"/>
      <c r="CC53" s="97"/>
      <c r="CD53" s="97"/>
      <c r="CE53" s="97"/>
      <c r="CF53" s="97"/>
      <c r="CG53" s="97"/>
      <c r="CH53" s="97"/>
      <c r="CI53" s="101"/>
    </row>
    <row r="54" spans="1:87">
      <c r="B54" s="1689"/>
      <c r="C54" s="208"/>
      <c r="D54" s="208"/>
      <c r="E54" s="61"/>
      <c r="F54" s="209"/>
      <c r="G54" s="61"/>
      <c r="H54" s="61"/>
      <c r="I54" s="210"/>
      <c r="J54" s="61"/>
      <c r="K54" s="365"/>
      <c r="L54" s="103">
        <f t="shared" si="38"/>
        <v>0</v>
      </c>
      <c r="M54" s="63" t="str">
        <f t="shared" si="37"/>
        <v/>
      </c>
      <c r="N54" s="104">
        <f t="shared" si="32"/>
        <v>0</v>
      </c>
      <c r="O54" s="104">
        <f t="shared" ca="1" si="33"/>
        <v>0</v>
      </c>
      <c r="P54" s="105">
        <f t="shared" ca="1" si="34"/>
        <v>0</v>
      </c>
      <c r="Q54" s="35"/>
      <c r="R54" s="106">
        <f t="shared" si="39"/>
        <v>0</v>
      </c>
      <c r="S54" s="104">
        <f t="shared" si="63"/>
        <v>0</v>
      </c>
      <c r="T54" s="156">
        <f t="shared" si="66"/>
        <v>0</v>
      </c>
      <c r="U54" s="105">
        <f t="shared" si="40"/>
        <v>0</v>
      </c>
      <c r="V54" s="35"/>
      <c r="W54" s="1228"/>
      <c r="X54" s="1228"/>
      <c r="Y54" s="366"/>
      <c r="Z54" s="98"/>
      <c r="AA54" s="98">
        <f t="shared" si="41"/>
        <v>-10</v>
      </c>
      <c r="AB54" s="101">
        <f t="shared" si="42"/>
        <v>0</v>
      </c>
      <c r="AC54" s="101">
        <f t="shared" ca="1" si="67"/>
        <v>0</v>
      </c>
      <c r="AD54" s="101" t="b">
        <f t="shared" si="68"/>
        <v>0</v>
      </c>
      <c r="AE54" s="101">
        <f t="shared" si="65"/>
        <v>0</v>
      </c>
      <c r="AF54" s="101">
        <f t="shared" si="65"/>
        <v>0</v>
      </c>
      <c r="AG54" s="101">
        <f t="shared" si="65"/>
        <v>0</v>
      </c>
      <c r="AH54" s="101">
        <f t="shared" si="65"/>
        <v>0</v>
      </c>
      <c r="AI54" s="101">
        <f t="shared" si="65"/>
        <v>0</v>
      </c>
      <c r="AJ54" s="101">
        <f t="shared" si="65"/>
        <v>0</v>
      </c>
      <c r="AK54" s="101">
        <f t="shared" si="65"/>
        <v>0</v>
      </c>
      <c r="AL54" s="1498">
        <f t="shared" si="69"/>
        <v>0</v>
      </c>
      <c r="AM54" s="1498">
        <f t="shared" si="70"/>
        <v>0</v>
      </c>
      <c r="AN54" s="1498">
        <f t="shared" si="71"/>
        <v>0</v>
      </c>
      <c r="AO54" s="1498">
        <f t="shared" si="72"/>
        <v>0</v>
      </c>
      <c r="AP54" s="1498">
        <f t="shared" si="73"/>
        <v>0</v>
      </c>
      <c r="AQ54" s="1498">
        <f t="shared" si="74"/>
        <v>0</v>
      </c>
      <c r="AR54" s="1498">
        <f t="shared" si="75"/>
        <v>0</v>
      </c>
      <c r="AS54" s="101" t="b">
        <f t="shared" si="76"/>
        <v>0</v>
      </c>
      <c r="AT54" s="101">
        <f t="shared" si="77"/>
        <v>0</v>
      </c>
      <c r="AU54" s="1498">
        <f t="shared" si="54"/>
        <v>0</v>
      </c>
      <c r="AV54" s="101" t="b">
        <f t="shared" si="78"/>
        <v>0</v>
      </c>
      <c r="AW54" s="101">
        <f t="shared" si="79"/>
        <v>0</v>
      </c>
      <c r="AX54" s="1498">
        <f t="shared" si="21"/>
        <v>0</v>
      </c>
      <c r="AY54" s="101" t="b">
        <f t="shared" si="80"/>
        <v>0</v>
      </c>
      <c r="AZ54" s="101">
        <f t="shared" si="81"/>
        <v>0</v>
      </c>
      <c r="BA54" s="1498">
        <f t="shared" si="24"/>
        <v>0</v>
      </c>
      <c r="BB54" s="101" t="b">
        <f t="shared" si="25"/>
        <v>0</v>
      </c>
      <c r="BC54" s="101">
        <f t="shared" si="82"/>
        <v>0</v>
      </c>
      <c r="BD54" s="101" t="b">
        <f t="shared" si="83"/>
        <v>0</v>
      </c>
      <c r="BE54" s="101">
        <f t="shared" si="60"/>
        <v>0</v>
      </c>
      <c r="BF54" s="101" t="b">
        <f t="shared" si="61"/>
        <v>0</v>
      </c>
      <c r="BG54" s="101">
        <f t="shared" si="84"/>
        <v>0</v>
      </c>
      <c r="BH54" s="101">
        <f>IF(OR(I54='Dropdown Lists'!$I$3,'11. Unit Mix'!J54='Dropdown Lists'!$W$3),H54,0)</f>
        <v>0</v>
      </c>
      <c r="BI54" s="367"/>
      <c r="BJ54" s="367"/>
      <c r="BK54" s="367"/>
      <c r="BL54" s="367"/>
      <c r="BM54" s="367"/>
      <c r="BN54" s="367"/>
      <c r="BO54" s="367"/>
      <c r="BP54" s="367"/>
      <c r="BQ54" s="367"/>
      <c r="BR54" s="367"/>
      <c r="BS54" s="367"/>
      <c r="BT54" s="367"/>
      <c r="BU54" s="367"/>
      <c r="BV54" s="367"/>
      <c r="BW54" s="367"/>
      <c r="BX54" s="367"/>
      <c r="BY54" s="367"/>
      <c r="BZ54" s="367"/>
      <c r="CA54" s="367"/>
      <c r="CB54" s="97"/>
      <c r="CC54" s="97"/>
      <c r="CD54" s="97"/>
      <c r="CE54" s="97"/>
      <c r="CF54" s="97"/>
      <c r="CG54" s="97"/>
      <c r="CH54" s="97"/>
      <c r="CI54" s="101"/>
    </row>
    <row r="55" spans="1:87">
      <c r="B55" s="1689"/>
      <c r="C55" s="208"/>
      <c r="D55" s="208"/>
      <c r="E55" s="61"/>
      <c r="F55" s="209"/>
      <c r="G55" s="61"/>
      <c r="H55" s="61"/>
      <c r="I55" s="210"/>
      <c r="J55" s="61"/>
      <c r="K55" s="365"/>
      <c r="L55" s="103">
        <f t="shared" si="38"/>
        <v>0</v>
      </c>
      <c r="M55" s="63" t="str">
        <f t="shared" si="37"/>
        <v/>
      </c>
      <c r="N55" s="104">
        <f t="shared" si="32"/>
        <v>0</v>
      </c>
      <c r="O55" s="104">
        <f t="shared" ca="1" si="33"/>
        <v>0</v>
      </c>
      <c r="P55" s="105">
        <f t="shared" ca="1" si="34"/>
        <v>0</v>
      </c>
      <c r="Q55" s="35"/>
      <c r="R55" s="106">
        <f t="shared" si="39"/>
        <v>0</v>
      </c>
      <c r="S55" s="104">
        <f t="shared" si="63"/>
        <v>0</v>
      </c>
      <c r="T55" s="156">
        <f t="shared" si="66"/>
        <v>0</v>
      </c>
      <c r="U55" s="105">
        <f t="shared" si="40"/>
        <v>0</v>
      </c>
      <c r="V55" s="35"/>
      <c r="W55" s="1228"/>
      <c r="X55" s="1228"/>
      <c r="Y55" s="366"/>
      <c r="Z55" s="98"/>
      <c r="AA55" s="98">
        <f t="shared" si="41"/>
        <v>-10</v>
      </c>
      <c r="AB55" s="101">
        <f t="shared" si="42"/>
        <v>0</v>
      </c>
      <c r="AC55" s="101">
        <f t="shared" ca="1" si="67"/>
        <v>0</v>
      </c>
      <c r="AD55" s="101" t="b">
        <f t="shared" si="68"/>
        <v>0</v>
      </c>
      <c r="AE55" s="101">
        <f t="shared" si="65"/>
        <v>0</v>
      </c>
      <c r="AF55" s="101">
        <f t="shared" si="65"/>
        <v>0</v>
      </c>
      <c r="AG55" s="101">
        <f t="shared" si="65"/>
        <v>0</v>
      </c>
      <c r="AH55" s="101">
        <f t="shared" si="65"/>
        <v>0</v>
      </c>
      <c r="AI55" s="101">
        <f t="shared" si="65"/>
        <v>0</v>
      </c>
      <c r="AJ55" s="101">
        <f t="shared" si="65"/>
        <v>0</v>
      </c>
      <c r="AK55" s="101">
        <f t="shared" si="65"/>
        <v>0</v>
      </c>
      <c r="AL55" s="1498">
        <f t="shared" si="69"/>
        <v>0</v>
      </c>
      <c r="AM55" s="1498">
        <f t="shared" si="70"/>
        <v>0</v>
      </c>
      <c r="AN55" s="1498">
        <f t="shared" si="71"/>
        <v>0</v>
      </c>
      <c r="AO55" s="1498">
        <f t="shared" si="72"/>
        <v>0</v>
      </c>
      <c r="AP55" s="1498">
        <f t="shared" si="73"/>
        <v>0</v>
      </c>
      <c r="AQ55" s="1498">
        <f t="shared" si="74"/>
        <v>0</v>
      </c>
      <c r="AR55" s="1498">
        <f t="shared" si="75"/>
        <v>0</v>
      </c>
      <c r="AS55" s="101" t="b">
        <f t="shared" si="76"/>
        <v>0</v>
      </c>
      <c r="AT55" s="101">
        <f t="shared" si="77"/>
        <v>0</v>
      </c>
      <c r="AU55" s="1498">
        <f t="shared" si="54"/>
        <v>0</v>
      </c>
      <c r="AV55" s="101" t="b">
        <f t="shared" si="78"/>
        <v>0</v>
      </c>
      <c r="AW55" s="101">
        <f t="shared" si="79"/>
        <v>0</v>
      </c>
      <c r="AX55" s="1498">
        <f t="shared" si="21"/>
        <v>0</v>
      </c>
      <c r="AY55" s="101" t="b">
        <f t="shared" si="80"/>
        <v>0</v>
      </c>
      <c r="AZ55" s="101">
        <f t="shared" si="81"/>
        <v>0</v>
      </c>
      <c r="BA55" s="1498">
        <f t="shared" si="24"/>
        <v>0</v>
      </c>
      <c r="BB55" s="101" t="b">
        <f t="shared" si="25"/>
        <v>0</v>
      </c>
      <c r="BC55" s="101">
        <f t="shared" si="82"/>
        <v>0</v>
      </c>
      <c r="BD55" s="101" t="b">
        <f t="shared" si="83"/>
        <v>0</v>
      </c>
      <c r="BE55" s="101">
        <f t="shared" si="60"/>
        <v>0</v>
      </c>
      <c r="BF55" s="101" t="b">
        <f t="shared" si="61"/>
        <v>0</v>
      </c>
      <c r="BG55" s="101">
        <f t="shared" si="84"/>
        <v>0</v>
      </c>
      <c r="BH55" s="101">
        <f>IF(OR(I55='Dropdown Lists'!$I$3,'11. Unit Mix'!J55='Dropdown Lists'!$W$3),H55,0)</f>
        <v>0</v>
      </c>
      <c r="BI55" s="367"/>
      <c r="BJ55" s="367"/>
      <c r="BK55" s="367"/>
      <c r="BL55" s="367"/>
      <c r="BM55" s="367"/>
      <c r="BN55" s="367"/>
      <c r="BO55" s="367"/>
      <c r="BP55" s="367"/>
      <c r="BQ55" s="367"/>
      <c r="BR55" s="367"/>
      <c r="BS55" s="367"/>
      <c r="BT55" s="367"/>
      <c r="BU55" s="367"/>
      <c r="BV55" s="367"/>
      <c r="BW55" s="367"/>
      <c r="BX55" s="367"/>
      <c r="BY55" s="367"/>
      <c r="BZ55" s="367"/>
      <c r="CA55" s="367"/>
      <c r="CB55" s="97"/>
      <c r="CC55" s="97"/>
      <c r="CD55" s="97"/>
      <c r="CE55" s="97"/>
      <c r="CF55" s="97"/>
      <c r="CG55" s="97"/>
      <c r="CH55" s="97"/>
      <c r="CI55" s="101"/>
    </row>
    <row r="56" spans="1:87">
      <c r="B56" s="1689"/>
      <c r="C56" s="208"/>
      <c r="D56" s="208"/>
      <c r="E56" s="61"/>
      <c r="F56" s="209"/>
      <c r="G56" s="61"/>
      <c r="H56" s="61"/>
      <c r="I56" s="210"/>
      <c r="J56" s="61"/>
      <c r="K56" s="365"/>
      <c r="L56" s="103">
        <f t="shared" si="38"/>
        <v>0</v>
      </c>
      <c r="M56" s="63" t="str">
        <f t="shared" si="37"/>
        <v/>
      </c>
      <c r="N56" s="104">
        <f t="shared" si="32"/>
        <v>0</v>
      </c>
      <c r="O56" s="104">
        <f t="shared" ca="1" si="33"/>
        <v>0</v>
      </c>
      <c r="P56" s="105">
        <f t="shared" ca="1" si="34"/>
        <v>0</v>
      </c>
      <c r="Q56" s="35"/>
      <c r="R56" s="106">
        <f t="shared" si="39"/>
        <v>0</v>
      </c>
      <c r="S56" s="104">
        <f t="shared" si="63"/>
        <v>0</v>
      </c>
      <c r="T56" s="156">
        <f t="shared" si="66"/>
        <v>0</v>
      </c>
      <c r="U56" s="105">
        <f t="shared" si="40"/>
        <v>0</v>
      </c>
      <c r="V56" s="35"/>
      <c r="W56" s="1228"/>
      <c r="X56" s="1228"/>
      <c r="Y56" s="366"/>
      <c r="Z56" s="98"/>
      <c r="AA56" s="98">
        <f t="shared" si="41"/>
        <v>-10</v>
      </c>
      <c r="AB56" s="101">
        <f t="shared" si="42"/>
        <v>0</v>
      </c>
      <c r="AC56" s="101">
        <f t="shared" ca="1" si="67"/>
        <v>0</v>
      </c>
      <c r="AD56" s="101" t="b">
        <f t="shared" si="68"/>
        <v>0</v>
      </c>
      <c r="AE56" s="101">
        <f t="shared" ref="AE56:AK65" si="85">IF($I56=AE$15,$H56,0)</f>
        <v>0</v>
      </c>
      <c r="AF56" s="101">
        <f t="shared" si="85"/>
        <v>0</v>
      </c>
      <c r="AG56" s="101">
        <f t="shared" si="85"/>
        <v>0</v>
      </c>
      <c r="AH56" s="101">
        <f t="shared" si="85"/>
        <v>0</v>
      </c>
      <c r="AI56" s="101">
        <f t="shared" si="85"/>
        <v>0</v>
      </c>
      <c r="AJ56" s="101">
        <f t="shared" si="85"/>
        <v>0</v>
      </c>
      <c r="AK56" s="101">
        <f t="shared" si="85"/>
        <v>0</v>
      </c>
      <c r="AL56" s="1498">
        <f t="shared" si="69"/>
        <v>0</v>
      </c>
      <c r="AM56" s="1498">
        <f t="shared" si="70"/>
        <v>0</v>
      </c>
      <c r="AN56" s="1498">
        <f t="shared" si="71"/>
        <v>0</v>
      </c>
      <c r="AO56" s="1498">
        <f t="shared" si="72"/>
        <v>0</v>
      </c>
      <c r="AP56" s="1498">
        <f t="shared" si="73"/>
        <v>0</v>
      </c>
      <c r="AQ56" s="1498">
        <f t="shared" si="74"/>
        <v>0</v>
      </c>
      <c r="AR56" s="1498">
        <f t="shared" si="75"/>
        <v>0</v>
      </c>
      <c r="AS56" s="101" t="b">
        <f t="shared" si="76"/>
        <v>0</v>
      </c>
      <c r="AT56" s="101">
        <f t="shared" si="77"/>
        <v>0</v>
      </c>
      <c r="AU56" s="1498">
        <f t="shared" si="54"/>
        <v>0</v>
      </c>
      <c r="AV56" s="101" t="b">
        <f t="shared" si="78"/>
        <v>0</v>
      </c>
      <c r="AW56" s="101">
        <f t="shared" si="79"/>
        <v>0</v>
      </c>
      <c r="AX56" s="1498">
        <f t="shared" si="21"/>
        <v>0</v>
      </c>
      <c r="AY56" s="101" t="b">
        <f t="shared" si="80"/>
        <v>0</v>
      </c>
      <c r="AZ56" s="101">
        <f t="shared" si="81"/>
        <v>0</v>
      </c>
      <c r="BA56" s="1498">
        <f t="shared" si="24"/>
        <v>0</v>
      </c>
      <c r="BB56" s="101" t="b">
        <f t="shared" si="25"/>
        <v>0</v>
      </c>
      <c r="BC56" s="101">
        <f t="shared" si="82"/>
        <v>0</v>
      </c>
      <c r="BD56" s="101" t="b">
        <f t="shared" si="83"/>
        <v>0</v>
      </c>
      <c r="BE56" s="101">
        <f t="shared" si="60"/>
        <v>0</v>
      </c>
      <c r="BF56" s="101" t="b">
        <f t="shared" si="61"/>
        <v>0</v>
      </c>
      <c r="BG56" s="101">
        <f t="shared" si="84"/>
        <v>0</v>
      </c>
      <c r="BH56" s="101">
        <f>IF(OR(I56='Dropdown Lists'!$I$3,'11. Unit Mix'!J56='Dropdown Lists'!$W$3),H56,0)</f>
        <v>0</v>
      </c>
      <c r="BI56" s="367"/>
      <c r="BJ56" s="367"/>
      <c r="BK56" s="367"/>
      <c r="BL56" s="367"/>
      <c r="BM56" s="367"/>
      <c r="BN56" s="367"/>
      <c r="BO56" s="367"/>
      <c r="BP56" s="367"/>
      <c r="BQ56" s="367"/>
      <c r="BR56" s="367"/>
      <c r="BS56" s="367"/>
      <c r="BT56" s="367"/>
      <c r="BU56" s="367"/>
      <c r="BV56" s="367"/>
      <c r="BW56" s="367"/>
      <c r="BX56" s="367"/>
      <c r="BY56" s="367"/>
      <c r="BZ56" s="367"/>
      <c r="CA56" s="367"/>
      <c r="CB56" s="97"/>
      <c r="CC56" s="97"/>
      <c r="CD56" s="97"/>
      <c r="CE56" s="97"/>
      <c r="CF56" s="97"/>
      <c r="CG56" s="97"/>
      <c r="CH56" s="97"/>
      <c r="CI56" s="101"/>
    </row>
    <row r="57" spans="1:87">
      <c r="B57" s="1689"/>
      <c r="C57" s="208"/>
      <c r="D57" s="208"/>
      <c r="E57" s="61"/>
      <c r="F57" s="209"/>
      <c r="G57" s="61"/>
      <c r="H57" s="61"/>
      <c r="I57" s="210"/>
      <c r="J57" s="61"/>
      <c r="K57" s="365"/>
      <c r="L57" s="103">
        <f t="shared" si="38"/>
        <v>0</v>
      </c>
      <c r="M57" s="63" t="str">
        <f t="shared" si="37"/>
        <v/>
      </c>
      <c r="N57" s="104">
        <f t="shared" si="32"/>
        <v>0</v>
      </c>
      <c r="O57" s="104">
        <f t="shared" ca="1" si="33"/>
        <v>0</v>
      </c>
      <c r="P57" s="105">
        <f t="shared" ca="1" si="34"/>
        <v>0</v>
      </c>
      <c r="Q57" s="35"/>
      <c r="R57" s="106">
        <f t="shared" si="39"/>
        <v>0</v>
      </c>
      <c r="S57" s="104">
        <f t="shared" si="63"/>
        <v>0</v>
      </c>
      <c r="T57" s="156">
        <f t="shared" si="66"/>
        <v>0</v>
      </c>
      <c r="U57" s="105">
        <f t="shared" si="40"/>
        <v>0</v>
      </c>
      <c r="V57" s="35"/>
      <c r="W57" s="1228"/>
      <c r="X57" s="1228"/>
      <c r="Y57" s="366"/>
      <c r="Z57" s="98"/>
      <c r="AA57" s="98">
        <f t="shared" si="41"/>
        <v>-10</v>
      </c>
      <c r="AB57" s="101">
        <f t="shared" si="42"/>
        <v>0</v>
      </c>
      <c r="AC57" s="101">
        <f t="shared" ca="1" si="67"/>
        <v>0</v>
      </c>
      <c r="AD57" s="101" t="b">
        <f t="shared" si="68"/>
        <v>0</v>
      </c>
      <c r="AE57" s="101">
        <f t="shared" si="85"/>
        <v>0</v>
      </c>
      <c r="AF57" s="101">
        <f t="shared" si="85"/>
        <v>0</v>
      </c>
      <c r="AG57" s="101">
        <f t="shared" si="85"/>
        <v>0</v>
      </c>
      <c r="AH57" s="101">
        <f t="shared" si="85"/>
        <v>0</v>
      </c>
      <c r="AI57" s="101">
        <f t="shared" si="85"/>
        <v>0</v>
      </c>
      <c r="AJ57" s="101">
        <f t="shared" si="85"/>
        <v>0</v>
      </c>
      <c r="AK57" s="101">
        <f t="shared" si="85"/>
        <v>0</v>
      </c>
      <c r="AL57" s="1498">
        <f t="shared" si="69"/>
        <v>0</v>
      </c>
      <c r="AM57" s="1498">
        <f t="shared" si="70"/>
        <v>0</v>
      </c>
      <c r="AN57" s="1498">
        <f t="shared" si="71"/>
        <v>0</v>
      </c>
      <c r="AO57" s="1498">
        <f t="shared" si="72"/>
        <v>0</v>
      </c>
      <c r="AP57" s="1498">
        <f t="shared" si="73"/>
        <v>0</v>
      </c>
      <c r="AQ57" s="1498">
        <f t="shared" si="74"/>
        <v>0</v>
      </c>
      <c r="AR57" s="1498">
        <f t="shared" si="75"/>
        <v>0</v>
      </c>
      <c r="AS57" s="101" t="b">
        <f t="shared" si="76"/>
        <v>0</v>
      </c>
      <c r="AT57" s="101">
        <f t="shared" si="77"/>
        <v>0</v>
      </c>
      <c r="AU57" s="1498">
        <f t="shared" si="54"/>
        <v>0</v>
      </c>
      <c r="AV57" s="101" t="b">
        <f t="shared" si="78"/>
        <v>0</v>
      </c>
      <c r="AW57" s="101">
        <f t="shared" si="79"/>
        <v>0</v>
      </c>
      <c r="AX57" s="1498">
        <f t="shared" si="21"/>
        <v>0</v>
      </c>
      <c r="AY57" s="101" t="b">
        <f t="shared" si="80"/>
        <v>0</v>
      </c>
      <c r="AZ57" s="101">
        <f t="shared" si="81"/>
        <v>0</v>
      </c>
      <c r="BA57" s="1498">
        <f t="shared" si="24"/>
        <v>0</v>
      </c>
      <c r="BB57" s="101" t="b">
        <f t="shared" si="25"/>
        <v>0</v>
      </c>
      <c r="BC57" s="101">
        <f t="shared" si="82"/>
        <v>0</v>
      </c>
      <c r="BD57" s="101" t="b">
        <f t="shared" si="83"/>
        <v>0</v>
      </c>
      <c r="BE57" s="101">
        <f t="shared" si="60"/>
        <v>0</v>
      </c>
      <c r="BF57" s="101" t="b">
        <f t="shared" si="61"/>
        <v>0</v>
      </c>
      <c r="BG57" s="101">
        <f t="shared" si="84"/>
        <v>0</v>
      </c>
      <c r="BH57" s="101">
        <f>IF(OR(I57='Dropdown Lists'!$I$3,'11. Unit Mix'!J57='Dropdown Lists'!$W$3),H57,0)</f>
        <v>0</v>
      </c>
      <c r="BI57" s="367"/>
      <c r="BJ57" s="367"/>
      <c r="BK57" s="367"/>
      <c r="BL57" s="367"/>
      <c r="BM57" s="367"/>
      <c r="BN57" s="367"/>
      <c r="BO57" s="367"/>
      <c r="BP57" s="367"/>
      <c r="BQ57" s="367"/>
      <c r="BR57" s="367"/>
      <c r="BS57" s="367"/>
      <c r="BT57" s="367"/>
      <c r="BU57" s="367"/>
      <c r="BV57" s="367"/>
      <c r="BW57" s="367"/>
      <c r="BX57" s="367"/>
      <c r="BY57" s="367"/>
      <c r="BZ57" s="367"/>
      <c r="CA57" s="367"/>
      <c r="CB57" s="97"/>
      <c r="CC57" s="97"/>
      <c r="CD57" s="97"/>
      <c r="CE57" s="97"/>
      <c r="CF57" s="97"/>
      <c r="CG57" s="97"/>
      <c r="CH57" s="97"/>
      <c r="CI57" s="101"/>
    </row>
    <row r="58" spans="1:87">
      <c r="B58" s="1689"/>
      <c r="C58" s="208"/>
      <c r="D58" s="208"/>
      <c r="E58" s="61"/>
      <c r="F58" s="209"/>
      <c r="G58" s="61"/>
      <c r="H58" s="61"/>
      <c r="I58" s="210"/>
      <c r="J58" s="61"/>
      <c r="K58" s="365"/>
      <c r="L58" s="103">
        <f t="shared" si="38"/>
        <v>0</v>
      </c>
      <c r="M58" s="63" t="str">
        <f t="shared" si="37"/>
        <v/>
      </c>
      <c r="N58" s="104">
        <f t="shared" si="32"/>
        <v>0</v>
      </c>
      <c r="O58" s="104">
        <f t="shared" ca="1" si="33"/>
        <v>0</v>
      </c>
      <c r="P58" s="105">
        <f t="shared" ca="1" si="34"/>
        <v>0</v>
      </c>
      <c r="Q58" s="35"/>
      <c r="R58" s="106">
        <f t="shared" si="39"/>
        <v>0</v>
      </c>
      <c r="S58" s="104">
        <f t="shared" si="63"/>
        <v>0</v>
      </c>
      <c r="T58" s="156">
        <f t="shared" si="66"/>
        <v>0</v>
      </c>
      <c r="U58" s="105">
        <f t="shared" si="40"/>
        <v>0</v>
      </c>
      <c r="V58" s="35"/>
      <c r="W58" s="1228"/>
      <c r="X58" s="1228"/>
      <c r="Y58" s="366"/>
      <c r="Z58" s="98"/>
      <c r="AA58" s="98">
        <f t="shared" si="41"/>
        <v>-10</v>
      </c>
      <c r="AB58" s="101">
        <f t="shared" si="42"/>
        <v>0</v>
      </c>
      <c r="AC58" s="101">
        <f t="shared" ca="1" si="67"/>
        <v>0</v>
      </c>
      <c r="AD58" s="101" t="b">
        <f t="shared" si="68"/>
        <v>0</v>
      </c>
      <c r="AE58" s="101">
        <f t="shared" si="85"/>
        <v>0</v>
      </c>
      <c r="AF58" s="101">
        <f t="shared" si="85"/>
        <v>0</v>
      </c>
      <c r="AG58" s="101">
        <f t="shared" si="85"/>
        <v>0</v>
      </c>
      <c r="AH58" s="101">
        <f t="shared" si="85"/>
        <v>0</v>
      </c>
      <c r="AI58" s="101">
        <f t="shared" si="85"/>
        <v>0</v>
      </c>
      <c r="AJ58" s="101">
        <f t="shared" si="85"/>
        <v>0</v>
      </c>
      <c r="AK58" s="101">
        <f t="shared" si="85"/>
        <v>0</v>
      </c>
      <c r="AL58" s="1498">
        <f t="shared" si="69"/>
        <v>0</v>
      </c>
      <c r="AM58" s="1498">
        <f t="shared" si="70"/>
        <v>0</v>
      </c>
      <c r="AN58" s="1498">
        <f t="shared" si="71"/>
        <v>0</v>
      </c>
      <c r="AO58" s="1498">
        <f t="shared" si="72"/>
        <v>0</v>
      </c>
      <c r="AP58" s="1498">
        <f t="shared" si="73"/>
        <v>0</v>
      </c>
      <c r="AQ58" s="1498">
        <f t="shared" si="74"/>
        <v>0</v>
      </c>
      <c r="AR58" s="1498">
        <f t="shared" si="75"/>
        <v>0</v>
      </c>
      <c r="AS58" s="101" t="b">
        <f t="shared" si="76"/>
        <v>0</v>
      </c>
      <c r="AT58" s="101">
        <f t="shared" si="77"/>
        <v>0</v>
      </c>
      <c r="AU58" s="1498">
        <f t="shared" si="54"/>
        <v>0</v>
      </c>
      <c r="AV58" s="101" t="b">
        <f t="shared" si="78"/>
        <v>0</v>
      </c>
      <c r="AW58" s="101">
        <f t="shared" si="79"/>
        <v>0</v>
      </c>
      <c r="AX58" s="1498">
        <f t="shared" si="21"/>
        <v>0</v>
      </c>
      <c r="AY58" s="101" t="b">
        <f t="shared" si="80"/>
        <v>0</v>
      </c>
      <c r="AZ58" s="101">
        <f t="shared" si="81"/>
        <v>0</v>
      </c>
      <c r="BA58" s="1498">
        <f t="shared" si="24"/>
        <v>0</v>
      </c>
      <c r="BB58" s="101" t="b">
        <f t="shared" si="25"/>
        <v>0</v>
      </c>
      <c r="BC58" s="101">
        <f t="shared" si="82"/>
        <v>0</v>
      </c>
      <c r="BD58" s="101" t="b">
        <f t="shared" si="83"/>
        <v>0</v>
      </c>
      <c r="BE58" s="101">
        <f t="shared" si="60"/>
        <v>0</v>
      </c>
      <c r="BF58" s="101" t="b">
        <f t="shared" si="61"/>
        <v>0</v>
      </c>
      <c r="BG58" s="101">
        <f t="shared" si="84"/>
        <v>0</v>
      </c>
      <c r="BH58" s="101">
        <f>IF(OR(I58='Dropdown Lists'!$I$3,'11. Unit Mix'!J58='Dropdown Lists'!$W$3),H58,0)</f>
        <v>0</v>
      </c>
      <c r="BI58" s="367"/>
      <c r="BJ58" s="367"/>
      <c r="BK58" s="367"/>
      <c r="BL58" s="367"/>
      <c r="BM58" s="367"/>
      <c r="BN58" s="367"/>
      <c r="BO58" s="367"/>
      <c r="BP58" s="367"/>
      <c r="BQ58" s="367"/>
      <c r="BR58" s="367"/>
      <c r="BS58" s="367"/>
      <c r="BT58" s="367"/>
      <c r="BU58" s="367"/>
      <c r="BV58" s="367"/>
      <c r="BW58" s="367"/>
      <c r="BX58" s="367"/>
      <c r="BY58" s="367"/>
      <c r="BZ58" s="367"/>
      <c r="CA58" s="367"/>
      <c r="CB58" s="97"/>
      <c r="CC58" s="97"/>
      <c r="CD58" s="97"/>
      <c r="CE58" s="97"/>
      <c r="CF58" s="97"/>
      <c r="CG58" s="97"/>
      <c r="CH58" s="97"/>
      <c r="CI58" s="101"/>
    </row>
    <row r="59" spans="1:87">
      <c r="B59" s="1689"/>
      <c r="C59" s="208"/>
      <c r="D59" s="208"/>
      <c r="E59" s="61"/>
      <c r="F59" s="209"/>
      <c r="G59" s="61"/>
      <c r="H59" s="61"/>
      <c r="I59" s="210"/>
      <c r="J59" s="61"/>
      <c r="K59" s="365"/>
      <c r="L59" s="103">
        <f t="shared" si="38"/>
        <v>0</v>
      </c>
      <c r="M59" s="63" t="str">
        <f t="shared" si="37"/>
        <v/>
      </c>
      <c r="N59" s="104">
        <f t="shared" si="32"/>
        <v>0</v>
      </c>
      <c r="O59" s="104">
        <f t="shared" ca="1" si="33"/>
        <v>0</v>
      </c>
      <c r="P59" s="105">
        <f t="shared" ca="1" si="34"/>
        <v>0</v>
      </c>
      <c r="Q59" s="35"/>
      <c r="R59" s="106">
        <f t="shared" si="39"/>
        <v>0</v>
      </c>
      <c r="S59" s="104">
        <f t="shared" si="63"/>
        <v>0</v>
      </c>
      <c r="T59" s="156">
        <f t="shared" si="66"/>
        <v>0</v>
      </c>
      <c r="U59" s="105">
        <f t="shared" si="40"/>
        <v>0</v>
      </c>
      <c r="V59" s="35"/>
      <c r="W59" s="1228"/>
      <c r="X59" s="1228"/>
      <c r="Y59" s="366"/>
      <c r="Z59" s="98"/>
      <c r="AA59" s="98">
        <f t="shared" si="41"/>
        <v>-10</v>
      </c>
      <c r="AB59" s="101">
        <f t="shared" si="42"/>
        <v>0</v>
      </c>
      <c r="AC59" s="101">
        <f t="shared" ca="1" si="67"/>
        <v>0</v>
      </c>
      <c r="AD59" s="101" t="b">
        <f t="shared" si="68"/>
        <v>0</v>
      </c>
      <c r="AE59" s="101">
        <f t="shared" si="85"/>
        <v>0</v>
      </c>
      <c r="AF59" s="101">
        <f t="shared" si="85"/>
        <v>0</v>
      </c>
      <c r="AG59" s="101">
        <f t="shared" si="85"/>
        <v>0</v>
      </c>
      <c r="AH59" s="101">
        <f t="shared" si="85"/>
        <v>0</v>
      </c>
      <c r="AI59" s="101">
        <f t="shared" si="85"/>
        <v>0</v>
      </c>
      <c r="AJ59" s="101">
        <f t="shared" si="85"/>
        <v>0</v>
      </c>
      <c r="AK59" s="101">
        <f t="shared" si="85"/>
        <v>0</v>
      </c>
      <c r="AL59" s="1498">
        <f t="shared" si="69"/>
        <v>0</v>
      </c>
      <c r="AM59" s="1498">
        <f t="shared" si="70"/>
        <v>0</v>
      </c>
      <c r="AN59" s="1498">
        <f t="shared" si="71"/>
        <v>0</v>
      </c>
      <c r="AO59" s="1498">
        <f t="shared" si="72"/>
        <v>0</v>
      </c>
      <c r="AP59" s="1498">
        <f t="shared" si="73"/>
        <v>0</v>
      </c>
      <c r="AQ59" s="1498">
        <f t="shared" si="74"/>
        <v>0</v>
      </c>
      <c r="AR59" s="1498">
        <f t="shared" si="75"/>
        <v>0</v>
      </c>
      <c r="AS59" s="101" t="b">
        <f t="shared" si="76"/>
        <v>0</v>
      </c>
      <c r="AT59" s="101">
        <f t="shared" si="77"/>
        <v>0</v>
      </c>
      <c r="AU59" s="1498">
        <f t="shared" si="54"/>
        <v>0</v>
      </c>
      <c r="AV59" s="101" t="b">
        <f t="shared" si="78"/>
        <v>0</v>
      </c>
      <c r="AW59" s="101">
        <f t="shared" si="79"/>
        <v>0</v>
      </c>
      <c r="AX59" s="1498">
        <f t="shared" si="21"/>
        <v>0</v>
      </c>
      <c r="AY59" s="101" t="b">
        <f t="shared" si="80"/>
        <v>0</v>
      </c>
      <c r="AZ59" s="101">
        <f t="shared" si="81"/>
        <v>0</v>
      </c>
      <c r="BA59" s="1498">
        <f t="shared" si="24"/>
        <v>0</v>
      </c>
      <c r="BB59" s="101" t="b">
        <f t="shared" si="25"/>
        <v>0</v>
      </c>
      <c r="BC59" s="101">
        <f t="shared" si="82"/>
        <v>0</v>
      </c>
      <c r="BD59" s="101" t="b">
        <f t="shared" si="83"/>
        <v>0</v>
      </c>
      <c r="BE59" s="101">
        <f t="shared" si="60"/>
        <v>0</v>
      </c>
      <c r="BF59" s="101" t="b">
        <f t="shared" si="61"/>
        <v>0</v>
      </c>
      <c r="BG59" s="101">
        <f t="shared" si="84"/>
        <v>0</v>
      </c>
      <c r="BH59" s="101">
        <f>IF(OR(I59='Dropdown Lists'!$I$3,'11. Unit Mix'!J59='Dropdown Lists'!$W$3),H59,0)</f>
        <v>0</v>
      </c>
      <c r="BI59" s="367"/>
      <c r="BJ59" s="367"/>
      <c r="BK59" s="367"/>
      <c r="BL59" s="367"/>
      <c r="BM59" s="367"/>
      <c r="BN59" s="367"/>
      <c r="BO59" s="367"/>
      <c r="BP59" s="367"/>
      <c r="BQ59" s="367"/>
      <c r="BR59" s="367"/>
      <c r="BS59" s="367"/>
      <c r="BT59" s="367"/>
      <c r="BU59" s="367"/>
      <c r="BV59" s="367"/>
      <c r="BW59" s="367"/>
      <c r="BX59" s="367"/>
      <c r="BY59" s="367"/>
      <c r="BZ59" s="367"/>
      <c r="CA59" s="367"/>
      <c r="CB59" s="97"/>
      <c r="CC59" s="97"/>
      <c r="CD59" s="97"/>
      <c r="CE59" s="97"/>
      <c r="CF59" s="97"/>
      <c r="CG59" s="97"/>
      <c r="CH59" s="97"/>
      <c r="CI59" s="101"/>
    </row>
    <row r="60" spans="1:87">
      <c r="B60" s="1689"/>
      <c r="C60" s="208"/>
      <c r="D60" s="208"/>
      <c r="E60" s="61"/>
      <c r="F60" s="209"/>
      <c r="G60" s="61"/>
      <c r="H60" s="61"/>
      <c r="I60" s="210"/>
      <c r="J60" s="61"/>
      <c r="K60" s="365"/>
      <c r="L60" s="103">
        <f t="shared" si="38"/>
        <v>0</v>
      </c>
      <c r="M60" s="63" t="str">
        <f t="shared" si="37"/>
        <v/>
      </c>
      <c r="N60" s="104">
        <f t="shared" si="32"/>
        <v>0</v>
      </c>
      <c r="O60" s="104">
        <f t="shared" ca="1" si="33"/>
        <v>0</v>
      </c>
      <c r="P60" s="105">
        <f t="shared" ca="1" si="34"/>
        <v>0</v>
      </c>
      <c r="Q60" s="35"/>
      <c r="R60" s="106">
        <f t="shared" si="39"/>
        <v>0</v>
      </c>
      <c r="S60" s="104">
        <f t="shared" si="63"/>
        <v>0</v>
      </c>
      <c r="T60" s="156">
        <f t="shared" si="66"/>
        <v>0</v>
      </c>
      <c r="U60" s="105">
        <f t="shared" si="40"/>
        <v>0</v>
      </c>
      <c r="V60" s="35"/>
      <c r="W60" s="1228"/>
      <c r="X60" s="1228"/>
      <c r="Y60" s="366"/>
      <c r="Z60" s="98"/>
      <c r="AA60" s="98">
        <f t="shared" si="41"/>
        <v>-10</v>
      </c>
      <c r="AB60" s="101">
        <f t="shared" si="42"/>
        <v>0</v>
      </c>
      <c r="AC60" s="101">
        <f t="shared" ca="1" si="67"/>
        <v>0</v>
      </c>
      <c r="AD60" s="101" t="b">
        <f t="shared" si="68"/>
        <v>0</v>
      </c>
      <c r="AE60" s="101">
        <f t="shared" si="85"/>
        <v>0</v>
      </c>
      <c r="AF60" s="101">
        <f t="shared" si="85"/>
        <v>0</v>
      </c>
      <c r="AG60" s="101">
        <f t="shared" si="85"/>
        <v>0</v>
      </c>
      <c r="AH60" s="101">
        <f t="shared" si="85"/>
        <v>0</v>
      </c>
      <c r="AI60" s="101">
        <f t="shared" si="85"/>
        <v>0</v>
      </c>
      <c r="AJ60" s="101">
        <f t="shared" si="85"/>
        <v>0</v>
      </c>
      <c r="AK60" s="101">
        <f t="shared" si="85"/>
        <v>0</v>
      </c>
      <c r="AL60" s="1498">
        <f t="shared" si="69"/>
        <v>0</v>
      </c>
      <c r="AM60" s="1498">
        <f t="shared" si="70"/>
        <v>0</v>
      </c>
      <c r="AN60" s="1498">
        <f t="shared" si="71"/>
        <v>0</v>
      </c>
      <c r="AO60" s="1498">
        <f t="shared" si="72"/>
        <v>0</v>
      </c>
      <c r="AP60" s="1498">
        <f t="shared" si="73"/>
        <v>0</v>
      </c>
      <c r="AQ60" s="1498">
        <f t="shared" si="74"/>
        <v>0</v>
      </c>
      <c r="AR60" s="1498">
        <f t="shared" si="75"/>
        <v>0</v>
      </c>
      <c r="AS60" s="101" t="b">
        <f t="shared" si="76"/>
        <v>0</v>
      </c>
      <c r="AT60" s="101">
        <f t="shared" si="77"/>
        <v>0</v>
      </c>
      <c r="AU60" s="1498">
        <f t="shared" si="54"/>
        <v>0</v>
      </c>
      <c r="AV60" s="101" t="b">
        <f t="shared" si="78"/>
        <v>0</v>
      </c>
      <c r="AW60" s="101">
        <f t="shared" si="79"/>
        <v>0</v>
      </c>
      <c r="AX60" s="1498">
        <f t="shared" si="21"/>
        <v>0</v>
      </c>
      <c r="AY60" s="101" t="b">
        <f t="shared" si="80"/>
        <v>0</v>
      </c>
      <c r="AZ60" s="101">
        <f t="shared" si="81"/>
        <v>0</v>
      </c>
      <c r="BA60" s="1498">
        <f t="shared" si="24"/>
        <v>0</v>
      </c>
      <c r="BB60" s="101" t="b">
        <f t="shared" si="25"/>
        <v>0</v>
      </c>
      <c r="BC60" s="101">
        <f t="shared" si="82"/>
        <v>0</v>
      </c>
      <c r="BD60" s="101" t="b">
        <f t="shared" si="83"/>
        <v>0</v>
      </c>
      <c r="BE60" s="101">
        <f t="shared" si="60"/>
        <v>0</v>
      </c>
      <c r="BF60" s="101" t="b">
        <f t="shared" si="61"/>
        <v>0</v>
      </c>
      <c r="BG60" s="101">
        <f t="shared" si="84"/>
        <v>0</v>
      </c>
      <c r="BH60" s="101">
        <f>IF(OR(I60='Dropdown Lists'!$I$3,'11. Unit Mix'!J60='Dropdown Lists'!$W$3),H60,0)</f>
        <v>0</v>
      </c>
      <c r="BI60" s="367"/>
      <c r="BJ60" s="367"/>
      <c r="BK60" s="367"/>
      <c r="BL60" s="367"/>
      <c r="BM60" s="367"/>
      <c r="BN60" s="367"/>
      <c r="BO60" s="367"/>
      <c r="BP60" s="367"/>
      <c r="BQ60" s="367"/>
      <c r="BR60" s="367"/>
      <c r="BS60" s="367"/>
      <c r="BT60" s="367"/>
      <c r="BU60" s="367"/>
      <c r="BV60" s="367"/>
      <c r="BW60" s="367"/>
      <c r="BX60" s="367"/>
      <c r="BY60" s="367"/>
      <c r="BZ60" s="367"/>
      <c r="CA60" s="367"/>
      <c r="CB60" s="97"/>
      <c r="CC60" s="97"/>
      <c r="CD60" s="97"/>
      <c r="CE60" s="97"/>
      <c r="CF60" s="97"/>
      <c r="CG60" s="97"/>
      <c r="CH60" s="97"/>
      <c r="CI60" s="101"/>
    </row>
    <row r="61" spans="1:87">
      <c r="B61" s="1689"/>
      <c r="C61" s="208"/>
      <c r="D61" s="208"/>
      <c r="E61" s="61"/>
      <c r="F61" s="209"/>
      <c r="G61" s="61"/>
      <c r="H61" s="61"/>
      <c r="I61" s="210"/>
      <c r="J61" s="61"/>
      <c r="K61" s="365"/>
      <c r="L61" s="103">
        <f t="shared" si="38"/>
        <v>0</v>
      </c>
      <c r="M61" s="63" t="str">
        <f t="shared" si="37"/>
        <v/>
      </c>
      <c r="N61" s="104">
        <f t="shared" si="32"/>
        <v>0</v>
      </c>
      <c r="O61" s="104">
        <f t="shared" ca="1" si="33"/>
        <v>0</v>
      </c>
      <c r="P61" s="105">
        <f t="shared" ca="1" si="34"/>
        <v>0</v>
      </c>
      <c r="Q61" s="35"/>
      <c r="R61" s="106">
        <f t="shared" si="39"/>
        <v>0</v>
      </c>
      <c r="S61" s="104">
        <f t="shared" si="63"/>
        <v>0</v>
      </c>
      <c r="T61" s="156">
        <f t="shared" si="66"/>
        <v>0</v>
      </c>
      <c r="U61" s="105">
        <f t="shared" si="40"/>
        <v>0</v>
      </c>
      <c r="V61" s="35"/>
      <c r="W61" s="1228"/>
      <c r="X61" s="1228"/>
      <c r="Y61" s="366"/>
      <c r="Z61" s="98"/>
      <c r="AA61" s="98">
        <f t="shared" si="41"/>
        <v>-10</v>
      </c>
      <c r="AB61" s="101">
        <f t="shared" si="42"/>
        <v>0</v>
      </c>
      <c r="AC61" s="101">
        <f t="shared" ca="1" si="67"/>
        <v>0</v>
      </c>
      <c r="AD61" s="101" t="b">
        <f t="shared" si="68"/>
        <v>0</v>
      </c>
      <c r="AE61" s="101">
        <f t="shared" si="85"/>
        <v>0</v>
      </c>
      <c r="AF61" s="101">
        <f t="shared" si="85"/>
        <v>0</v>
      </c>
      <c r="AG61" s="101">
        <f t="shared" si="85"/>
        <v>0</v>
      </c>
      <c r="AH61" s="101">
        <f t="shared" si="85"/>
        <v>0</v>
      </c>
      <c r="AI61" s="101">
        <f t="shared" si="85"/>
        <v>0</v>
      </c>
      <c r="AJ61" s="101">
        <f t="shared" si="85"/>
        <v>0</v>
      </c>
      <c r="AK61" s="101">
        <f t="shared" si="85"/>
        <v>0</v>
      </c>
      <c r="AL61" s="1498">
        <f t="shared" si="69"/>
        <v>0</v>
      </c>
      <c r="AM61" s="1498">
        <f t="shared" si="70"/>
        <v>0</v>
      </c>
      <c r="AN61" s="1498">
        <f t="shared" si="71"/>
        <v>0</v>
      </c>
      <c r="AO61" s="1498">
        <f t="shared" si="72"/>
        <v>0</v>
      </c>
      <c r="AP61" s="1498">
        <f t="shared" si="73"/>
        <v>0</v>
      </c>
      <c r="AQ61" s="1498">
        <f t="shared" si="74"/>
        <v>0</v>
      </c>
      <c r="AR61" s="1498">
        <f t="shared" si="75"/>
        <v>0</v>
      </c>
      <c r="AS61" s="101" t="b">
        <f t="shared" si="76"/>
        <v>0</v>
      </c>
      <c r="AT61" s="101">
        <f t="shared" si="77"/>
        <v>0</v>
      </c>
      <c r="AU61" s="1498">
        <f t="shared" si="54"/>
        <v>0</v>
      </c>
      <c r="AV61" s="101" t="b">
        <f t="shared" si="78"/>
        <v>0</v>
      </c>
      <c r="AW61" s="101">
        <f t="shared" si="79"/>
        <v>0</v>
      </c>
      <c r="AX61" s="1498">
        <f t="shared" si="21"/>
        <v>0</v>
      </c>
      <c r="AY61" s="101" t="b">
        <f t="shared" si="80"/>
        <v>0</v>
      </c>
      <c r="AZ61" s="101">
        <f t="shared" si="81"/>
        <v>0</v>
      </c>
      <c r="BA61" s="1498">
        <f t="shared" si="24"/>
        <v>0</v>
      </c>
      <c r="BB61" s="101" t="b">
        <f t="shared" si="25"/>
        <v>0</v>
      </c>
      <c r="BC61" s="101">
        <f t="shared" si="82"/>
        <v>0</v>
      </c>
      <c r="BD61" s="101" t="b">
        <f t="shared" si="83"/>
        <v>0</v>
      </c>
      <c r="BE61" s="101">
        <f t="shared" si="60"/>
        <v>0</v>
      </c>
      <c r="BF61" s="101" t="b">
        <f t="shared" si="61"/>
        <v>0</v>
      </c>
      <c r="BG61" s="101">
        <f t="shared" si="84"/>
        <v>0</v>
      </c>
      <c r="BH61" s="101">
        <f>IF(OR(I61='Dropdown Lists'!$I$3,'11. Unit Mix'!J61='Dropdown Lists'!$W$3),H61,0)</f>
        <v>0</v>
      </c>
      <c r="BI61" s="367"/>
      <c r="BJ61" s="367"/>
      <c r="BK61" s="367"/>
      <c r="BL61" s="367"/>
      <c r="BM61" s="367"/>
      <c r="BN61" s="367"/>
      <c r="BO61" s="367"/>
      <c r="BP61" s="367"/>
      <c r="BQ61" s="367"/>
      <c r="BR61" s="367"/>
      <c r="BS61" s="367"/>
      <c r="BT61" s="367"/>
      <c r="BU61" s="367"/>
      <c r="BV61" s="367"/>
      <c r="BW61" s="367"/>
      <c r="BX61" s="367"/>
      <c r="BY61" s="97"/>
      <c r="BZ61" s="97"/>
      <c r="CA61" s="97"/>
      <c r="CB61" s="97"/>
      <c r="CC61" s="97"/>
      <c r="CD61" s="97"/>
      <c r="CE61" s="97"/>
      <c r="CF61" s="97"/>
      <c r="CG61" s="97"/>
      <c r="CH61" s="97"/>
      <c r="CI61" s="101"/>
    </row>
    <row r="62" spans="1:87">
      <c r="B62" s="1689"/>
      <c r="C62" s="208"/>
      <c r="D62" s="208"/>
      <c r="E62" s="61"/>
      <c r="F62" s="209"/>
      <c r="G62" s="61"/>
      <c r="H62" s="61"/>
      <c r="I62" s="210"/>
      <c r="J62" s="61"/>
      <c r="K62" s="365"/>
      <c r="L62" s="103">
        <f t="shared" si="38"/>
        <v>0</v>
      </c>
      <c r="M62" s="63" t="str">
        <f t="shared" si="37"/>
        <v/>
      </c>
      <c r="N62" s="104">
        <f t="shared" si="32"/>
        <v>0</v>
      </c>
      <c r="O62" s="104">
        <f t="shared" ca="1" si="33"/>
        <v>0</v>
      </c>
      <c r="P62" s="105">
        <f t="shared" ca="1" si="34"/>
        <v>0</v>
      </c>
      <c r="Q62" s="35"/>
      <c r="R62" s="106">
        <f t="shared" si="39"/>
        <v>0</v>
      </c>
      <c r="S62" s="104">
        <f t="shared" si="63"/>
        <v>0</v>
      </c>
      <c r="T62" s="156">
        <f t="shared" si="66"/>
        <v>0</v>
      </c>
      <c r="U62" s="105">
        <f t="shared" si="40"/>
        <v>0</v>
      </c>
      <c r="V62" s="35"/>
      <c r="W62" s="1228"/>
      <c r="X62" s="1228"/>
      <c r="Y62" s="366"/>
      <c r="Z62" s="98"/>
      <c r="AA62" s="98">
        <f t="shared" si="41"/>
        <v>-10</v>
      </c>
      <c r="AB62" s="101">
        <f t="shared" si="42"/>
        <v>0</v>
      </c>
      <c r="AC62" s="101">
        <f t="shared" ca="1" si="67"/>
        <v>0</v>
      </c>
      <c r="AD62" s="101" t="b">
        <f t="shared" si="68"/>
        <v>0</v>
      </c>
      <c r="AE62" s="101">
        <f t="shared" si="85"/>
        <v>0</v>
      </c>
      <c r="AF62" s="101">
        <f t="shared" si="85"/>
        <v>0</v>
      </c>
      <c r="AG62" s="101">
        <f t="shared" si="85"/>
        <v>0</v>
      </c>
      <c r="AH62" s="101">
        <f t="shared" si="85"/>
        <v>0</v>
      </c>
      <c r="AI62" s="101">
        <f t="shared" si="85"/>
        <v>0</v>
      </c>
      <c r="AJ62" s="101">
        <f t="shared" si="85"/>
        <v>0</v>
      </c>
      <c r="AK62" s="101">
        <f t="shared" si="85"/>
        <v>0</v>
      </c>
      <c r="AL62" s="1498">
        <f t="shared" si="69"/>
        <v>0</v>
      </c>
      <c r="AM62" s="1498">
        <f t="shared" si="70"/>
        <v>0</v>
      </c>
      <c r="AN62" s="1498">
        <f t="shared" si="71"/>
        <v>0</v>
      </c>
      <c r="AO62" s="1498">
        <f t="shared" si="72"/>
        <v>0</v>
      </c>
      <c r="AP62" s="1498">
        <f t="shared" si="73"/>
        <v>0</v>
      </c>
      <c r="AQ62" s="1498">
        <f t="shared" si="74"/>
        <v>0</v>
      </c>
      <c r="AR62" s="1498">
        <f t="shared" si="75"/>
        <v>0</v>
      </c>
      <c r="AS62" s="101" t="b">
        <f t="shared" si="76"/>
        <v>0</v>
      </c>
      <c r="AT62" s="101">
        <f t="shared" si="77"/>
        <v>0</v>
      </c>
      <c r="AU62" s="1498">
        <f t="shared" si="54"/>
        <v>0</v>
      </c>
      <c r="AV62" s="101" t="b">
        <f t="shared" si="78"/>
        <v>0</v>
      </c>
      <c r="AW62" s="101">
        <f t="shared" si="79"/>
        <v>0</v>
      </c>
      <c r="AX62" s="1498">
        <f t="shared" si="21"/>
        <v>0</v>
      </c>
      <c r="AY62" s="101" t="b">
        <f t="shared" si="80"/>
        <v>0</v>
      </c>
      <c r="AZ62" s="101">
        <f t="shared" si="81"/>
        <v>0</v>
      </c>
      <c r="BA62" s="1498">
        <f t="shared" si="24"/>
        <v>0</v>
      </c>
      <c r="BB62" s="101" t="b">
        <f t="shared" si="25"/>
        <v>0</v>
      </c>
      <c r="BC62" s="101">
        <f t="shared" si="82"/>
        <v>0</v>
      </c>
      <c r="BD62" s="101" t="b">
        <f t="shared" si="83"/>
        <v>0</v>
      </c>
      <c r="BE62" s="101">
        <f t="shared" si="60"/>
        <v>0</v>
      </c>
      <c r="BF62" s="101" t="b">
        <f t="shared" si="61"/>
        <v>0</v>
      </c>
      <c r="BG62" s="101">
        <f t="shared" si="84"/>
        <v>0</v>
      </c>
      <c r="BH62" s="101">
        <f>IF(OR(I62='Dropdown Lists'!$I$3,'11. Unit Mix'!J62='Dropdown Lists'!$W$3),H62,0)</f>
        <v>0</v>
      </c>
      <c r="BI62" s="367"/>
      <c r="BJ62" s="367"/>
      <c r="BK62" s="367"/>
      <c r="BL62" s="367"/>
      <c r="BM62" s="367"/>
      <c r="BN62" s="367"/>
      <c r="BO62" s="367"/>
      <c r="BP62" s="367"/>
      <c r="BQ62" s="367"/>
      <c r="BR62" s="367"/>
      <c r="BS62" s="367"/>
      <c r="BT62" s="367"/>
      <c r="BU62" s="367"/>
      <c r="BV62" s="367"/>
      <c r="BW62" s="367"/>
      <c r="BX62" s="367"/>
      <c r="BY62" s="97"/>
      <c r="BZ62" s="97"/>
      <c r="CA62" s="97"/>
      <c r="CB62" s="97"/>
      <c r="CC62" s="97"/>
      <c r="CD62" s="97"/>
      <c r="CE62" s="97"/>
      <c r="CF62" s="97"/>
      <c r="CG62" s="97"/>
      <c r="CH62" s="97"/>
      <c r="CI62" s="101"/>
    </row>
    <row r="63" spans="1:87">
      <c r="B63" s="1689"/>
      <c r="C63" s="208"/>
      <c r="D63" s="208"/>
      <c r="E63" s="61"/>
      <c r="F63" s="209"/>
      <c r="G63" s="61"/>
      <c r="H63" s="61"/>
      <c r="I63" s="210"/>
      <c r="J63" s="61"/>
      <c r="K63" s="365"/>
      <c r="L63" s="103">
        <f t="shared" si="38"/>
        <v>0</v>
      </c>
      <c r="M63" s="63" t="str">
        <f t="shared" si="37"/>
        <v/>
      </c>
      <c r="N63" s="104">
        <f t="shared" si="32"/>
        <v>0</v>
      </c>
      <c r="O63" s="104">
        <f t="shared" ca="1" si="33"/>
        <v>0</v>
      </c>
      <c r="P63" s="105">
        <f t="shared" ca="1" si="34"/>
        <v>0</v>
      </c>
      <c r="Q63" s="35"/>
      <c r="R63" s="106">
        <f t="shared" si="39"/>
        <v>0</v>
      </c>
      <c r="S63" s="104">
        <f t="shared" si="63"/>
        <v>0</v>
      </c>
      <c r="T63" s="156">
        <f t="shared" si="66"/>
        <v>0</v>
      </c>
      <c r="U63" s="105">
        <f t="shared" si="40"/>
        <v>0</v>
      </c>
      <c r="V63" s="35"/>
      <c r="W63" s="1228"/>
      <c r="X63" s="1228"/>
      <c r="Y63" s="366"/>
      <c r="Z63" s="98"/>
      <c r="AA63" s="98">
        <f t="shared" si="41"/>
        <v>-10</v>
      </c>
      <c r="AB63" s="101">
        <f t="shared" si="42"/>
        <v>0</v>
      </c>
      <c r="AC63" s="101">
        <f t="shared" ca="1" si="67"/>
        <v>0</v>
      </c>
      <c r="AD63" s="101" t="b">
        <f t="shared" si="68"/>
        <v>0</v>
      </c>
      <c r="AE63" s="101">
        <f t="shared" si="85"/>
        <v>0</v>
      </c>
      <c r="AF63" s="101">
        <f t="shared" si="85"/>
        <v>0</v>
      </c>
      <c r="AG63" s="101">
        <f t="shared" si="85"/>
        <v>0</v>
      </c>
      <c r="AH63" s="101">
        <f t="shared" si="85"/>
        <v>0</v>
      </c>
      <c r="AI63" s="101">
        <f t="shared" si="85"/>
        <v>0</v>
      </c>
      <c r="AJ63" s="101">
        <f t="shared" si="85"/>
        <v>0</v>
      </c>
      <c r="AK63" s="101">
        <f t="shared" si="85"/>
        <v>0</v>
      </c>
      <c r="AL63" s="1498">
        <f t="shared" si="69"/>
        <v>0</v>
      </c>
      <c r="AM63" s="1498">
        <f t="shared" si="70"/>
        <v>0</v>
      </c>
      <c r="AN63" s="1498">
        <f t="shared" si="71"/>
        <v>0</v>
      </c>
      <c r="AO63" s="1498">
        <f t="shared" si="72"/>
        <v>0</v>
      </c>
      <c r="AP63" s="1498">
        <f t="shared" si="73"/>
        <v>0</v>
      </c>
      <c r="AQ63" s="1498">
        <f t="shared" si="74"/>
        <v>0</v>
      </c>
      <c r="AR63" s="1498">
        <f t="shared" si="75"/>
        <v>0</v>
      </c>
      <c r="AS63" s="101" t="b">
        <f t="shared" si="76"/>
        <v>0</v>
      </c>
      <c r="AT63" s="101">
        <f t="shared" si="77"/>
        <v>0</v>
      </c>
      <c r="AU63" s="1498">
        <f t="shared" si="54"/>
        <v>0</v>
      </c>
      <c r="AV63" s="101" t="b">
        <f t="shared" si="78"/>
        <v>0</v>
      </c>
      <c r="AW63" s="101">
        <f t="shared" si="79"/>
        <v>0</v>
      </c>
      <c r="AX63" s="1498">
        <f t="shared" si="21"/>
        <v>0</v>
      </c>
      <c r="AY63" s="101" t="b">
        <f t="shared" si="80"/>
        <v>0</v>
      </c>
      <c r="AZ63" s="101">
        <f t="shared" si="81"/>
        <v>0</v>
      </c>
      <c r="BA63" s="1498">
        <f t="shared" si="24"/>
        <v>0</v>
      </c>
      <c r="BB63" s="101" t="b">
        <f t="shared" si="25"/>
        <v>0</v>
      </c>
      <c r="BC63" s="101">
        <f t="shared" si="82"/>
        <v>0</v>
      </c>
      <c r="BD63" s="101" t="b">
        <f t="shared" si="83"/>
        <v>0</v>
      </c>
      <c r="BE63" s="101">
        <f t="shared" si="60"/>
        <v>0</v>
      </c>
      <c r="BF63" s="101" t="b">
        <f t="shared" si="61"/>
        <v>0</v>
      </c>
      <c r="BG63" s="101">
        <f t="shared" si="84"/>
        <v>0</v>
      </c>
      <c r="BH63" s="101">
        <f>IF(OR(I63='Dropdown Lists'!$I$3,'11. Unit Mix'!J63='Dropdown Lists'!$W$3),H63,0)</f>
        <v>0</v>
      </c>
      <c r="BI63" s="367"/>
      <c r="BJ63" s="367"/>
      <c r="BK63" s="367"/>
      <c r="BL63" s="367"/>
      <c r="BM63" s="367"/>
      <c r="BN63" s="367"/>
      <c r="BO63" s="367"/>
      <c r="BP63" s="367"/>
      <c r="BQ63" s="367"/>
      <c r="BR63" s="367"/>
      <c r="BS63" s="367"/>
      <c r="BT63" s="367"/>
      <c r="BU63" s="367"/>
      <c r="BV63" s="367"/>
      <c r="BW63" s="367"/>
      <c r="BX63" s="367"/>
      <c r="BY63" s="97"/>
      <c r="BZ63" s="97"/>
      <c r="CA63" s="97"/>
      <c r="CB63" s="97"/>
      <c r="CC63" s="97"/>
      <c r="CD63" s="97"/>
      <c r="CE63" s="97"/>
      <c r="CF63" s="97"/>
      <c r="CG63" s="97"/>
      <c r="CH63" s="97"/>
      <c r="CI63" s="101"/>
    </row>
    <row r="64" spans="1:87">
      <c r="B64" s="1689"/>
      <c r="C64" s="208"/>
      <c r="D64" s="208"/>
      <c r="E64" s="61"/>
      <c r="F64" s="209"/>
      <c r="G64" s="61"/>
      <c r="H64" s="61"/>
      <c r="I64" s="210"/>
      <c r="J64" s="61"/>
      <c r="K64" s="365"/>
      <c r="L64" s="103">
        <f t="shared" si="38"/>
        <v>0</v>
      </c>
      <c r="M64" s="63"/>
      <c r="N64" s="104">
        <f t="shared" si="32"/>
        <v>0</v>
      </c>
      <c r="O64" s="104">
        <f t="shared" ca="1" si="33"/>
        <v>0</v>
      </c>
      <c r="P64" s="105">
        <f t="shared" ca="1" si="34"/>
        <v>0</v>
      </c>
      <c r="Q64" s="35"/>
      <c r="R64" s="106">
        <f t="shared" si="39"/>
        <v>0</v>
      </c>
      <c r="S64" s="104">
        <f t="shared" si="63"/>
        <v>0</v>
      </c>
      <c r="T64" s="156">
        <f t="shared" si="66"/>
        <v>0</v>
      </c>
      <c r="U64" s="105">
        <f t="shared" si="40"/>
        <v>0</v>
      </c>
      <c r="V64" s="35"/>
      <c r="W64" s="1228"/>
      <c r="X64" s="1228"/>
      <c r="Y64" s="366"/>
      <c r="Z64" s="98"/>
      <c r="AA64" s="98">
        <f t="shared" si="41"/>
        <v>-10</v>
      </c>
      <c r="AB64" s="101">
        <f t="shared" si="42"/>
        <v>0</v>
      </c>
      <c r="AC64" s="101">
        <f t="shared" ca="1" si="67"/>
        <v>0</v>
      </c>
      <c r="AD64" s="101" t="b">
        <f t="shared" si="68"/>
        <v>0</v>
      </c>
      <c r="AE64" s="101">
        <f t="shared" si="85"/>
        <v>0</v>
      </c>
      <c r="AF64" s="101">
        <f t="shared" si="85"/>
        <v>0</v>
      </c>
      <c r="AG64" s="101">
        <f t="shared" si="85"/>
        <v>0</v>
      </c>
      <c r="AH64" s="101">
        <f t="shared" si="85"/>
        <v>0</v>
      </c>
      <c r="AI64" s="101">
        <f t="shared" si="85"/>
        <v>0</v>
      </c>
      <c r="AJ64" s="101">
        <f t="shared" si="85"/>
        <v>0</v>
      </c>
      <c r="AK64" s="101">
        <f t="shared" si="85"/>
        <v>0</v>
      </c>
      <c r="AL64" s="1498">
        <f t="shared" si="69"/>
        <v>0</v>
      </c>
      <c r="AM64" s="1498">
        <f t="shared" si="70"/>
        <v>0</v>
      </c>
      <c r="AN64" s="1498">
        <f t="shared" si="71"/>
        <v>0</v>
      </c>
      <c r="AO64" s="1498">
        <f t="shared" si="72"/>
        <v>0</v>
      </c>
      <c r="AP64" s="1498">
        <f t="shared" si="73"/>
        <v>0</v>
      </c>
      <c r="AQ64" s="1498">
        <f t="shared" si="74"/>
        <v>0</v>
      </c>
      <c r="AR64" s="1498">
        <f t="shared" si="75"/>
        <v>0</v>
      </c>
      <c r="AS64" s="101" t="b">
        <f t="shared" si="76"/>
        <v>0</v>
      </c>
      <c r="AT64" s="101">
        <f t="shared" si="77"/>
        <v>0</v>
      </c>
      <c r="AU64" s="1498">
        <f t="shared" si="54"/>
        <v>0</v>
      </c>
      <c r="AV64" s="101" t="b">
        <f t="shared" si="78"/>
        <v>0</v>
      </c>
      <c r="AW64" s="101">
        <f t="shared" si="79"/>
        <v>0</v>
      </c>
      <c r="AX64" s="1498">
        <f t="shared" si="21"/>
        <v>0</v>
      </c>
      <c r="AY64" s="101" t="b">
        <f t="shared" si="80"/>
        <v>0</v>
      </c>
      <c r="AZ64" s="101">
        <f t="shared" si="81"/>
        <v>0</v>
      </c>
      <c r="BA64" s="1498">
        <f t="shared" si="24"/>
        <v>0</v>
      </c>
      <c r="BB64" s="101" t="b">
        <f t="shared" si="25"/>
        <v>0</v>
      </c>
      <c r="BC64" s="101">
        <f t="shared" si="82"/>
        <v>0</v>
      </c>
      <c r="BD64" s="101" t="b">
        <f t="shared" si="83"/>
        <v>0</v>
      </c>
      <c r="BE64" s="101">
        <f t="shared" si="60"/>
        <v>0</v>
      </c>
      <c r="BF64" s="101" t="b">
        <f t="shared" si="61"/>
        <v>0</v>
      </c>
      <c r="BG64" s="101">
        <f t="shared" si="84"/>
        <v>0</v>
      </c>
      <c r="BH64" s="101">
        <f>IF(OR(I64='Dropdown Lists'!$I$3,'11. Unit Mix'!J64='Dropdown Lists'!$W$3),H64,0)</f>
        <v>0</v>
      </c>
      <c r="BI64" s="367"/>
      <c r="BJ64" s="367"/>
      <c r="BK64" s="367"/>
      <c r="BL64" s="367"/>
      <c r="BM64" s="367"/>
      <c r="BN64" s="367"/>
      <c r="BO64" s="367"/>
      <c r="BP64" s="367"/>
      <c r="BQ64" s="367"/>
      <c r="BR64" s="367"/>
      <c r="BS64" s="367"/>
      <c r="BT64" s="367"/>
      <c r="BU64" s="367"/>
      <c r="BV64" s="367"/>
      <c r="BW64" s="367"/>
      <c r="BX64" s="367"/>
      <c r="BY64" s="97"/>
      <c r="BZ64" s="97"/>
      <c r="CA64" s="97"/>
      <c r="CB64" s="97"/>
      <c r="CC64" s="97"/>
      <c r="CD64" s="97"/>
      <c r="CE64" s="97"/>
      <c r="CF64" s="97"/>
      <c r="CG64" s="97"/>
      <c r="CH64" s="97"/>
      <c r="CI64" s="101"/>
    </row>
    <row r="65" spans="2:87">
      <c r="B65" s="1689"/>
      <c r="C65" s="208"/>
      <c r="D65" s="208"/>
      <c r="E65" s="61"/>
      <c r="F65" s="209"/>
      <c r="G65" s="61"/>
      <c r="H65" s="61"/>
      <c r="I65" s="210"/>
      <c r="J65" s="61"/>
      <c r="K65" s="365"/>
      <c r="L65" s="103">
        <f t="shared" si="38"/>
        <v>0</v>
      </c>
      <c r="M65" s="63" t="str">
        <f t="shared" si="37"/>
        <v/>
      </c>
      <c r="N65" s="104">
        <f t="shared" si="32"/>
        <v>0</v>
      </c>
      <c r="O65" s="104">
        <f t="shared" ca="1" si="33"/>
        <v>0</v>
      </c>
      <c r="P65" s="105">
        <f t="shared" ca="1" si="34"/>
        <v>0</v>
      </c>
      <c r="Q65" s="35"/>
      <c r="R65" s="106">
        <f t="shared" si="39"/>
        <v>0</v>
      </c>
      <c r="S65" s="104">
        <f t="shared" si="63"/>
        <v>0</v>
      </c>
      <c r="T65" s="156">
        <f t="shared" si="66"/>
        <v>0</v>
      </c>
      <c r="U65" s="105">
        <f t="shared" si="40"/>
        <v>0</v>
      </c>
      <c r="V65" s="35"/>
      <c r="W65" s="1228"/>
      <c r="X65" s="1228"/>
      <c r="Y65" s="366"/>
      <c r="Z65" s="98"/>
      <c r="AA65" s="98">
        <f t="shared" si="41"/>
        <v>-10</v>
      </c>
      <c r="AB65" s="101">
        <f t="shared" si="42"/>
        <v>0</v>
      </c>
      <c r="AC65" s="101">
        <f t="shared" ca="1" si="67"/>
        <v>0</v>
      </c>
      <c r="AD65" s="101" t="b">
        <f t="shared" si="68"/>
        <v>0</v>
      </c>
      <c r="AE65" s="101">
        <f t="shared" si="85"/>
        <v>0</v>
      </c>
      <c r="AF65" s="101">
        <f t="shared" si="85"/>
        <v>0</v>
      </c>
      <c r="AG65" s="101">
        <f t="shared" si="85"/>
        <v>0</v>
      </c>
      <c r="AH65" s="101">
        <f t="shared" si="85"/>
        <v>0</v>
      </c>
      <c r="AI65" s="101">
        <f t="shared" si="85"/>
        <v>0</v>
      </c>
      <c r="AJ65" s="101">
        <f t="shared" si="85"/>
        <v>0</v>
      </c>
      <c r="AK65" s="101">
        <f t="shared" si="85"/>
        <v>0</v>
      </c>
      <c r="AL65" s="1498">
        <f t="shared" si="69"/>
        <v>0</v>
      </c>
      <c r="AM65" s="1498">
        <f t="shared" si="70"/>
        <v>0</v>
      </c>
      <c r="AN65" s="1498">
        <f t="shared" si="71"/>
        <v>0</v>
      </c>
      <c r="AO65" s="1498">
        <f t="shared" si="72"/>
        <v>0</v>
      </c>
      <c r="AP65" s="1498">
        <f t="shared" si="73"/>
        <v>0</v>
      </c>
      <c r="AQ65" s="1498">
        <f t="shared" si="74"/>
        <v>0</v>
      </c>
      <c r="AR65" s="1498">
        <f t="shared" si="75"/>
        <v>0</v>
      </c>
      <c r="AS65" s="101" t="b">
        <f t="shared" si="76"/>
        <v>0</v>
      </c>
      <c r="AT65" s="101">
        <f t="shared" si="77"/>
        <v>0</v>
      </c>
      <c r="AU65" s="1498">
        <f t="shared" si="54"/>
        <v>0</v>
      </c>
      <c r="AV65" s="101" t="b">
        <f t="shared" si="78"/>
        <v>0</v>
      </c>
      <c r="AW65" s="101">
        <f t="shared" si="79"/>
        <v>0</v>
      </c>
      <c r="AX65" s="1498">
        <f t="shared" si="21"/>
        <v>0</v>
      </c>
      <c r="AY65" s="101" t="b">
        <f t="shared" si="80"/>
        <v>0</v>
      </c>
      <c r="AZ65" s="101">
        <f t="shared" si="81"/>
        <v>0</v>
      </c>
      <c r="BA65" s="1498">
        <f t="shared" si="24"/>
        <v>0</v>
      </c>
      <c r="BB65" s="101" t="b">
        <f t="shared" si="25"/>
        <v>0</v>
      </c>
      <c r="BC65" s="101">
        <f t="shared" si="82"/>
        <v>0</v>
      </c>
      <c r="BD65" s="101" t="b">
        <f t="shared" si="83"/>
        <v>0</v>
      </c>
      <c r="BE65" s="101">
        <f t="shared" si="60"/>
        <v>0</v>
      </c>
      <c r="BF65" s="101" t="b">
        <f t="shared" si="61"/>
        <v>0</v>
      </c>
      <c r="BG65" s="101">
        <f t="shared" si="84"/>
        <v>0</v>
      </c>
      <c r="BH65" s="101">
        <f>IF(OR(I65='Dropdown Lists'!$I$3,'11. Unit Mix'!J65='Dropdown Lists'!$W$3),H65,0)</f>
        <v>0</v>
      </c>
      <c r="BI65" s="367"/>
      <c r="BJ65" s="367"/>
      <c r="BK65" s="367"/>
      <c r="BL65" s="367"/>
      <c r="BM65" s="367"/>
      <c r="BN65" s="367"/>
      <c r="BO65" s="367"/>
      <c r="BP65" s="367"/>
      <c r="BQ65" s="367"/>
      <c r="BR65" s="367"/>
      <c r="BS65" s="367"/>
      <c r="BT65" s="367"/>
      <c r="BU65" s="367"/>
      <c r="BV65" s="367"/>
      <c r="BW65" s="367"/>
      <c r="BX65" s="367"/>
      <c r="BY65" s="97"/>
      <c r="BZ65" s="97"/>
      <c r="CA65" s="97"/>
      <c r="CB65" s="97"/>
      <c r="CC65" s="97"/>
      <c r="CD65" s="97"/>
      <c r="CE65" s="97"/>
      <c r="CF65" s="97"/>
      <c r="CG65" s="97"/>
      <c r="CH65" s="97"/>
      <c r="CI65" s="101"/>
    </row>
    <row r="66" spans="2:87">
      <c r="B66" s="1689"/>
      <c r="C66" s="1689"/>
      <c r="D66" s="1689"/>
      <c r="E66" s="1239"/>
      <c r="F66" s="1239"/>
      <c r="G66" s="1240">
        <f>SUMPRODUCT(G16:G65,H16:H65)</f>
        <v>0</v>
      </c>
      <c r="H66" s="1241">
        <f>SUM(H16:H65)</f>
        <v>0</v>
      </c>
      <c r="I66" s="1242"/>
      <c r="J66" s="1239"/>
      <c r="K66" s="1239"/>
      <c r="L66" s="1239"/>
      <c r="M66" s="1243"/>
      <c r="N66" s="1689"/>
      <c r="O66" s="1689"/>
      <c r="P66" s="1243"/>
      <c r="Q66" s="1243"/>
      <c r="R66" s="1243"/>
      <c r="S66" s="1243"/>
      <c r="T66" s="1690" t="s">
        <v>3781</v>
      </c>
      <c r="U66" s="105">
        <f>SUM(U16:U65)</f>
        <v>0</v>
      </c>
      <c r="V66" s="1238"/>
      <c r="W66" s="1228"/>
      <c r="X66" s="1228"/>
      <c r="Y66" s="366"/>
      <c r="Z66" s="98"/>
      <c r="AA66" s="98"/>
      <c r="AD66" s="101" t="s">
        <v>3782</v>
      </c>
      <c r="AE66" s="101">
        <f>SUM(AE16:AE65)</f>
        <v>0</v>
      </c>
      <c r="AF66" s="101">
        <f t="shared" ref="AF66:BA66" si="86">SUM(AF16:AF65)</f>
        <v>0</v>
      </c>
      <c r="AG66" s="101">
        <f t="shared" si="86"/>
        <v>0</v>
      </c>
      <c r="AH66" s="101">
        <f t="shared" si="86"/>
        <v>0</v>
      </c>
      <c r="AI66" s="101">
        <f t="shared" si="86"/>
        <v>0</v>
      </c>
      <c r="AJ66" s="101">
        <f t="shared" si="86"/>
        <v>0</v>
      </c>
      <c r="AK66" s="101">
        <f t="shared" si="86"/>
        <v>0</v>
      </c>
      <c r="AL66" s="1499">
        <f t="shared" ref="AL66:AR66" si="87">ROUNDDOWN(SUM(AL16:AL65), 0)</f>
        <v>0</v>
      </c>
      <c r="AM66" s="1499">
        <f t="shared" si="87"/>
        <v>0</v>
      </c>
      <c r="AN66" s="1499">
        <f t="shared" si="87"/>
        <v>0</v>
      </c>
      <c r="AO66" s="1499">
        <f t="shared" si="87"/>
        <v>0</v>
      </c>
      <c r="AP66" s="1499">
        <f t="shared" si="87"/>
        <v>0</v>
      </c>
      <c r="AQ66" s="1499">
        <f t="shared" si="87"/>
        <v>0</v>
      </c>
      <c r="AR66" s="1499">
        <f t="shared" si="87"/>
        <v>0</v>
      </c>
      <c r="AS66" s="101" t="s">
        <v>3783</v>
      </c>
      <c r="AT66" s="101">
        <f t="shared" si="86"/>
        <v>0</v>
      </c>
      <c r="AU66" s="1499">
        <f t="shared" si="86"/>
        <v>0</v>
      </c>
      <c r="AV66" s="101" t="s">
        <v>3784</v>
      </c>
      <c r="AW66" s="101">
        <f t="shared" si="86"/>
        <v>0</v>
      </c>
      <c r="AX66" s="1499">
        <f t="shared" si="86"/>
        <v>0</v>
      </c>
      <c r="AY66" s="101" t="s">
        <v>3785</v>
      </c>
      <c r="AZ66" s="101">
        <f t="shared" si="86"/>
        <v>0</v>
      </c>
      <c r="BA66" s="1499">
        <f t="shared" si="86"/>
        <v>0</v>
      </c>
      <c r="BB66" s="101" t="s">
        <v>3786</v>
      </c>
      <c r="BC66" s="101">
        <f>SUM(BC16:BC65)</f>
        <v>0</v>
      </c>
      <c r="BD66" s="101" t="s">
        <v>3787</v>
      </c>
      <c r="BE66" s="101">
        <f>SUM(BE16:BE65)</f>
        <v>0</v>
      </c>
      <c r="BF66" s="101" t="s">
        <v>3788</v>
      </c>
      <c r="BG66" s="101">
        <f>SUM(BG16:BG65)</f>
        <v>0</v>
      </c>
      <c r="BI66" s="367"/>
      <c r="BJ66" s="367"/>
      <c r="BK66" s="367"/>
      <c r="BL66" s="367"/>
      <c r="BM66" s="367"/>
      <c r="BN66" s="367"/>
      <c r="BO66" s="367"/>
      <c r="BP66" s="367"/>
      <c r="BQ66" s="367"/>
      <c r="BR66" s="367"/>
      <c r="BS66" s="367"/>
      <c r="BT66" s="367"/>
      <c r="BU66" s="367"/>
      <c r="BV66" s="367"/>
      <c r="BW66" s="367"/>
      <c r="BX66" s="367"/>
      <c r="BY66" s="97"/>
      <c r="BZ66" s="97"/>
      <c r="CA66" s="97"/>
      <c r="CB66" s="97"/>
      <c r="CC66" s="97"/>
      <c r="CD66" s="97"/>
      <c r="CE66" s="97"/>
      <c r="CF66" s="97"/>
      <c r="CG66" s="97"/>
      <c r="CH66" s="97"/>
      <c r="CI66" s="101"/>
    </row>
    <row r="67" spans="2:87" ht="15" customHeight="1">
      <c r="B67" s="1689"/>
      <c r="C67" s="1689"/>
      <c r="D67" s="1689"/>
      <c r="E67" s="1689"/>
      <c r="F67" s="1689"/>
      <c r="G67" s="1689"/>
      <c r="H67" s="1689"/>
      <c r="I67" s="1689"/>
      <c r="J67" s="1689"/>
      <c r="K67" s="1689"/>
      <c r="L67" s="1689"/>
      <c r="M67" s="1689"/>
      <c r="N67" s="1689"/>
      <c r="O67" s="1689"/>
      <c r="P67" s="1689"/>
      <c r="Q67" s="1689"/>
      <c r="R67" s="2111" t="s">
        <v>3789</v>
      </c>
      <c r="S67" s="2111"/>
      <c r="T67" s="2111"/>
      <c r="U67" s="1244"/>
      <c r="V67" s="1228"/>
      <c r="W67" s="1228"/>
      <c r="X67" s="1228"/>
      <c r="Y67" s="366"/>
      <c r="Z67" s="98"/>
      <c r="AA67" s="98"/>
      <c r="BI67" s="367"/>
      <c r="BJ67" s="367"/>
      <c r="BK67" s="367"/>
      <c r="BL67" s="367"/>
      <c r="BM67" s="367"/>
      <c r="BN67" s="367"/>
      <c r="BO67" s="367"/>
      <c r="BP67" s="367"/>
      <c r="BQ67" s="367"/>
      <c r="BR67" s="367"/>
      <c r="BS67" s="367"/>
      <c r="BT67" s="367"/>
      <c r="BU67" s="367"/>
      <c r="BV67" s="367"/>
      <c r="BW67" s="367"/>
      <c r="BX67" s="367"/>
      <c r="BY67" s="97"/>
      <c r="BZ67" s="97"/>
      <c r="CA67" s="97"/>
      <c r="CB67" s="97"/>
      <c r="CC67" s="97"/>
      <c r="CD67" s="97"/>
      <c r="CE67" s="97"/>
      <c r="CF67" s="97"/>
      <c r="CG67" s="97"/>
      <c r="CH67" s="97"/>
      <c r="CI67" s="101"/>
    </row>
    <row r="68" spans="2:87">
      <c r="B68" s="1689"/>
      <c r="C68" s="1689"/>
      <c r="D68" s="1689"/>
      <c r="E68" s="1689"/>
      <c r="F68" s="1689"/>
      <c r="G68" s="1689"/>
      <c r="H68" s="1689"/>
      <c r="I68" s="1689"/>
      <c r="J68" s="1689"/>
      <c r="K68" s="1689"/>
      <c r="L68" s="1689"/>
      <c r="M68" s="1689"/>
      <c r="N68" s="1689"/>
      <c r="O68" s="1689"/>
      <c r="P68" s="1689"/>
      <c r="Q68" s="1689"/>
      <c r="R68" s="1244"/>
      <c r="S68" s="1244"/>
      <c r="T68" s="1244"/>
      <c r="U68" s="1244"/>
      <c r="V68" s="1228"/>
      <c r="W68" s="1228"/>
      <c r="X68" s="1228"/>
      <c r="Y68" s="366"/>
      <c r="Z68" s="98"/>
      <c r="AA68" s="98"/>
      <c r="BI68" s="367"/>
      <c r="BJ68" s="367"/>
      <c r="BK68" s="367"/>
      <c r="BL68" s="367"/>
      <c r="BM68" s="367"/>
      <c r="BN68" s="367"/>
      <c r="BO68" s="367"/>
      <c r="BP68" s="367"/>
      <c r="BQ68" s="367"/>
      <c r="BR68" s="367"/>
      <c r="BS68" s="367"/>
      <c r="BT68" s="367"/>
      <c r="BU68" s="367"/>
      <c r="BV68" s="367"/>
      <c r="BW68" s="367"/>
      <c r="BX68" s="367"/>
      <c r="BY68" s="97"/>
      <c r="BZ68" s="97"/>
      <c r="CA68" s="97"/>
      <c r="CB68" s="97"/>
      <c r="CC68" s="97"/>
      <c r="CD68" s="97"/>
      <c r="CE68" s="97"/>
      <c r="CF68" s="97"/>
      <c r="CG68" s="97"/>
      <c r="CH68" s="97"/>
      <c r="CI68" s="101"/>
    </row>
    <row r="69" spans="2:87" ht="16">
      <c r="B69" s="1689"/>
      <c r="C69" s="2086" t="s">
        <v>3790</v>
      </c>
      <c r="D69" s="2086"/>
      <c r="E69" s="2087"/>
      <c r="F69" s="347"/>
      <c r="G69" s="1689"/>
      <c r="H69" s="1689"/>
      <c r="I69" s="1245" t="s">
        <v>3791</v>
      </c>
      <c r="J69" s="347"/>
      <c r="K69" s="1689"/>
      <c r="L69" s="1245" t="s">
        <v>3792</v>
      </c>
      <c r="M69" s="2096"/>
      <c r="N69" s="2097"/>
      <c r="O69" s="1689"/>
      <c r="P69" s="1689"/>
      <c r="Q69" s="1689"/>
      <c r="R69" s="1689"/>
      <c r="S69" s="1689"/>
      <c r="T69" s="1689"/>
      <c r="U69" s="1228"/>
      <c r="V69" s="1228"/>
      <c r="W69" s="1237"/>
      <c r="X69" s="1228"/>
      <c r="Y69" s="366"/>
      <c r="Z69" s="98"/>
      <c r="BI69" s="367"/>
      <c r="BJ69" s="367"/>
      <c r="BK69" s="367"/>
      <c r="BL69" s="367"/>
      <c r="BM69" s="367"/>
      <c r="BN69" s="367"/>
      <c r="BO69" s="367"/>
      <c r="BP69" s="367"/>
      <c r="BQ69" s="367"/>
      <c r="BR69" s="367"/>
      <c r="BS69" s="367"/>
      <c r="BT69" s="367"/>
      <c r="BU69" s="367"/>
      <c r="BV69" s="367"/>
      <c r="BW69" s="367"/>
      <c r="BX69" s="367"/>
      <c r="BY69" s="97"/>
      <c r="BZ69" s="97"/>
      <c r="CA69" s="97"/>
      <c r="CB69" s="97"/>
      <c r="CC69" s="97"/>
      <c r="CD69" s="97"/>
      <c r="CE69" s="97"/>
      <c r="CF69" s="97"/>
      <c r="CG69" s="97"/>
      <c r="CH69" s="101"/>
    </row>
    <row r="70" spans="2:87">
      <c r="B70" s="1689"/>
      <c r="C70" s="1689"/>
      <c r="D70" s="1689"/>
      <c r="E70" s="1689"/>
      <c r="F70" s="1689"/>
      <c r="G70" s="1689"/>
      <c r="H70" s="1689"/>
      <c r="I70" s="1689"/>
      <c r="J70" s="1689"/>
      <c r="K70" s="1689"/>
      <c r="L70" s="1689"/>
      <c r="M70" s="1689"/>
      <c r="N70" s="1689"/>
      <c r="O70" s="1689"/>
      <c r="P70" s="1689"/>
      <c r="Q70" s="1689"/>
      <c r="R70" s="1689"/>
      <c r="S70" s="1689"/>
      <c r="T70" s="1689"/>
      <c r="U70" s="1228"/>
      <c r="V70" s="1228"/>
      <c r="W70" s="1228"/>
      <c r="X70" s="1228"/>
      <c r="Y70" s="366"/>
      <c r="Z70" s="98"/>
      <c r="BI70" s="367"/>
      <c r="BJ70" s="367"/>
      <c r="BK70" s="367"/>
      <c r="BL70" s="367"/>
      <c r="BM70" s="367"/>
      <c r="BN70" s="367"/>
      <c r="BO70" s="367"/>
      <c r="BP70" s="367"/>
      <c r="BQ70" s="367"/>
      <c r="BR70" s="367"/>
      <c r="BS70" s="367"/>
      <c r="BT70" s="367"/>
      <c r="BU70" s="367"/>
      <c r="BV70" s="367"/>
      <c r="BW70" s="367"/>
      <c r="BX70" s="367"/>
      <c r="BY70" s="97"/>
      <c r="BZ70" s="97"/>
      <c r="CA70" s="97"/>
      <c r="CB70" s="97"/>
      <c r="CC70" s="97"/>
      <c r="CD70" s="97"/>
      <c r="CE70" s="97"/>
      <c r="CF70" s="97"/>
      <c r="CG70" s="97"/>
      <c r="CH70" s="101"/>
    </row>
    <row r="71" spans="2:87" ht="15" customHeight="1">
      <c r="B71" s="1689"/>
      <c r="C71" s="2098" t="s">
        <v>3793</v>
      </c>
      <c r="D71" s="2099"/>
      <c r="E71" s="2099"/>
      <c r="F71" s="2099"/>
      <c r="G71" s="2099"/>
      <c r="H71" s="2099"/>
      <c r="I71" s="2099"/>
      <c r="J71" s="2099"/>
      <c r="K71" s="2099"/>
      <c r="L71" s="2099"/>
      <c r="M71" s="2099"/>
      <c r="N71" s="2099"/>
      <c r="O71" s="2099"/>
      <c r="P71" s="2099"/>
      <c r="Q71" s="2099"/>
      <c r="R71" s="2100"/>
      <c r="S71" s="1689"/>
      <c r="T71" s="1689"/>
      <c r="U71" s="1228"/>
      <c r="V71" s="1228"/>
      <c r="W71" s="1228"/>
      <c r="X71" s="1228"/>
      <c r="Y71" s="366"/>
      <c r="Z71" s="98"/>
      <c r="BI71" s="367"/>
      <c r="BJ71" s="367"/>
      <c r="BK71" s="367"/>
      <c r="BL71" s="367"/>
      <c r="BM71" s="367"/>
      <c r="BN71" s="367"/>
      <c r="BO71" s="367"/>
      <c r="BP71" s="367"/>
      <c r="BQ71" s="367"/>
      <c r="BR71" s="367"/>
      <c r="BS71" s="367"/>
      <c r="BT71" s="367"/>
      <c r="BU71" s="367"/>
      <c r="BV71" s="367"/>
      <c r="BW71" s="367"/>
      <c r="BX71" s="367"/>
      <c r="BY71" s="97"/>
      <c r="BZ71" s="97"/>
      <c r="CA71" s="97"/>
      <c r="CB71" s="97"/>
      <c r="CC71" s="97"/>
      <c r="CD71" s="97"/>
      <c r="CE71" s="97"/>
      <c r="CF71" s="97"/>
      <c r="CG71" s="97"/>
      <c r="CH71" s="101"/>
    </row>
    <row r="72" spans="2:87">
      <c r="B72" s="1689"/>
      <c r="C72" s="2101" t="s">
        <v>3794</v>
      </c>
      <c r="D72" s="108"/>
      <c r="E72" s="109" t="s">
        <v>3795</v>
      </c>
      <c r="F72" s="108"/>
      <c r="G72" s="110"/>
      <c r="H72" s="111"/>
      <c r="I72" s="111"/>
      <c r="J72" s="111"/>
      <c r="K72" s="112"/>
      <c r="L72" s="113"/>
      <c r="M72" s="2110" t="s">
        <v>3796</v>
      </c>
      <c r="N72" s="2110"/>
      <c r="O72" s="2110"/>
      <c r="P72" s="2110"/>
      <c r="Q72" s="2110"/>
      <c r="R72" s="2110"/>
      <c r="S72" s="1689"/>
      <c r="T72" s="1689"/>
      <c r="U72" s="1228"/>
      <c r="V72" s="1228"/>
      <c r="W72" s="1228"/>
      <c r="X72" s="1228"/>
      <c r="Y72" s="366"/>
      <c r="Z72" s="98"/>
      <c r="BI72" s="367"/>
      <c r="BJ72" s="367"/>
      <c r="BK72" s="367"/>
      <c r="BL72" s="367"/>
      <c r="BM72" s="367"/>
      <c r="BN72" s="367"/>
      <c r="BO72" s="367"/>
      <c r="BP72" s="367"/>
      <c r="BQ72" s="367"/>
      <c r="BR72" s="367"/>
      <c r="BS72" s="367"/>
      <c r="BT72" s="367"/>
      <c r="BU72" s="367"/>
      <c r="BV72" s="367"/>
      <c r="BW72" s="367"/>
      <c r="BX72" s="367"/>
      <c r="BY72" s="97"/>
      <c r="BZ72" s="97"/>
      <c r="CA72" s="97"/>
      <c r="CB72" s="97"/>
      <c r="CC72" s="97"/>
      <c r="CD72" s="97"/>
      <c r="CE72" s="97"/>
      <c r="CF72" s="97"/>
      <c r="CG72" s="97"/>
      <c r="CH72" s="101"/>
    </row>
    <row r="73" spans="2:87">
      <c r="B73" s="1689"/>
      <c r="C73" s="2102"/>
      <c r="D73" s="2103" t="s">
        <v>3797</v>
      </c>
      <c r="E73" s="2104"/>
      <c r="F73" s="2105"/>
      <c r="G73" s="2106" t="s">
        <v>3798</v>
      </c>
      <c r="H73" s="2107"/>
      <c r="I73" s="2107"/>
      <c r="J73" s="2108" t="s">
        <v>3799</v>
      </c>
      <c r="K73" s="2109"/>
      <c r="L73" s="2109"/>
      <c r="M73" s="114" t="s">
        <v>3800</v>
      </c>
      <c r="N73" s="114" t="s">
        <v>3801</v>
      </c>
      <c r="O73" s="114" t="s">
        <v>3802</v>
      </c>
      <c r="P73" s="114" t="s">
        <v>3803</v>
      </c>
      <c r="Q73" s="114" t="s">
        <v>3804</v>
      </c>
      <c r="R73" s="114" t="s">
        <v>3805</v>
      </c>
      <c r="S73" s="1689"/>
      <c r="T73" s="1689"/>
      <c r="U73" s="1228"/>
      <c r="V73" s="1228"/>
      <c r="W73" s="1228"/>
      <c r="X73" s="1228"/>
      <c r="Y73" s="366"/>
      <c r="Z73" s="98"/>
      <c r="BI73" s="367"/>
      <c r="BJ73" s="367"/>
      <c r="BK73" s="367"/>
      <c r="BL73" s="367"/>
      <c r="BM73" s="367"/>
      <c r="BN73" s="367"/>
      <c r="BO73" s="367"/>
      <c r="BP73" s="367"/>
      <c r="BQ73" s="367"/>
      <c r="BR73" s="367"/>
      <c r="BS73" s="367"/>
      <c r="BT73" s="367"/>
      <c r="BU73" s="367"/>
      <c r="BV73" s="367"/>
      <c r="BW73" s="367"/>
      <c r="BX73" s="367"/>
      <c r="BY73" s="97"/>
      <c r="BZ73" s="97"/>
      <c r="CA73" s="97"/>
      <c r="CB73" s="97"/>
      <c r="CC73" s="97"/>
      <c r="CD73" s="97"/>
      <c r="CE73" s="97"/>
      <c r="CF73" s="97"/>
      <c r="CG73" s="97"/>
      <c r="CH73" s="101"/>
    </row>
    <row r="74" spans="2:87">
      <c r="B74" s="1689"/>
      <c r="C74" s="347"/>
      <c r="D74" s="2091" t="s">
        <v>1640</v>
      </c>
      <c r="E74" s="2092"/>
      <c r="F74" s="2092"/>
      <c r="G74" s="2093"/>
      <c r="H74" s="2094"/>
      <c r="I74" s="2095"/>
      <c r="J74" s="2093"/>
      <c r="K74" s="2094"/>
      <c r="L74" s="2094"/>
      <c r="M74" s="36">
        <v>0</v>
      </c>
      <c r="N74" s="36">
        <v>0</v>
      </c>
      <c r="O74" s="36">
        <v>0</v>
      </c>
      <c r="P74" s="36">
        <v>0</v>
      </c>
      <c r="Q74" s="36">
        <v>0</v>
      </c>
      <c r="R74" s="36">
        <v>0</v>
      </c>
      <c r="S74" s="1689"/>
      <c r="T74" s="1689"/>
      <c r="U74" s="1228"/>
      <c r="V74" s="1228"/>
      <c r="W74" s="1228"/>
      <c r="X74" s="1228"/>
      <c r="Y74" s="366"/>
      <c r="Z74" s="98"/>
      <c r="BI74" s="367"/>
      <c r="BJ74" s="367"/>
      <c r="BK74" s="367"/>
      <c r="BL74" s="367"/>
      <c r="BM74" s="367"/>
      <c r="BN74" s="367"/>
      <c r="BO74" s="367"/>
      <c r="BP74" s="367"/>
      <c r="BQ74" s="367"/>
      <c r="BR74" s="367"/>
      <c r="BS74" s="367"/>
      <c r="BT74" s="367"/>
      <c r="BU74" s="367"/>
      <c r="BV74" s="367"/>
      <c r="BW74" s="367"/>
      <c r="BX74" s="367"/>
      <c r="BY74" s="97"/>
      <c r="BZ74" s="97"/>
      <c r="CA74" s="97"/>
      <c r="CB74" s="97"/>
      <c r="CC74" s="97"/>
      <c r="CD74" s="97"/>
      <c r="CE74" s="97"/>
      <c r="CF74" s="97"/>
      <c r="CG74" s="97"/>
      <c r="CH74" s="101"/>
    </row>
    <row r="75" spans="2:87">
      <c r="B75" s="1689"/>
      <c r="C75" s="347"/>
      <c r="D75" s="2091" t="s">
        <v>240</v>
      </c>
      <c r="E75" s="2092"/>
      <c r="F75" s="2092"/>
      <c r="G75" s="2093"/>
      <c r="H75" s="2094"/>
      <c r="I75" s="2095"/>
      <c r="J75" s="2093"/>
      <c r="K75" s="2094"/>
      <c r="L75" s="2095"/>
      <c r="M75" s="36">
        <v>0</v>
      </c>
      <c r="N75" s="36">
        <v>0</v>
      </c>
      <c r="O75" s="36">
        <v>0</v>
      </c>
      <c r="P75" s="36">
        <v>0</v>
      </c>
      <c r="Q75" s="36">
        <v>0</v>
      </c>
      <c r="R75" s="36">
        <v>0</v>
      </c>
      <c r="S75" s="1689"/>
      <c r="T75" s="1689"/>
      <c r="U75" s="1228"/>
      <c r="V75" s="1228"/>
      <c r="W75" s="1228"/>
      <c r="X75" s="1228"/>
      <c r="BI75" s="367"/>
      <c r="BJ75" s="367"/>
      <c r="BK75" s="367"/>
      <c r="BL75" s="367"/>
      <c r="BM75" s="367"/>
      <c r="BN75" s="367"/>
      <c r="BO75" s="367"/>
      <c r="BP75" s="367"/>
      <c r="BQ75" s="367"/>
      <c r="BR75" s="367"/>
      <c r="BS75" s="367"/>
      <c r="BT75" s="367"/>
      <c r="BU75" s="367"/>
      <c r="BV75" s="367"/>
      <c r="BW75" s="367"/>
      <c r="BX75" s="367"/>
      <c r="BY75" s="97"/>
      <c r="BZ75" s="97"/>
      <c r="CA75" s="97"/>
      <c r="CB75" s="97"/>
      <c r="CC75" s="97"/>
      <c r="CD75" s="97"/>
      <c r="CE75" s="97"/>
      <c r="CF75" s="97"/>
      <c r="CG75" s="97"/>
      <c r="CH75" s="101"/>
    </row>
    <row r="76" spans="2:87">
      <c r="B76" s="1689"/>
      <c r="C76" s="347"/>
      <c r="D76" s="2091" t="s">
        <v>241</v>
      </c>
      <c r="E76" s="2092"/>
      <c r="F76" s="2092"/>
      <c r="G76" s="2093"/>
      <c r="H76" s="2094"/>
      <c r="I76" s="2095"/>
      <c r="J76" s="2093"/>
      <c r="K76" s="2094"/>
      <c r="L76" s="2094"/>
      <c r="M76" s="36">
        <v>0</v>
      </c>
      <c r="N76" s="36">
        <v>0</v>
      </c>
      <c r="O76" s="36">
        <v>0</v>
      </c>
      <c r="P76" s="36">
        <v>0</v>
      </c>
      <c r="Q76" s="36">
        <v>0</v>
      </c>
      <c r="R76" s="36">
        <v>0</v>
      </c>
      <c r="S76" s="1689"/>
      <c r="T76" s="1689"/>
      <c r="U76" s="1228"/>
      <c r="V76" s="1228"/>
      <c r="W76" s="1228"/>
      <c r="X76" s="1228"/>
      <c r="BI76" s="367"/>
      <c r="BJ76" s="367"/>
      <c r="BK76" s="367"/>
      <c r="BL76" s="367"/>
      <c r="BM76" s="367"/>
      <c r="BN76" s="367"/>
      <c r="BO76" s="367"/>
      <c r="BP76" s="367"/>
      <c r="BQ76" s="367"/>
      <c r="BR76" s="367"/>
      <c r="BS76" s="367"/>
      <c r="BT76" s="367"/>
      <c r="BU76" s="367"/>
      <c r="BV76" s="367"/>
      <c r="BW76" s="367"/>
      <c r="BX76" s="367"/>
      <c r="BY76" s="97"/>
      <c r="BZ76" s="97"/>
      <c r="CA76" s="97"/>
      <c r="CB76" s="97"/>
      <c r="CC76" s="97"/>
      <c r="CD76" s="97"/>
      <c r="CE76" s="97"/>
      <c r="CF76" s="97"/>
      <c r="CG76" s="97"/>
      <c r="CH76" s="101"/>
    </row>
    <row r="77" spans="2:87">
      <c r="B77" s="1689"/>
      <c r="C77" s="347"/>
      <c r="D77" s="2091" t="s">
        <v>3120</v>
      </c>
      <c r="E77" s="2092"/>
      <c r="F77" s="2092"/>
      <c r="G77" s="2093"/>
      <c r="H77" s="2094"/>
      <c r="I77" s="2095"/>
      <c r="J77" s="2093"/>
      <c r="K77" s="2094"/>
      <c r="L77" s="2095"/>
      <c r="M77" s="36">
        <v>0</v>
      </c>
      <c r="N77" s="36">
        <v>0</v>
      </c>
      <c r="O77" s="36">
        <v>0</v>
      </c>
      <c r="P77" s="36">
        <v>0</v>
      </c>
      <c r="Q77" s="36">
        <v>0</v>
      </c>
      <c r="R77" s="36">
        <v>0</v>
      </c>
      <c r="S77" s="1689"/>
      <c r="T77" s="1689"/>
      <c r="U77" s="1228"/>
      <c r="V77" s="1228"/>
      <c r="W77" s="1228"/>
      <c r="X77" s="1228"/>
      <c r="BI77" s="367"/>
      <c r="BJ77" s="367"/>
      <c r="BK77" s="367"/>
      <c r="BL77" s="367"/>
      <c r="BM77" s="367"/>
      <c r="BN77" s="367"/>
      <c r="BO77" s="367"/>
      <c r="BP77" s="367"/>
      <c r="BQ77" s="367"/>
      <c r="BR77" s="367"/>
      <c r="BS77" s="367"/>
      <c r="BT77" s="367"/>
      <c r="BU77" s="367"/>
      <c r="BV77" s="367"/>
      <c r="BW77" s="367"/>
      <c r="BX77" s="367"/>
      <c r="BY77" s="97"/>
      <c r="BZ77" s="97"/>
      <c r="CA77" s="97"/>
      <c r="CB77" s="97"/>
      <c r="CC77" s="97"/>
      <c r="CD77" s="97"/>
      <c r="CE77" s="97"/>
      <c r="CF77" s="97"/>
      <c r="CG77" s="97"/>
      <c r="CH77" s="101"/>
    </row>
    <row r="78" spans="2:87">
      <c r="B78" s="1689"/>
      <c r="C78" s="347"/>
      <c r="D78" s="2091" t="s">
        <v>242</v>
      </c>
      <c r="E78" s="2092"/>
      <c r="F78" s="2092"/>
      <c r="G78" s="2093"/>
      <c r="H78" s="2094"/>
      <c r="I78" s="2095"/>
      <c r="J78" s="2093"/>
      <c r="K78" s="2094"/>
      <c r="L78" s="2094"/>
      <c r="M78" s="36">
        <v>0</v>
      </c>
      <c r="N78" s="36">
        <v>0</v>
      </c>
      <c r="O78" s="36">
        <v>0</v>
      </c>
      <c r="P78" s="36">
        <v>0</v>
      </c>
      <c r="Q78" s="36">
        <v>0</v>
      </c>
      <c r="R78" s="36">
        <v>0</v>
      </c>
      <c r="S78" s="1689"/>
      <c r="T78" s="1689"/>
      <c r="U78" s="1228"/>
      <c r="V78" s="1228"/>
      <c r="W78" s="1228"/>
      <c r="X78" s="1228"/>
      <c r="BI78" s="367"/>
      <c r="BJ78" s="367"/>
      <c r="BK78" s="367"/>
      <c r="BL78" s="367"/>
      <c r="BM78" s="367"/>
      <c r="BN78" s="367"/>
      <c r="BO78" s="367"/>
      <c r="BP78" s="367"/>
      <c r="BQ78" s="367"/>
      <c r="BR78" s="367"/>
      <c r="BS78" s="367"/>
      <c r="BT78" s="367"/>
      <c r="BU78" s="367"/>
      <c r="BV78" s="367"/>
      <c r="BW78" s="367"/>
      <c r="BX78" s="367"/>
      <c r="BY78" s="97"/>
      <c r="BZ78" s="97"/>
      <c r="CA78" s="97"/>
      <c r="CB78" s="97"/>
      <c r="CC78" s="97"/>
      <c r="CD78" s="97"/>
      <c r="CE78" s="97"/>
      <c r="CF78" s="97"/>
      <c r="CG78" s="97"/>
      <c r="CH78" s="101"/>
    </row>
    <row r="79" spans="2:87">
      <c r="B79" s="1689"/>
      <c r="C79" s="347"/>
      <c r="D79" s="2091" t="s">
        <v>3121</v>
      </c>
      <c r="E79" s="2092"/>
      <c r="F79" s="2092"/>
      <c r="G79" s="1689"/>
      <c r="H79" s="1689"/>
      <c r="I79" s="1689"/>
      <c r="J79" s="1689"/>
      <c r="K79" s="1689"/>
      <c r="L79" s="1689"/>
      <c r="M79" s="36">
        <v>0</v>
      </c>
      <c r="N79" s="36">
        <v>0</v>
      </c>
      <c r="O79" s="36">
        <v>0</v>
      </c>
      <c r="P79" s="36">
        <v>0</v>
      </c>
      <c r="Q79" s="36">
        <v>0</v>
      </c>
      <c r="R79" s="36">
        <v>0</v>
      </c>
      <c r="S79" s="1689"/>
      <c r="T79" s="1689"/>
      <c r="U79" s="1228"/>
      <c r="V79" s="1228"/>
      <c r="W79" s="1228"/>
      <c r="X79" s="1228"/>
      <c r="BI79" s="367"/>
      <c r="BJ79" s="367"/>
      <c r="BK79" s="367"/>
      <c r="BL79" s="367"/>
      <c r="BM79" s="367"/>
      <c r="BN79" s="367"/>
      <c r="BO79" s="367"/>
      <c r="BP79" s="367"/>
      <c r="BQ79" s="367"/>
      <c r="BR79" s="367"/>
      <c r="BS79" s="367"/>
      <c r="BT79" s="367"/>
      <c r="BU79" s="367"/>
      <c r="BV79" s="367"/>
      <c r="BW79" s="367"/>
      <c r="BX79" s="367"/>
      <c r="BY79" s="97"/>
      <c r="BZ79" s="97"/>
      <c r="CA79" s="97"/>
      <c r="CB79" s="97"/>
      <c r="CC79" s="97"/>
      <c r="CD79" s="97"/>
      <c r="CE79" s="97"/>
      <c r="CF79" s="97"/>
      <c r="CG79" s="97"/>
      <c r="CH79" s="101"/>
    </row>
    <row r="80" spans="2:87">
      <c r="B80" s="1689"/>
      <c r="C80" s="347"/>
      <c r="D80" s="2091" t="s">
        <v>3122</v>
      </c>
      <c r="E80" s="2092"/>
      <c r="F80" s="2092"/>
      <c r="G80" s="1477"/>
      <c r="H80" s="1248" t="s">
        <v>3806</v>
      </c>
      <c r="I80" s="1689"/>
      <c r="J80" s="1689"/>
      <c r="K80" s="1689"/>
      <c r="L80" s="1249"/>
      <c r="M80" s="36">
        <v>0</v>
      </c>
      <c r="N80" s="36">
        <v>0</v>
      </c>
      <c r="O80" s="36">
        <v>0</v>
      </c>
      <c r="P80" s="36">
        <v>0</v>
      </c>
      <c r="Q80" s="36">
        <v>0</v>
      </c>
      <c r="R80" s="36">
        <v>0</v>
      </c>
      <c r="S80" s="1689"/>
      <c r="T80" s="1689"/>
      <c r="U80" s="1228"/>
      <c r="V80" s="1228"/>
      <c r="W80" s="1228"/>
      <c r="X80" s="1228"/>
      <c r="BI80" s="367"/>
      <c r="BJ80" s="367"/>
      <c r="BK80" s="367"/>
      <c r="BL80" s="367"/>
      <c r="BM80" s="367"/>
      <c r="BN80" s="367"/>
      <c r="BO80" s="367"/>
      <c r="BP80" s="367"/>
      <c r="BQ80" s="367"/>
      <c r="BR80" s="367"/>
      <c r="BS80" s="367"/>
      <c r="BT80" s="367"/>
      <c r="BU80" s="367"/>
      <c r="BV80" s="367"/>
      <c r="BW80" s="367"/>
      <c r="BX80" s="367"/>
      <c r="BY80" s="97"/>
      <c r="BZ80" s="97"/>
      <c r="CA80" s="97"/>
      <c r="CB80" s="97"/>
      <c r="CC80" s="97"/>
      <c r="CD80" s="97"/>
      <c r="CE80" s="97"/>
      <c r="CF80" s="97"/>
      <c r="CG80" s="97"/>
      <c r="CH80" s="101"/>
    </row>
    <row r="81" spans="1:86">
      <c r="B81" s="1689"/>
      <c r="C81" s="347"/>
      <c r="D81" s="2091" t="s">
        <v>3807</v>
      </c>
      <c r="E81" s="2092"/>
      <c r="F81" s="2092"/>
      <c r="G81" s="1477"/>
      <c r="H81" s="2093"/>
      <c r="I81" s="2112"/>
      <c r="J81" s="2112"/>
      <c r="K81" s="2113"/>
      <c r="L81" s="1249"/>
      <c r="M81" s="36">
        <v>0</v>
      </c>
      <c r="N81" s="36">
        <v>0</v>
      </c>
      <c r="O81" s="36">
        <v>0</v>
      </c>
      <c r="P81" s="36">
        <v>0</v>
      </c>
      <c r="Q81" s="36">
        <v>0</v>
      </c>
      <c r="R81" s="36">
        <v>0</v>
      </c>
      <c r="S81" s="1689"/>
      <c r="T81" s="1689"/>
      <c r="U81" s="1228"/>
      <c r="V81" s="1228"/>
      <c r="W81" s="1228"/>
      <c r="X81" s="1228"/>
      <c r="BI81" s="367"/>
      <c r="BJ81" s="367"/>
      <c r="BK81" s="367"/>
      <c r="BL81" s="367"/>
      <c r="BM81" s="367"/>
      <c r="BN81" s="367"/>
      <c r="BO81" s="367"/>
      <c r="BP81" s="367"/>
      <c r="BQ81" s="367"/>
      <c r="BR81" s="367"/>
      <c r="BS81" s="367"/>
      <c r="BT81" s="367"/>
      <c r="BU81" s="367"/>
      <c r="BV81" s="367"/>
      <c r="BW81" s="367"/>
      <c r="BX81" s="367"/>
      <c r="BY81" s="97"/>
      <c r="BZ81" s="97"/>
      <c r="CA81" s="97"/>
      <c r="CB81" s="97"/>
      <c r="CC81" s="97"/>
      <c r="CD81" s="97"/>
      <c r="CE81" s="97"/>
      <c r="CF81" s="97"/>
      <c r="CG81" s="97"/>
      <c r="CH81" s="101"/>
    </row>
    <row r="82" spans="1:86">
      <c r="B82" s="1689"/>
      <c r="C82" s="347"/>
      <c r="D82" s="2091" t="s">
        <v>3808</v>
      </c>
      <c r="E82" s="2092"/>
      <c r="F82" s="2092"/>
      <c r="G82" s="1250"/>
      <c r="H82" s="1690" t="s">
        <v>3809</v>
      </c>
      <c r="I82" s="2114" t="s">
        <v>3565</v>
      </c>
      <c r="J82" s="2115"/>
      <c r="K82" s="1689"/>
      <c r="L82" s="1249"/>
      <c r="M82" s="36">
        <v>0</v>
      </c>
      <c r="N82" s="36">
        <v>0</v>
      </c>
      <c r="O82" s="36">
        <v>0</v>
      </c>
      <c r="P82" s="36">
        <v>0</v>
      </c>
      <c r="Q82" s="36">
        <v>0</v>
      </c>
      <c r="R82" s="36">
        <v>0</v>
      </c>
      <c r="S82" s="1689"/>
      <c r="T82" s="1689"/>
      <c r="U82" s="1228"/>
      <c r="V82" s="1228"/>
      <c r="W82" s="1228"/>
      <c r="X82" s="1228"/>
      <c r="BI82" s="367"/>
      <c r="BJ82" s="367"/>
      <c r="BK82" s="367"/>
      <c r="BL82" s="367"/>
      <c r="BM82" s="367"/>
      <c r="BN82" s="367"/>
      <c r="BO82" s="367"/>
      <c r="BP82" s="367"/>
      <c r="BQ82" s="367"/>
      <c r="BR82" s="367"/>
      <c r="BS82" s="367"/>
      <c r="BT82" s="367"/>
      <c r="BU82" s="367"/>
      <c r="BV82" s="367"/>
      <c r="BW82" s="367"/>
      <c r="BX82" s="367"/>
      <c r="BY82" s="97"/>
      <c r="BZ82" s="97"/>
      <c r="CA82" s="97"/>
      <c r="CB82" s="97"/>
      <c r="CC82" s="97"/>
      <c r="CD82" s="97"/>
      <c r="CE82" s="97"/>
      <c r="CF82" s="97"/>
      <c r="CG82" s="97"/>
      <c r="CH82" s="101"/>
    </row>
    <row r="83" spans="1:86">
      <c r="B83" s="1689"/>
      <c r="C83" s="347"/>
      <c r="D83" s="2091" t="s">
        <v>3810</v>
      </c>
      <c r="E83" s="2092"/>
      <c r="F83" s="2092"/>
      <c r="G83" s="1250"/>
      <c r="H83" s="1689"/>
      <c r="I83" s="1688" t="s">
        <v>3565</v>
      </c>
      <c r="J83" s="1689"/>
      <c r="K83" s="1689"/>
      <c r="L83" s="1249"/>
      <c r="M83" s="36">
        <v>0</v>
      </c>
      <c r="N83" s="36">
        <v>0</v>
      </c>
      <c r="O83" s="36">
        <v>0</v>
      </c>
      <c r="P83" s="36">
        <v>0</v>
      </c>
      <c r="Q83" s="36">
        <v>0</v>
      </c>
      <c r="R83" s="36">
        <v>0</v>
      </c>
      <c r="S83" s="1689"/>
      <c r="T83" s="1689"/>
      <c r="U83" s="1228"/>
      <c r="V83" s="1228"/>
      <c r="W83" s="1228"/>
      <c r="X83" s="1228"/>
      <c r="BI83" s="367"/>
      <c r="BJ83" s="367"/>
      <c r="BK83" s="367"/>
      <c r="BL83" s="367"/>
      <c r="BM83" s="367"/>
      <c r="BN83" s="367"/>
      <c r="BO83" s="367"/>
      <c r="BP83" s="367"/>
      <c r="BQ83" s="367"/>
      <c r="BR83" s="367"/>
      <c r="BS83" s="367"/>
      <c r="BT83" s="367"/>
      <c r="BU83" s="367"/>
      <c r="BV83" s="367"/>
      <c r="BW83" s="367"/>
      <c r="BX83" s="367"/>
      <c r="BY83" s="97"/>
      <c r="BZ83" s="97"/>
      <c r="CA83" s="97"/>
      <c r="CB83" s="97"/>
      <c r="CC83" s="97"/>
      <c r="CD83" s="97"/>
      <c r="CE83" s="97"/>
      <c r="CF83" s="97"/>
      <c r="CG83" s="97"/>
      <c r="CH83" s="101"/>
    </row>
    <row r="84" spans="1:86">
      <c r="B84" s="1689"/>
      <c r="C84" s="347"/>
      <c r="D84" s="2091" t="s">
        <v>3811</v>
      </c>
      <c r="E84" s="2092"/>
      <c r="F84" s="2092"/>
      <c r="G84" s="1689"/>
      <c r="H84" s="1688" t="s">
        <v>3565</v>
      </c>
      <c r="I84" s="1689"/>
      <c r="J84" s="1689"/>
      <c r="K84" s="1689"/>
      <c r="L84" s="1689"/>
      <c r="M84" s="36">
        <v>0</v>
      </c>
      <c r="N84" s="36">
        <v>0</v>
      </c>
      <c r="O84" s="36">
        <v>0</v>
      </c>
      <c r="P84" s="36">
        <v>0</v>
      </c>
      <c r="Q84" s="36">
        <v>0</v>
      </c>
      <c r="R84" s="36">
        <v>0</v>
      </c>
      <c r="S84" s="1689"/>
      <c r="T84" s="1689"/>
      <c r="U84" s="1228"/>
      <c r="V84" s="1228"/>
      <c r="W84" s="1228"/>
      <c r="X84" s="1228"/>
      <c r="BI84" s="367"/>
      <c r="BJ84" s="367"/>
      <c r="BK84" s="367"/>
      <c r="BL84" s="367"/>
      <c r="BM84" s="367"/>
      <c r="BN84" s="367"/>
      <c r="BO84" s="367"/>
      <c r="BP84" s="367"/>
      <c r="BQ84" s="367"/>
      <c r="BR84" s="367"/>
      <c r="BS84" s="367"/>
      <c r="BT84" s="367"/>
      <c r="BU84" s="367"/>
      <c r="BV84" s="367"/>
      <c r="BW84" s="367"/>
      <c r="BX84" s="367"/>
      <c r="BY84" s="97"/>
      <c r="BZ84" s="97"/>
      <c r="CA84" s="97"/>
      <c r="CB84" s="97"/>
      <c r="CC84" s="97"/>
      <c r="CD84" s="97"/>
      <c r="CE84" s="97"/>
      <c r="CF84" s="97"/>
      <c r="CG84" s="97"/>
      <c r="CH84" s="101"/>
    </row>
    <row r="85" spans="1:86">
      <c r="B85" s="1689"/>
      <c r="C85" s="347"/>
      <c r="D85" s="2116" t="s">
        <v>3812</v>
      </c>
      <c r="E85" s="2092"/>
      <c r="F85" s="2092"/>
      <c r="G85" s="1227"/>
      <c r="H85" s="2117" t="s">
        <v>3565</v>
      </c>
      <c r="I85" s="2118"/>
      <c r="J85" s="2118"/>
      <c r="K85" s="2118"/>
      <c r="L85" s="1689"/>
      <c r="M85" s="36">
        <v>0</v>
      </c>
      <c r="N85" s="36">
        <v>0</v>
      </c>
      <c r="O85" s="36">
        <v>0</v>
      </c>
      <c r="P85" s="36">
        <v>0</v>
      </c>
      <c r="Q85" s="36">
        <v>0</v>
      </c>
      <c r="R85" s="36">
        <v>0</v>
      </c>
      <c r="S85" s="1689"/>
      <c r="T85" s="1689"/>
      <c r="U85" s="1228"/>
      <c r="V85" s="1228"/>
      <c r="W85" s="1228"/>
      <c r="X85" s="1228"/>
      <c r="BI85" s="367"/>
      <c r="BJ85" s="367"/>
      <c r="BK85" s="367"/>
      <c r="BL85" s="367"/>
      <c r="BM85" s="367"/>
      <c r="BN85" s="367"/>
      <c r="BO85" s="367"/>
      <c r="BP85" s="367"/>
      <c r="BQ85" s="367"/>
      <c r="BR85" s="367"/>
      <c r="BS85" s="367"/>
      <c r="BT85" s="367"/>
      <c r="BU85" s="367"/>
      <c r="BV85" s="367"/>
      <c r="BW85" s="367"/>
      <c r="BX85" s="367"/>
      <c r="BY85" s="97"/>
      <c r="BZ85" s="97"/>
      <c r="CA85" s="97"/>
      <c r="CB85" s="97"/>
      <c r="CC85" s="97"/>
      <c r="CD85" s="97"/>
      <c r="CE85" s="97"/>
      <c r="CF85" s="97"/>
      <c r="CG85" s="97"/>
      <c r="CH85" s="101"/>
    </row>
    <row r="86" spans="1:86">
      <c r="B86" s="1689"/>
      <c r="C86" s="1689"/>
      <c r="D86" s="1689"/>
      <c r="E86" s="1689"/>
      <c r="F86" s="1689"/>
      <c r="G86" s="1689"/>
      <c r="H86" s="1689"/>
      <c r="I86" s="1689"/>
      <c r="J86" s="2119" t="s">
        <v>3813</v>
      </c>
      <c r="K86" s="2118"/>
      <c r="L86" s="2118"/>
      <c r="M86" s="1687">
        <f>SUM(M74:M85)</f>
        <v>0</v>
      </c>
      <c r="N86" s="1687">
        <f t="shared" ref="N86:R86" si="88">SUM(N74:N85)</f>
        <v>0</v>
      </c>
      <c r="O86" s="1687">
        <f t="shared" si="88"/>
        <v>0</v>
      </c>
      <c r="P86" s="1687">
        <f t="shared" si="88"/>
        <v>0</v>
      </c>
      <c r="Q86" s="1687">
        <f t="shared" si="88"/>
        <v>0</v>
      </c>
      <c r="R86" s="1687">
        <f t="shared" si="88"/>
        <v>0</v>
      </c>
      <c r="S86" s="1689"/>
      <c r="T86" s="1689"/>
      <c r="U86" s="1228"/>
      <c r="V86" s="1228"/>
      <c r="W86" s="1228"/>
      <c r="X86" s="1228"/>
      <c r="BI86" s="367"/>
      <c r="BJ86" s="367"/>
      <c r="BK86" s="367"/>
      <c r="BL86" s="367"/>
      <c r="BM86" s="367"/>
      <c r="BN86" s="367"/>
      <c r="BO86" s="367"/>
      <c r="BP86" s="367"/>
      <c r="BQ86" s="367"/>
      <c r="BR86" s="367"/>
      <c r="BS86" s="367"/>
      <c r="BT86" s="367"/>
      <c r="BU86" s="367"/>
      <c r="BV86" s="367"/>
      <c r="BW86" s="367"/>
      <c r="BX86" s="367"/>
      <c r="BY86" s="97"/>
      <c r="BZ86" s="97"/>
      <c r="CA86" s="97"/>
      <c r="CB86" s="97"/>
      <c r="CC86" s="97"/>
      <c r="CD86" s="97"/>
      <c r="CE86" s="97"/>
      <c r="CF86" s="97"/>
      <c r="CG86" s="97"/>
      <c r="CH86" s="101"/>
    </row>
    <row r="87" spans="1:86">
      <c r="B87" s="1689"/>
      <c r="C87" s="2128" t="s">
        <v>3814</v>
      </c>
      <c r="D87" s="2129"/>
      <c r="E87" s="2129"/>
      <c r="F87" s="2129"/>
      <c r="G87" s="2129"/>
      <c r="H87" s="2129"/>
      <c r="I87" s="2130"/>
      <c r="J87" s="115" t="s">
        <v>3815</v>
      </c>
      <c r="K87" s="1251"/>
      <c r="L87" s="1252"/>
      <c r="M87" s="2122" t="s">
        <v>3816</v>
      </c>
      <c r="N87" s="2122"/>
      <c r="O87" s="2122"/>
      <c r="P87" s="2123"/>
      <c r="Q87" s="119"/>
      <c r="R87" s="1247"/>
      <c r="S87" s="1689"/>
      <c r="T87" s="1689"/>
      <c r="U87" s="1228"/>
      <c r="V87" s="1228"/>
      <c r="W87" s="1228"/>
      <c r="X87" s="1228"/>
      <c r="BI87" s="367"/>
      <c r="BJ87" s="367"/>
      <c r="BK87" s="367"/>
      <c r="BL87" s="367"/>
      <c r="BM87" s="367"/>
      <c r="BN87" s="367"/>
      <c r="BO87" s="367"/>
      <c r="BP87" s="367"/>
      <c r="BQ87" s="367"/>
      <c r="BR87" s="367"/>
      <c r="BS87" s="367"/>
      <c r="BT87" s="367"/>
      <c r="BU87" s="367"/>
      <c r="BV87" s="367"/>
      <c r="BW87" s="367"/>
      <c r="BX87" s="367"/>
      <c r="BY87" s="97"/>
      <c r="BZ87" s="97"/>
      <c r="CA87" s="97"/>
      <c r="CB87" s="97"/>
      <c r="CC87" s="97"/>
      <c r="CD87" s="97"/>
      <c r="CE87" s="97"/>
      <c r="CF87" s="97"/>
      <c r="CG87" s="97"/>
      <c r="CH87" s="101"/>
    </row>
    <row r="88" spans="1:86">
      <c r="B88" s="1689"/>
      <c r="C88" s="2124" t="s">
        <v>268</v>
      </c>
      <c r="D88" s="2125"/>
      <c r="E88" s="2126"/>
      <c r="F88" s="2126"/>
      <c r="G88" s="2126"/>
      <c r="H88" s="2126"/>
      <c r="I88" s="2126"/>
      <c r="J88" s="119"/>
      <c r="K88" s="1689"/>
      <c r="L88" s="1689" t="s">
        <v>3565</v>
      </c>
      <c r="M88" s="2127" t="s">
        <v>3817</v>
      </c>
      <c r="N88" s="2127"/>
      <c r="O88" s="2127"/>
      <c r="P88" s="2127"/>
      <c r="Q88" s="1246"/>
      <c r="R88" s="1246"/>
      <c r="S88" s="1246"/>
      <c r="T88" s="1689"/>
      <c r="U88" s="1228"/>
      <c r="V88" s="1228"/>
      <c r="W88" s="1228"/>
      <c r="X88" s="1228"/>
      <c r="BI88" s="367"/>
      <c r="BJ88" s="367"/>
      <c r="BK88" s="367"/>
      <c r="BL88" s="367"/>
      <c r="BM88" s="367"/>
      <c r="BN88" s="367"/>
      <c r="BO88" s="367"/>
      <c r="BP88" s="367"/>
      <c r="BQ88" s="367"/>
      <c r="BR88" s="367"/>
      <c r="BS88" s="367"/>
      <c r="BT88" s="367"/>
      <c r="BU88" s="367"/>
      <c r="BV88" s="367"/>
      <c r="BW88" s="367"/>
      <c r="BX88" s="367"/>
      <c r="BY88" s="97"/>
      <c r="BZ88" s="97"/>
      <c r="CA88" s="97"/>
      <c r="CB88" s="97"/>
      <c r="CC88" s="97"/>
      <c r="CD88" s="97"/>
      <c r="CE88" s="97"/>
      <c r="CF88" s="97"/>
      <c r="CG88" s="97"/>
      <c r="CH88" s="101"/>
    </row>
    <row r="89" spans="1:86">
      <c r="B89" s="1689"/>
      <c r="C89" s="2124" t="s">
        <v>255</v>
      </c>
      <c r="D89" s="2125"/>
      <c r="E89" s="2126"/>
      <c r="F89" s="2126"/>
      <c r="G89" s="2126"/>
      <c r="H89" s="2126"/>
      <c r="I89" s="2126"/>
      <c r="J89" s="119"/>
      <c r="K89" s="1689"/>
      <c r="L89" s="1689"/>
      <c r="M89" s="1834"/>
      <c r="N89" s="1835"/>
      <c r="O89" s="1835"/>
      <c r="P89" s="1835"/>
      <c r="Q89" s="1835"/>
      <c r="R89" s="1835"/>
      <c r="S89" s="1836"/>
      <c r="T89" s="1689"/>
      <c r="U89" s="1228"/>
      <c r="V89" s="1228"/>
      <c r="W89" s="1228"/>
      <c r="X89" s="1228"/>
      <c r="BI89" s="367"/>
      <c r="BJ89" s="367"/>
      <c r="BK89" s="367"/>
      <c r="BL89" s="367"/>
      <c r="BM89" s="367"/>
      <c r="BN89" s="367"/>
      <c r="BO89" s="367"/>
      <c r="BP89" s="367"/>
      <c r="BQ89" s="367"/>
      <c r="BR89" s="367"/>
      <c r="BS89" s="367"/>
      <c r="BT89" s="367"/>
      <c r="BU89" s="367"/>
      <c r="BV89" s="367"/>
      <c r="BW89" s="367"/>
      <c r="BX89" s="367"/>
      <c r="BY89" s="97"/>
      <c r="BZ89" s="97"/>
      <c r="CA89" s="97"/>
      <c r="CB89" s="97"/>
      <c r="CC89" s="97"/>
      <c r="CD89" s="97"/>
      <c r="CE89" s="97"/>
      <c r="CF89" s="97"/>
      <c r="CG89" s="97"/>
      <c r="CH89" s="101"/>
    </row>
    <row r="90" spans="1:86">
      <c r="B90" s="1689"/>
      <c r="C90" s="2092" t="s">
        <v>3818</v>
      </c>
      <c r="D90" s="2092"/>
      <c r="E90" s="2126"/>
      <c r="F90" s="2126"/>
      <c r="G90" s="2126"/>
      <c r="H90" s="2126"/>
      <c r="I90" s="2126"/>
      <c r="J90" s="119"/>
      <c r="K90" s="1689"/>
      <c r="L90" s="1689"/>
      <c r="M90" s="1837"/>
      <c r="N90" s="1824"/>
      <c r="O90" s="1824"/>
      <c r="P90" s="1824"/>
      <c r="Q90" s="1824"/>
      <c r="R90" s="1824"/>
      <c r="S90" s="1838"/>
      <c r="T90" s="1689"/>
      <c r="U90" s="1228"/>
      <c r="V90" s="1228"/>
      <c r="W90" s="1228"/>
      <c r="X90" s="1228"/>
      <c r="BI90" s="367"/>
      <c r="BJ90" s="367"/>
      <c r="BK90" s="367"/>
      <c r="BL90" s="367"/>
      <c r="BM90" s="367"/>
      <c r="BN90" s="367"/>
      <c r="BO90" s="367"/>
      <c r="BP90" s="367"/>
      <c r="BQ90" s="367"/>
      <c r="BR90" s="367"/>
      <c r="BS90" s="367"/>
      <c r="BT90" s="367"/>
      <c r="BU90" s="367"/>
      <c r="BV90" s="367"/>
      <c r="BW90" s="367"/>
      <c r="BX90" s="367"/>
      <c r="BY90" s="97"/>
      <c r="BZ90" s="97"/>
      <c r="CA90" s="97"/>
      <c r="CB90" s="97"/>
      <c r="CC90" s="97"/>
      <c r="CD90" s="97"/>
      <c r="CE90" s="97"/>
      <c r="CF90" s="97"/>
      <c r="CG90" s="97"/>
      <c r="CH90" s="101"/>
    </row>
    <row r="91" spans="1:86">
      <c r="B91" s="1689"/>
      <c r="C91" s="2092" t="s">
        <v>3810</v>
      </c>
      <c r="D91" s="2092"/>
      <c r="E91" s="2126"/>
      <c r="F91" s="2126"/>
      <c r="G91" s="2126"/>
      <c r="H91" s="2126"/>
      <c r="I91" s="2126"/>
      <c r="J91" s="119"/>
      <c r="K91" s="1689"/>
      <c r="L91" s="1689"/>
      <c r="M91" s="1837"/>
      <c r="N91" s="1824"/>
      <c r="O91" s="1824"/>
      <c r="P91" s="1824"/>
      <c r="Q91" s="1824"/>
      <c r="R91" s="1824"/>
      <c r="S91" s="1838"/>
      <c r="T91" s="1689"/>
      <c r="U91" s="1228"/>
      <c r="V91" s="1228"/>
      <c r="W91" s="1228"/>
      <c r="X91" s="1228"/>
      <c r="BI91" s="367"/>
      <c r="BJ91" s="367"/>
      <c r="BK91" s="367"/>
      <c r="BL91" s="367"/>
      <c r="BM91" s="367"/>
      <c r="BN91" s="367"/>
      <c r="BO91" s="367"/>
      <c r="BP91" s="367"/>
      <c r="BQ91" s="367"/>
      <c r="BR91" s="367"/>
      <c r="BS91" s="367"/>
      <c r="BT91" s="367"/>
      <c r="BU91" s="367"/>
      <c r="BV91" s="367"/>
      <c r="BW91" s="367"/>
      <c r="BX91" s="367"/>
      <c r="BY91" s="97"/>
      <c r="BZ91" s="97"/>
      <c r="CA91" s="97"/>
      <c r="CB91" s="97"/>
      <c r="CC91" s="97"/>
      <c r="CD91" s="97"/>
      <c r="CE91" s="97"/>
      <c r="CF91" s="97"/>
      <c r="CG91" s="97"/>
      <c r="CH91" s="101"/>
    </row>
    <row r="92" spans="1:86">
      <c r="B92" s="1689"/>
      <c r="C92" s="2092" t="s">
        <v>3811</v>
      </c>
      <c r="D92" s="2092"/>
      <c r="E92" s="2126"/>
      <c r="F92" s="2126"/>
      <c r="G92" s="2126"/>
      <c r="H92" s="2126"/>
      <c r="I92" s="2126"/>
      <c r="J92" s="119"/>
      <c r="K92" s="1689"/>
      <c r="L92" s="1689"/>
      <c r="M92" s="1839"/>
      <c r="N92" s="1840"/>
      <c r="O92" s="1840"/>
      <c r="P92" s="1840"/>
      <c r="Q92" s="1840"/>
      <c r="R92" s="1840"/>
      <c r="S92" s="1841"/>
      <c r="T92" s="1689"/>
      <c r="U92" s="1228"/>
      <c r="V92" s="1228"/>
      <c r="W92" s="1228"/>
      <c r="X92" s="1228"/>
      <c r="BI92" s="367"/>
      <c r="BJ92" s="367"/>
      <c r="BK92" s="367"/>
      <c r="BL92" s="367"/>
      <c r="BM92" s="367"/>
      <c r="BN92" s="367"/>
      <c r="BO92" s="367"/>
      <c r="BP92" s="367"/>
      <c r="BQ92" s="367"/>
      <c r="BR92" s="367"/>
      <c r="BS92" s="367"/>
      <c r="BT92" s="367"/>
      <c r="BU92" s="367"/>
      <c r="BV92" s="367"/>
      <c r="BW92" s="367"/>
      <c r="BX92" s="367"/>
      <c r="BY92" s="97"/>
      <c r="BZ92" s="97"/>
      <c r="CA92" s="97"/>
      <c r="CB92" s="97"/>
      <c r="CC92" s="97"/>
      <c r="CD92" s="97"/>
      <c r="CE92" s="97"/>
      <c r="CF92" s="97"/>
      <c r="CG92" s="97"/>
      <c r="CH92" s="101"/>
    </row>
    <row r="93" spans="1:86">
      <c r="B93" s="1689"/>
      <c r="C93" s="1689"/>
      <c r="D93" s="1689"/>
      <c r="E93" s="1689"/>
      <c r="F93" s="1689"/>
      <c r="G93" s="1689"/>
      <c r="H93" s="1689"/>
      <c r="I93" s="1689"/>
      <c r="J93" s="1689"/>
      <c r="K93" s="1689"/>
      <c r="L93" s="1689"/>
      <c r="M93" s="1689"/>
      <c r="N93" s="1689"/>
      <c r="O93" s="1689"/>
      <c r="P93" s="1689"/>
      <c r="Q93" s="1689"/>
      <c r="R93" s="1689"/>
      <c r="S93" s="1689"/>
      <c r="T93" s="1689"/>
      <c r="U93" s="1228"/>
      <c r="V93" s="1228"/>
      <c r="W93" s="1228"/>
      <c r="X93" s="1228"/>
      <c r="BI93" s="367"/>
      <c r="BJ93" s="367"/>
      <c r="BK93" s="367"/>
      <c r="BL93" s="367"/>
      <c r="BM93" s="367"/>
      <c r="BN93" s="367"/>
      <c r="BO93" s="367"/>
      <c r="BP93" s="367"/>
      <c r="BQ93" s="367"/>
      <c r="BR93" s="367"/>
      <c r="BS93" s="367"/>
      <c r="BT93" s="367"/>
      <c r="BU93" s="367"/>
      <c r="BV93" s="367"/>
      <c r="BW93" s="367"/>
      <c r="BX93" s="367"/>
      <c r="BY93" s="97"/>
      <c r="BZ93" s="97"/>
      <c r="CA93" s="97"/>
      <c r="CB93" s="97"/>
      <c r="CC93" s="97"/>
      <c r="CD93" s="97"/>
      <c r="CE93" s="97"/>
      <c r="CF93" s="97"/>
      <c r="CG93" s="97"/>
      <c r="CH93" s="101"/>
    </row>
    <row r="94" spans="1:86" ht="19">
      <c r="A94" s="308"/>
      <c r="B94" s="8" t="s">
        <v>3753</v>
      </c>
      <c r="O94" s="26"/>
      <c r="T94" s="76"/>
      <c r="U94" s="462"/>
      <c r="X94" s="462"/>
      <c r="Y94" s="366"/>
      <c r="Z94" s="98"/>
      <c r="BI94" s="367"/>
      <c r="BJ94" s="367"/>
      <c r="BK94" s="367"/>
      <c r="BL94" s="367"/>
      <c r="BM94" s="367"/>
      <c r="BN94" s="367"/>
      <c r="BO94" s="367"/>
      <c r="BP94" s="367"/>
      <c r="BQ94" s="367"/>
      <c r="BR94" s="367"/>
      <c r="BS94" s="367"/>
      <c r="BT94" s="367"/>
      <c r="BU94" s="367"/>
      <c r="BV94" s="367"/>
      <c r="BW94" s="367"/>
      <c r="BX94" s="367"/>
      <c r="BY94" s="97"/>
      <c r="BZ94" s="97"/>
      <c r="CA94" s="97"/>
      <c r="CB94" s="97"/>
      <c r="CC94" s="97"/>
      <c r="CD94" s="97"/>
      <c r="CE94" s="97"/>
      <c r="CF94" s="97"/>
      <c r="CG94" s="97"/>
      <c r="CH94" s="101"/>
    </row>
    <row r="95" spans="1:86" ht="32">
      <c r="B95" s="1689"/>
      <c r="C95" s="847" t="s">
        <v>3819</v>
      </c>
      <c r="D95" s="847" t="s">
        <v>3671</v>
      </c>
      <c r="E95" s="847" t="s">
        <v>224</v>
      </c>
      <c r="F95" s="847" t="s">
        <v>3665</v>
      </c>
      <c r="G95" s="847" t="s">
        <v>3820</v>
      </c>
      <c r="H95" s="847" t="s">
        <v>3674</v>
      </c>
      <c r="I95" s="847" t="s">
        <v>3761</v>
      </c>
      <c r="J95" s="847" t="s">
        <v>3762</v>
      </c>
      <c r="K95" s="847" t="s">
        <v>3763</v>
      </c>
      <c r="L95" s="847" t="s">
        <v>3821</v>
      </c>
      <c r="M95" s="847" t="s">
        <v>3764</v>
      </c>
      <c r="N95" s="847" t="s">
        <v>3765</v>
      </c>
      <c r="O95" s="847" t="s">
        <v>3766</v>
      </c>
      <c r="P95" s="847" t="s">
        <v>3767</v>
      </c>
      <c r="Q95" s="1254"/>
      <c r="R95" s="1254"/>
      <c r="S95" s="1689"/>
      <c r="T95" s="1689"/>
      <c r="U95" s="1228"/>
      <c r="V95" s="1228"/>
      <c r="W95" s="1228"/>
      <c r="X95" s="1228"/>
      <c r="BI95" s="367"/>
      <c r="BJ95" s="367"/>
      <c r="BK95" s="367"/>
      <c r="BL95" s="367"/>
      <c r="BM95" s="367"/>
      <c r="BN95" s="367"/>
      <c r="BO95" s="367"/>
      <c r="BP95" s="367"/>
      <c r="BQ95" s="367"/>
      <c r="BR95" s="367"/>
      <c r="BS95" s="367"/>
      <c r="BT95" s="367"/>
      <c r="BU95" s="367"/>
      <c r="BV95" s="367"/>
      <c r="BW95" s="367"/>
      <c r="BX95" s="367"/>
      <c r="BY95" s="97"/>
      <c r="BZ95" s="97"/>
      <c r="CA95" s="97"/>
      <c r="CB95" s="97"/>
      <c r="CC95" s="97"/>
      <c r="CD95" s="97"/>
      <c r="CE95" s="97"/>
      <c r="CF95" s="97"/>
      <c r="CG95" s="97"/>
      <c r="CH95" s="101"/>
    </row>
    <row r="96" spans="1:86">
      <c r="B96" s="1689"/>
      <c r="C96" s="60"/>
      <c r="D96" s="61"/>
      <c r="E96" s="62"/>
      <c r="F96" s="61"/>
      <c r="G96" s="61"/>
      <c r="H96" s="63"/>
      <c r="I96" s="120">
        <f>IF(F96 =  0, 0, H96/F96)</f>
        <v>0</v>
      </c>
      <c r="J96" s="35"/>
      <c r="K96" s="37"/>
      <c r="L96" s="35"/>
      <c r="M96" s="121">
        <f>IF(L96=0,0,K96/L96)</f>
        <v>0</v>
      </c>
      <c r="N96" s="35"/>
      <c r="O96" s="122">
        <f>IF(N96=0,0,H96/N96)</f>
        <v>0</v>
      </c>
      <c r="P96" s="104">
        <f>G96*H96*12</f>
        <v>0</v>
      </c>
      <c r="Q96" s="1255"/>
      <c r="R96" s="1243"/>
      <c r="S96" s="1689"/>
      <c r="T96" s="1689"/>
      <c r="U96" s="1228"/>
      <c r="V96" s="1228"/>
      <c r="W96" s="1228"/>
      <c r="X96" s="1228"/>
      <c r="BI96" s="367"/>
      <c r="BJ96" s="367"/>
      <c r="BK96" s="367"/>
      <c r="BL96" s="367"/>
      <c r="BM96" s="367"/>
      <c r="BN96" s="367"/>
      <c r="BO96" s="367"/>
      <c r="BP96" s="367"/>
      <c r="BQ96" s="367"/>
      <c r="BR96" s="367"/>
      <c r="BS96" s="367"/>
      <c r="BT96" s="367"/>
      <c r="BU96" s="367"/>
      <c r="BV96" s="367"/>
      <c r="BW96" s="367"/>
      <c r="BX96" s="367"/>
      <c r="BY96" s="97"/>
      <c r="BZ96" s="97"/>
      <c r="CA96" s="97"/>
      <c r="CB96" s="97"/>
      <c r="CC96" s="97"/>
      <c r="CD96" s="97"/>
      <c r="CE96" s="97"/>
      <c r="CF96" s="97"/>
      <c r="CG96" s="97"/>
      <c r="CH96" s="101"/>
    </row>
    <row r="97" spans="1:87">
      <c r="B97" s="1689"/>
      <c r="C97" s="60"/>
      <c r="D97" s="61"/>
      <c r="E97" s="62"/>
      <c r="F97" s="61"/>
      <c r="G97" s="61"/>
      <c r="H97" s="63"/>
      <c r="I97" s="120">
        <f>IF(F97 =  0, 0, H97/F97)</f>
        <v>0</v>
      </c>
      <c r="J97" s="35"/>
      <c r="K97" s="35"/>
      <c r="L97" s="35"/>
      <c r="M97" s="121">
        <f>IF(L97=0,0,K97/L97)</f>
        <v>0</v>
      </c>
      <c r="N97" s="35"/>
      <c r="O97" s="122">
        <f>IF(N97=0,0,H97/N97)</f>
        <v>0</v>
      </c>
      <c r="P97" s="104">
        <f>G97*H97*12</f>
        <v>0</v>
      </c>
      <c r="Q97" s="1255"/>
      <c r="R97" s="1243"/>
      <c r="S97" s="1689"/>
      <c r="T97" s="1689"/>
      <c r="U97" s="1228"/>
      <c r="V97" s="1228"/>
      <c r="W97" s="1228"/>
      <c r="X97" s="1228"/>
      <c r="BI97" s="367"/>
      <c r="BJ97" s="367"/>
      <c r="BK97" s="367"/>
      <c r="BL97" s="367"/>
      <c r="BM97" s="367"/>
      <c r="BN97" s="367"/>
      <c r="BO97" s="367"/>
      <c r="BP97" s="367"/>
      <c r="BQ97" s="367"/>
      <c r="BR97" s="367"/>
      <c r="BS97" s="367"/>
      <c r="BT97" s="367"/>
      <c r="BU97" s="367"/>
      <c r="BV97" s="367"/>
      <c r="BW97" s="367"/>
      <c r="BX97" s="367"/>
      <c r="BY97" s="97"/>
      <c r="BZ97" s="97"/>
      <c r="CA97" s="97"/>
      <c r="CB97" s="97"/>
      <c r="CC97" s="97"/>
      <c r="CD97" s="97"/>
      <c r="CE97" s="97"/>
      <c r="CF97" s="97"/>
      <c r="CG97" s="97"/>
      <c r="CH97" s="101"/>
    </row>
    <row r="98" spans="1:87">
      <c r="B98" s="1689"/>
      <c r="C98" s="60"/>
      <c r="D98" s="61"/>
      <c r="E98" s="62"/>
      <c r="F98" s="61"/>
      <c r="G98" s="61"/>
      <c r="H98" s="63"/>
      <c r="I98" s="120">
        <f>IF(F98 =  0, 0, H98/F98)</f>
        <v>0</v>
      </c>
      <c r="J98" s="35"/>
      <c r="K98" s="35"/>
      <c r="L98" s="35"/>
      <c r="M98" s="121">
        <f>IF(L98=0,0,K98/L98)</f>
        <v>0</v>
      </c>
      <c r="N98" s="35"/>
      <c r="O98" s="122">
        <f>IF(N98=0,0,H98/N98)</f>
        <v>0</v>
      </c>
      <c r="P98" s="104">
        <f>G98*H98*12</f>
        <v>0</v>
      </c>
      <c r="Q98" s="1255"/>
      <c r="R98" s="1243"/>
      <c r="S98" s="1689"/>
      <c r="T98" s="1689"/>
      <c r="U98" s="1228"/>
      <c r="V98" s="1228"/>
      <c r="W98" s="1228"/>
      <c r="X98" s="1228"/>
      <c r="BI98" s="367"/>
      <c r="BJ98" s="367"/>
      <c r="BK98" s="367"/>
      <c r="BL98" s="367"/>
      <c r="BM98" s="367"/>
      <c r="BN98" s="367"/>
      <c r="BO98" s="367"/>
      <c r="BP98" s="367"/>
      <c r="BQ98" s="367"/>
      <c r="BR98" s="367"/>
      <c r="BS98" s="367"/>
      <c r="BT98" s="367"/>
      <c r="BU98" s="367"/>
      <c r="BV98" s="367"/>
      <c r="BW98" s="367"/>
      <c r="BX98" s="367"/>
      <c r="BY98" s="97"/>
      <c r="BZ98" s="97"/>
      <c r="CA98" s="97"/>
      <c r="CB98" s="97"/>
      <c r="CC98" s="97"/>
      <c r="CD98" s="97"/>
      <c r="CE98" s="97"/>
      <c r="CF98" s="97"/>
      <c r="CG98" s="97"/>
      <c r="CH98" s="101"/>
    </row>
    <row r="99" spans="1:87">
      <c r="B99" s="1689"/>
      <c r="C99" s="1689"/>
      <c r="D99" s="1689"/>
      <c r="E99" s="1689"/>
      <c r="F99" s="1253">
        <f>SUMPRODUCT(F96:F98,G96:G98)</f>
        <v>0</v>
      </c>
      <c r="G99" s="1253">
        <f>SUM(G96:G98)</f>
        <v>0</v>
      </c>
      <c r="H99" s="1689"/>
      <c r="I99" s="1689"/>
      <c r="J99" s="1689"/>
      <c r="K99" s="1689"/>
      <c r="L99" s="1689"/>
      <c r="M99" s="1689"/>
      <c r="N99" s="1689"/>
      <c r="O99" s="1689"/>
      <c r="P99" s="1689"/>
      <c r="Q99" s="1689"/>
      <c r="R99" s="1689"/>
      <c r="S99" s="1689"/>
      <c r="T99" s="1689"/>
      <c r="U99" s="1228"/>
      <c r="V99" s="1228"/>
      <c r="W99" s="1228"/>
      <c r="X99" s="1228"/>
      <c r="BI99" s="367"/>
      <c r="BJ99" s="367"/>
      <c r="BK99" s="367"/>
      <c r="BL99" s="367"/>
      <c r="BM99" s="367"/>
      <c r="BN99" s="367"/>
      <c r="BO99" s="367"/>
      <c r="BP99" s="367"/>
      <c r="BQ99" s="367"/>
      <c r="BR99" s="367"/>
      <c r="BS99" s="367"/>
      <c r="BT99" s="367"/>
      <c r="BU99" s="367"/>
      <c r="BV99" s="367"/>
      <c r="BW99" s="367"/>
      <c r="BX99" s="367"/>
      <c r="BY99" s="97"/>
      <c r="BZ99" s="97"/>
      <c r="CA99" s="97"/>
      <c r="CB99" s="97"/>
      <c r="CC99" s="97"/>
      <c r="CD99" s="97"/>
      <c r="CE99" s="97"/>
      <c r="CF99" s="97"/>
      <c r="CG99" s="97"/>
      <c r="CH99" s="101"/>
    </row>
    <row r="100" spans="1:87">
      <c r="B100" s="1689"/>
      <c r="C100" s="1689"/>
      <c r="D100" s="1689"/>
      <c r="E100" s="1689"/>
      <c r="F100" s="1689"/>
      <c r="G100" s="1689"/>
      <c r="H100" s="1689"/>
      <c r="I100" s="1689"/>
      <c r="J100" s="1689"/>
      <c r="K100" s="1689"/>
      <c r="L100" s="1689"/>
      <c r="M100" s="1689"/>
      <c r="N100" s="1689"/>
      <c r="O100" s="1689"/>
      <c r="P100" s="1689"/>
      <c r="Q100" s="1689"/>
      <c r="R100" s="1689"/>
      <c r="S100" s="1689"/>
      <c r="T100" s="1689"/>
      <c r="U100" s="1228"/>
      <c r="V100" s="1228"/>
      <c r="W100" s="1228"/>
      <c r="X100" s="1228"/>
      <c r="BI100" s="367"/>
      <c r="BJ100" s="367"/>
      <c r="BK100" s="367"/>
      <c r="BL100" s="367"/>
      <c r="BM100" s="367"/>
      <c r="BN100" s="367"/>
      <c r="BO100" s="367"/>
      <c r="BP100" s="367"/>
      <c r="BQ100" s="367"/>
      <c r="BR100" s="367"/>
      <c r="BS100" s="367"/>
      <c r="BT100" s="367"/>
      <c r="BU100" s="367"/>
      <c r="BV100" s="367"/>
      <c r="BW100" s="367"/>
      <c r="BX100" s="367"/>
      <c r="BY100" s="97"/>
      <c r="BZ100" s="97"/>
      <c r="CA100" s="97"/>
      <c r="CB100" s="97"/>
      <c r="CC100" s="97"/>
      <c r="CD100" s="97"/>
      <c r="CE100" s="97"/>
      <c r="CF100" s="97"/>
      <c r="CG100" s="97"/>
      <c r="CH100" s="101"/>
    </row>
    <row r="101" spans="1:87">
      <c r="B101" s="1689"/>
      <c r="C101" s="1689"/>
      <c r="D101" s="1689"/>
      <c r="E101" s="1689"/>
      <c r="F101" s="1689"/>
      <c r="G101" s="1689"/>
      <c r="H101" s="1689"/>
      <c r="I101" s="1689"/>
      <c r="J101" s="1689"/>
      <c r="K101" s="1689"/>
      <c r="L101" s="1689"/>
      <c r="M101" s="1689"/>
      <c r="N101" s="1689"/>
      <c r="O101" s="1689"/>
      <c r="P101" s="1689"/>
      <c r="Q101" s="1689"/>
      <c r="R101" s="1689"/>
      <c r="S101" s="1689"/>
      <c r="T101" s="1689"/>
      <c r="U101" s="1228"/>
      <c r="V101" s="1228"/>
      <c r="W101" s="1228"/>
      <c r="X101" s="1228"/>
      <c r="BI101" s="367"/>
      <c r="BJ101" s="367"/>
      <c r="BK101" s="367"/>
      <c r="BL101" s="367"/>
      <c r="BM101" s="367"/>
      <c r="BN101" s="367"/>
      <c r="BO101" s="367"/>
      <c r="BP101" s="367"/>
      <c r="BQ101" s="367"/>
      <c r="BR101" s="367"/>
      <c r="BS101" s="367"/>
      <c r="BT101" s="367"/>
      <c r="BU101" s="367"/>
      <c r="BV101" s="367"/>
      <c r="BW101" s="367"/>
      <c r="BX101" s="367"/>
      <c r="BY101" s="97"/>
      <c r="BZ101" s="97"/>
      <c r="CA101" s="97"/>
      <c r="CB101" s="97"/>
      <c r="CC101" s="97"/>
      <c r="CD101" s="97"/>
      <c r="CE101" s="97"/>
      <c r="CF101" s="97"/>
      <c r="CG101" s="97"/>
      <c r="CH101" s="101"/>
    </row>
    <row r="102" spans="1:87" ht="19">
      <c r="A102" s="308"/>
      <c r="B102" s="8" t="s">
        <v>3822</v>
      </c>
      <c r="O102" s="26"/>
      <c r="T102" s="76"/>
      <c r="U102" s="462"/>
      <c r="X102" s="462"/>
      <c r="Y102" s="366"/>
      <c r="Z102" s="98"/>
      <c r="BI102" s="367"/>
      <c r="BJ102" s="367"/>
      <c r="BK102" s="367"/>
      <c r="BL102" s="367"/>
      <c r="BM102" s="367"/>
      <c r="BN102" s="367"/>
      <c r="BO102" s="367"/>
      <c r="BP102" s="367"/>
      <c r="BQ102" s="367"/>
      <c r="BR102" s="367"/>
      <c r="BS102" s="367"/>
      <c r="BT102" s="367"/>
      <c r="BU102" s="367"/>
      <c r="BV102" s="367"/>
      <c r="BW102" s="367"/>
      <c r="BX102" s="367"/>
      <c r="BY102" s="97"/>
      <c r="BZ102" s="97"/>
      <c r="CA102" s="97"/>
      <c r="CB102" s="97"/>
      <c r="CC102" s="97"/>
      <c r="CD102" s="97"/>
      <c r="CE102" s="97"/>
      <c r="CF102" s="97"/>
      <c r="CG102" s="97"/>
      <c r="CH102" s="101"/>
    </row>
    <row r="103" spans="1:87" ht="32">
      <c r="B103" s="1689"/>
      <c r="C103" s="847" t="s">
        <v>3819</v>
      </c>
      <c r="D103" s="847" t="s">
        <v>231</v>
      </c>
      <c r="E103" s="847" t="s">
        <v>3671</v>
      </c>
      <c r="F103" s="847" t="s">
        <v>224</v>
      </c>
      <c r="G103" s="847" t="s">
        <v>3665</v>
      </c>
      <c r="H103" s="847" t="s">
        <v>3820</v>
      </c>
      <c r="I103" s="847" t="s">
        <v>3674</v>
      </c>
      <c r="J103" s="847" t="s">
        <v>3761</v>
      </c>
      <c r="K103" s="847" t="s">
        <v>3767</v>
      </c>
      <c r="L103" s="1254"/>
      <c r="M103" s="1689"/>
      <c r="N103" s="1689"/>
      <c r="O103" s="1689"/>
      <c r="P103" s="1254"/>
      <c r="Q103" s="1254"/>
      <c r="R103" s="1689"/>
      <c r="S103" s="1689"/>
      <c r="T103" s="1689"/>
      <c r="U103" s="1254"/>
      <c r="V103" s="1228"/>
      <c r="W103" s="1228"/>
      <c r="X103" s="1228"/>
      <c r="BI103" s="367"/>
      <c r="BJ103" s="367"/>
      <c r="BK103" s="367"/>
      <c r="BL103" s="367"/>
      <c r="BM103" s="367"/>
      <c r="BN103" s="367"/>
      <c r="BO103" s="367"/>
      <c r="BP103" s="367"/>
      <c r="BQ103" s="367"/>
      <c r="BR103" s="367"/>
      <c r="BS103" s="367"/>
      <c r="BT103" s="367"/>
      <c r="BU103" s="367"/>
      <c r="BV103" s="367"/>
      <c r="BW103" s="367"/>
      <c r="BX103" s="367"/>
      <c r="BY103" s="97"/>
      <c r="BZ103" s="97"/>
      <c r="CA103" s="97"/>
      <c r="CB103" s="97"/>
      <c r="CC103" s="97"/>
      <c r="CD103" s="97"/>
      <c r="CE103" s="97"/>
      <c r="CF103" s="97"/>
      <c r="CG103" s="97"/>
      <c r="CH103" s="97"/>
      <c r="CI103" s="101"/>
    </row>
    <row r="104" spans="1:87">
      <c r="B104" s="1689"/>
      <c r="C104" s="60"/>
      <c r="D104" s="60"/>
      <c r="E104" s="61"/>
      <c r="F104" s="62"/>
      <c r="G104" s="61"/>
      <c r="H104" s="61"/>
      <c r="I104" s="63"/>
      <c r="J104" s="123">
        <f t="shared" ref="J104:J113" si="89">IF(G104=0, 0,I104/G104)</f>
        <v>0</v>
      </c>
      <c r="K104" s="104">
        <f t="shared" ref="K104:K113" si="90">H104*I104*12</f>
        <v>0</v>
      </c>
      <c r="L104" s="1255"/>
      <c r="M104" s="1689"/>
      <c r="N104" s="1689"/>
      <c r="O104" s="1689"/>
      <c r="P104" s="1689"/>
      <c r="Q104" s="1255"/>
      <c r="R104" s="1689"/>
      <c r="S104" s="1689"/>
      <c r="T104" s="1689"/>
      <c r="U104" s="1243"/>
      <c r="V104" s="1228"/>
      <c r="W104" s="1228"/>
      <c r="X104" s="1228"/>
      <c r="BI104" s="367"/>
      <c r="BJ104" s="367"/>
      <c r="BK104" s="367"/>
      <c r="BL104" s="367"/>
      <c r="BM104" s="367"/>
      <c r="BN104" s="367"/>
      <c r="BO104" s="367"/>
      <c r="BP104" s="367"/>
      <c r="BQ104" s="367"/>
      <c r="BR104" s="367"/>
      <c r="BS104" s="367"/>
      <c r="BT104" s="367"/>
      <c r="BU104" s="367"/>
      <c r="BV104" s="367"/>
      <c r="BW104" s="367"/>
      <c r="BX104" s="367"/>
      <c r="BY104" s="97"/>
      <c r="BZ104" s="97"/>
      <c r="CA104" s="97"/>
      <c r="CB104" s="97"/>
      <c r="CC104" s="97"/>
      <c r="CD104" s="97"/>
      <c r="CE104" s="97"/>
      <c r="CF104" s="97"/>
      <c r="CG104" s="97"/>
      <c r="CH104" s="97"/>
      <c r="CI104" s="101"/>
    </row>
    <row r="105" spans="1:87">
      <c r="B105" s="1689"/>
      <c r="C105" s="60"/>
      <c r="D105" s="60"/>
      <c r="E105" s="61"/>
      <c r="F105" s="62"/>
      <c r="G105" s="61"/>
      <c r="H105" s="61"/>
      <c r="I105" s="63"/>
      <c r="J105" s="123">
        <f t="shared" si="89"/>
        <v>0</v>
      </c>
      <c r="K105" s="104">
        <f t="shared" si="90"/>
        <v>0</v>
      </c>
      <c r="L105" s="1255"/>
      <c r="M105" s="1689"/>
      <c r="N105" s="1689"/>
      <c r="O105" s="1689"/>
      <c r="P105" s="1689"/>
      <c r="Q105" s="1255"/>
      <c r="R105" s="1689"/>
      <c r="S105" s="1689"/>
      <c r="T105" s="1689"/>
      <c r="U105" s="1243"/>
      <c r="V105" s="1228"/>
      <c r="W105" s="1228"/>
      <c r="X105" s="1228"/>
      <c r="BI105" s="367"/>
      <c r="BJ105" s="367"/>
      <c r="BK105" s="367"/>
      <c r="BL105" s="367"/>
      <c r="BM105" s="367"/>
      <c r="BN105" s="367"/>
      <c r="BO105" s="367"/>
      <c r="BP105" s="367"/>
      <c r="BQ105" s="367"/>
      <c r="BR105" s="367"/>
      <c r="BS105" s="367"/>
      <c r="BT105" s="367"/>
      <c r="BU105" s="367"/>
      <c r="BV105" s="367"/>
      <c r="BW105" s="367"/>
      <c r="BX105" s="367"/>
      <c r="BY105" s="97"/>
      <c r="BZ105" s="97"/>
      <c r="CA105" s="97"/>
      <c r="CB105" s="97"/>
      <c r="CC105" s="97"/>
      <c r="CD105" s="97"/>
      <c r="CE105" s="97"/>
      <c r="CF105" s="97"/>
      <c r="CG105" s="97"/>
      <c r="CH105" s="97"/>
      <c r="CI105" s="101"/>
    </row>
    <row r="106" spans="1:87">
      <c r="B106" s="1689"/>
      <c r="C106" s="60"/>
      <c r="D106" s="60"/>
      <c r="E106" s="61"/>
      <c r="F106" s="62"/>
      <c r="G106" s="61"/>
      <c r="H106" s="61"/>
      <c r="I106" s="63"/>
      <c r="J106" s="123">
        <f t="shared" si="89"/>
        <v>0</v>
      </c>
      <c r="K106" s="104">
        <f t="shared" si="90"/>
        <v>0</v>
      </c>
      <c r="L106" s="1255"/>
      <c r="M106" s="1689"/>
      <c r="N106" s="1689"/>
      <c r="O106" s="1689"/>
      <c r="P106" s="1689"/>
      <c r="Q106" s="1255"/>
      <c r="R106" s="1689"/>
      <c r="S106" s="1689"/>
      <c r="T106" s="1689"/>
      <c r="U106" s="1243"/>
      <c r="V106" s="1228"/>
      <c r="W106" s="1228"/>
      <c r="X106" s="1228"/>
      <c r="BI106" s="367"/>
      <c r="BJ106" s="367"/>
      <c r="BK106" s="367"/>
      <c r="BL106" s="367"/>
      <c r="BM106" s="367"/>
      <c r="BN106" s="367"/>
      <c r="BO106" s="367"/>
      <c r="BP106" s="367"/>
      <c r="BQ106" s="367"/>
      <c r="BR106" s="367"/>
      <c r="BS106" s="367"/>
      <c r="BT106" s="367"/>
      <c r="BU106" s="367"/>
      <c r="BV106" s="367"/>
      <c r="BW106" s="367"/>
      <c r="BX106" s="367"/>
      <c r="BY106" s="97"/>
      <c r="BZ106" s="97"/>
      <c r="CA106" s="97"/>
      <c r="CB106" s="97"/>
      <c r="CC106" s="97"/>
      <c r="CD106" s="97"/>
      <c r="CE106" s="97"/>
      <c r="CF106" s="97"/>
      <c r="CG106" s="97"/>
      <c r="CH106" s="97"/>
      <c r="CI106" s="101"/>
    </row>
    <row r="107" spans="1:87">
      <c r="B107" s="1689"/>
      <c r="C107" s="60"/>
      <c r="D107" s="60"/>
      <c r="E107" s="61"/>
      <c r="F107" s="62"/>
      <c r="G107" s="61"/>
      <c r="H107" s="61"/>
      <c r="I107" s="63"/>
      <c r="J107" s="123">
        <f t="shared" si="89"/>
        <v>0</v>
      </c>
      <c r="K107" s="104">
        <f t="shared" si="90"/>
        <v>0</v>
      </c>
      <c r="L107" s="1255"/>
      <c r="M107" s="1689"/>
      <c r="N107" s="1689"/>
      <c r="O107" s="1689"/>
      <c r="P107" s="1689"/>
      <c r="Q107" s="1255"/>
      <c r="R107" s="1689"/>
      <c r="S107" s="1689"/>
      <c r="T107" s="1689"/>
      <c r="U107" s="1243"/>
      <c r="V107" s="1228"/>
      <c r="W107" s="1228"/>
      <c r="X107" s="1228"/>
      <c r="BI107" s="367"/>
      <c r="BJ107" s="367"/>
      <c r="BK107" s="367"/>
      <c r="BL107" s="367"/>
      <c r="BM107" s="367"/>
      <c r="BN107" s="367"/>
      <c r="BO107" s="367"/>
      <c r="BP107" s="367"/>
      <c r="BQ107" s="367"/>
      <c r="BR107" s="367"/>
      <c r="BS107" s="367"/>
      <c r="BT107" s="367"/>
      <c r="BU107" s="367"/>
      <c r="BV107" s="367"/>
      <c r="BW107" s="367"/>
      <c r="BX107" s="367"/>
      <c r="BY107" s="97"/>
      <c r="BZ107" s="97"/>
      <c r="CA107" s="97"/>
      <c r="CB107" s="97"/>
      <c r="CC107" s="97"/>
      <c r="CD107" s="97"/>
      <c r="CE107" s="97"/>
      <c r="CF107" s="97"/>
      <c r="CG107" s="97"/>
      <c r="CH107" s="97"/>
      <c r="CI107" s="101"/>
    </row>
    <row r="108" spans="1:87">
      <c r="B108" s="1689"/>
      <c r="C108" s="60"/>
      <c r="D108" s="60"/>
      <c r="E108" s="61"/>
      <c r="F108" s="62"/>
      <c r="G108" s="61"/>
      <c r="H108" s="61"/>
      <c r="I108" s="63"/>
      <c r="J108" s="123">
        <f t="shared" si="89"/>
        <v>0</v>
      </c>
      <c r="K108" s="104">
        <f t="shared" si="90"/>
        <v>0</v>
      </c>
      <c r="L108" s="1255"/>
      <c r="M108" s="1689"/>
      <c r="N108" s="1689"/>
      <c r="O108" s="1689"/>
      <c r="P108" s="1689"/>
      <c r="Q108" s="1255"/>
      <c r="R108" s="1689"/>
      <c r="S108" s="1689"/>
      <c r="T108" s="1689"/>
      <c r="U108" s="1243"/>
      <c r="V108" s="1228"/>
      <c r="W108" s="1228"/>
      <c r="X108" s="1228"/>
      <c r="BI108" s="367"/>
      <c r="BJ108" s="367"/>
      <c r="BK108" s="367"/>
      <c r="BL108" s="367"/>
      <c r="BM108" s="367"/>
      <c r="BN108" s="367"/>
      <c r="BO108" s="367"/>
      <c r="BP108" s="367"/>
      <c r="BQ108" s="367"/>
      <c r="BR108" s="367"/>
      <c r="BS108" s="367"/>
      <c r="BT108" s="367"/>
      <c r="BU108" s="367"/>
      <c r="BV108" s="367"/>
      <c r="BW108" s="367"/>
      <c r="BX108" s="367"/>
      <c r="BY108" s="97"/>
      <c r="BZ108" s="97"/>
      <c r="CA108" s="97"/>
      <c r="CB108" s="97"/>
      <c r="CC108" s="97"/>
      <c r="CD108" s="97"/>
      <c r="CE108" s="97"/>
      <c r="CF108" s="97"/>
      <c r="CG108" s="97"/>
      <c r="CH108" s="97"/>
      <c r="CI108" s="101"/>
    </row>
    <row r="109" spans="1:87">
      <c r="B109" s="1689"/>
      <c r="C109" s="60"/>
      <c r="D109" s="60"/>
      <c r="E109" s="61"/>
      <c r="F109" s="62"/>
      <c r="G109" s="61"/>
      <c r="H109" s="61"/>
      <c r="I109" s="63"/>
      <c r="J109" s="123">
        <f t="shared" si="89"/>
        <v>0</v>
      </c>
      <c r="K109" s="104">
        <f t="shared" si="90"/>
        <v>0</v>
      </c>
      <c r="L109" s="1255"/>
      <c r="M109" s="1689"/>
      <c r="N109" s="1689"/>
      <c r="O109" s="1689"/>
      <c r="P109" s="1689"/>
      <c r="Q109" s="1255"/>
      <c r="R109" s="1689"/>
      <c r="S109" s="1689"/>
      <c r="T109" s="1689"/>
      <c r="U109" s="1243"/>
      <c r="V109" s="1228"/>
      <c r="W109" s="1228"/>
      <c r="X109" s="1228"/>
      <c r="BI109" s="367"/>
      <c r="BJ109" s="367"/>
      <c r="BK109" s="367"/>
      <c r="BL109" s="367"/>
      <c r="BM109" s="367"/>
      <c r="BN109" s="367"/>
      <c r="BO109" s="367"/>
      <c r="BP109" s="367"/>
      <c r="BQ109" s="367"/>
      <c r="BR109" s="367"/>
      <c r="BS109" s="367"/>
      <c r="BT109" s="367"/>
      <c r="BU109" s="367"/>
      <c r="BV109" s="367"/>
      <c r="BW109" s="367"/>
      <c r="BX109" s="367"/>
      <c r="BY109" s="97"/>
      <c r="BZ109" s="97"/>
      <c r="CA109" s="97"/>
      <c r="CB109" s="97"/>
      <c r="CC109" s="97"/>
      <c r="CD109" s="97"/>
      <c r="CE109" s="97"/>
      <c r="CF109" s="97"/>
      <c r="CG109" s="97"/>
      <c r="CH109" s="97"/>
      <c r="CI109" s="101"/>
    </row>
    <row r="110" spans="1:87">
      <c r="B110" s="1689"/>
      <c r="C110" s="60"/>
      <c r="D110" s="60"/>
      <c r="E110" s="61"/>
      <c r="F110" s="62"/>
      <c r="G110" s="61"/>
      <c r="H110" s="61"/>
      <c r="I110" s="63"/>
      <c r="J110" s="123">
        <f t="shared" si="89"/>
        <v>0</v>
      </c>
      <c r="K110" s="104">
        <f t="shared" si="90"/>
        <v>0</v>
      </c>
      <c r="L110" s="1255"/>
      <c r="M110" s="1689"/>
      <c r="N110" s="1689"/>
      <c r="O110" s="1689"/>
      <c r="P110" s="1689"/>
      <c r="Q110" s="1255"/>
      <c r="R110" s="1689"/>
      <c r="S110" s="1689"/>
      <c r="T110" s="1689"/>
      <c r="U110" s="1243"/>
      <c r="V110" s="1228"/>
      <c r="W110" s="1228"/>
      <c r="X110" s="1228"/>
      <c r="BI110" s="367"/>
      <c r="BJ110" s="367"/>
      <c r="BK110" s="367"/>
      <c r="BL110" s="367"/>
      <c r="BM110" s="367"/>
      <c r="BN110" s="367"/>
      <c r="BO110" s="367"/>
      <c r="BP110" s="367"/>
      <c r="BQ110" s="367"/>
      <c r="BR110" s="367"/>
      <c r="BS110" s="367"/>
      <c r="BT110" s="367"/>
      <c r="BU110" s="367"/>
      <c r="BV110" s="367"/>
      <c r="BW110" s="367"/>
      <c r="BX110" s="367"/>
      <c r="BY110" s="97"/>
      <c r="BZ110" s="97"/>
      <c r="CA110" s="97"/>
      <c r="CB110" s="97"/>
      <c r="CC110" s="97"/>
      <c r="CD110" s="97"/>
      <c r="CE110" s="97"/>
      <c r="CF110" s="97"/>
      <c r="CG110" s="97"/>
      <c r="CH110" s="97"/>
      <c r="CI110" s="101"/>
    </row>
    <row r="111" spans="1:87">
      <c r="B111" s="1689"/>
      <c r="C111" s="60"/>
      <c r="D111" s="60"/>
      <c r="E111" s="61"/>
      <c r="F111" s="62"/>
      <c r="G111" s="61"/>
      <c r="H111" s="61"/>
      <c r="I111" s="63"/>
      <c r="J111" s="123">
        <f t="shared" si="89"/>
        <v>0</v>
      </c>
      <c r="K111" s="104">
        <f t="shared" si="90"/>
        <v>0</v>
      </c>
      <c r="L111" s="1255"/>
      <c r="M111" s="1689"/>
      <c r="N111" s="1689"/>
      <c r="O111" s="1689"/>
      <c r="P111" s="1689"/>
      <c r="Q111" s="1255"/>
      <c r="R111" s="1689"/>
      <c r="S111" s="1689"/>
      <c r="T111" s="1689"/>
      <c r="U111" s="1243"/>
      <c r="V111" s="1228"/>
      <c r="W111" s="1228"/>
      <c r="X111" s="1228"/>
      <c r="BI111" s="367"/>
      <c r="BJ111" s="367"/>
      <c r="BK111" s="367"/>
      <c r="BL111" s="367"/>
      <c r="BM111" s="367"/>
      <c r="BN111" s="367"/>
      <c r="BO111" s="367"/>
      <c r="BP111" s="367"/>
      <c r="BQ111" s="367"/>
      <c r="BR111" s="367"/>
      <c r="BS111" s="367"/>
      <c r="BT111" s="367"/>
      <c r="BU111" s="367"/>
      <c r="BV111" s="367"/>
      <c r="BW111" s="367"/>
      <c r="BX111" s="367"/>
      <c r="BY111" s="97"/>
      <c r="BZ111" s="97"/>
      <c r="CA111" s="97"/>
      <c r="CB111" s="97"/>
      <c r="CC111" s="97"/>
      <c r="CD111" s="97"/>
      <c r="CE111" s="97"/>
      <c r="CF111" s="97"/>
      <c r="CG111" s="97"/>
      <c r="CH111" s="97"/>
      <c r="CI111" s="101"/>
    </row>
    <row r="112" spans="1:87">
      <c r="B112" s="1689"/>
      <c r="C112" s="60"/>
      <c r="D112" s="60"/>
      <c r="E112" s="61"/>
      <c r="F112" s="62"/>
      <c r="G112" s="61"/>
      <c r="H112" s="61"/>
      <c r="I112" s="63"/>
      <c r="J112" s="123">
        <f t="shared" si="89"/>
        <v>0</v>
      </c>
      <c r="K112" s="104">
        <f t="shared" si="90"/>
        <v>0</v>
      </c>
      <c r="L112" s="1255"/>
      <c r="M112" s="1689"/>
      <c r="N112" s="1689"/>
      <c r="O112" s="1689"/>
      <c r="P112" s="1689"/>
      <c r="Q112" s="1255"/>
      <c r="R112" s="1689"/>
      <c r="S112" s="1689"/>
      <c r="T112" s="1689"/>
      <c r="U112" s="1243"/>
      <c r="V112" s="1228"/>
      <c r="W112" s="1228"/>
      <c r="X112" s="1228"/>
      <c r="AD112" s="98"/>
      <c r="AE112" s="98"/>
      <c r="AF112" s="98"/>
      <c r="AG112" s="98"/>
      <c r="AH112" s="98"/>
      <c r="AI112" s="98"/>
      <c r="AJ112" s="98"/>
      <c r="AK112" s="98"/>
      <c r="AL112" s="98"/>
      <c r="AM112" s="98"/>
      <c r="AN112" s="98"/>
      <c r="BI112" s="367"/>
      <c r="BJ112" s="367"/>
      <c r="BK112" s="367"/>
      <c r="BL112" s="367"/>
      <c r="BM112" s="367"/>
      <c r="BN112" s="367"/>
      <c r="BO112" s="367"/>
      <c r="BP112" s="367"/>
      <c r="BQ112" s="367"/>
      <c r="BR112" s="367"/>
      <c r="BS112" s="367"/>
      <c r="BT112" s="367"/>
      <c r="BU112" s="367"/>
      <c r="BV112" s="367"/>
      <c r="BW112" s="367"/>
      <c r="BX112" s="367"/>
      <c r="BY112" s="97"/>
      <c r="BZ112" s="97"/>
      <c r="CA112" s="97"/>
      <c r="CB112" s="97"/>
      <c r="CC112" s="97"/>
      <c r="CD112" s="97"/>
      <c r="CE112" s="97"/>
      <c r="CF112" s="97"/>
      <c r="CG112" s="97"/>
      <c r="CH112" s="97"/>
      <c r="CI112" s="101"/>
    </row>
    <row r="113" spans="2:88">
      <c r="B113" s="1689"/>
      <c r="C113" s="60"/>
      <c r="D113" s="60"/>
      <c r="E113" s="61"/>
      <c r="F113" s="62"/>
      <c r="G113" s="61"/>
      <c r="H113" s="61"/>
      <c r="I113" s="63"/>
      <c r="J113" s="123">
        <f t="shared" si="89"/>
        <v>0</v>
      </c>
      <c r="K113" s="104">
        <f t="shared" si="90"/>
        <v>0</v>
      </c>
      <c r="L113" s="1255"/>
      <c r="M113" s="1689"/>
      <c r="N113" s="1689"/>
      <c r="O113" s="1689"/>
      <c r="P113" s="1689"/>
      <c r="Q113" s="1255"/>
      <c r="R113" s="1689"/>
      <c r="S113" s="1689"/>
      <c r="T113" s="1689"/>
      <c r="U113" s="1243"/>
      <c r="V113" s="1228"/>
      <c r="W113" s="1228"/>
      <c r="X113" s="1228"/>
      <c r="BI113" s="367"/>
      <c r="BJ113" s="367"/>
      <c r="BK113" s="367"/>
      <c r="BL113" s="367"/>
      <c r="BM113" s="367"/>
      <c r="BN113" s="367"/>
      <c r="BO113" s="367"/>
      <c r="BP113" s="367"/>
      <c r="BQ113" s="367"/>
      <c r="BR113" s="367"/>
      <c r="BS113" s="367"/>
      <c r="BT113" s="367"/>
      <c r="BU113" s="367"/>
      <c r="BV113" s="367"/>
      <c r="BW113" s="367"/>
      <c r="BX113" s="367"/>
      <c r="BY113" s="97"/>
      <c r="BZ113" s="97"/>
      <c r="CA113" s="97"/>
      <c r="CB113" s="97"/>
      <c r="CC113" s="97"/>
      <c r="CD113" s="97"/>
      <c r="CE113" s="97"/>
      <c r="CF113" s="97"/>
      <c r="CG113" s="97"/>
      <c r="CH113" s="97"/>
      <c r="CI113" s="101"/>
    </row>
    <row r="114" spans="2:88">
      <c r="B114" s="1689"/>
      <c r="C114" s="1689"/>
      <c r="D114" s="1689"/>
      <c r="E114" s="1689"/>
      <c r="F114" s="1253">
        <f>SUMPRODUCT(G104:G113,H104:H113)</f>
        <v>0</v>
      </c>
      <c r="G114" s="1689"/>
      <c r="H114" s="1253">
        <f>SUM(H104:H113)</f>
        <v>0</v>
      </c>
      <c r="I114" s="1689"/>
      <c r="J114" s="1689"/>
      <c r="K114" s="1689"/>
      <c r="L114" s="1689"/>
      <c r="M114" s="1689"/>
      <c r="N114" s="1689"/>
      <c r="O114" s="1689"/>
      <c r="P114" s="1689"/>
      <c r="Q114" s="1689"/>
      <c r="R114" s="1689"/>
      <c r="S114" s="1689"/>
      <c r="T114" s="1689"/>
      <c r="U114" s="1228"/>
      <c r="V114" s="1228"/>
      <c r="W114" s="1228"/>
      <c r="X114" s="1228"/>
      <c r="BI114" s="367"/>
      <c r="BJ114" s="367"/>
      <c r="BK114" s="367"/>
      <c r="BL114" s="367"/>
      <c r="BM114" s="367"/>
      <c r="BN114" s="367"/>
      <c r="BO114" s="367"/>
      <c r="BP114" s="367"/>
      <c r="BQ114" s="367"/>
      <c r="BR114" s="367"/>
      <c r="BS114" s="367"/>
      <c r="BT114" s="367"/>
      <c r="BU114" s="367"/>
      <c r="BV114" s="367"/>
      <c r="BW114" s="367"/>
      <c r="BX114" s="367"/>
      <c r="BY114" s="97"/>
      <c r="BZ114" s="97"/>
      <c r="CA114" s="97"/>
      <c r="CB114" s="97"/>
      <c r="CC114" s="97"/>
      <c r="CD114" s="97"/>
      <c r="CE114" s="97"/>
      <c r="CF114" s="97"/>
      <c r="CG114" s="97"/>
      <c r="CH114" s="101"/>
    </row>
    <row r="115" spans="2:88">
      <c r="B115" s="1689"/>
      <c r="C115" s="1689"/>
      <c r="D115" s="1689"/>
      <c r="E115" s="1689"/>
      <c r="F115" s="1689"/>
      <c r="G115" s="1689"/>
      <c r="H115" s="1689"/>
      <c r="I115" s="1689"/>
      <c r="J115" s="1689"/>
      <c r="K115" s="1689"/>
      <c r="L115" s="1689"/>
      <c r="M115" s="1689"/>
      <c r="N115" s="1689"/>
      <c r="O115" s="1689"/>
      <c r="P115" s="1689"/>
      <c r="Q115" s="1689"/>
      <c r="R115" s="1689"/>
      <c r="S115" s="1689"/>
      <c r="T115" s="1689"/>
      <c r="U115" s="1228"/>
      <c r="V115" s="1228"/>
      <c r="W115" s="1228"/>
      <c r="X115" s="1228"/>
      <c r="BI115" s="367"/>
      <c r="BJ115" s="367"/>
      <c r="BK115" s="367"/>
      <c r="BL115" s="367"/>
      <c r="BM115" s="367"/>
      <c r="BN115" s="367"/>
      <c r="BO115" s="367"/>
      <c r="BP115" s="367"/>
      <c r="BQ115" s="367"/>
      <c r="BR115" s="367"/>
      <c r="BS115" s="367"/>
      <c r="BT115" s="367"/>
      <c r="BU115" s="367"/>
      <c r="BV115" s="367"/>
      <c r="BW115" s="367"/>
      <c r="BX115" s="367"/>
      <c r="BY115" s="97"/>
      <c r="BZ115" s="97"/>
      <c r="CA115" s="97"/>
      <c r="CB115" s="97"/>
      <c r="CC115" s="97"/>
      <c r="CD115" s="97"/>
      <c r="CE115" s="97"/>
      <c r="CF115" s="97"/>
      <c r="CG115" s="97"/>
      <c r="CH115" s="101"/>
    </row>
    <row r="116" spans="2:88" ht="19">
      <c r="B116" s="8" t="s">
        <v>3823</v>
      </c>
      <c r="C116" s="34"/>
      <c r="W116" s="576"/>
      <c r="X116" s="540"/>
      <c r="BI116" s="367"/>
      <c r="BJ116" s="367"/>
      <c r="BK116" s="367"/>
      <c r="BL116" s="367"/>
      <c r="BM116" s="367"/>
      <c r="BN116" s="367"/>
      <c r="BO116" s="367"/>
      <c r="BP116" s="367"/>
      <c r="BQ116" s="367"/>
      <c r="BR116" s="367"/>
      <c r="BS116" s="367"/>
      <c r="BT116" s="367"/>
      <c r="BU116" s="367"/>
      <c r="BV116" s="367"/>
      <c r="BW116" s="367"/>
      <c r="BX116" s="367"/>
      <c r="BY116" s="97"/>
      <c r="BZ116" s="97"/>
      <c r="CA116" s="97"/>
      <c r="CB116" s="97"/>
      <c r="CC116" s="97"/>
      <c r="CD116" s="97"/>
      <c r="CE116" s="97"/>
      <c r="CF116" s="97"/>
      <c r="CG116" s="97"/>
      <c r="CH116" s="101"/>
    </row>
    <row r="117" spans="2:88">
      <c r="B117" s="1689"/>
      <c r="C117" s="1256"/>
      <c r="D117" s="1689"/>
      <c r="E117" s="1689"/>
      <c r="F117" s="1689"/>
      <c r="G117" s="1689"/>
      <c r="H117" s="1689"/>
      <c r="I117" s="1689"/>
      <c r="J117" s="1689"/>
      <c r="K117" s="1689"/>
      <c r="L117" s="1689"/>
      <c r="M117" s="1689"/>
      <c r="N117" s="1689"/>
      <c r="O117" s="1689"/>
      <c r="P117" s="1689"/>
      <c r="Q117" s="1689"/>
      <c r="R117" s="1689"/>
      <c r="S117" s="1689"/>
      <c r="T117" s="1689"/>
      <c r="U117" s="1228"/>
      <c r="V117" s="1228"/>
      <c r="W117" s="1257"/>
      <c r="X117" s="1228"/>
      <c r="Y117" s="366"/>
      <c r="Z117" s="98"/>
      <c r="AA117" s="98"/>
      <c r="AB117" s="98"/>
      <c r="AC117" s="98"/>
      <c r="BI117" s="367"/>
      <c r="BJ117" s="367"/>
      <c r="BK117" s="367"/>
      <c r="BL117" s="367"/>
      <c r="BM117" s="367"/>
      <c r="BN117" s="367"/>
      <c r="BO117" s="367"/>
      <c r="BP117" s="367"/>
      <c r="BQ117" s="367"/>
      <c r="BR117" s="367"/>
      <c r="BS117" s="367"/>
      <c r="BT117" s="367"/>
      <c r="BU117" s="367"/>
      <c r="BV117" s="367"/>
      <c r="BW117" s="367"/>
      <c r="BX117" s="367"/>
      <c r="BY117" s="97"/>
      <c r="BZ117" s="97"/>
      <c r="CA117" s="97"/>
      <c r="CB117" s="97"/>
      <c r="CC117" s="97"/>
      <c r="CD117" s="97"/>
      <c r="CE117" s="97"/>
      <c r="CF117" s="97"/>
      <c r="CG117" s="97"/>
      <c r="CH117" s="101"/>
    </row>
    <row r="118" spans="2:88" ht="16">
      <c r="B118" s="1689"/>
      <c r="C118" s="1688" t="s">
        <v>258</v>
      </c>
      <c r="D118" s="1689"/>
      <c r="E118" s="1689"/>
      <c r="F118" s="1258" t="s">
        <v>3239</v>
      </c>
      <c r="G118" s="1258" t="s">
        <v>3824</v>
      </c>
      <c r="H118" s="2133" t="s">
        <v>3825</v>
      </c>
      <c r="I118" s="2133"/>
      <c r="J118" s="1259"/>
      <c r="K118" s="1258"/>
      <c r="L118" s="1258"/>
      <c r="M118" s="1258"/>
      <c r="N118" s="1258"/>
      <c r="O118" s="1258"/>
      <c r="P118" s="1258"/>
      <c r="Q118" s="1258"/>
      <c r="R118" s="1258"/>
      <c r="S118" s="1689"/>
      <c r="T118" s="1689"/>
      <c r="U118" s="1228"/>
      <c r="V118" s="1228"/>
      <c r="W118" s="1228"/>
      <c r="X118" s="1228"/>
      <c r="Y118" s="366"/>
      <c r="BI118" s="367"/>
      <c r="BJ118" s="367"/>
      <c r="BK118" s="367"/>
      <c r="BL118" s="367"/>
      <c r="BM118" s="367"/>
      <c r="BN118" s="367"/>
      <c r="BO118" s="367"/>
      <c r="BP118" s="367"/>
      <c r="BQ118" s="367"/>
      <c r="BR118" s="367"/>
      <c r="BS118" s="367"/>
      <c r="BT118" s="367"/>
      <c r="BU118" s="367"/>
      <c r="BV118" s="367"/>
      <c r="BW118" s="367"/>
      <c r="BX118" s="367"/>
      <c r="BY118" s="97"/>
      <c r="BZ118" s="97"/>
      <c r="CA118" s="97"/>
      <c r="CB118" s="97"/>
      <c r="CC118" s="97"/>
      <c r="CD118" s="97"/>
      <c r="CE118" s="97"/>
      <c r="CF118" s="97"/>
      <c r="CG118" s="97"/>
      <c r="CH118" s="97"/>
      <c r="CI118" s="97"/>
      <c r="CJ118" s="101"/>
    </row>
    <row r="119" spans="2:88">
      <c r="B119" s="1689"/>
      <c r="C119" s="1689"/>
      <c r="D119" s="1689"/>
      <c r="E119" s="1692" t="s">
        <v>3826</v>
      </c>
      <c r="F119" s="116">
        <f>AE66</f>
        <v>0</v>
      </c>
      <c r="G119" s="575" t="str">
        <f t="shared" ref="G119:G126" si="91">IFERROR(F119/Total_Units,"N/A")</f>
        <v>N/A</v>
      </c>
      <c r="H119" s="2131">
        <f>AL66</f>
        <v>0</v>
      </c>
      <c r="I119" s="2132"/>
      <c r="J119" s="1231"/>
      <c r="K119" s="1231"/>
      <c r="L119" s="1231"/>
      <c r="M119" s="1231"/>
      <c r="N119" s="1231"/>
      <c r="O119" s="1231"/>
      <c r="P119" s="1231"/>
      <c r="Q119" s="1231"/>
      <c r="R119" s="1231"/>
      <c r="S119" s="1231"/>
      <c r="T119" s="1231"/>
      <c r="U119" s="1228"/>
      <c r="V119" s="1228"/>
      <c r="W119" s="1228"/>
      <c r="X119" s="1228"/>
      <c r="Y119" s="366"/>
      <c r="BI119" s="367"/>
      <c r="BJ119" s="367"/>
      <c r="BK119" s="367"/>
      <c r="BL119" s="367"/>
      <c r="BM119" s="367"/>
      <c r="BN119" s="367"/>
      <c r="BO119" s="367"/>
      <c r="BP119" s="367"/>
      <c r="BQ119" s="367"/>
      <c r="BR119" s="367"/>
      <c r="BS119" s="367"/>
      <c r="BT119" s="367"/>
      <c r="BU119" s="367"/>
      <c r="BV119" s="367"/>
      <c r="BW119" s="367"/>
      <c r="BX119" s="367"/>
      <c r="BY119" s="97"/>
      <c r="BZ119" s="97"/>
      <c r="CA119" s="97"/>
      <c r="CB119" s="97"/>
      <c r="CC119" s="97"/>
      <c r="CD119" s="97"/>
      <c r="CE119" s="97"/>
      <c r="CF119" s="97"/>
      <c r="CG119" s="97"/>
      <c r="CH119" s="97"/>
      <c r="CI119" s="101"/>
    </row>
    <row r="120" spans="2:88">
      <c r="B120" s="1689"/>
      <c r="C120" s="1689"/>
      <c r="D120" s="1689"/>
      <c r="E120" s="1692" t="s">
        <v>3827</v>
      </c>
      <c r="F120" s="116">
        <f>AF66</f>
        <v>0</v>
      </c>
      <c r="G120" s="575" t="str">
        <f t="shared" si="91"/>
        <v>N/A</v>
      </c>
      <c r="H120" s="2131">
        <f>AM66</f>
        <v>0</v>
      </c>
      <c r="I120" s="2132"/>
      <c r="J120" s="1231"/>
      <c r="K120" s="1231"/>
      <c r="L120" s="1231"/>
      <c r="M120" s="1231"/>
      <c r="N120" s="1231"/>
      <c r="O120" s="1231"/>
      <c r="P120" s="1231"/>
      <c r="Q120" s="1231"/>
      <c r="R120" s="1231"/>
      <c r="S120" s="1231"/>
      <c r="T120" s="1231"/>
      <c r="U120" s="1228"/>
      <c r="V120" s="1228"/>
      <c r="W120" s="1228"/>
      <c r="X120" s="1228"/>
      <c r="Y120" s="366"/>
      <c r="BI120" s="367"/>
      <c r="BJ120" s="367"/>
      <c r="BK120" s="367"/>
      <c r="BL120" s="367"/>
      <c r="BM120" s="367"/>
      <c r="BN120" s="367"/>
      <c r="BO120" s="367"/>
      <c r="BP120" s="367"/>
      <c r="BQ120" s="367"/>
      <c r="BR120" s="367"/>
      <c r="BS120" s="367"/>
      <c r="BT120" s="367"/>
      <c r="BU120" s="367"/>
      <c r="BV120" s="367"/>
      <c r="BW120" s="367"/>
      <c r="BX120" s="367"/>
      <c r="BY120" s="97"/>
      <c r="BZ120" s="97"/>
      <c r="CA120" s="97"/>
      <c r="CB120" s="97"/>
      <c r="CC120" s="97"/>
      <c r="CD120" s="97"/>
      <c r="CE120" s="97"/>
      <c r="CF120" s="97"/>
      <c r="CG120" s="97"/>
      <c r="CH120" s="97"/>
      <c r="CI120" s="101"/>
    </row>
    <row r="121" spans="2:88">
      <c r="B121" s="1689"/>
      <c r="C121" s="1689"/>
      <c r="D121" s="1689"/>
      <c r="E121" s="1692" t="s">
        <v>3828</v>
      </c>
      <c r="F121" s="116">
        <f>AG66</f>
        <v>0</v>
      </c>
      <c r="G121" s="575" t="str">
        <f t="shared" si="91"/>
        <v>N/A</v>
      </c>
      <c r="H121" s="2131">
        <f>AN66</f>
        <v>0</v>
      </c>
      <c r="I121" s="2132"/>
      <c r="J121" s="1231"/>
      <c r="K121" s="1231"/>
      <c r="L121" s="1231"/>
      <c r="M121" s="1231"/>
      <c r="N121" s="1231"/>
      <c r="O121" s="1231"/>
      <c r="P121" s="1231"/>
      <c r="Q121" s="1231"/>
      <c r="R121" s="1231"/>
      <c r="S121" s="1231"/>
      <c r="T121" s="1231"/>
      <c r="U121" s="1228"/>
      <c r="V121" s="1228"/>
      <c r="W121" s="1228"/>
      <c r="X121" s="1228"/>
      <c r="Y121" s="366"/>
      <c r="BI121" s="367"/>
      <c r="BJ121" s="367"/>
      <c r="BK121" s="367"/>
      <c r="BL121" s="367"/>
      <c r="BM121" s="367"/>
      <c r="BN121" s="367"/>
      <c r="BO121" s="367"/>
      <c r="BP121" s="367"/>
      <c r="BQ121" s="367"/>
      <c r="BR121" s="367"/>
      <c r="BS121" s="367"/>
      <c r="BT121" s="367"/>
      <c r="BU121" s="367"/>
      <c r="BV121" s="367"/>
      <c r="BW121" s="367"/>
      <c r="BX121" s="367"/>
      <c r="BY121" s="97"/>
      <c r="BZ121" s="97"/>
      <c r="CA121" s="97"/>
      <c r="CB121" s="97"/>
      <c r="CC121" s="97"/>
      <c r="CD121" s="97"/>
      <c r="CE121" s="97"/>
      <c r="CF121" s="97"/>
      <c r="CG121" s="97"/>
      <c r="CH121" s="97"/>
      <c r="CI121" s="101"/>
    </row>
    <row r="122" spans="2:88">
      <c r="B122" s="1689"/>
      <c r="C122" s="1689"/>
      <c r="D122" s="1689"/>
      <c r="E122" s="1692" t="s">
        <v>3829</v>
      </c>
      <c r="F122" s="116">
        <f>AH66</f>
        <v>0</v>
      </c>
      <c r="G122" s="575" t="str">
        <f t="shared" si="91"/>
        <v>N/A</v>
      </c>
      <c r="H122" s="2131">
        <f>AO66</f>
        <v>0</v>
      </c>
      <c r="I122" s="2132"/>
      <c r="J122" s="1231"/>
      <c r="K122" s="1231"/>
      <c r="L122" s="1231"/>
      <c r="M122" s="1231"/>
      <c r="N122" s="1231"/>
      <c r="O122" s="1231"/>
      <c r="P122" s="1231"/>
      <c r="Q122" s="1231"/>
      <c r="R122" s="1231"/>
      <c r="S122" s="1231"/>
      <c r="T122" s="1231"/>
      <c r="U122" s="1228"/>
      <c r="V122" s="1228"/>
      <c r="W122" s="1228"/>
      <c r="X122" s="1228"/>
      <c r="BI122" s="367"/>
      <c r="BJ122" s="367"/>
      <c r="BK122" s="367"/>
      <c r="BL122" s="367"/>
      <c r="BM122" s="367"/>
      <c r="BN122" s="367"/>
      <c r="BO122" s="367"/>
      <c r="BP122" s="367"/>
      <c r="BQ122" s="367"/>
      <c r="BR122" s="367"/>
      <c r="BS122" s="367"/>
      <c r="BT122" s="367"/>
      <c r="BU122" s="367"/>
      <c r="BV122" s="367"/>
      <c r="BW122" s="367"/>
      <c r="BX122" s="367"/>
      <c r="BY122" s="97"/>
      <c r="BZ122" s="97"/>
      <c r="CA122" s="97"/>
      <c r="CB122" s="97"/>
      <c r="CC122" s="97"/>
      <c r="CD122" s="97"/>
      <c r="CE122" s="97"/>
      <c r="CF122" s="97"/>
      <c r="CG122" s="97"/>
      <c r="CH122" s="97"/>
      <c r="CI122" s="101"/>
    </row>
    <row r="123" spans="2:88">
      <c r="B123" s="1689"/>
      <c r="C123" s="1689"/>
      <c r="D123" s="1689"/>
      <c r="E123" s="1692" t="s">
        <v>3830</v>
      </c>
      <c r="F123" s="116">
        <f>AI66</f>
        <v>0</v>
      </c>
      <c r="G123" s="575" t="str">
        <f t="shared" si="91"/>
        <v>N/A</v>
      </c>
      <c r="H123" s="2131">
        <f>AP66</f>
        <v>0</v>
      </c>
      <c r="I123" s="2132"/>
      <c r="J123" s="1231"/>
      <c r="K123" s="1231"/>
      <c r="L123" s="1231"/>
      <c r="M123" s="1231"/>
      <c r="N123" s="1231"/>
      <c r="O123" s="1231"/>
      <c r="P123" s="1231"/>
      <c r="Q123" s="1231"/>
      <c r="R123" s="1231"/>
      <c r="S123" s="1231"/>
      <c r="T123" s="1231"/>
      <c r="U123" s="1228"/>
      <c r="V123" s="1228"/>
      <c r="W123" s="1228"/>
      <c r="X123" s="1228"/>
      <c r="AC123" s="98"/>
      <c r="AD123" s="98"/>
      <c r="AE123" s="98"/>
      <c r="AF123" s="98"/>
      <c r="BI123" s="367"/>
      <c r="BJ123" s="367"/>
      <c r="BK123" s="367"/>
      <c r="BL123" s="367"/>
      <c r="BM123" s="367"/>
      <c r="BN123" s="367"/>
      <c r="BO123" s="367"/>
      <c r="BP123" s="367"/>
      <c r="BQ123" s="367"/>
      <c r="BR123" s="367"/>
      <c r="BS123" s="367"/>
      <c r="BT123" s="367"/>
      <c r="BU123" s="367"/>
      <c r="BV123" s="367"/>
      <c r="BW123" s="367"/>
      <c r="BX123" s="367"/>
      <c r="BY123" s="97"/>
      <c r="BZ123" s="97"/>
      <c r="CA123" s="97"/>
      <c r="CB123" s="97"/>
      <c r="CC123" s="97"/>
      <c r="CD123" s="97"/>
      <c r="CE123" s="97"/>
      <c r="CF123" s="97"/>
      <c r="CG123" s="97"/>
      <c r="CH123" s="97"/>
      <c r="CI123" s="101"/>
    </row>
    <row r="124" spans="2:88">
      <c r="B124" s="1689"/>
      <c r="C124" s="1689"/>
      <c r="D124" s="1689"/>
      <c r="E124" s="1692" t="s">
        <v>3831</v>
      </c>
      <c r="F124" s="116">
        <f>AJ66</f>
        <v>0</v>
      </c>
      <c r="G124" s="575" t="str">
        <f t="shared" si="91"/>
        <v>N/A</v>
      </c>
      <c r="H124" s="2131">
        <f>AQ66</f>
        <v>0</v>
      </c>
      <c r="I124" s="2132"/>
      <c r="J124" s="1231"/>
      <c r="K124" s="1231"/>
      <c r="L124" s="1231"/>
      <c r="M124" s="1231"/>
      <c r="N124" s="1231"/>
      <c r="O124" s="1231"/>
      <c r="P124" s="1231"/>
      <c r="Q124" s="1231"/>
      <c r="R124" s="1231"/>
      <c r="S124" s="1231"/>
      <c r="T124" s="1231"/>
      <c r="U124" s="1228"/>
      <c r="V124" s="1228"/>
      <c r="W124" s="1228"/>
      <c r="X124" s="1228"/>
      <c r="BI124" s="367"/>
      <c r="BJ124" s="367"/>
      <c r="BK124" s="367"/>
      <c r="BL124" s="367"/>
      <c r="BM124" s="367"/>
      <c r="BN124" s="367"/>
      <c r="BO124" s="367"/>
      <c r="BP124" s="367"/>
      <c r="BQ124" s="367"/>
      <c r="BR124" s="367"/>
      <c r="BS124" s="367"/>
      <c r="BT124" s="367"/>
      <c r="BU124" s="367"/>
      <c r="BV124" s="367"/>
      <c r="BW124" s="367"/>
      <c r="BX124" s="367"/>
      <c r="BY124" s="97"/>
      <c r="BZ124" s="97"/>
      <c r="CA124" s="97"/>
      <c r="CB124" s="97"/>
      <c r="CC124" s="97"/>
      <c r="CD124" s="97"/>
      <c r="CE124" s="97"/>
      <c r="CF124" s="97"/>
      <c r="CG124" s="97"/>
      <c r="CH124" s="97"/>
      <c r="CI124" s="101"/>
    </row>
    <row r="125" spans="2:88">
      <c r="B125" s="1689"/>
      <c r="C125" s="1689"/>
      <c r="D125" s="1689"/>
      <c r="E125" s="1692" t="s">
        <v>3832</v>
      </c>
      <c r="F125" s="116">
        <f>AK66</f>
        <v>0</v>
      </c>
      <c r="G125" s="575" t="str">
        <f t="shared" si="91"/>
        <v>N/A</v>
      </c>
      <c r="H125" s="2120">
        <f>AR66</f>
        <v>0</v>
      </c>
      <c r="I125" s="2121"/>
      <c r="J125" s="1231"/>
      <c r="K125" s="1231"/>
      <c r="L125" s="1231"/>
      <c r="M125" s="1231"/>
      <c r="N125" s="1231"/>
      <c r="O125" s="1231"/>
      <c r="P125" s="1231"/>
      <c r="Q125" s="1231"/>
      <c r="R125" s="1231"/>
      <c r="S125" s="1231"/>
      <c r="T125" s="1231"/>
      <c r="U125" s="1228"/>
      <c r="V125" s="1228"/>
      <c r="W125" s="1228"/>
      <c r="X125" s="1228"/>
      <c r="BI125" s="367"/>
      <c r="BJ125" s="367"/>
      <c r="BK125" s="367"/>
      <c r="BL125" s="367"/>
      <c r="BM125" s="367"/>
      <c r="BN125" s="367"/>
      <c r="BO125" s="367"/>
      <c r="BP125" s="367"/>
      <c r="BQ125" s="367"/>
      <c r="BR125" s="367"/>
      <c r="BS125" s="367"/>
      <c r="BT125" s="367"/>
      <c r="BU125" s="367"/>
      <c r="BV125" s="367"/>
      <c r="BW125" s="367"/>
      <c r="BX125" s="367"/>
      <c r="BY125" s="97"/>
      <c r="BZ125" s="97"/>
      <c r="CA125" s="97"/>
      <c r="CB125" s="97"/>
      <c r="CC125" s="97"/>
      <c r="CD125" s="97"/>
      <c r="CE125" s="97"/>
      <c r="CF125" s="97"/>
      <c r="CG125" s="97"/>
      <c r="CH125" s="97"/>
      <c r="CI125" s="101"/>
    </row>
    <row r="126" spans="2:88">
      <c r="B126" s="1689"/>
      <c r="C126" s="1690"/>
      <c r="D126" s="1689"/>
      <c r="E126" s="1690" t="s">
        <v>3833</v>
      </c>
      <c r="F126" s="116">
        <f>SUM(F119:F125)</f>
        <v>0</v>
      </c>
      <c r="G126" s="575" t="str">
        <f t="shared" si="91"/>
        <v>N/A</v>
      </c>
      <c r="H126" s="2120">
        <f>ROUND(SUM(H119:I125), 0)</f>
        <v>0</v>
      </c>
      <c r="I126" s="2120"/>
      <c r="J126" s="1231"/>
      <c r="K126" s="1231"/>
      <c r="L126" s="1231"/>
      <c r="M126" s="1231"/>
      <c r="N126" s="1689"/>
      <c r="O126" s="1689"/>
      <c r="P126" s="1689"/>
      <c r="Q126" s="1689"/>
      <c r="R126" s="1231"/>
      <c r="S126" s="1231"/>
      <c r="T126" s="1231"/>
      <c r="U126" s="1228"/>
      <c r="V126" s="1228"/>
      <c r="W126" s="1228"/>
      <c r="X126" s="1228"/>
      <c r="BI126" s="367"/>
      <c r="BJ126" s="367"/>
      <c r="BK126" s="367"/>
      <c r="BL126" s="367"/>
      <c r="BM126" s="367"/>
      <c r="BN126" s="367"/>
      <c r="BO126" s="367"/>
      <c r="BP126" s="367"/>
      <c r="BQ126" s="367"/>
      <c r="BR126" s="367"/>
      <c r="BS126" s="367"/>
      <c r="BT126" s="367"/>
      <c r="BU126" s="367"/>
      <c r="BV126" s="367"/>
      <c r="BW126" s="367"/>
      <c r="BX126" s="367"/>
      <c r="BY126" s="97"/>
      <c r="BZ126" s="97"/>
      <c r="CA126" s="97"/>
      <c r="CB126" s="97"/>
      <c r="CC126" s="97"/>
      <c r="CD126" s="97"/>
      <c r="CE126" s="97"/>
      <c r="CF126" s="97"/>
      <c r="CG126" s="97"/>
      <c r="CH126" s="97"/>
      <c r="CI126" s="101"/>
    </row>
    <row r="127" spans="2:88">
      <c r="B127" s="1689"/>
      <c r="C127" s="1690"/>
      <c r="D127" s="1689"/>
      <c r="E127" s="1690" t="s">
        <v>3834</v>
      </c>
      <c r="F127" s="1689"/>
      <c r="G127" s="1260"/>
      <c r="H127" s="1689"/>
      <c r="I127" s="1689"/>
      <c r="J127" s="1231"/>
      <c r="K127" s="1231"/>
      <c r="L127" s="1231"/>
      <c r="M127" s="1231"/>
      <c r="N127" s="1689"/>
      <c r="O127" s="1689"/>
      <c r="P127" s="1689"/>
      <c r="Q127" s="1689"/>
      <c r="R127" s="1231"/>
      <c r="S127" s="1231"/>
      <c r="T127" s="1231"/>
      <c r="U127" s="1228"/>
      <c r="V127" s="1228"/>
      <c r="W127" s="1228"/>
      <c r="X127" s="1228"/>
      <c r="BI127" s="367"/>
      <c r="BJ127" s="367"/>
      <c r="BK127" s="367"/>
      <c r="BL127" s="367"/>
      <c r="BM127" s="367"/>
      <c r="BN127" s="367"/>
      <c r="BO127" s="367"/>
      <c r="BP127" s="367"/>
      <c r="BQ127" s="367"/>
      <c r="BR127" s="367"/>
      <c r="BS127" s="367"/>
      <c r="BT127" s="367"/>
      <c r="BU127" s="367"/>
      <c r="BV127" s="367"/>
      <c r="BW127" s="367"/>
      <c r="BX127" s="367"/>
      <c r="BY127" s="97"/>
      <c r="BZ127" s="97"/>
      <c r="CA127" s="97"/>
      <c r="CB127" s="97"/>
      <c r="CC127" s="97"/>
      <c r="CD127" s="97"/>
      <c r="CE127" s="97"/>
      <c r="CF127" s="97"/>
      <c r="CG127" s="97"/>
      <c r="CH127" s="97"/>
      <c r="CI127" s="101"/>
    </row>
    <row r="128" spans="2:88">
      <c r="B128" s="1689"/>
      <c r="C128" s="1689"/>
      <c r="D128" s="1689"/>
      <c r="E128" s="1692" t="s">
        <v>3835</v>
      </c>
      <c r="F128" s="116">
        <f>SUM(G96:G98)</f>
        <v>0</v>
      </c>
      <c r="G128" s="575" t="str">
        <f>IFERROR(F128/Total_Units,"N/A")</f>
        <v>N/A</v>
      </c>
      <c r="H128" s="2135">
        <f>BA66</f>
        <v>0</v>
      </c>
      <c r="I128" s="2121"/>
      <c r="J128" s="1231"/>
      <c r="K128" s="1231"/>
      <c r="L128" s="1231"/>
      <c r="M128" s="1231"/>
      <c r="N128" s="1231"/>
      <c r="O128" s="1231"/>
      <c r="P128" s="1231"/>
      <c r="Q128" s="1231"/>
      <c r="R128" s="1231"/>
      <c r="S128" s="1231"/>
      <c r="T128" s="1231"/>
      <c r="U128" s="1228"/>
      <c r="V128" s="1228"/>
      <c r="W128" s="1228"/>
      <c r="X128" s="1228"/>
      <c r="BI128" s="367"/>
      <c r="BJ128" s="367"/>
      <c r="BK128" s="367"/>
      <c r="BL128" s="367"/>
      <c r="BM128" s="367"/>
      <c r="BN128" s="367"/>
      <c r="BO128" s="367"/>
      <c r="BP128" s="367"/>
      <c r="BQ128" s="367"/>
      <c r="BR128" s="367"/>
      <c r="BS128" s="367"/>
      <c r="BT128" s="367"/>
      <c r="BU128" s="367"/>
      <c r="BV128" s="367"/>
      <c r="BW128" s="367"/>
      <c r="BX128" s="367"/>
      <c r="BY128" s="97"/>
      <c r="BZ128" s="97"/>
      <c r="CA128" s="97"/>
      <c r="CB128" s="97"/>
      <c r="CC128" s="97"/>
      <c r="CD128" s="97"/>
      <c r="CE128" s="97"/>
      <c r="CF128" s="97"/>
      <c r="CG128" s="97"/>
      <c r="CH128" s="97"/>
      <c r="CI128" s="101"/>
    </row>
    <row r="129" spans="2:87">
      <c r="B129" s="1689"/>
      <c r="C129" s="1690"/>
      <c r="D129" s="1689"/>
      <c r="E129" s="1690" t="s">
        <v>3836</v>
      </c>
      <c r="F129" s="116">
        <f>SUM(H104:H113)</f>
        <v>0</v>
      </c>
      <c r="G129" s="575" t="str">
        <f>IFERROR(F129/Total_Units,"N/A")</f>
        <v>N/A</v>
      </c>
      <c r="H129" s="2135">
        <f>SUM(K104:K113)</f>
        <v>0</v>
      </c>
      <c r="I129" s="2121"/>
      <c r="J129" s="1231"/>
      <c r="K129" s="1231"/>
      <c r="L129" s="1231"/>
      <c r="M129" s="1231"/>
      <c r="N129" s="1231"/>
      <c r="O129" s="1231"/>
      <c r="P129" s="1231"/>
      <c r="Q129" s="1231"/>
      <c r="R129" s="1231"/>
      <c r="S129" s="1231"/>
      <c r="T129" s="1231"/>
      <c r="U129" s="1228"/>
      <c r="V129" s="1228"/>
      <c r="W129" s="1228"/>
      <c r="X129" s="1228"/>
      <c r="BI129" s="367"/>
      <c r="BJ129" s="367"/>
      <c r="BK129" s="367"/>
      <c r="BL129" s="367"/>
      <c r="BM129" s="367"/>
      <c r="BN129" s="367"/>
      <c r="BO129" s="367"/>
      <c r="BP129" s="367"/>
      <c r="BQ129" s="367"/>
      <c r="BR129" s="367"/>
      <c r="BS129" s="367"/>
      <c r="BT129" s="367"/>
      <c r="BU129" s="367"/>
      <c r="BV129" s="367"/>
      <c r="BW129" s="367"/>
      <c r="BX129" s="367"/>
      <c r="BY129" s="97"/>
      <c r="BZ129" s="97"/>
      <c r="CA129" s="97"/>
      <c r="CB129" s="97"/>
      <c r="CC129" s="97"/>
      <c r="CD129" s="97"/>
      <c r="CE129" s="97"/>
      <c r="CF129" s="97"/>
      <c r="CG129" s="97"/>
      <c r="CH129" s="97"/>
      <c r="CI129" s="101"/>
    </row>
    <row r="130" spans="2:87">
      <c r="B130" s="1689"/>
      <c r="C130" s="1689"/>
      <c r="D130" s="1689"/>
      <c r="E130" s="1690" t="s">
        <v>3837</v>
      </c>
      <c r="F130" s="116">
        <f>SUM(F126:F129)</f>
        <v>0</v>
      </c>
      <c r="G130" s="1689"/>
      <c r="H130" s="2135">
        <f>SUM(H126:I129)</f>
        <v>0</v>
      </c>
      <c r="I130" s="2121"/>
      <c r="J130" s="1231"/>
      <c r="K130" s="1231"/>
      <c r="L130" s="1231"/>
      <c r="M130" s="1231"/>
      <c r="N130" s="1231"/>
      <c r="O130" s="1231"/>
      <c r="P130" s="1231"/>
      <c r="Q130" s="1231"/>
      <c r="R130" s="1231"/>
      <c r="S130" s="1231"/>
      <c r="T130" s="1231"/>
      <c r="U130" s="1228"/>
      <c r="V130" s="1228"/>
      <c r="W130" s="1228"/>
      <c r="X130" s="1228"/>
      <c r="BI130" s="367"/>
      <c r="BJ130" s="367"/>
      <c r="BK130" s="367"/>
      <c r="BL130" s="367"/>
      <c r="BM130" s="367"/>
      <c r="BN130" s="367"/>
      <c r="BO130" s="367"/>
      <c r="BP130" s="367"/>
      <c r="BQ130" s="367"/>
      <c r="BR130" s="367"/>
      <c r="BS130" s="367"/>
      <c r="BT130" s="367"/>
      <c r="BU130" s="367"/>
      <c r="BV130" s="367"/>
      <c r="BW130" s="367"/>
      <c r="BX130" s="367"/>
      <c r="BY130" s="97"/>
      <c r="BZ130" s="97"/>
      <c r="CA130" s="97"/>
      <c r="CB130" s="97"/>
      <c r="CC130" s="97"/>
      <c r="CD130" s="97"/>
      <c r="CE130" s="97"/>
      <c r="CF130" s="97"/>
      <c r="CG130" s="97"/>
      <c r="CH130" s="97"/>
      <c r="CI130" s="101"/>
    </row>
    <row r="131" spans="2:87">
      <c r="B131" s="1689"/>
      <c r="C131" s="1689"/>
      <c r="D131" s="1689"/>
      <c r="E131" s="1689"/>
      <c r="F131" s="1689"/>
      <c r="G131" s="1689"/>
      <c r="H131" s="1689"/>
      <c r="I131" s="1689"/>
      <c r="J131" s="1689"/>
      <c r="K131" s="1689"/>
      <c r="L131" s="1689"/>
      <c r="M131" s="1689"/>
      <c r="N131" s="1689"/>
      <c r="O131" s="1689"/>
      <c r="P131" s="1689"/>
      <c r="Q131" s="1689"/>
      <c r="R131" s="1689"/>
      <c r="S131" s="1689"/>
      <c r="T131" s="1689"/>
      <c r="U131" s="1228"/>
      <c r="V131" s="1228"/>
      <c r="W131" s="1228"/>
      <c r="X131" s="1228"/>
      <c r="BI131" s="367"/>
      <c r="BJ131" s="367"/>
      <c r="BK131" s="367"/>
      <c r="BL131" s="367"/>
      <c r="BM131" s="367"/>
      <c r="BN131" s="367"/>
      <c r="BO131" s="367"/>
      <c r="BP131" s="367"/>
      <c r="BQ131" s="367"/>
      <c r="BR131" s="367"/>
      <c r="BS131" s="367"/>
      <c r="BT131" s="367"/>
      <c r="BU131" s="367"/>
      <c r="BV131" s="367"/>
      <c r="BW131" s="367"/>
      <c r="BX131" s="367"/>
      <c r="BY131" s="97"/>
      <c r="BZ131" s="97"/>
      <c r="CA131" s="97"/>
      <c r="CB131" s="97"/>
      <c r="CC131" s="97"/>
      <c r="CD131" s="97"/>
      <c r="CE131" s="97"/>
      <c r="CF131" s="97"/>
      <c r="CG131" s="97"/>
      <c r="CH131" s="101"/>
    </row>
    <row r="132" spans="2:87" ht="16">
      <c r="B132" s="1689"/>
      <c r="C132" s="1689"/>
      <c r="D132" s="1689"/>
      <c r="E132" s="1245" t="s">
        <v>3838</v>
      </c>
      <c r="F132" s="344"/>
      <c r="G132" s="1689"/>
      <c r="H132" s="1245"/>
      <c r="I132" s="1689"/>
      <c r="J132" s="1689"/>
      <c r="K132" s="1692" t="s">
        <v>3839</v>
      </c>
      <c r="L132" s="344"/>
      <c r="M132" s="1689"/>
      <c r="N132" s="1692"/>
      <c r="O132" s="1689"/>
      <c r="P132" s="1689"/>
      <c r="Q132" s="1689"/>
      <c r="R132" s="1689"/>
      <c r="S132" s="1689"/>
      <c r="T132" s="1689"/>
      <c r="U132" s="1228"/>
      <c r="V132" s="1228"/>
      <c r="W132" s="1228"/>
      <c r="X132" s="1228"/>
      <c r="BI132" s="367"/>
      <c r="BJ132" s="367"/>
      <c r="BK132" s="367"/>
      <c r="BL132" s="367"/>
      <c r="BM132" s="367"/>
      <c r="BN132" s="367"/>
      <c r="BO132" s="367"/>
      <c r="BP132" s="367"/>
      <c r="BQ132" s="367"/>
      <c r="BR132" s="367"/>
      <c r="BS132" s="367"/>
      <c r="BT132" s="367"/>
      <c r="BU132" s="367"/>
      <c r="BV132" s="367"/>
      <c r="BW132" s="367"/>
      <c r="BX132" s="367"/>
      <c r="BY132" s="97"/>
      <c r="BZ132" s="97"/>
      <c r="CA132" s="97"/>
      <c r="CB132" s="97"/>
      <c r="CC132" s="97"/>
      <c r="CD132" s="97"/>
      <c r="CE132" s="97"/>
      <c r="CF132" s="97"/>
      <c r="CG132" s="97"/>
      <c r="CH132" s="101"/>
    </row>
    <row r="133" spans="2:87">
      <c r="B133" s="1689"/>
      <c r="C133" s="1689"/>
      <c r="D133" s="1689"/>
      <c r="E133" s="1689"/>
      <c r="F133" s="1689"/>
      <c r="G133" s="1689"/>
      <c r="H133" s="1689"/>
      <c r="I133" s="1689"/>
      <c r="J133" s="1689"/>
      <c r="K133" s="1689"/>
      <c r="L133" s="1689"/>
      <c r="M133" s="1689"/>
      <c r="N133" s="1689"/>
      <c r="O133" s="1689"/>
      <c r="P133" s="1689"/>
      <c r="Q133" s="1689"/>
      <c r="R133" s="1689"/>
      <c r="S133" s="1689"/>
      <c r="T133" s="1689"/>
      <c r="U133" s="1228"/>
      <c r="V133" s="1228"/>
      <c r="W133" s="1228"/>
      <c r="X133" s="1228"/>
      <c r="BI133" s="367"/>
      <c r="BJ133" s="367"/>
      <c r="BK133" s="367"/>
      <c r="BL133" s="367"/>
      <c r="BM133" s="367"/>
      <c r="BN133" s="367"/>
      <c r="BO133" s="367"/>
      <c r="BP133" s="367"/>
      <c r="BQ133" s="367"/>
      <c r="BR133" s="367"/>
      <c r="BS133" s="367"/>
      <c r="BT133" s="367"/>
      <c r="BU133" s="367"/>
      <c r="BV133" s="367"/>
      <c r="BW133" s="367"/>
      <c r="BX133" s="367"/>
      <c r="BY133" s="97"/>
      <c r="BZ133" s="97"/>
      <c r="CA133" s="97"/>
      <c r="CB133" s="97"/>
      <c r="CC133" s="97"/>
      <c r="CD133" s="97"/>
      <c r="CE133" s="97"/>
      <c r="CF133" s="97"/>
      <c r="CG133" s="97"/>
      <c r="CH133" s="101"/>
    </row>
    <row r="134" spans="2:87">
      <c r="B134" s="1689"/>
      <c r="C134" s="1688" t="s">
        <v>3840</v>
      </c>
      <c r="D134" s="1689"/>
      <c r="E134" s="1689"/>
      <c r="F134" s="1689"/>
      <c r="G134" s="1689"/>
      <c r="H134" s="1689"/>
      <c r="I134" s="1689"/>
      <c r="J134" s="1689"/>
      <c r="K134" s="1689"/>
      <c r="L134" s="1689"/>
      <c r="M134" s="1689"/>
      <c r="N134" s="1689"/>
      <c r="O134" s="1689"/>
      <c r="P134" s="1689"/>
      <c r="Q134" s="1689"/>
      <c r="R134" s="1689"/>
      <c r="S134" s="1689"/>
      <c r="T134" s="1689"/>
      <c r="U134" s="1228"/>
      <c r="V134" s="1228"/>
      <c r="W134" s="1228"/>
      <c r="X134" s="1228"/>
      <c r="BI134" s="367"/>
      <c r="BJ134" s="367"/>
      <c r="BK134" s="367"/>
      <c r="BL134" s="367"/>
      <c r="BM134" s="367"/>
      <c r="BN134" s="367"/>
      <c r="BO134" s="367"/>
      <c r="BP134" s="367"/>
      <c r="BQ134" s="367"/>
      <c r="BR134" s="367"/>
      <c r="BS134" s="367"/>
      <c r="BT134" s="367"/>
      <c r="BU134" s="367"/>
      <c r="BV134" s="367"/>
      <c r="BW134" s="367"/>
      <c r="BX134" s="367"/>
      <c r="BY134" s="97"/>
      <c r="BZ134" s="97"/>
      <c r="CA134" s="97"/>
      <c r="CB134" s="97"/>
      <c r="CC134" s="97"/>
      <c r="CD134" s="97"/>
      <c r="CE134" s="97"/>
      <c r="CF134" s="97"/>
      <c r="CG134" s="97"/>
      <c r="CH134" s="101"/>
    </row>
    <row r="135" spans="2:87" ht="16">
      <c r="B135" s="1689"/>
      <c r="C135" s="1689"/>
      <c r="D135" s="1689"/>
      <c r="E135" s="1689"/>
      <c r="F135" s="1245" t="s">
        <v>3841</v>
      </c>
      <c r="G135" s="119"/>
      <c r="H135" s="1689"/>
      <c r="I135" s="1689"/>
      <c r="J135" s="1692" t="s">
        <v>3842</v>
      </c>
      <c r="K135" s="38"/>
      <c r="L135" s="1689"/>
      <c r="M135" s="1689"/>
      <c r="N135" s="1689"/>
      <c r="O135" s="1689"/>
      <c r="P135" s="1689"/>
      <c r="Q135" s="1689"/>
      <c r="R135" s="1689"/>
      <c r="S135" s="1689"/>
      <c r="T135" s="1689"/>
      <c r="U135" s="1228"/>
      <c r="V135" s="1228"/>
      <c r="W135" s="1228"/>
      <c r="X135" s="1228"/>
      <c r="BI135" s="367"/>
      <c r="BJ135" s="367"/>
      <c r="BK135" s="367"/>
      <c r="BL135" s="367"/>
      <c r="BM135" s="367"/>
      <c r="BN135" s="367"/>
      <c r="BO135" s="367"/>
      <c r="BP135" s="367"/>
      <c r="BQ135" s="367"/>
      <c r="BR135" s="367"/>
      <c r="BS135" s="367"/>
      <c r="BT135" s="367"/>
      <c r="BU135" s="367"/>
      <c r="BV135" s="367"/>
      <c r="BW135" s="367"/>
      <c r="BX135" s="367"/>
      <c r="BY135" s="97"/>
      <c r="BZ135" s="97"/>
      <c r="CA135" s="97"/>
      <c r="CB135" s="97"/>
      <c r="CC135" s="97"/>
      <c r="CD135" s="97"/>
      <c r="CE135" s="97"/>
      <c r="CF135" s="97"/>
      <c r="CG135" s="97"/>
      <c r="CH135" s="101"/>
    </row>
    <row r="136" spans="2:87" ht="16">
      <c r="B136" s="1689"/>
      <c r="C136" s="1689"/>
      <c r="D136" s="1689"/>
      <c r="E136" s="1689"/>
      <c r="F136" s="1245" t="s">
        <v>3843</v>
      </c>
      <c r="G136" s="119"/>
      <c r="H136" s="1689"/>
      <c r="I136" s="1689"/>
      <c r="J136" s="1689"/>
      <c r="K136" s="1689"/>
      <c r="L136" s="1689"/>
      <c r="M136" s="1689"/>
      <c r="N136" s="1689"/>
      <c r="O136" s="1689"/>
      <c r="P136" s="1689"/>
      <c r="Q136" s="1689"/>
      <c r="R136" s="1689"/>
      <c r="S136" s="1689"/>
      <c r="T136" s="1689"/>
      <c r="U136" s="1228"/>
      <c r="V136" s="1228"/>
      <c r="W136" s="1228"/>
      <c r="X136" s="1228"/>
      <c r="BI136" s="367"/>
      <c r="BJ136" s="367"/>
      <c r="BK136" s="367"/>
      <c r="BL136" s="367"/>
      <c r="BM136" s="367"/>
      <c r="BN136" s="367"/>
      <c r="BO136" s="367"/>
      <c r="BP136" s="367"/>
      <c r="BQ136" s="367"/>
      <c r="BR136" s="367"/>
      <c r="BS136" s="367"/>
      <c r="BT136" s="367"/>
      <c r="BU136" s="367"/>
      <c r="BV136" s="367"/>
      <c r="BW136" s="367"/>
      <c r="BX136" s="367"/>
      <c r="BY136" s="97"/>
      <c r="BZ136" s="97"/>
      <c r="CA136" s="97"/>
      <c r="CB136" s="97"/>
      <c r="CC136" s="97"/>
      <c r="CD136" s="97"/>
      <c r="CE136" s="97"/>
      <c r="CF136" s="97"/>
      <c r="CG136" s="97"/>
      <c r="CH136" s="101"/>
    </row>
    <row r="137" spans="2:87" ht="16">
      <c r="B137" s="1689"/>
      <c r="C137" s="1689"/>
      <c r="D137" s="1689"/>
      <c r="E137" s="1689"/>
      <c r="F137" s="1245" t="s">
        <v>3844</v>
      </c>
      <c r="G137" s="119"/>
      <c r="H137" s="1689"/>
      <c r="I137" s="1689"/>
      <c r="J137" s="1689"/>
      <c r="K137" s="1689"/>
      <c r="L137" s="1689"/>
      <c r="M137" s="1689"/>
      <c r="N137" s="1689"/>
      <c r="O137" s="1689"/>
      <c r="P137" s="1689"/>
      <c r="Q137" s="1689"/>
      <c r="R137" s="1689"/>
      <c r="S137" s="1689"/>
      <c r="T137" s="1689"/>
      <c r="U137" s="1228"/>
      <c r="V137" s="1228"/>
      <c r="W137" s="1228"/>
      <c r="X137" s="1228"/>
      <c r="BI137" s="367"/>
      <c r="BJ137" s="367"/>
      <c r="BK137" s="367"/>
      <c r="BL137" s="367"/>
      <c r="BM137" s="367"/>
      <c r="BN137" s="367"/>
      <c r="BO137" s="367"/>
      <c r="BP137" s="367"/>
      <c r="BQ137" s="367"/>
      <c r="BR137" s="367"/>
      <c r="BS137" s="367"/>
      <c r="BT137" s="367"/>
      <c r="BU137" s="367"/>
      <c r="BV137" s="367"/>
      <c r="BW137" s="367"/>
      <c r="BX137" s="367"/>
      <c r="BY137" s="97"/>
      <c r="BZ137" s="97"/>
      <c r="CA137" s="97"/>
      <c r="CB137" s="97"/>
      <c r="CC137" s="97"/>
      <c r="CD137" s="97"/>
      <c r="CE137" s="97"/>
      <c r="CF137" s="97"/>
      <c r="CG137" s="97"/>
      <c r="CH137" s="101"/>
    </row>
    <row r="138" spans="2:87" ht="16">
      <c r="B138" s="1689"/>
      <c r="C138" s="1689"/>
      <c r="D138" s="1689"/>
      <c r="E138" s="1689"/>
      <c r="F138" s="1245" t="s">
        <v>3845</v>
      </c>
      <c r="G138" s="119"/>
      <c r="H138" s="1689"/>
      <c r="I138" s="1689"/>
      <c r="J138" s="1689"/>
      <c r="K138" s="1689"/>
      <c r="L138" s="1689"/>
      <c r="M138" s="1689"/>
      <c r="N138" s="1689"/>
      <c r="O138" s="1689"/>
      <c r="P138" s="1689"/>
      <c r="Q138" s="1689"/>
      <c r="R138" s="1689"/>
      <c r="S138" s="1689"/>
      <c r="T138" s="1689"/>
      <c r="U138" s="1228"/>
      <c r="V138" s="1228"/>
      <c r="W138" s="1228"/>
      <c r="X138" s="1228"/>
      <c r="BI138" s="367"/>
      <c r="BJ138" s="367"/>
      <c r="BK138" s="367"/>
      <c r="BL138" s="367"/>
      <c r="BM138" s="367"/>
      <c r="BN138" s="367"/>
      <c r="BO138" s="367"/>
      <c r="BP138" s="367"/>
      <c r="BQ138" s="367"/>
      <c r="BR138" s="367"/>
      <c r="BS138" s="367"/>
      <c r="BT138" s="367"/>
      <c r="BU138" s="367"/>
      <c r="BV138" s="367"/>
      <c r="BW138" s="367"/>
      <c r="BX138" s="367"/>
      <c r="BY138" s="97"/>
      <c r="BZ138" s="97"/>
      <c r="CA138" s="97"/>
      <c r="CB138" s="97"/>
      <c r="CC138" s="97"/>
      <c r="CD138" s="97"/>
      <c r="CE138" s="97"/>
      <c r="CF138" s="97"/>
      <c r="CG138" s="97"/>
      <c r="CH138" s="101"/>
    </row>
    <row r="139" spans="2:87">
      <c r="B139" s="1689"/>
      <c r="C139" s="1689"/>
      <c r="D139" s="1689"/>
      <c r="E139" s="1689"/>
      <c r="F139" s="1689"/>
      <c r="G139" s="1689"/>
      <c r="H139" s="1689"/>
      <c r="I139" s="1689"/>
      <c r="J139" s="1689"/>
      <c r="K139" s="1689"/>
      <c r="L139" s="1689"/>
      <c r="M139" s="1689"/>
      <c r="N139" s="1689"/>
      <c r="O139" s="1689"/>
      <c r="P139" s="1689"/>
      <c r="Q139" s="1689"/>
      <c r="R139" s="1689"/>
      <c r="S139" s="1689"/>
      <c r="T139" s="1689"/>
      <c r="U139" s="1228"/>
      <c r="V139" s="1228"/>
      <c r="W139" s="1228"/>
      <c r="X139" s="1228"/>
      <c r="BI139" s="367"/>
      <c r="BJ139" s="367"/>
      <c r="BK139" s="367"/>
      <c r="BL139" s="367"/>
      <c r="BM139" s="367"/>
      <c r="BN139" s="367"/>
      <c r="BO139" s="367"/>
      <c r="BP139" s="367"/>
      <c r="BQ139" s="367"/>
      <c r="BR139" s="367"/>
      <c r="BS139" s="367"/>
      <c r="BT139" s="367"/>
      <c r="BU139" s="367"/>
      <c r="BV139" s="367"/>
      <c r="BW139" s="367"/>
      <c r="BX139" s="367"/>
      <c r="BY139" s="97"/>
      <c r="BZ139" s="97"/>
      <c r="CA139" s="97"/>
      <c r="CB139" s="97"/>
      <c r="CC139" s="97"/>
      <c r="CD139" s="97"/>
      <c r="CE139" s="97"/>
      <c r="CF139" s="97"/>
      <c r="CG139" s="97"/>
      <c r="CH139" s="101"/>
    </row>
    <row r="140" spans="2:87">
      <c r="B140" s="1689"/>
      <c r="C140" s="1688" t="s">
        <v>3846</v>
      </c>
      <c r="D140" s="1689"/>
      <c r="E140" s="1689"/>
      <c r="F140" s="1689"/>
      <c r="G140" s="1689"/>
      <c r="H140" s="1689"/>
      <c r="I140" s="1689"/>
      <c r="J140" s="1689"/>
      <c r="K140" s="1689"/>
      <c r="L140" s="1689"/>
      <c r="M140" s="1689"/>
      <c r="N140" s="1689"/>
      <c r="O140" s="1689"/>
      <c r="P140" s="1689"/>
      <c r="Q140" s="1689"/>
      <c r="R140" s="1689"/>
      <c r="S140" s="1689"/>
      <c r="T140" s="1689"/>
      <c r="U140" s="1228"/>
      <c r="V140" s="1228"/>
      <c r="W140" s="1228"/>
      <c r="X140" s="1228"/>
      <c r="BI140" s="367"/>
      <c r="BJ140" s="367"/>
      <c r="BK140" s="367"/>
      <c r="BL140" s="367"/>
      <c r="BM140" s="367"/>
      <c r="BN140" s="367"/>
      <c r="BO140" s="367"/>
      <c r="BP140" s="367"/>
      <c r="BQ140" s="367"/>
      <c r="BR140" s="367"/>
      <c r="BS140" s="367"/>
      <c r="BT140" s="367"/>
      <c r="BU140" s="367"/>
      <c r="BV140" s="367"/>
      <c r="BW140" s="367"/>
      <c r="BX140" s="367"/>
      <c r="BY140" s="97"/>
      <c r="BZ140" s="97"/>
      <c r="CA140" s="97"/>
      <c r="CB140" s="97"/>
      <c r="CC140" s="97"/>
      <c r="CD140" s="97"/>
      <c r="CE140" s="97"/>
      <c r="CF140" s="97"/>
      <c r="CG140" s="97"/>
      <c r="CH140" s="101"/>
    </row>
    <row r="141" spans="2:87">
      <c r="B141" s="1689"/>
      <c r="C141" s="1689"/>
      <c r="D141" s="1689"/>
      <c r="E141" s="1689"/>
      <c r="F141" s="1689"/>
      <c r="G141" s="1689"/>
      <c r="H141" s="1689"/>
      <c r="I141" s="1689"/>
      <c r="J141" s="1689"/>
      <c r="K141" s="1689"/>
      <c r="L141" s="1689"/>
      <c r="M141" s="1689"/>
      <c r="N141" s="1689"/>
      <c r="O141" s="1689"/>
      <c r="P141" s="1689"/>
      <c r="Q141" s="1689"/>
      <c r="R141" s="1689"/>
      <c r="S141" s="1689"/>
      <c r="T141" s="1689"/>
      <c r="U141" s="1228"/>
      <c r="V141" s="1228"/>
      <c r="W141" s="1228"/>
      <c r="X141" s="1228"/>
      <c r="BI141" s="367"/>
      <c r="BJ141" s="367"/>
      <c r="BK141" s="367"/>
      <c r="BL141" s="367"/>
      <c r="BM141" s="367"/>
      <c r="BN141" s="367"/>
      <c r="BO141" s="367"/>
      <c r="BP141" s="367"/>
      <c r="BQ141" s="367"/>
      <c r="BR141" s="367"/>
      <c r="BS141" s="367"/>
      <c r="BT141" s="367"/>
      <c r="BU141" s="367"/>
      <c r="BV141" s="367"/>
      <c r="BW141" s="367"/>
      <c r="BX141" s="367"/>
      <c r="BY141" s="97"/>
      <c r="BZ141" s="97"/>
      <c r="CA141" s="97"/>
      <c r="CB141" s="97"/>
      <c r="CC141" s="97"/>
      <c r="CD141" s="97"/>
      <c r="CE141" s="97"/>
      <c r="CF141" s="97"/>
      <c r="CG141" s="97"/>
      <c r="CH141" s="101"/>
    </row>
    <row r="142" spans="2:87">
      <c r="B142" s="1689"/>
      <c r="C142" s="1689"/>
      <c r="D142" s="1689"/>
      <c r="E142" s="1689"/>
      <c r="F142" s="1692" t="s">
        <v>3847</v>
      </c>
      <c r="G142" s="344"/>
      <c r="H142" s="1689"/>
      <c r="I142" s="1689"/>
      <c r="J142" s="1689"/>
      <c r="K142" s="1689"/>
      <c r="L142" s="1689"/>
      <c r="M142" s="1689"/>
      <c r="N142" s="1689"/>
      <c r="O142" s="1689"/>
      <c r="P142" s="1689"/>
      <c r="Q142" s="1689"/>
      <c r="R142" s="1689"/>
      <c r="S142" s="1689"/>
      <c r="T142" s="1689"/>
      <c r="U142" s="1228"/>
      <c r="V142" s="1228"/>
      <c r="W142" s="1228"/>
      <c r="X142" s="1228"/>
      <c r="BI142" s="367"/>
      <c r="BJ142" s="367"/>
      <c r="BK142" s="367"/>
      <c r="BL142" s="367"/>
      <c r="BM142" s="367"/>
      <c r="BN142" s="367"/>
      <c r="BO142" s="367"/>
      <c r="BP142" s="367"/>
      <c r="BQ142" s="367"/>
      <c r="BR142" s="367"/>
      <c r="BS142" s="367"/>
      <c r="BT142" s="367"/>
      <c r="BU142" s="367"/>
      <c r="BV142" s="367"/>
      <c r="BW142" s="367"/>
      <c r="BX142" s="367"/>
      <c r="BY142" s="97"/>
      <c r="BZ142" s="97"/>
      <c r="CA142" s="97"/>
      <c r="CB142" s="97"/>
      <c r="CC142" s="97"/>
      <c r="CD142" s="97"/>
      <c r="CE142" s="97"/>
      <c r="CF142" s="97"/>
      <c r="CG142" s="97"/>
      <c r="CH142" s="101"/>
    </row>
    <row r="143" spans="2:87" hidden="1">
      <c r="B143" s="1689"/>
      <c r="C143" s="1689"/>
      <c r="D143" s="1689"/>
      <c r="E143" s="1689"/>
      <c r="F143" s="1692" t="s">
        <v>3848</v>
      </c>
      <c r="G143" s="38"/>
      <c r="H143" s="1689"/>
      <c r="I143" s="1689"/>
      <c r="J143" s="1689"/>
      <c r="K143" s="1689"/>
      <c r="L143" s="1689"/>
      <c r="M143" s="1689"/>
      <c r="N143" s="1689"/>
      <c r="O143" s="1689"/>
      <c r="P143" s="1689"/>
      <c r="Q143" s="1689"/>
      <c r="R143" s="1689"/>
      <c r="S143" s="1689"/>
      <c r="T143" s="1689"/>
      <c r="U143" s="1228"/>
      <c r="V143" s="1228"/>
      <c r="W143" s="1228"/>
      <c r="X143" s="1228"/>
      <c r="BI143" s="367"/>
      <c r="BJ143" s="367"/>
      <c r="BK143" s="367"/>
      <c r="BL143" s="367"/>
      <c r="BM143" s="367"/>
      <c r="BN143" s="367"/>
      <c r="BO143" s="367"/>
      <c r="BP143" s="367"/>
      <c r="BQ143" s="367"/>
      <c r="BR143" s="367"/>
      <c r="BS143" s="367"/>
      <c r="BT143" s="367"/>
      <c r="BU143" s="367"/>
      <c r="BV143" s="367"/>
      <c r="BW143" s="367"/>
      <c r="BX143" s="367"/>
      <c r="BY143" s="97"/>
      <c r="BZ143" s="97"/>
      <c r="CA143" s="97"/>
      <c r="CB143" s="97"/>
      <c r="CC143" s="97"/>
      <c r="CD143" s="97"/>
      <c r="CE143" s="97"/>
      <c r="CF143" s="97"/>
      <c r="CG143" s="97"/>
      <c r="CH143" s="101"/>
    </row>
    <row r="144" spans="2:87">
      <c r="B144" s="1689"/>
      <c r="C144" s="1689"/>
      <c r="D144" s="1689"/>
      <c r="E144" s="1689"/>
      <c r="F144" s="1692" t="s">
        <v>3849</v>
      </c>
      <c r="G144" s="344"/>
      <c r="H144" s="1689"/>
      <c r="I144" s="1689"/>
      <c r="J144" s="1689"/>
      <c r="K144" s="1689"/>
      <c r="L144" s="1689"/>
      <c r="M144" s="1689"/>
      <c r="N144" s="1689"/>
      <c r="O144" s="1689"/>
      <c r="P144" s="1689"/>
      <c r="Q144" s="1689"/>
      <c r="R144" s="1689"/>
      <c r="S144" s="1689"/>
      <c r="T144" s="1689"/>
      <c r="U144" s="1228"/>
      <c r="V144" s="1228"/>
      <c r="W144" s="1228"/>
      <c r="X144" s="1228"/>
      <c r="BI144" s="367"/>
      <c r="BJ144" s="367"/>
      <c r="BK144" s="367"/>
      <c r="BL144" s="367"/>
      <c r="BM144" s="367"/>
      <c r="BN144" s="367"/>
      <c r="BO144" s="367"/>
      <c r="BP144" s="367"/>
      <c r="BQ144" s="367"/>
      <c r="BR144" s="367"/>
      <c r="BS144" s="367"/>
      <c r="BT144" s="367"/>
      <c r="BU144" s="367"/>
      <c r="BV144" s="367"/>
      <c r="BW144" s="367"/>
      <c r="BX144" s="367"/>
      <c r="BY144" s="97"/>
      <c r="BZ144" s="97"/>
      <c r="CA144" s="97"/>
      <c r="CB144" s="97"/>
      <c r="CC144" s="97"/>
      <c r="CD144" s="97"/>
      <c r="CE144" s="97"/>
      <c r="CF144" s="97"/>
      <c r="CG144" s="97"/>
      <c r="CH144" s="101"/>
    </row>
    <row r="145" spans="2:86">
      <c r="B145" s="1689"/>
      <c r="C145" s="1689"/>
      <c r="D145" s="1689"/>
      <c r="E145" s="1689"/>
      <c r="F145" s="1692" t="s">
        <v>3850</v>
      </c>
      <c r="G145" s="1720">
        <f>+'10. Project and Unit Amenities'!G20</f>
        <v>0</v>
      </c>
      <c r="H145" s="1689"/>
      <c r="I145" s="1689"/>
      <c r="J145" s="1689"/>
      <c r="K145" s="1689"/>
      <c r="L145" s="1689"/>
      <c r="M145" s="1689"/>
      <c r="N145" s="1689"/>
      <c r="O145" s="1689"/>
      <c r="P145" s="1689"/>
      <c r="Q145" s="1689"/>
      <c r="R145" s="1689"/>
      <c r="S145" s="1689"/>
      <c r="T145" s="1689"/>
      <c r="U145" s="1228"/>
      <c r="V145" s="1228"/>
      <c r="W145" s="1228"/>
      <c r="X145" s="1228"/>
      <c r="BI145" s="367"/>
      <c r="BJ145" s="367"/>
      <c r="BK145" s="367"/>
      <c r="BL145" s="367"/>
      <c r="BM145" s="367"/>
      <c r="BN145" s="367"/>
      <c r="BO145" s="367"/>
      <c r="BP145" s="367"/>
      <c r="BQ145" s="367"/>
      <c r="BR145" s="367"/>
      <c r="BS145" s="367"/>
      <c r="BT145" s="367"/>
      <c r="BU145" s="367"/>
      <c r="BV145" s="367"/>
      <c r="BW145" s="367"/>
      <c r="BX145" s="367"/>
      <c r="BY145" s="97"/>
      <c r="BZ145" s="97"/>
      <c r="CA145" s="97"/>
      <c r="CB145" s="97"/>
      <c r="CC145" s="97"/>
      <c r="CD145" s="97"/>
      <c r="CE145" s="97"/>
      <c r="CF145" s="97"/>
      <c r="CG145" s="97"/>
      <c r="CH145" s="101"/>
    </row>
    <row r="146" spans="2:86">
      <c r="B146" s="1689"/>
      <c r="C146" s="1689"/>
      <c r="D146" s="1689"/>
      <c r="E146" s="1689"/>
      <c r="F146" s="1689"/>
      <c r="G146" s="1689"/>
      <c r="H146" s="1689"/>
      <c r="I146" s="1689"/>
      <c r="J146" s="1689"/>
      <c r="K146" s="1689"/>
      <c r="L146" s="1689"/>
      <c r="M146" s="1689"/>
      <c r="N146" s="1689"/>
      <c r="O146" s="1689"/>
      <c r="P146" s="1689"/>
      <c r="Q146" s="1689"/>
      <c r="R146" s="1689"/>
      <c r="S146" s="1689"/>
      <c r="T146" s="1689"/>
      <c r="U146" s="1228"/>
      <c r="V146" s="1228"/>
      <c r="W146" s="1228"/>
      <c r="X146" s="1228"/>
      <c r="BI146" s="367"/>
      <c r="BJ146" s="367"/>
      <c r="BK146" s="367"/>
      <c r="BL146" s="367"/>
      <c r="BM146" s="367"/>
      <c r="BN146" s="367"/>
      <c r="BO146" s="367"/>
      <c r="BP146" s="367"/>
      <c r="BQ146" s="367"/>
      <c r="BR146" s="367"/>
      <c r="BS146" s="367"/>
      <c r="BT146" s="367"/>
      <c r="BU146" s="367"/>
      <c r="BV146" s="367"/>
      <c r="BW146" s="367"/>
      <c r="BX146" s="367"/>
      <c r="BY146" s="97"/>
      <c r="BZ146" s="97"/>
      <c r="CA146" s="97"/>
      <c r="CB146" s="97"/>
      <c r="CC146" s="97"/>
      <c r="CD146" s="97"/>
      <c r="CE146" s="97"/>
      <c r="CF146" s="97"/>
      <c r="CG146" s="97"/>
      <c r="CH146" s="101"/>
    </row>
    <row r="147" spans="2:86">
      <c r="B147" s="1689"/>
      <c r="C147" s="1689"/>
      <c r="D147" s="1227" t="s">
        <v>3851</v>
      </c>
      <c r="E147" s="1689"/>
      <c r="F147" s="1692"/>
      <c r="G147" s="1689"/>
      <c r="H147" s="1689"/>
      <c r="I147" s="1689"/>
      <c r="J147" s="1689"/>
      <c r="K147" s="1689"/>
      <c r="L147" s="1689"/>
      <c r="M147" s="1689"/>
      <c r="N147" s="1689"/>
      <c r="O147" s="1689"/>
      <c r="P147" s="1689"/>
      <c r="Q147" s="1689"/>
      <c r="R147" s="1689"/>
      <c r="S147" s="1689"/>
      <c r="T147" s="1689"/>
      <c r="U147" s="1228"/>
      <c r="V147" s="1228"/>
      <c r="W147" s="1228"/>
      <c r="X147" s="1228"/>
      <c r="BI147" s="367"/>
      <c r="BJ147" s="367"/>
      <c r="BK147" s="367"/>
      <c r="BL147" s="367"/>
      <c r="BM147" s="367"/>
      <c r="BN147" s="367"/>
      <c r="BO147" s="367"/>
      <c r="BP147" s="367"/>
      <c r="BQ147" s="367"/>
      <c r="BR147" s="367"/>
      <c r="BS147" s="367"/>
      <c r="BT147" s="367"/>
      <c r="BU147" s="367"/>
      <c r="BV147" s="367"/>
      <c r="BW147" s="367"/>
      <c r="BX147" s="367"/>
      <c r="BY147" s="97"/>
      <c r="BZ147" s="97"/>
      <c r="CA147" s="97"/>
      <c r="CB147" s="97"/>
      <c r="CC147" s="97"/>
      <c r="CD147" s="97"/>
      <c r="CE147" s="97"/>
      <c r="CF147" s="97"/>
      <c r="CG147" s="97"/>
      <c r="CH147" s="101"/>
    </row>
    <row r="148" spans="2:86">
      <c r="B148" s="1689"/>
      <c r="C148" s="1689"/>
      <c r="D148" s="2136"/>
      <c r="E148" s="2136"/>
      <c r="F148" s="2136"/>
      <c r="G148" s="2136"/>
      <c r="H148" s="2136"/>
      <c r="I148" s="2136"/>
      <c r="J148" s="2136"/>
      <c r="K148" s="2136"/>
      <c r="L148" s="2136"/>
      <c r="M148" s="2136"/>
      <c r="N148" s="2136"/>
      <c r="O148" s="2136"/>
      <c r="P148" s="2136"/>
      <c r="Q148" s="2136"/>
      <c r="R148" s="2136"/>
      <c r="S148" s="1689"/>
      <c r="T148" s="1689"/>
      <c r="U148" s="1228"/>
      <c r="V148" s="1228"/>
      <c r="W148" s="1228"/>
      <c r="X148" s="1228"/>
      <c r="BI148" s="367"/>
      <c r="BJ148" s="367"/>
      <c r="BK148" s="367"/>
      <c r="BL148" s="367"/>
      <c r="BM148" s="367"/>
      <c r="BN148" s="367"/>
      <c r="BO148" s="367"/>
      <c r="BP148" s="367"/>
      <c r="BQ148" s="367"/>
      <c r="BR148" s="367"/>
      <c r="BS148" s="367"/>
      <c r="BT148" s="367"/>
      <c r="BU148" s="367"/>
      <c r="BV148" s="367"/>
      <c r="BW148" s="367"/>
      <c r="BX148" s="367"/>
      <c r="BY148" s="97"/>
      <c r="BZ148" s="97"/>
      <c r="CA148" s="97"/>
      <c r="CB148" s="97"/>
      <c r="CC148" s="97"/>
      <c r="CD148" s="97"/>
      <c r="CE148" s="97"/>
      <c r="CF148" s="97"/>
      <c r="CG148" s="97"/>
      <c r="CH148" s="101"/>
    </row>
    <row r="149" spans="2:86">
      <c r="B149" s="1689"/>
      <c r="C149" s="1689"/>
      <c r="D149" s="2136"/>
      <c r="E149" s="2136"/>
      <c r="F149" s="2136"/>
      <c r="G149" s="2136"/>
      <c r="H149" s="2136"/>
      <c r="I149" s="2136"/>
      <c r="J149" s="2136"/>
      <c r="K149" s="2136"/>
      <c r="L149" s="2136"/>
      <c r="M149" s="2136"/>
      <c r="N149" s="2136"/>
      <c r="O149" s="2136"/>
      <c r="P149" s="2136"/>
      <c r="Q149" s="2136"/>
      <c r="R149" s="2136"/>
      <c r="S149" s="1689"/>
      <c r="T149" s="1689"/>
      <c r="U149" s="1228"/>
      <c r="V149" s="1228"/>
      <c r="W149" s="1228"/>
      <c r="X149" s="1228"/>
      <c r="BI149" s="367"/>
      <c r="BJ149" s="367"/>
      <c r="BK149" s="367"/>
      <c r="BL149" s="367"/>
      <c r="BM149" s="367"/>
      <c r="BN149" s="367"/>
      <c r="BO149" s="367"/>
      <c r="BP149" s="367"/>
      <c r="BQ149" s="367"/>
      <c r="BR149" s="367"/>
      <c r="BS149" s="367"/>
      <c r="BT149" s="367"/>
      <c r="BU149" s="367"/>
      <c r="BV149" s="367"/>
      <c r="BW149" s="367"/>
      <c r="BX149" s="367"/>
      <c r="BY149" s="97"/>
      <c r="BZ149" s="97"/>
      <c r="CA149" s="97"/>
      <c r="CB149" s="97"/>
      <c r="CC149" s="97"/>
      <c r="CD149" s="97"/>
      <c r="CE149" s="97"/>
      <c r="CF149" s="97"/>
      <c r="CG149" s="97"/>
      <c r="CH149" s="101"/>
    </row>
    <row r="150" spans="2:86">
      <c r="B150" s="1689"/>
      <c r="C150" s="1689"/>
      <c r="D150" s="2136"/>
      <c r="E150" s="2136"/>
      <c r="F150" s="2136"/>
      <c r="G150" s="2136"/>
      <c r="H150" s="2136"/>
      <c r="I150" s="2136"/>
      <c r="J150" s="2136"/>
      <c r="K150" s="2136"/>
      <c r="L150" s="2136"/>
      <c r="M150" s="2136"/>
      <c r="N150" s="2136"/>
      <c r="O150" s="2136"/>
      <c r="P150" s="2136"/>
      <c r="Q150" s="2136"/>
      <c r="R150" s="2136"/>
      <c r="S150" s="1689"/>
      <c r="T150" s="1689"/>
      <c r="U150" s="1228"/>
      <c r="V150" s="1228"/>
      <c r="W150" s="1228"/>
      <c r="X150" s="1228"/>
      <c r="BI150" s="367"/>
      <c r="BJ150" s="367"/>
      <c r="BK150" s="367"/>
      <c r="BL150" s="367"/>
      <c r="BM150" s="367"/>
      <c r="BN150" s="367"/>
      <c r="BO150" s="367"/>
      <c r="BP150" s="367"/>
      <c r="BQ150" s="367"/>
      <c r="BR150" s="367"/>
      <c r="BS150" s="367"/>
      <c r="BT150" s="367"/>
      <c r="BU150" s="367"/>
      <c r="BV150" s="367"/>
      <c r="BW150" s="367"/>
      <c r="BX150" s="367"/>
      <c r="BY150" s="97"/>
      <c r="BZ150" s="97"/>
      <c r="CA150" s="97"/>
      <c r="CB150" s="97"/>
      <c r="CC150" s="97"/>
      <c r="CD150" s="97"/>
      <c r="CE150" s="97"/>
      <c r="CF150" s="97"/>
      <c r="CG150" s="97"/>
      <c r="CH150" s="101"/>
    </row>
    <row r="151" spans="2:86">
      <c r="B151" s="1689"/>
      <c r="C151" s="1689"/>
      <c r="D151" s="2136"/>
      <c r="E151" s="2136"/>
      <c r="F151" s="2136"/>
      <c r="G151" s="2136"/>
      <c r="H151" s="2136"/>
      <c r="I151" s="2136"/>
      <c r="J151" s="2136"/>
      <c r="K151" s="2136"/>
      <c r="L151" s="2136"/>
      <c r="M151" s="2136"/>
      <c r="N151" s="2136"/>
      <c r="O151" s="2136"/>
      <c r="P151" s="2136"/>
      <c r="Q151" s="2136"/>
      <c r="R151" s="2136"/>
      <c r="S151" s="1689"/>
      <c r="T151" s="1689"/>
      <c r="U151" s="1228"/>
      <c r="V151" s="1228"/>
      <c r="W151" s="1228"/>
      <c r="X151" s="1228"/>
      <c r="BI151" s="367"/>
      <c r="BJ151" s="367"/>
      <c r="BK151" s="367"/>
      <c r="BL151" s="367"/>
      <c r="BM151" s="367"/>
      <c r="BN151" s="367"/>
      <c r="BO151" s="367"/>
      <c r="BP151" s="367"/>
      <c r="BQ151" s="367"/>
      <c r="BR151" s="367"/>
      <c r="BS151" s="367"/>
      <c r="BT151" s="367"/>
      <c r="BU151" s="367"/>
      <c r="BV151" s="367"/>
      <c r="BW151" s="367"/>
      <c r="BX151" s="367"/>
      <c r="BY151" s="97"/>
      <c r="BZ151" s="97"/>
      <c r="CA151" s="97"/>
      <c r="CB151" s="97"/>
      <c r="CC151" s="97"/>
      <c r="CD151" s="97"/>
      <c r="CE151" s="97"/>
      <c r="CF151" s="97"/>
      <c r="CG151" s="97"/>
      <c r="CH151" s="101"/>
    </row>
    <row r="152" spans="2:86">
      <c r="B152" s="1689"/>
      <c r="C152" s="1689"/>
      <c r="D152" s="1689"/>
      <c r="E152" s="1689"/>
      <c r="F152" s="1689"/>
      <c r="G152" s="1689"/>
      <c r="H152" s="1689"/>
      <c r="I152" s="1689"/>
      <c r="J152" s="1689"/>
      <c r="K152" s="1689"/>
      <c r="L152" s="1689"/>
      <c r="M152" s="1689"/>
      <c r="N152" s="1689"/>
      <c r="O152" s="1689"/>
      <c r="P152" s="1689"/>
      <c r="Q152" s="1689"/>
      <c r="R152" s="1689"/>
      <c r="S152" s="1689"/>
      <c r="T152" s="1689"/>
      <c r="U152" s="1228"/>
      <c r="V152" s="1228"/>
      <c r="W152" s="1228"/>
      <c r="X152" s="1228"/>
      <c r="BI152" s="367"/>
      <c r="BJ152" s="367"/>
      <c r="BK152" s="367"/>
      <c r="BL152" s="367"/>
      <c r="BM152" s="367"/>
      <c r="BN152" s="367"/>
      <c r="BO152" s="367"/>
      <c r="BP152" s="367"/>
      <c r="BQ152" s="367"/>
      <c r="BR152" s="367"/>
      <c r="BS152" s="367"/>
      <c r="BT152" s="367"/>
      <c r="BU152" s="367"/>
      <c r="BV152" s="367"/>
      <c r="BW152" s="367"/>
      <c r="BX152" s="367"/>
      <c r="BY152" s="97"/>
      <c r="BZ152" s="97"/>
      <c r="CA152" s="97"/>
      <c r="CB152" s="97"/>
      <c r="CC152" s="97"/>
      <c r="CD152" s="97"/>
      <c r="CE152" s="97"/>
      <c r="CF152" s="97"/>
      <c r="CG152" s="97"/>
      <c r="CH152" s="101"/>
    </row>
    <row r="153" spans="2:86" ht="19">
      <c r="B153" s="8" t="s">
        <v>3364</v>
      </c>
      <c r="C153" s="34"/>
      <c r="W153" s="576"/>
      <c r="X153" s="540"/>
      <c r="BI153" s="367"/>
      <c r="BJ153" s="367"/>
      <c r="BK153" s="367"/>
      <c r="BL153" s="367"/>
      <c r="BM153" s="367"/>
      <c r="BN153" s="367"/>
      <c r="BO153" s="367"/>
      <c r="BP153" s="367"/>
      <c r="BQ153" s="367"/>
      <c r="BR153" s="367"/>
      <c r="BS153" s="367"/>
      <c r="BT153" s="367"/>
      <c r="BU153" s="367"/>
      <c r="BV153" s="367"/>
      <c r="BW153" s="367"/>
      <c r="BX153" s="367"/>
      <c r="BY153" s="97"/>
      <c r="BZ153" s="97"/>
      <c r="CA153" s="97"/>
      <c r="CB153" s="97"/>
      <c r="CC153" s="97"/>
      <c r="CD153" s="97"/>
      <c r="CE153" s="97"/>
      <c r="CF153" s="97"/>
      <c r="CG153" s="97"/>
      <c r="CH153" s="101"/>
    </row>
    <row r="154" spans="2:86">
      <c r="B154" s="1220"/>
      <c r="C154" s="1220"/>
      <c r="D154" s="1261" t="s">
        <v>3852</v>
      </c>
      <c r="E154" s="1261"/>
      <c r="F154" s="1220"/>
      <c r="G154" s="1220"/>
      <c r="H154" s="1220"/>
      <c r="I154" s="1220"/>
      <c r="J154" s="1220"/>
      <c r="K154" s="1220"/>
      <c r="L154" s="1220"/>
      <c r="M154" s="1220"/>
      <c r="N154" s="1220"/>
      <c r="O154" s="1220"/>
      <c r="P154" s="1220"/>
      <c r="Q154" s="1220"/>
      <c r="R154" s="1220"/>
      <c r="S154" s="1220"/>
      <c r="T154" s="1220"/>
      <c r="U154" s="1228"/>
      <c r="V154" s="1228"/>
      <c r="W154" s="1228"/>
      <c r="X154" s="1228"/>
      <c r="BI154" s="367"/>
      <c r="BJ154" s="367"/>
      <c r="BK154" s="367"/>
      <c r="BL154" s="367"/>
      <c r="BM154" s="367"/>
      <c r="BN154" s="367"/>
      <c r="BO154" s="367"/>
      <c r="BP154" s="367"/>
      <c r="BQ154" s="367"/>
      <c r="BR154" s="367"/>
      <c r="BS154" s="367"/>
      <c r="BT154" s="367"/>
      <c r="BU154" s="367"/>
      <c r="BV154" s="367"/>
      <c r="BW154" s="367"/>
      <c r="BX154" s="367"/>
      <c r="BY154" s="97"/>
      <c r="BZ154" s="97"/>
      <c r="CA154" s="97"/>
      <c r="CB154" s="97"/>
      <c r="CC154" s="97"/>
      <c r="CD154" s="97"/>
      <c r="CE154" s="97"/>
      <c r="CF154" s="97"/>
      <c r="CG154" s="97"/>
      <c r="CH154" s="101"/>
    </row>
    <row r="155" spans="2:86">
      <c r="B155" s="1220"/>
      <c r="C155" s="1220"/>
      <c r="D155" s="2134"/>
      <c r="E155" s="2134"/>
      <c r="F155" s="2134"/>
      <c r="G155" s="2134"/>
      <c r="H155" s="2134"/>
      <c r="I155" s="2134"/>
      <c r="J155" s="2134"/>
      <c r="K155" s="2134"/>
      <c r="L155" s="2134"/>
      <c r="M155" s="2134"/>
      <c r="N155" s="2134"/>
      <c r="O155" s="2134"/>
      <c r="P155" s="2134"/>
      <c r="Q155" s="2134"/>
      <c r="R155" s="2134"/>
      <c r="S155" s="1220"/>
      <c r="T155" s="1220"/>
      <c r="U155" s="1228"/>
      <c r="V155" s="1228"/>
      <c r="W155" s="1228"/>
      <c r="X155" s="1228"/>
      <c r="BI155" s="367"/>
      <c r="BJ155" s="367"/>
      <c r="BK155" s="367"/>
      <c r="BL155" s="367"/>
      <c r="BM155" s="367"/>
      <c r="BN155" s="367"/>
      <c r="BO155" s="367"/>
      <c r="BP155" s="367"/>
      <c r="BQ155" s="367"/>
      <c r="BR155" s="367"/>
      <c r="BS155" s="367"/>
      <c r="BT155" s="367"/>
      <c r="BU155" s="367"/>
      <c r="BV155" s="367"/>
      <c r="BW155" s="367"/>
      <c r="BX155" s="367"/>
      <c r="BY155" s="97"/>
      <c r="BZ155" s="97"/>
      <c r="CA155" s="97"/>
      <c r="CB155" s="97"/>
      <c r="CC155" s="97"/>
      <c r="CD155" s="97"/>
      <c r="CE155" s="97"/>
      <c r="CF155" s="97"/>
      <c r="CG155" s="97"/>
      <c r="CH155" s="101"/>
    </row>
    <row r="156" spans="2:86">
      <c r="B156" s="1220"/>
      <c r="C156" s="1220"/>
      <c r="D156" s="2134"/>
      <c r="E156" s="2134"/>
      <c r="F156" s="2134"/>
      <c r="G156" s="2134"/>
      <c r="H156" s="2134"/>
      <c r="I156" s="2134"/>
      <c r="J156" s="2134"/>
      <c r="K156" s="2134"/>
      <c r="L156" s="2134"/>
      <c r="M156" s="2134"/>
      <c r="N156" s="2134"/>
      <c r="O156" s="2134"/>
      <c r="P156" s="2134"/>
      <c r="Q156" s="2134"/>
      <c r="R156" s="2134"/>
      <c r="S156" s="1220"/>
      <c r="T156" s="1220"/>
      <c r="U156" s="1228"/>
      <c r="V156" s="1228"/>
      <c r="W156" s="1228"/>
      <c r="X156" s="1228"/>
      <c r="BI156" s="367"/>
      <c r="BJ156" s="367"/>
      <c r="BK156" s="367"/>
      <c r="BL156" s="367"/>
      <c r="BM156" s="367"/>
      <c r="BN156" s="367"/>
      <c r="BO156" s="367"/>
      <c r="BP156" s="367"/>
      <c r="BQ156" s="367"/>
      <c r="BR156" s="367"/>
      <c r="BS156" s="367"/>
      <c r="BT156" s="367"/>
      <c r="BU156" s="367"/>
      <c r="BV156" s="367"/>
      <c r="BW156" s="367"/>
      <c r="BX156" s="367"/>
      <c r="BY156" s="97"/>
      <c r="BZ156" s="97"/>
      <c r="CA156" s="97"/>
      <c r="CB156" s="97"/>
      <c r="CC156" s="97"/>
      <c r="CD156" s="97"/>
      <c r="CE156" s="97"/>
      <c r="CF156" s="97"/>
      <c r="CG156" s="97"/>
      <c r="CH156" s="101"/>
    </row>
    <row r="157" spans="2:86">
      <c r="B157" s="1220"/>
      <c r="C157" s="1220"/>
      <c r="D157" s="2134"/>
      <c r="E157" s="2134"/>
      <c r="F157" s="2134"/>
      <c r="G157" s="2134"/>
      <c r="H157" s="2134"/>
      <c r="I157" s="2134"/>
      <c r="J157" s="2134"/>
      <c r="K157" s="2134"/>
      <c r="L157" s="2134"/>
      <c r="M157" s="2134"/>
      <c r="N157" s="2134"/>
      <c r="O157" s="2134"/>
      <c r="P157" s="2134"/>
      <c r="Q157" s="2134"/>
      <c r="R157" s="2134"/>
      <c r="S157" s="1220"/>
      <c r="T157" s="1220"/>
      <c r="U157" s="1228"/>
      <c r="V157" s="1228"/>
      <c r="W157" s="1228"/>
      <c r="X157" s="1228"/>
      <c r="BI157" s="367"/>
      <c r="BJ157" s="367"/>
      <c r="BK157" s="367"/>
      <c r="BL157" s="367"/>
      <c r="BM157" s="367"/>
      <c r="BN157" s="367"/>
      <c r="BO157" s="367"/>
      <c r="BP157" s="367"/>
      <c r="BQ157" s="367"/>
      <c r="BR157" s="367"/>
      <c r="BS157" s="367"/>
      <c r="BT157" s="367"/>
      <c r="BU157" s="367"/>
      <c r="BV157" s="367"/>
      <c r="BW157" s="367"/>
      <c r="BX157" s="367"/>
      <c r="BY157" s="97"/>
      <c r="BZ157" s="97"/>
      <c r="CA157" s="97"/>
      <c r="CB157" s="97"/>
      <c r="CC157" s="97"/>
      <c r="CD157" s="97"/>
      <c r="CE157" s="97"/>
      <c r="CF157" s="97"/>
      <c r="CG157" s="97"/>
      <c r="CH157" s="101"/>
    </row>
    <row r="158" spans="2:86">
      <c r="B158" s="1220"/>
      <c r="C158" s="1220"/>
      <c r="D158" s="2134"/>
      <c r="E158" s="2134"/>
      <c r="F158" s="2134"/>
      <c r="G158" s="2134"/>
      <c r="H158" s="2134"/>
      <c r="I158" s="2134"/>
      <c r="J158" s="2134"/>
      <c r="K158" s="2134"/>
      <c r="L158" s="2134"/>
      <c r="M158" s="2134"/>
      <c r="N158" s="2134"/>
      <c r="O158" s="2134"/>
      <c r="P158" s="2134"/>
      <c r="Q158" s="2134"/>
      <c r="R158" s="2134"/>
      <c r="S158" s="1220"/>
      <c r="T158" s="1220"/>
      <c r="U158" s="1228"/>
      <c r="V158" s="1228"/>
      <c r="W158" s="1228"/>
      <c r="X158" s="1228"/>
      <c r="BI158" s="367"/>
      <c r="BJ158" s="367"/>
      <c r="BK158" s="367"/>
      <c r="BL158" s="367"/>
      <c r="BM158" s="367"/>
      <c r="BN158" s="367"/>
      <c r="BO158" s="367"/>
      <c r="BP158" s="367"/>
      <c r="BQ158" s="367"/>
      <c r="BR158" s="367"/>
      <c r="BS158" s="367"/>
      <c r="BT158" s="367"/>
      <c r="BU158" s="367"/>
      <c r="BV158" s="367"/>
      <c r="BW158" s="367"/>
      <c r="BX158" s="367"/>
      <c r="BY158" s="97"/>
      <c r="BZ158" s="97"/>
      <c r="CA158" s="97"/>
      <c r="CB158" s="97"/>
      <c r="CC158" s="97"/>
      <c r="CD158" s="97"/>
      <c r="CE158" s="97"/>
      <c r="CF158" s="97"/>
      <c r="CG158" s="97"/>
      <c r="CH158" s="101"/>
    </row>
    <row r="159" spans="2:86">
      <c r="B159" s="1220"/>
      <c r="C159" s="1220"/>
      <c r="D159" s="2134"/>
      <c r="E159" s="2134"/>
      <c r="F159" s="2134"/>
      <c r="G159" s="2134"/>
      <c r="H159" s="2134"/>
      <c r="I159" s="2134"/>
      <c r="J159" s="2134"/>
      <c r="K159" s="2134"/>
      <c r="L159" s="2134"/>
      <c r="M159" s="2134"/>
      <c r="N159" s="2134"/>
      <c r="O159" s="2134"/>
      <c r="P159" s="2134"/>
      <c r="Q159" s="2134"/>
      <c r="R159" s="2134"/>
      <c r="S159" s="1220"/>
      <c r="T159" s="1220"/>
      <c r="U159" s="1228"/>
      <c r="V159" s="1228"/>
      <c r="W159" s="1228"/>
      <c r="X159" s="1228"/>
    </row>
    <row r="160" spans="2:86">
      <c r="B160" s="1220"/>
      <c r="C160" s="1220"/>
      <c r="D160" s="2134"/>
      <c r="E160" s="2134"/>
      <c r="F160" s="2134"/>
      <c r="G160" s="2134"/>
      <c r="H160" s="2134"/>
      <c r="I160" s="2134"/>
      <c r="J160" s="2134"/>
      <c r="K160" s="2134"/>
      <c r="L160" s="2134"/>
      <c r="M160" s="2134"/>
      <c r="N160" s="2134"/>
      <c r="O160" s="2134"/>
      <c r="P160" s="2134"/>
      <c r="Q160" s="2134"/>
      <c r="R160" s="2134"/>
      <c r="S160" s="1220"/>
      <c r="T160" s="1220"/>
      <c r="U160" s="1228"/>
      <c r="V160" s="1228"/>
      <c r="W160" s="1228"/>
      <c r="X160" s="1228"/>
    </row>
    <row r="161" spans="2:24">
      <c r="B161" s="1220"/>
      <c r="C161" s="1220"/>
      <c r="D161" s="2134"/>
      <c r="E161" s="2134"/>
      <c r="F161" s="2134"/>
      <c r="G161" s="2134"/>
      <c r="H161" s="2134"/>
      <c r="I161" s="2134"/>
      <c r="J161" s="2134"/>
      <c r="K161" s="2134"/>
      <c r="L161" s="2134"/>
      <c r="M161" s="2134"/>
      <c r="N161" s="2134"/>
      <c r="O161" s="2134"/>
      <c r="P161" s="2134"/>
      <c r="Q161" s="2134"/>
      <c r="R161" s="2134"/>
      <c r="S161" s="1220"/>
      <c r="T161" s="1220"/>
      <c r="U161" s="1228"/>
      <c r="V161" s="1228"/>
      <c r="W161" s="1228"/>
      <c r="X161" s="1228"/>
    </row>
    <row r="162" spans="2:24">
      <c r="B162" s="1220"/>
      <c r="C162" s="1220"/>
      <c r="D162" s="2134"/>
      <c r="E162" s="2134"/>
      <c r="F162" s="2134"/>
      <c r="G162" s="2134"/>
      <c r="H162" s="2134"/>
      <c r="I162" s="2134"/>
      <c r="J162" s="2134"/>
      <c r="K162" s="2134"/>
      <c r="L162" s="2134"/>
      <c r="M162" s="2134"/>
      <c r="N162" s="2134"/>
      <c r="O162" s="2134"/>
      <c r="P162" s="2134"/>
      <c r="Q162" s="2134"/>
      <c r="R162" s="2134"/>
      <c r="S162" s="1220"/>
      <c r="T162" s="1220"/>
      <c r="U162" s="1228"/>
      <c r="V162" s="1228"/>
      <c r="W162" s="1228"/>
      <c r="X162" s="1228"/>
    </row>
    <row r="163" spans="2:24" ht="16">
      <c r="B163" s="1220"/>
      <c r="C163" s="1220"/>
      <c r="D163" s="1220"/>
      <c r="E163" s="1220"/>
      <c r="F163" s="1220"/>
      <c r="G163" s="1262"/>
      <c r="H163" s="1220"/>
      <c r="I163" s="1220"/>
      <c r="J163" s="1220"/>
      <c r="K163" s="1220"/>
      <c r="L163" s="1220"/>
      <c r="M163" s="1220"/>
      <c r="N163" s="1220"/>
      <c r="O163" s="1220"/>
      <c r="P163" s="1220"/>
      <c r="Q163" s="1220"/>
      <c r="R163" s="1220"/>
      <c r="S163" s="1220"/>
      <c r="T163" s="1220"/>
      <c r="U163" s="1228"/>
      <c r="V163" s="1228"/>
      <c r="W163" s="1228"/>
      <c r="X163" s="1263"/>
    </row>
    <row r="164" spans="2:24">
      <c r="B164" s="117" t="s">
        <v>3371</v>
      </c>
      <c r="C164" s="117"/>
      <c r="D164" s="99"/>
      <c r="E164" s="99"/>
      <c r="F164" s="99"/>
      <c r="G164" s="99"/>
      <c r="H164" s="99"/>
      <c r="I164" s="99"/>
      <c r="J164" s="99"/>
      <c r="K164" s="99"/>
      <c r="L164" s="99"/>
      <c r="M164" s="99"/>
      <c r="N164" s="99"/>
      <c r="O164" s="99"/>
      <c r="P164" s="99"/>
      <c r="Q164" s="99"/>
      <c r="R164" s="99"/>
      <c r="S164" s="99"/>
      <c r="T164" s="99"/>
      <c r="U164" s="577"/>
      <c r="V164" s="577"/>
      <c r="W164" s="577"/>
    </row>
    <row r="165" spans="2:24" ht="19">
      <c r="B165" s="102" t="s">
        <v>3372</v>
      </c>
      <c r="C165" s="102"/>
      <c r="D165" s="97"/>
      <c r="E165" s="97"/>
      <c r="F165" s="97"/>
      <c r="G165" s="118"/>
      <c r="H165" s="118"/>
      <c r="I165" s="118"/>
      <c r="J165" s="118"/>
      <c r="K165" s="97"/>
      <c r="L165" s="97"/>
      <c r="M165" s="97"/>
      <c r="N165" s="97"/>
      <c r="O165" s="97"/>
      <c r="P165" s="97"/>
      <c r="Q165" s="97"/>
      <c r="R165" s="97"/>
      <c r="S165" s="97"/>
      <c r="T165" s="97"/>
      <c r="U165" s="540"/>
      <c r="V165" s="540"/>
      <c r="W165" s="540"/>
    </row>
    <row r="166" spans="2:24">
      <c r="B166" s="1220"/>
      <c r="C166" s="1220"/>
      <c r="D166" s="1261"/>
      <c r="E166" s="1261"/>
      <c r="F166" s="1220"/>
      <c r="G166" s="1220"/>
      <c r="H166" s="1220"/>
      <c r="I166" s="1220"/>
      <c r="J166" s="1220"/>
      <c r="K166" s="1220"/>
      <c r="L166" s="1220"/>
      <c r="M166" s="1220"/>
      <c r="N166" s="1220"/>
      <c r="O166" s="1220"/>
      <c r="P166" s="1220"/>
      <c r="Q166" s="1220"/>
      <c r="R166" s="1220"/>
      <c r="S166" s="1220"/>
      <c r="T166" s="1220"/>
      <c r="U166" s="1228"/>
      <c r="V166" s="1228"/>
      <c r="W166" s="1228"/>
      <c r="X166" s="1228"/>
    </row>
    <row r="167" spans="2:24">
      <c r="B167" s="1220"/>
      <c r="C167" s="1220"/>
      <c r="D167" s="2134"/>
      <c r="E167" s="2134"/>
      <c r="F167" s="2134"/>
      <c r="G167" s="2134"/>
      <c r="H167" s="2134"/>
      <c r="I167" s="2134"/>
      <c r="J167" s="2134"/>
      <c r="K167" s="2134"/>
      <c r="L167" s="2134"/>
      <c r="M167" s="2134"/>
      <c r="N167" s="2134"/>
      <c r="O167" s="2134"/>
      <c r="P167" s="2134"/>
      <c r="Q167" s="2134"/>
      <c r="R167" s="2134"/>
      <c r="S167" s="1220"/>
      <c r="T167" s="1220"/>
      <c r="U167" s="1228"/>
      <c r="V167" s="1228"/>
      <c r="W167" s="1228"/>
      <c r="X167" s="1228"/>
    </row>
    <row r="168" spans="2:24">
      <c r="B168" s="1220"/>
      <c r="C168" s="1220"/>
      <c r="D168" s="2134"/>
      <c r="E168" s="2134"/>
      <c r="F168" s="2134"/>
      <c r="G168" s="2134"/>
      <c r="H168" s="2134"/>
      <c r="I168" s="2134"/>
      <c r="J168" s="2134"/>
      <c r="K168" s="2134"/>
      <c r="L168" s="2134"/>
      <c r="M168" s="2134"/>
      <c r="N168" s="2134"/>
      <c r="O168" s="2134"/>
      <c r="P168" s="2134"/>
      <c r="Q168" s="2134"/>
      <c r="R168" s="2134"/>
      <c r="S168" s="1220"/>
      <c r="T168" s="1220"/>
      <c r="U168" s="1228"/>
      <c r="V168" s="1228"/>
      <c r="W168" s="1228"/>
      <c r="X168" s="1228"/>
    </row>
    <row r="169" spans="2:24">
      <c r="B169" s="1220"/>
      <c r="C169" s="1220"/>
      <c r="D169" s="2134"/>
      <c r="E169" s="2134"/>
      <c r="F169" s="2134"/>
      <c r="G169" s="2134"/>
      <c r="H169" s="2134"/>
      <c r="I169" s="2134"/>
      <c r="J169" s="2134"/>
      <c r="K169" s="2134"/>
      <c r="L169" s="2134"/>
      <c r="M169" s="2134"/>
      <c r="N169" s="2134"/>
      <c r="O169" s="2134"/>
      <c r="P169" s="2134"/>
      <c r="Q169" s="2134"/>
      <c r="R169" s="2134"/>
      <c r="S169" s="1220"/>
      <c r="T169" s="1220"/>
      <c r="U169" s="1228"/>
      <c r="V169" s="1228"/>
      <c r="W169" s="1228"/>
      <c r="X169" s="1228"/>
    </row>
    <row r="170" spans="2:24">
      <c r="B170" s="1220"/>
      <c r="C170" s="1220"/>
      <c r="D170" s="2134"/>
      <c r="E170" s="2134"/>
      <c r="F170" s="2134"/>
      <c r="G170" s="2134"/>
      <c r="H170" s="2134"/>
      <c r="I170" s="2134"/>
      <c r="J170" s="2134"/>
      <c r="K170" s="2134"/>
      <c r="L170" s="2134"/>
      <c r="M170" s="2134"/>
      <c r="N170" s="2134"/>
      <c r="O170" s="2134"/>
      <c r="P170" s="2134"/>
      <c r="Q170" s="2134"/>
      <c r="R170" s="2134"/>
      <c r="S170" s="1220"/>
      <c r="T170" s="1220"/>
      <c r="U170" s="1228"/>
      <c r="V170" s="1228"/>
      <c r="W170" s="1228"/>
      <c r="X170" s="1228"/>
    </row>
    <row r="171" spans="2:24">
      <c r="B171" s="1220"/>
      <c r="C171" s="1220"/>
      <c r="D171" s="1220"/>
      <c r="E171" s="1220"/>
      <c r="F171" s="1220"/>
      <c r="G171" s="1220"/>
      <c r="H171" s="1220"/>
      <c r="I171" s="1220"/>
      <c r="J171" s="1220"/>
      <c r="K171" s="1220"/>
      <c r="L171" s="1220"/>
      <c r="M171" s="1220"/>
      <c r="N171" s="1220"/>
      <c r="O171" s="1220"/>
      <c r="P171" s="1220"/>
      <c r="Q171" s="1220"/>
      <c r="R171" s="1220"/>
      <c r="S171" s="1220"/>
      <c r="T171" s="1220"/>
      <c r="U171" s="1228"/>
      <c r="V171" s="1228"/>
      <c r="W171" s="1228"/>
      <c r="X171" s="1228"/>
    </row>
  </sheetData>
  <sheetProtection algorithmName="SHA-512" hashValue="WAEIwHqJ05pRdpp7g+lj2f7j3xTN6VsdyfDnywcjv9jnJ34uBfHov18V+hVpssAsrTKv1WpHXxehZLZFuy5TeQ==" saltValue="Xgq4MIozF7e1ZGd3ZT9y5Q==" spinCount="100000" sheet="1" objects="1" scenarios="1" selectLockedCells="1"/>
  <dataConsolidate/>
  <mergeCells count="74">
    <mergeCell ref="D167:R170"/>
    <mergeCell ref="H126:I126"/>
    <mergeCell ref="H128:I128"/>
    <mergeCell ref="H129:I129"/>
    <mergeCell ref="H130:I130"/>
    <mergeCell ref="D148:R151"/>
    <mergeCell ref="D155:R162"/>
    <mergeCell ref="H124:I124"/>
    <mergeCell ref="E91:I91"/>
    <mergeCell ref="C92:D92"/>
    <mergeCell ref="E92:I92"/>
    <mergeCell ref="H119:I119"/>
    <mergeCell ref="H118:I118"/>
    <mergeCell ref="H125:I125"/>
    <mergeCell ref="M87:P87"/>
    <mergeCell ref="C88:D88"/>
    <mergeCell ref="E88:I88"/>
    <mergeCell ref="M88:P88"/>
    <mergeCell ref="C89:D89"/>
    <mergeCell ref="E89:I89"/>
    <mergeCell ref="M89:S92"/>
    <mergeCell ref="C90:D90"/>
    <mergeCell ref="E90:I90"/>
    <mergeCell ref="C91:D91"/>
    <mergeCell ref="C87:I87"/>
    <mergeCell ref="H120:I120"/>
    <mergeCell ref="H121:I121"/>
    <mergeCell ref="H122:I122"/>
    <mergeCell ref="H123:I123"/>
    <mergeCell ref="D83:F83"/>
    <mergeCell ref="D84:F84"/>
    <mergeCell ref="D85:F85"/>
    <mergeCell ref="H85:K85"/>
    <mergeCell ref="J86:L86"/>
    <mergeCell ref="D79:F79"/>
    <mergeCell ref="D80:F80"/>
    <mergeCell ref="D81:F81"/>
    <mergeCell ref="H81:K81"/>
    <mergeCell ref="D82:F82"/>
    <mergeCell ref="I82:J82"/>
    <mergeCell ref="D77:F77"/>
    <mergeCell ref="G77:I77"/>
    <mergeCell ref="J77:L77"/>
    <mergeCell ref="D78:F78"/>
    <mergeCell ref="G78:I78"/>
    <mergeCell ref="J78:L78"/>
    <mergeCell ref="D75:F75"/>
    <mergeCell ref="G75:I75"/>
    <mergeCell ref="J75:L75"/>
    <mergeCell ref="D76:F76"/>
    <mergeCell ref="G76:I76"/>
    <mergeCell ref="J76:L76"/>
    <mergeCell ref="BF14:BG14"/>
    <mergeCell ref="BB14:BC14"/>
    <mergeCell ref="AS14:AU14"/>
    <mergeCell ref="D74:F74"/>
    <mergeCell ref="G74:I74"/>
    <mergeCell ref="J74:L74"/>
    <mergeCell ref="AV14:AX14"/>
    <mergeCell ref="AY14:BA14"/>
    <mergeCell ref="M69:N69"/>
    <mergeCell ref="C71:R71"/>
    <mergeCell ref="C72:C73"/>
    <mergeCell ref="D73:F73"/>
    <mergeCell ref="G73:I73"/>
    <mergeCell ref="J73:L73"/>
    <mergeCell ref="M72:R72"/>
    <mergeCell ref="R67:T67"/>
    <mergeCell ref="C69:E69"/>
    <mergeCell ref="D13:F13"/>
    <mergeCell ref="AD13:AR13"/>
    <mergeCell ref="AD14:AD15"/>
    <mergeCell ref="AE14:AK14"/>
    <mergeCell ref="AL14:AR14"/>
  </mergeCells>
  <phoneticPr fontId="12" type="noConversion"/>
  <conditionalFormatting sqref="G74:I74">
    <cfRule type="expression" dxfId="302" priority="10">
      <formula>$C$74="Yes"</formula>
    </cfRule>
  </conditionalFormatting>
  <conditionalFormatting sqref="G75:L75">
    <cfRule type="expression" dxfId="301" priority="9">
      <formula>$C$75="Yes"</formula>
    </cfRule>
  </conditionalFormatting>
  <conditionalFormatting sqref="G76:L76">
    <cfRule type="expression" dxfId="300" priority="8">
      <formula>$C$76="Yes"</formula>
    </cfRule>
  </conditionalFormatting>
  <conditionalFormatting sqref="G77:L77">
    <cfRule type="expression" dxfId="299" priority="7">
      <formula>$C$77="Yes"</formula>
    </cfRule>
  </conditionalFormatting>
  <conditionalFormatting sqref="G78:L78">
    <cfRule type="expression" dxfId="298" priority="6">
      <formula>$C$78="Yes"</formula>
    </cfRule>
  </conditionalFormatting>
  <conditionalFormatting sqref="J74:L74">
    <cfRule type="expression" dxfId="297" priority="1">
      <formula>$C$77="Yes"</formula>
    </cfRule>
  </conditionalFormatting>
  <conditionalFormatting sqref="K16:K65">
    <cfRule type="expression" dxfId="296" priority="3">
      <formula>IF($J16="Low Income",$N16&gt;$O16)</formula>
    </cfRule>
  </conditionalFormatting>
  <conditionalFormatting sqref="K135">
    <cfRule type="expression" dxfId="295" priority="11">
      <formula>$G$135="Yes"</formula>
    </cfRule>
  </conditionalFormatting>
  <conditionalFormatting sqref="M16:M65">
    <cfRule type="expression" dxfId="294" priority="5">
      <formula>IF($J16="Low Income",$N16&gt;$O16)</formula>
    </cfRule>
  </conditionalFormatting>
  <dataValidations count="15">
    <dataValidation type="list" allowBlank="1" showInputMessage="1" showErrorMessage="1" sqref="I66" xr:uid="{CF2EAD66-049A-40B9-BBDB-A7A686C54AF6}">
      <formula1>#REF!</formula1>
    </dataValidation>
    <dataValidation type="list" allowBlank="1" showInputMessage="1" showErrorMessage="1" sqref="F69 J69 G135:G138 G13 Q87 J88:J92" xr:uid="{D6ACAEA4-4F1B-44C2-AEE3-A0712B9A2988}">
      <formula1>YesNo</formula1>
    </dataValidation>
    <dataValidation type="list" allowBlank="1" showInputMessage="1" showErrorMessage="1" sqref="H81:K81" xr:uid="{461CCC9E-610D-43BB-9AF6-B332889ADF5A}">
      <formula1>SourceUtlityAllowanceAssumptions</formula1>
    </dataValidation>
    <dataValidation type="list" allowBlank="1" showInputMessage="1" showErrorMessage="1" sqref="G74:I78" xr:uid="{79079896-025B-4ADC-8BE0-698614C9CA0B}">
      <formula1>UtilityTypes</formula1>
    </dataValidation>
    <dataValidation type="list" allowBlank="1" showInputMessage="1" showErrorMessage="1" sqref="J77:L77 J74:L74" xr:uid="{BCF4D5EA-2882-4183-8A3D-CFBF49E5F7E9}">
      <formula1>UtilityApplicanceType</formula1>
    </dataValidation>
    <dataValidation type="list" allowBlank="1" showInputMessage="1" showErrorMessage="1" sqref="J75:L75" xr:uid="{7E6B0DE0-AD46-4261-B5BF-02DCDBE8BC98}">
      <formula1>Cooling</formula1>
    </dataValidation>
    <dataValidation type="list" allowBlank="1" showInputMessage="1" showErrorMessage="1" sqref="J76:L76" xr:uid="{788AF96D-0FF3-4D81-B521-3E625EC2908F}">
      <formula1>Cooking</formula1>
    </dataValidation>
    <dataValidation type="list" allowBlank="1" showInputMessage="1" showErrorMessage="1" sqref="J78:L78" xr:uid="{72DB88E6-D191-43D2-A872-AFBEAF0D1E2E}">
      <formula1>Hot_Water</formula1>
    </dataValidation>
    <dataValidation type="whole" errorStyle="information" operator="greaterThan" allowBlank="1" showInputMessage="1" showErrorMessage="1" errorTitle="Square footage" error="Whole numbers only." sqref="G143" xr:uid="{8C69E1EC-D480-459E-A628-07435C84EAA2}">
      <formula1>0</formula1>
    </dataValidation>
    <dataValidation type="custom" allowBlank="1" showInputMessage="1" showErrorMessage="1" sqref="H1 A8:A49 A4:A6 A94 A102" xr:uid="{9393797B-A6C6-488C-B7AE-F4A093A68614}">
      <formula1>"&lt;0&gt;0"</formula1>
    </dataValidation>
    <dataValidation type="list" allowBlank="1" showInputMessage="1" showErrorMessage="1" sqref="I16:I65" xr:uid="{E04495E2-6851-4D5E-8DCD-F785D88371D7}">
      <formula1>IF(J16="VOUCHER",Voucher_CMI,CMI_Percentage_Unit_Mix)</formula1>
    </dataValidation>
    <dataValidation type="custom" allowBlank="1" showInputMessage="1" showErrorMessage="1" errorTitle="Numeric Value Error" error="Please enter numeric values only." sqref="G144 F96:G98 G16 F132 L132 K135 G142 H16:H65 H104:H113 G104" xr:uid="{059CABDD-3052-4EAD-8693-12E0C088B14C}">
      <formula1>ISNUMBER(F16)</formula1>
    </dataValidation>
    <dataValidation type="custom" showInputMessage="1" showErrorMessage="1" error="Please enter unit mix data in consecutive rows. Do not leave empty rows between unit mix data." sqref="G17:G65 G105:G113" xr:uid="{64491068-2117-4F25-A443-3E99A43DA2CD}">
      <formula1>NOT(ISBLANK(G16))</formula1>
    </dataValidation>
    <dataValidation type="custom" allowBlank="1" showInputMessage="1" showErrorMessage="1" errorTitle="Max HTC Rent Exceeded" error="Monthly Net Rent + Utility Allowance may not exceed Max HTC Rent." sqref="K16:K65" xr:uid="{6755ECB1-72E3-488A-9798-490C8B4F3081}">
      <formula1>IF(J16="Low Income",AND(P16&gt;=0,P16&lt;=1),P16&gt;=0)</formula1>
    </dataValidation>
    <dataValidation type="list" allowBlank="1" showInputMessage="1" showErrorMessage="1" sqref="V16:V65" xr:uid="{B491F6F4-0670-4C63-A3D7-6ED78F703443}">
      <formula1>"Yes, No"</formula1>
    </dataValidation>
  </dataValidations>
  <pageMargins left="0.7" right="0.7" top="0.75" bottom="0.75" header="0.3" footer="0.3"/>
  <pageSetup scale="24" orientation="portrait" r:id="rId1"/>
  <headerFooter>
    <oddHeader>&amp;L&amp;G</oddHeader>
    <oddFooter>&amp;LVersion - 2023.0.01&amp;CWHEDA MULTIFAMILY APPLICATION&amp;R&amp;P of &amp;N</oddFooter>
  </headerFooter>
  <colBreaks count="1" manualBreakCount="1">
    <brk id="23" min="3" max="161" man="1"/>
  </colBreaks>
  <legacy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B8916A24-5001-4EFC-B6CC-E7ED77EA1755}">
          <x14:formula1>
            <xm:f>'Dropdown Lists'!$S$3:$S$8</xm:f>
          </x14:formula1>
          <xm:sqref>D96:D98 E16:E65 E104:E113</xm:sqref>
        </x14:dataValidation>
        <x14:dataValidation type="list" allowBlank="1" showInputMessage="1" showErrorMessage="1" xr:uid="{AD3C5F3B-06AB-4468-AB7F-8D2E3A262F46}">
          <x14:formula1>
            <xm:f>'Dropdown Lists'!$T$3:$T$7</xm:f>
          </x14:formula1>
          <xm:sqref>E96:E98 F16:F65 F104:F113</xm:sqref>
        </x14:dataValidation>
        <x14:dataValidation type="list" allowBlank="1" showInputMessage="1" showErrorMessage="1" xr:uid="{2324FC6F-AF56-44AE-9A7A-C8C606A4F52C}">
          <x14:formula1>
            <xm:f>'Dropdown Lists'!$H$2:$H$5</xm:f>
          </x14:formula1>
          <xm:sqref>C96:C98 C104:C113 C16:C65</xm:sqref>
        </x14:dataValidation>
        <x14:dataValidation type="list" allowBlank="1" showInputMessage="1" showErrorMessage="1" xr:uid="{7C4D8B34-F826-4574-A8FE-2DFFBF77EC7B}">
          <x14:formula1>
            <xm:f>'Dropdown Lists'!$AA$2:$AA$3</xm:f>
          </x14:formula1>
          <xm:sqref>D104:D113 D16:D65</xm:sqref>
        </x14:dataValidation>
        <x14:dataValidation type="list" allowBlank="1" showInputMessage="1" showErrorMessage="1" xr:uid="{1C99716A-7530-4546-B981-11F2F7354308}">
          <x14:formula1>
            <xm:f>IF(OR(NOT(I16&lt;&gt;0.6),NOT(I16&lt;&gt;0.3),ISBLANK(I16)),'Dropdown Lists'!$W$2:$W$5,Non_Voucher_Unit_Types)</xm:f>
          </x14:formula1>
          <xm:sqref>J16:J65</xm:sqref>
        </x14:dataValidation>
        <x14:dataValidation type="list" allowBlank="1" showInputMessage="1" showErrorMessage="1" xr:uid="{7D2ACA45-3F0A-45D2-91B7-7173264931E0}">
          <x14:formula1>
            <xm:f>'Dropdown Lists'!$AG$2:$AG$3</xm:f>
          </x14:formula1>
          <xm:sqref>C74:C85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BD5-01DD-4526-9339-921E06ECDE76}">
  <sheetPr codeName="Sheet12">
    <pageSetUpPr fitToPage="1"/>
  </sheetPr>
  <dimension ref="A1:AQ104"/>
  <sheetViews>
    <sheetView workbookViewId="0">
      <selection activeCell="E11" sqref="E11"/>
    </sheetView>
  </sheetViews>
  <sheetFormatPr baseColWidth="10" defaultColWidth="9.1640625" defaultRowHeight="15"/>
  <cols>
    <col min="1" max="2" width="5.83203125" style="97" customWidth="1"/>
    <col min="3" max="3" width="44.33203125" style="29" customWidth="1"/>
    <col min="4" max="4" width="27" style="29" customWidth="1"/>
    <col min="5" max="5" width="23" style="29" customWidth="1"/>
    <col min="6" max="6" width="30.33203125" style="29" customWidth="1"/>
    <col min="7" max="7" width="21.5" style="29" customWidth="1"/>
    <col min="8" max="8" width="37.33203125" style="29" customWidth="1"/>
    <col min="9" max="9" width="17.1640625" style="29" customWidth="1"/>
    <col min="10" max="10" width="29.33203125" style="29" customWidth="1"/>
    <col min="11" max="11" width="10.6640625" style="29" customWidth="1"/>
    <col min="12" max="12" width="14.1640625" style="29" customWidth="1"/>
    <col min="13" max="13" width="27.1640625" style="29" customWidth="1"/>
    <col min="14" max="14" width="20" style="29" customWidth="1"/>
    <col min="15" max="15" width="4.5" style="367" customWidth="1"/>
    <col min="16" max="16" width="13" style="101" customWidth="1"/>
    <col min="17" max="17" width="24.5" style="101" customWidth="1"/>
    <col min="18" max="20" width="9.5" style="101" customWidth="1"/>
    <col min="21" max="21" width="9.1640625" style="101" customWidth="1"/>
    <col min="22" max="22" width="9.33203125" style="101" customWidth="1"/>
    <col min="23" max="24" width="9.1640625" style="101" customWidth="1"/>
    <col min="25" max="26" width="9.1640625" style="540" customWidth="1"/>
    <col min="27" max="43" width="9.1640625" style="540"/>
    <col min="44" max="16384" width="9.1640625" style="97"/>
  </cols>
  <sheetData>
    <row r="1" spans="1:43" s="76" customFormat="1" ht="29">
      <c r="B1" s="30" t="str">
        <f>'1. TOC'!B1</f>
        <v>WHEDA 2025 Multifamily Application</v>
      </c>
      <c r="C1" s="26"/>
      <c r="D1" s="30"/>
      <c r="E1" s="29"/>
      <c r="F1" s="379" t="str">
        <f>'1. TOC'!L1</f>
        <v>v25.1.9</v>
      </c>
      <c r="G1" s="1086" t="str">
        <f>HYPERLINK("#Table_of_Contents", Table_of_Contents)</f>
        <v>Table of Contents</v>
      </c>
      <c r="H1" s="29"/>
      <c r="I1" s="29"/>
      <c r="J1" s="29"/>
      <c r="K1" s="29"/>
      <c r="L1" s="29"/>
      <c r="M1" s="29"/>
      <c r="N1" s="29"/>
      <c r="O1" s="367"/>
      <c r="P1" s="101"/>
      <c r="Q1" s="98"/>
      <c r="R1" s="98"/>
      <c r="S1" s="98"/>
      <c r="T1" s="98"/>
      <c r="U1" s="98"/>
      <c r="V1" s="98"/>
      <c r="W1" s="98"/>
      <c r="X1" s="98"/>
      <c r="Y1" s="462"/>
      <c r="Z1" s="462"/>
      <c r="AA1" s="462"/>
      <c r="AB1" s="462"/>
      <c r="AC1" s="462"/>
      <c r="AD1" s="462"/>
      <c r="AE1" s="462"/>
      <c r="AF1" s="462"/>
      <c r="AG1" s="462"/>
      <c r="AH1" s="462"/>
      <c r="AI1" s="462"/>
      <c r="AJ1" s="462"/>
      <c r="AK1" s="462"/>
      <c r="AL1" s="462"/>
      <c r="AM1" s="462"/>
      <c r="AN1" s="462"/>
      <c r="AO1" s="462"/>
      <c r="AP1" s="462"/>
      <c r="AQ1" s="462"/>
    </row>
    <row r="2" spans="1:43" s="76" customFormat="1" ht="19">
      <c r="B2" s="934" t="str">
        <f>_xlfn.CONCAT(IF(ISBLANK(WHEDA_Project_Number),"",_xlfn.CONCAT(WHEDA_Project_Number,"-")), Project_Name, IF(ISBLANK(Credit_percentage_applied_for),"",_xlfn.CONCAT(" (", Credit_percentage_applied_for," HTC)")))</f>
        <v/>
      </c>
      <c r="C2" s="31"/>
      <c r="D2" s="31"/>
      <c r="E2" s="29"/>
      <c r="F2" s="29"/>
      <c r="G2" s="29"/>
      <c r="H2" s="29"/>
      <c r="I2" s="29"/>
      <c r="J2" s="29"/>
      <c r="K2" s="29"/>
      <c r="L2" s="29"/>
      <c r="M2" s="29"/>
      <c r="N2" s="29"/>
      <c r="O2" s="29"/>
      <c r="P2" s="101"/>
      <c r="Q2" s="98"/>
      <c r="R2" s="98"/>
      <c r="S2" s="98"/>
      <c r="T2" s="98"/>
      <c r="U2" s="98"/>
      <c r="V2" s="98"/>
      <c r="W2" s="98"/>
      <c r="X2" s="98"/>
      <c r="Y2" s="462"/>
      <c r="Z2" s="462"/>
      <c r="AA2" s="462"/>
      <c r="AB2" s="462"/>
      <c r="AC2" s="462"/>
      <c r="AD2" s="462"/>
      <c r="AE2" s="462"/>
      <c r="AF2" s="462"/>
      <c r="AG2" s="462"/>
      <c r="AH2" s="462"/>
      <c r="AI2" s="462"/>
      <c r="AJ2" s="462"/>
      <c r="AK2" s="462"/>
      <c r="AL2" s="462"/>
      <c r="AM2" s="462"/>
      <c r="AN2" s="462"/>
      <c r="AO2" s="462"/>
      <c r="AP2" s="462"/>
      <c r="AQ2" s="462"/>
    </row>
    <row r="3" spans="1:43" s="76" customFormat="1" ht="19">
      <c r="C3" s="32"/>
      <c r="D3" s="33"/>
      <c r="E3" s="33"/>
      <c r="F3" s="33"/>
      <c r="G3" s="33"/>
      <c r="H3" s="33"/>
      <c r="I3" s="33"/>
      <c r="J3" s="33"/>
      <c r="K3" s="33"/>
      <c r="L3" s="33"/>
      <c r="M3" s="33"/>
      <c r="N3" s="33"/>
      <c r="O3" s="33"/>
      <c r="P3" s="101"/>
      <c r="Q3" s="98"/>
      <c r="R3" s="98"/>
      <c r="S3" s="98"/>
      <c r="T3" s="98"/>
      <c r="U3" s="98"/>
      <c r="V3" s="98"/>
      <c r="W3" s="98"/>
      <c r="X3" s="98"/>
      <c r="Y3" s="462"/>
      <c r="Z3" s="462"/>
      <c r="AA3" s="462"/>
      <c r="AB3" s="462"/>
      <c r="AC3" s="462"/>
      <c r="AD3" s="462"/>
      <c r="AE3" s="462"/>
      <c r="AF3" s="462"/>
      <c r="AG3" s="462"/>
      <c r="AH3" s="462"/>
      <c r="AI3" s="462"/>
      <c r="AJ3" s="462"/>
      <c r="AK3" s="462"/>
      <c r="AL3" s="462"/>
      <c r="AM3" s="462"/>
      <c r="AN3" s="462"/>
      <c r="AO3" s="462"/>
      <c r="AP3" s="462"/>
      <c r="AQ3" s="462"/>
    </row>
    <row r="4" spans="1:43" ht="29">
      <c r="B4" s="4" t="s">
        <v>2589</v>
      </c>
      <c r="D4" s="39"/>
      <c r="O4" s="29"/>
    </row>
    <row r="5" spans="1:43">
      <c r="B5" s="1220"/>
      <c r="C5" s="1272" t="s">
        <v>3736</v>
      </c>
      <c r="D5" s="1220"/>
      <c r="E5" s="1220"/>
      <c r="F5" s="1220"/>
      <c r="G5" s="1220"/>
      <c r="H5" s="1220"/>
      <c r="I5" s="1220"/>
      <c r="J5" s="1220"/>
      <c r="K5" s="1220"/>
      <c r="L5" s="1220"/>
      <c r="M5" s="1220"/>
      <c r="N5" s="1220"/>
      <c r="O5" s="1220"/>
    </row>
    <row r="6" spans="1:43">
      <c r="B6" s="1220"/>
      <c r="C6" s="1220" t="s">
        <v>3747</v>
      </c>
      <c r="D6" s="1220"/>
      <c r="E6" s="1220"/>
      <c r="F6" s="1220"/>
      <c r="G6" s="1220"/>
      <c r="H6" s="1220"/>
      <c r="I6" s="1220"/>
      <c r="J6" s="1220"/>
      <c r="K6" s="1220"/>
      <c r="L6" s="1220"/>
      <c r="M6" s="1220"/>
      <c r="N6" s="1220"/>
      <c r="O6" s="1220"/>
    </row>
    <row r="7" spans="1:43" s="3" customFormat="1" ht="19">
      <c r="B7" s="8" t="s">
        <v>3853</v>
      </c>
      <c r="P7" s="9"/>
      <c r="Q7" s="9"/>
      <c r="R7" s="9"/>
      <c r="S7" s="9"/>
      <c r="T7" s="9"/>
      <c r="U7" s="9"/>
      <c r="V7" s="9"/>
      <c r="W7" s="9"/>
      <c r="X7" s="9"/>
      <c r="Y7" s="149"/>
      <c r="Z7" s="149"/>
      <c r="AA7" s="149"/>
      <c r="AB7" s="149"/>
      <c r="AC7" s="149"/>
      <c r="AD7" s="149"/>
      <c r="AE7" s="149"/>
      <c r="AF7" s="149"/>
      <c r="AG7" s="149"/>
      <c r="AH7" s="149"/>
    </row>
    <row r="8" spans="1:43" s="3" customFormat="1" ht="16">
      <c r="B8" s="1456" t="s">
        <v>3260</v>
      </c>
      <c r="C8" s="1220"/>
      <c r="D8" s="1220"/>
      <c r="E8" s="1220"/>
      <c r="F8" s="1220"/>
      <c r="G8" s="1220"/>
      <c r="H8" s="1220"/>
      <c r="I8" s="1220"/>
      <c r="J8" s="1220"/>
      <c r="K8" s="1220"/>
      <c r="L8" s="1220"/>
      <c r="M8" s="1220"/>
      <c r="N8" s="1220"/>
      <c r="O8" s="1220"/>
      <c r="P8" s="9"/>
      <c r="Q8" s="9"/>
      <c r="R8" s="9"/>
      <c r="S8" s="9"/>
      <c r="T8" s="9"/>
      <c r="U8" s="9"/>
      <c r="V8" s="9"/>
      <c r="W8" s="9"/>
      <c r="X8" s="9"/>
      <c r="Y8" s="149"/>
      <c r="Z8" s="149"/>
      <c r="AA8" s="149"/>
      <c r="AB8" s="149"/>
      <c r="AC8" s="149"/>
      <c r="AD8" s="149"/>
      <c r="AE8" s="149"/>
      <c r="AF8" s="149"/>
      <c r="AG8" s="149"/>
      <c r="AH8" s="149"/>
    </row>
    <row r="9" spans="1:43">
      <c r="B9" s="1220"/>
      <c r="C9" s="1261" t="s">
        <v>3854</v>
      </c>
      <c r="D9" s="1220"/>
      <c r="E9" s="1220"/>
      <c r="F9" s="1220"/>
      <c r="G9" s="1220"/>
      <c r="H9" s="1220"/>
      <c r="I9" s="1220"/>
      <c r="J9" s="1220"/>
      <c r="K9" s="1220"/>
      <c r="L9" s="1220"/>
      <c r="M9" s="1220"/>
      <c r="N9" s="1264"/>
      <c r="O9" s="1220"/>
      <c r="P9" s="361"/>
      <c r="Q9" s="361"/>
      <c r="R9" s="361"/>
      <c r="S9" s="361"/>
      <c r="T9" s="361"/>
      <c r="U9" s="361"/>
      <c r="V9" s="361"/>
      <c r="W9" s="361"/>
    </row>
    <row r="10" spans="1:43" ht="15" customHeight="1">
      <c r="B10" s="1220"/>
      <c r="C10" s="80" t="s">
        <v>3855</v>
      </c>
      <c r="D10" s="80" t="s">
        <v>3856</v>
      </c>
      <c r="E10" s="80" t="s">
        <v>2604</v>
      </c>
      <c r="F10" s="80" t="s">
        <v>3857</v>
      </c>
      <c r="G10" s="80" t="s">
        <v>3858</v>
      </c>
      <c r="H10" s="80" t="s">
        <v>3859</v>
      </c>
      <c r="I10" s="80" t="s">
        <v>3860</v>
      </c>
      <c r="J10" s="80" t="s">
        <v>3861</v>
      </c>
      <c r="K10" s="80" t="s">
        <v>3862</v>
      </c>
      <c r="L10" s="80" t="s">
        <v>3863</v>
      </c>
      <c r="M10" s="80" t="s">
        <v>3864</v>
      </c>
      <c r="N10" s="80" t="s">
        <v>3865</v>
      </c>
      <c r="O10" s="1220"/>
      <c r="P10" s="361"/>
      <c r="Q10" s="361"/>
      <c r="R10" s="361"/>
      <c r="S10" s="361"/>
      <c r="T10" s="361"/>
      <c r="U10" s="361"/>
      <c r="V10" s="361"/>
      <c r="W10" s="361"/>
    </row>
    <row r="11" spans="1:43">
      <c r="A11" s="154"/>
      <c r="B11" s="1220"/>
      <c r="C11" s="789" t="s">
        <v>3689</v>
      </c>
      <c r="D11" s="789" t="s">
        <v>265</v>
      </c>
      <c r="E11" s="270"/>
      <c r="F11" s="1719">
        <f>IF(E$56=0, 0, Amount_1/E$56)</f>
        <v>0</v>
      </c>
      <c r="G11" s="119"/>
      <c r="H11" s="119"/>
      <c r="I11" s="119"/>
      <c r="J11" s="119"/>
      <c r="K11" s="271"/>
      <c r="L11" s="272"/>
      <c r="M11" s="125"/>
      <c r="N11" s="40">
        <f t="shared" ref="N11:N17" si="0">IF(ISNUMBER((-PMT(K11/12,M11*12,E11)*12)), IF(J11=$R$11,(-PMT(K11/12,M11*12,E11)*12),0), 0)</f>
        <v>0</v>
      </c>
      <c r="O11" s="1220"/>
      <c r="P11" s="361" t="b">
        <f t="shared" ref="P11:P20" si="1">G11="Yes"</f>
        <v>0</v>
      </c>
      <c r="Q11" s="361" t="b">
        <f>AND(OR(P12:P20), NOT(P11))</f>
        <v>0</v>
      </c>
      <c r="R11" s="361" t="s">
        <v>3866</v>
      </c>
      <c r="S11" s="361"/>
      <c r="T11" s="361"/>
      <c r="U11" s="361" t="b">
        <f>IF(I11="Yes", Amount_1*Rate_1/12)</f>
        <v>0</v>
      </c>
      <c r="V11" s="361" t="s">
        <v>3867</v>
      </c>
      <c r="W11" s="361" t="s">
        <v>3868</v>
      </c>
      <c r="X11" s="361" t="s">
        <v>3869</v>
      </c>
      <c r="Y11" s="1076"/>
    </row>
    <row r="12" spans="1:43">
      <c r="B12" s="1220"/>
      <c r="C12" s="789" t="s">
        <v>3691</v>
      </c>
      <c r="D12" s="789" t="s">
        <v>265</v>
      </c>
      <c r="E12" s="270"/>
      <c r="F12" s="1719">
        <f>IF(E$56=0, 0, Amount_2/E$56)</f>
        <v>0</v>
      </c>
      <c r="G12" s="119"/>
      <c r="H12" s="119"/>
      <c r="I12" s="119"/>
      <c r="J12" s="119"/>
      <c r="K12" s="271"/>
      <c r="L12" s="272"/>
      <c r="M12" s="125"/>
      <c r="N12" s="40">
        <f t="shared" si="0"/>
        <v>0</v>
      </c>
      <c r="O12" s="1220"/>
      <c r="P12" s="361" t="b">
        <f t="shared" si="1"/>
        <v>0</v>
      </c>
      <c r="Q12" s="361"/>
      <c r="R12" s="361" t="s">
        <v>3870</v>
      </c>
      <c r="S12" s="361"/>
      <c r="T12" s="361"/>
      <c r="U12" s="361"/>
      <c r="V12" s="361">
        <f>IF(G11="Yes",E11,0)</f>
        <v>0</v>
      </c>
      <c r="W12" s="361" cm="1">
        <f t="array" ref="W12">IF(AND(G61="Yes",E61&lt;&gt;$E$11:$E$23),E61,0)</f>
        <v>0</v>
      </c>
      <c r="X12" s="361">
        <f>SUM(_xlfn.UNIQUE(V12:W25))</f>
        <v>0</v>
      </c>
    </row>
    <row r="13" spans="1:43">
      <c r="B13" s="1220"/>
      <c r="C13" s="789" t="s">
        <v>3692</v>
      </c>
      <c r="D13" s="789" t="s">
        <v>265</v>
      </c>
      <c r="E13" s="270"/>
      <c r="F13" s="1719">
        <f>IF(E$56=0, 0, Amount_3/E$56)</f>
        <v>0</v>
      </c>
      <c r="G13" s="119"/>
      <c r="H13" s="119"/>
      <c r="I13" s="119"/>
      <c r="J13" s="119"/>
      <c r="K13" s="271"/>
      <c r="L13" s="272"/>
      <c r="M13" s="125"/>
      <c r="N13" s="40">
        <f t="shared" si="0"/>
        <v>0</v>
      </c>
      <c r="O13" s="1220"/>
      <c r="P13" s="361" t="b">
        <f t="shared" si="1"/>
        <v>0</v>
      </c>
      <c r="Q13" s="361"/>
      <c r="R13" s="361" t="s">
        <v>3871</v>
      </c>
      <c r="S13" s="361"/>
      <c r="T13" s="361"/>
      <c r="U13" s="361"/>
      <c r="V13" s="361">
        <f t="shared" ref="V13:V23" si="2">IF(G12="Yes",E12,0)</f>
        <v>0</v>
      </c>
      <c r="W13" s="361" cm="1">
        <f t="array" ref="W13">IF(AND(G62="Yes",E62&lt;&gt;$E$11:$E$23),E62,0)</f>
        <v>0</v>
      </c>
      <c r="Y13" s="1076"/>
    </row>
    <row r="14" spans="1:43">
      <c r="B14" s="1220"/>
      <c r="C14" s="789" t="s">
        <v>3693</v>
      </c>
      <c r="D14" s="789" t="s">
        <v>265</v>
      </c>
      <c r="E14" s="270"/>
      <c r="F14" s="1719">
        <f>IF(E$56=0, 0, Amount_4/E$56)</f>
        <v>0</v>
      </c>
      <c r="G14" s="119"/>
      <c r="H14" s="119"/>
      <c r="I14" s="119"/>
      <c r="J14" s="119"/>
      <c r="K14" s="271"/>
      <c r="L14" s="272"/>
      <c r="M14" s="125"/>
      <c r="N14" s="40">
        <f t="shared" si="0"/>
        <v>0</v>
      </c>
      <c r="O14" s="1220"/>
      <c r="P14" s="361" t="b">
        <f t="shared" si="1"/>
        <v>0</v>
      </c>
      <c r="Q14" s="361"/>
      <c r="R14" s="361" t="s">
        <v>3872</v>
      </c>
      <c r="S14" s="361"/>
      <c r="T14" s="361"/>
      <c r="U14" s="361"/>
      <c r="V14" s="361">
        <f t="shared" si="2"/>
        <v>0</v>
      </c>
      <c r="W14" s="361" cm="1">
        <f t="array" ref="W14">IF(AND(G63="Yes",E63&lt;&gt;$E$11:$E$23),E63,0)</f>
        <v>0</v>
      </c>
      <c r="X14" s="361"/>
      <c r="Y14" s="1076"/>
    </row>
    <row r="15" spans="1:43">
      <c r="B15" s="1220"/>
      <c r="C15" s="789" t="s">
        <v>3873</v>
      </c>
      <c r="D15" s="789" t="s">
        <v>265</v>
      </c>
      <c r="E15" s="270"/>
      <c r="F15" s="1719">
        <f>IF(E$56=0, 0, Amount_5/E$56)</f>
        <v>0</v>
      </c>
      <c r="G15" s="119"/>
      <c r="H15" s="119"/>
      <c r="I15" s="22" t="str">
        <f>+IF(OR(ISBLANK(E15),E15=0)," ",IF(E15&gt;0,"Yes","No"))</f>
        <v xml:space="preserve"> </v>
      </c>
      <c r="J15" s="119"/>
      <c r="K15" s="271"/>
      <c r="L15" s="272"/>
      <c r="M15" s="125"/>
      <c r="N15" s="40">
        <f t="shared" si="0"/>
        <v>0</v>
      </c>
      <c r="O15" s="1220"/>
      <c r="P15" s="361" t="b">
        <f t="shared" si="1"/>
        <v>0</v>
      </c>
      <c r="Q15" s="361"/>
      <c r="V15" s="361">
        <f t="shared" si="2"/>
        <v>0</v>
      </c>
      <c r="W15" s="361" cm="1">
        <f t="array" ref="W15">IF(AND(G64="Yes",E64&lt;&gt;$E$11:$E$23),E64,0)</f>
        <v>0</v>
      </c>
      <c r="X15" s="361"/>
      <c r="Y15" s="1076"/>
    </row>
    <row r="16" spans="1:43">
      <c r="B16" s="1220"/>
      <c r="C16" s="789" t="s">
        <v>3695</v>
      </c>
      <c r="D16" s="790" t="s">
        <v>3874</v>
      </c>
      <c r="E16" s="270"/>
      <c r="F16" s="1719">
        <f>IF(E$56=0, 0, Amount_6/E$56)</f>
        <v>0</v>
      </c>
      <c r="G16" s="119"/>
      <c r="H16" s="789"/>
      <c r="I16" s="119"/>
      <c r="J16" s="119"/>
      <c r="K16" s="271"/>
      <c r="L16" s="272"/>
      <c r="M16" s="125"/>
      <c r="N16" s="40">
        <f t="shared" si="0"/>
        <v>0</v>
      </c>
      <c r="O16" s="1220"/>
      <c r="P16" s="361" t="b">
        <f t="shared" si="1"/>
        <v>0</v>
      </c>
      <c r="Q16" s="361"/>
      <c r="V16" s="361">
        <f t="shared" si="2"/>
        <v>0</v>
      </c>
      <c r="W16" s="361" cm="1">
        <f t="array" ref="W16">IF(AND(G65="Yes",E65&lt;&gt;$E$11:$E$23),E65,0)</f>
        <v>0</v>
      </c>
      <c r="X16" s="361"/>
      <c r="Y16" s="1076"/>
    </row>
    <row r="17" spans="1:34">
      <c r="B17" s="1220"/>
      <c r="C17" s="789" t="s">
        <v>3696</v>
      </c>
      <c r="D17" s="124" t="s">
        <v>3875</v>
      </c>
      <c r="E17" s="270"/>
      <c r="F17" s="1719">
        <f>IF(E$56=0, 0, Amount_7/E$56)</f>
        <v>0</v>
      </c>
      <c r="G17" s="119"/>
      <c r="H17" s="789"/>
      <c r="I17" s="119"/>
      <c r="J17" s="119"/>
      <c r="K17" s="271"/>
      <c r="L17" s="272"/>
      <c r="N17" s="40">
        <f t="shared" si="0"/>
        <v>0</v>
      </c>
      <c r="O17" s="1220"/>
      <c r="P17" s="361" t="b">
        <f>G17="Yes"</f>
        <v>0</v>
      </c>
      <c r="Q17" s="361"/>
      <c r="V17" s="361">
        <f t="shared" si="2"/>
        <v>0</v>
      </c>
      <c r="W17" s="361" cm="1">
        <f t="array" ref="W17">IF(AND(G66="Yes",E66&lt;&gt;$E$11:$E$23),E66,0)</f>
        <v>0</v>
      </c>
      <c r="X17" s="361"/>
      <c r="Y17" s="1076"/>
    </row>
    <row r="18" spans="1:34">
      <c r="B18" s="1220"/>
      <c r="C18" s="207" t="s">
        <v>347</v>
      </c>
      <c r="D18" s="124" t="s">
        <v>3876</v>
      </c>
      <c r="E18" s="270"/>
      <c r="F18" s="1719">
        <f>IF(E$56=0, 0, Amount_8/E$56)</f>
        <v>0</v>
      </c>
      <c r="G18" s="119"/>
      <c r="H18" s="789"/>
      <c r="I18" s="119"/>
      <c r="J18" s="119"/>
      <c r="K18" s="271"/>
      <c r="L18" s="272"/>
      <c r="M18" s="125"/>
      <c r="N18" s="40">
        <f t="shared" ref="N18:N23" si="3">IF(ISNUMBER((-PMT(K18/12,M18*12,E18)*12)), IF(J18=$R$11,(-PMT(K18/12,M18*12,E18)*12),0), 0)</f>
        <v>0</v>
      </c>
      <c r="O18" s="1220"/>
      <c r="P18" s="361" t="b">
        <f t="shared" si="1"/>
        <v>0</v>
      </c>
      <c r="Q18" s="361"/>
      <c r="V18" s="361">
        <f t="shared" si="2"/>
        <v>0</v>
      </c>
      <c r="W18" s="361" cm="1">
        <f t="array" ref="W18">IF(AND(G67="Yes",E67&lt;&gt;$E$11:$E$23),E67,0)</f>
        <v>0</v>
      </c>
      <c r="Y18" s="1076"/>
    </row>
    <row r="19" spans="1:34">
      <c r="B19" s="1220"/>
      <c r="C19" s="207" t="s">
        <v>347</v>
      </c>
      <c r="D19" s="124" t="s">
        <v>3876</v>
      </c>
      <c r="E19" s="270"/>
      <c r="F19" s="1719">
        <f>IF(E$56=0, 0, Amount_9/E$56)</f>
        <v>0</v>
      </c>
      <c r="G19" s="119"/>
      <c r="H19" s="789"/>
      <c r="I19" s="119"/>
      <c r="J19" s="119"/>
      <c r="K19" s="271"/>
      <c r="L19" s="272"/>
      <c r="M19" s="125"/>
      <c r="N19" s="40">
        <f t="shared" si="3"/>
        <v>0</v>
      </c>
      <c r="O19" s="1220"/>
      <c r="P19" s="361" t="b">
        <f t="shared" si="1"/>
        <v>0</v>
      </c>
      <c r="Q19" s="361"/>
      <c r="V19" s="361">
        <f t="shared" si="2"/>
        <v>0</v>
      </c>
      <c r="W19" s="361" cm="1">
        <f t="array" ref="W19">IF(AND(G68="Yes",E68&lt;&gt;$E$11:$E$23),E68,0)</f>
        <v>0</v>
      </c>
      <c r="Y19" s="1076"/>
    </row>
    <row r="20" spans="1:34">
      <c r="B20" s="1220"/>
      <c r="C20" s="207" t="s">
        <v>347</v>
      </c>
      <c r="D20" s="124" t="s">
        <v>3876</v>
      </c>
      <c r="E20" s="270"/>
      <c r="F20" s="1719">
        <f>IF(E$56=0, 0, Amount_10/E$56)</f>
        <v>0</v>
      </c>
      <c r="G20" s="119"/>
      <c r="H20" s="789"/>
      <c r="I20" s="119"/>
      <c r="J20" s="119"/>
      <c r="K20" s="271"/>
      <c r="L20" s="272"/>
      <c r="M20" s="125"/>
      <c r="N20" s="40">
        <f t="shared" si="3"/>
        <v>0</v>
      </c>
      <c r="O20" s="1220"/>
      <c r="P20" s="361" t="b">
        <f t="shared" si="1"/>
        <v>0</v>
      </c>
      <c r="Q20" s="361"/>
      <c r="V20" s="361">
        <f t="shared" si="2"/>
        <v>0</v>
      </c>
      <c r="W20" s="361" cm="1">
        <f t="array" ref="W20">IF(AND(G69="Yes",E69&lt;&gt;$E$11:$E$23),E69,0)</f>
        <v>0</v>
      </c>
    </row>
    <row r="21" spans="1:34">
      <c r="B21" s="1220"/>
      <c r="C21" s="207" t="s">
        <v>347</v>
      </c>
      <c r="D21" s="124" t="s">
        <v>3876</v>
      </c>
      <c r="E21" s="270"/>
      <c r="F21" s="1719">
        <f>IF(E$56=0, 0, Amount_11/E$56)</f>
        <v>0</v>
      </c>
      <c r="G21" s="119"/>
      <c r="H21" s="789"/>
      <c r="I21" s="119"/>
      <c r="J21" s="119"/>
      <c r="K21" s="271"/>
      <c r="L21" s="272"/>
      <c r="M21" s="125"/>
      <c r="N21" s="40">
        <f t="shared" si="3"/>
        <v>0</v>
      </c>
      <c r="O21" s="1220"/>
      <c r="P21" s="361"/>
      <c r="Q21" s="361"/>
      <c r="V21" s="361">
        <f t="shared" si="2"/>
        <v>0</v>
      </c>
      <c r="W21" s="361" cm="1">
        <f t="array" ref="W21">IF(AND(G70="Yes",E70&lt;&gt;$E$11:$E$23),E70,0)</f>
        <v>0</v>
      </c>
    </row>
    <row r="22" spans="1:34">
      <c r="B22" s="1220"/>
      <c r="C22" s="207" t="s">
        <v>347</v>
      </c>
      <c r="D22" s="124" t="s">
        <v>3876</v>
      </c>
      <c r="E22" s="270"/>
      <c r="F22" s="1719">
        <f>IF(E$56=0, 0, Amount_12/E$56)</f>
        <v>0</v>
      </c>
      <c r="G22" s="119"/>
      <c r="H22" s="789"/>
      <c r="I22" s="119"/>
      <c r="J22" s="119"/>
      <c r="K22" s="271"/>
      <c r="L22" s="272"/>
      <c r="M22" s="125"/>
      <c r="N22" s="40">
        <f t="shared" si="3"/>
        <v>0</v>
      </c>
      <c r="O22" s="1220"/>
      <c r="P22" s="361"/>
      <c r="Q22" s="361"/>
      <c r="V22" s="361">
        <f t="shared" si="2"/>
        <v>0</v>
      </c>
      <c r="W22" s="361" cm="1">
        <f t="array" ref="W22">IF(AND(G71="Yes",E71&lt;&gt;$E$11:$E$23),E71,0)</f>
        <v>0</v>
      </c>
    </row>
    <row r="23" spans="1:34">
      <c r="B23" s="1220"/>
      <c r="C23" s="207" t="s">
        <v>347</v>
      </c>
      <c r="D23" s="124" t="s">
        <v>3876</v>
      </c>
      <c r="E23" s="270"/>
      <c r="F23" s="1719">
        <f>IF(E$56=0, 0, Amount_13/E$56)</f>
        <v>0</v>
      </c>
      <c r="G23" s="119"/>
      <c r="H23" s="789"/>
      <c r="I23" s="119"/>
      <c r="J23" s="119"/>
      <c r="K23" s="271"/>
      <c r="L23" s="272"/>
      <c r="M23" s="125"/>
      <c r="N23" s="40">
        <f t="shared" si="3"/>
        <v>0</v>
      </c>
      <c r="O23" s="1220"/>
      <c r="P23" s="361"/>
      <c r="Q23" s="361"/>
      <c r="V23" s="361">
        <f t="shared" si="2"/>
        <v>0</v>
      </c>
      <c r="W23" s="361" cm="1">
        <f t="array" ref="W23">IF(AND(G72="Yes",E72&lt;&gt;$E$11:$E$23),E72,0)</f>
        <v>0</v>
      </c>
    </row>
    <row r="24" spans="1:34">
      <c r="B24" s="1220"/>
      <c r="C24" s="1220"/>
      <c r="D24" s="1459" t="s">
        <v>3877</v>
      </c>
      <c r="E24" s="1454">
        <f>SUM(E11:E23)</f>
        <v>0</v>
      </c>
      <c r="F24" s="1455">
        <f>SUM(F11:F23)</f>
        <v>0</v>
      </c>
      <c r="G24" s="1220"/>
      <c r="H24" s="1220"/>
      <c r="I24" s="1220"/>
      <c r="J24" s="1220"/>
      <c r="K24" s="1220"/>
      <c r="L24" s="1220"/>
      <c r="M24" s="1220"/>
      <c r="N24" s="1220"/>
      <c r="O24" s="1220"/>
      <c r="P24" s="361"/>
      <c r="Q24" s="361"/>
      <c r="V24" s="361"/>
      <c r="W24" s="361"/>
    </row>
    <row r="25" spans="1:34" s="367" customFormat="1" ht="15" customHeight="1">
      <c r="B25" s="1473"/>
      <c r="C25" s="2137"/>
      <c r="D25" s="2137"/>
      <c r="E25" s="2137"/>
      <c r="F25" s="2137"/>
      <c r="G25" s="1474"/>
      <c r="H25" s="1474"/>
      <c r="I25" s="1474"/>
      <c r="J25" s="1474"/>
      <c r="K25" s="1474"/>
      <c r="L25" s="1475">
        <f>SUM(N11:N20)</f>
        <v>0</v>
      </c>
      <c r="M25" s="1473"/>
      <c r="N25" s="1473"/>
      <c r="O25" s="1473"/>
      <c r="P25" s="361"/>
      <c r="Q25" s="361"/>
      <c r="R25" s="361"/>
      <c r="S25" s="361"/>
      <c r="T25" s="361"/>
      <c r="U25" s="361"/>
      <c r="V25" s="361">
        <f>IF(G23="Yes",E23,0)</f>
        <v>0</v>
      </c>
      <c r="W25" s="361" cm="1">
        <f t="array" ref="W25">IF(AND(G73="Yes",E73&lt;&gt;$E$11:$E$23),E73,0)</f>
        <v>0</v>
      </c>
      <c r="X25" s="101"/>
    </row>
    <row r="26" spans="1:34" s="3" customFormat="1" ht="16">
      <c r="B26" s="1456" t="s">
        <v>2669</v>
      </c>
      <c r="C26" s="1220"/>
      <c r="D26" s="1220"/>
      <c r="E26" s="1220"/>
      <c r="F26" s="1220"/>
      <c r="G26" s="1220"/>
      <c r="H26" s="1220"/>
      <c r="I26" s="1220"/>
      <c r="J26" s="1220"/>
      <c r="K26" s="1220"/>
      <c r="L26" s="1220"/>
      <c r="M26" s="1220"/>
      <c r="N26" s="1220"/>
      <c r="O26" s="1220"/>
      <c r="P26" s="9"/>
      <c r="Q26" s="9"/>
      <c r="R26" s="9"/>
      <c r="S26" s="9"/>
      <c r="T26" s="9"/>
      <c r="U26" s="9"/>
      <c r="V26" s="9"/>
      <c r="W26" s="9"/>
      <c r="X26" s="9"/>
      <c r="Y26" s="149"/>
      <c r="Z26" s="149"/>
      <c r="AA26" s="149"/>
      <c r="AB26" s="149"/>
      <c r="AC26" s="149"/>
      <c r="AD26" s="149"/>
      <c r="AE26" s="149"/>
      <c r="AF26" s="149"/>
      <c r="AG26" s="149"/>
      <c r="AH26" s="149"/>
    </row>
    <row r="27" spans="1:34">
      <c r="B27" s="1220"/>
      <c r="C27" s="1261" t="s">
        <v>3878</v>
      </c>
      <c r="D27" s="1265"/>
      <c r="E27" s="1266"/>
      <c r="F27" s="1220"/>
      <c r="G27" s="1220"/>
      <c r="H27" s="1220"/>
      <c r="I27" s="1220"/>
      <c r="J27" s="1220"/>
      <c r="K27" s="1220"/>
      <c r="L27" s="1220"/>
      <c r="M27" s="1220"/>
      <c r="N27" s="1264"/>
      <c r="O27" s="1220"/>
      <c r="P27" s="361"/>
      <c r="Q27" s="1078" t="s">
        <v>3879</v>
      </c>
      <c r="R27" s="361">
        <f>TC_Percent</f>
        <v>0</v>
      </c>
      <c r="S27" s="361"/>
      <c r="T27" s="361"/>
      <c r="U27" s="361"/>
    </row>
    <row r="28" spans="1:34" ht="15" customHeight="1">
      <c r="B28" s="1220"/>
      <c r="C28" s="80" t="s">
        <v>3855</v>
      </c>
      <c r="D28" s="80" t="s">
        <v>3856</v>
      </c>
      <c r="E28" s="80" t="s">
        <v>2604</v>
      </c>
      <c r="F28" s="80" t="s">
        <v>3857</v>
      </c>
      <c r="G28" s="1220"/>
      <c r="H28" s="1220"/>
      <c r="I28" s="1220"/>
      <c r="J28" s="1220"/>
      <c r="K28" s="1220"/>
      <c r="L28" s="1220"/>
      <c r="M28" s="1220"/>
      <c r="N28" s="1264"/>
      <c r="O28" s="1220"/>
      <c r="P28" s="361"/>
      <c r="Q28" s="361"/>
      <c r="R28" s="361"/>
      <c r="S28" s="361"/>
      <c r="T28" s="361"/>
      <c r="U28" s="361"/>
    </row>
    <row r="29" spans="1:34">
      <c r="A29" s="154"/>
      <c r="B29" s="1220"/>
      <c r="C29" s="789" t="s">
        <v>3698</v>
      </c>
      <c r="D29" s="126" t="s">
        <v>3880</v>
      </c>
      <c r="E29" s="273">
        <v>0</v>
      </c>
      <c r="F29" s="1719">
        <f>IF($E$56=0, 0, Grant_Amount_1/$E$56)</f>
        <v>0</v>
      </c>
      <c r="G29" s="1220"/>
      <c r="H29" s="1220"/>
      <c r="I29" s="1220"/>
      <c r="J29" s="1220"/>
      <c r="K29" s="1220"/>
      <c r="L29" s="1220"/>
      <c r="M29" s="1220"/>
      <c r="N29" s="1264"/>
      <c r="O29" s="1220"/>
      <c r="P29" s="361"/>
      <c r="Q29" s="1079" t="s">
        <v>3881</v>
      </c>
      <c r="R29" s="1500">
        <f>IF('14. Project Costs'!G214="", 0, '14. Project Costs'!G214)</f>
        <v>0</v>
      </c>
      <c r="S29" s="1500">
        <f>IF('14. Project Costs'!F214="", 0, '14. Project Costs'!F214)</f>
        <v>0</v>
      </c>
      <c r="T29" s="1500">
        <f>IF('14. Project Costs'!G214="", 0, '14. Project Costs'!G214)</f>
        <v>0</v>
      </c>
      <c r="U29" s="361"/>
      <c r="V29" s="361"/>
      <c r="W29" s="361"/>
    </row>
    <row r="30" spans="1:34">
      <c r="B30" s="1220"/>
      <c r="C30" s="789" t="s">
        <v>3699</v>
      </c>
      <c r="D30" s="126" t="s">
        <v>3882</v>
      </c>
      <c r="E30" s="273">
        <v>0</v>
      </c>
      <c r="F30" s="1719">
        <f>IF($E$56=0, 0, Grant_Amount_2/$E$56)</f>
        <v>0</v>
      </c>
      <c r="G30" s="1220"/>
      <c r="H30" s="1220"/>
      <c r="I30" s="1220"/>
      <c r="J30" s="1220"/>
      <c r="K30" s="1220"/>
      <c r="L30" s="1220"/>
      <c r="M30" s="1220"/>
      <c r="N30" s="1264"/>
      <c r="O30" s="1220"/>
      <c r="P30" s="361"/>
      <c r="Q30" s="361">
        <f>IF(R27="4%", R29, IF(R27="9%", S29, IF(R27="State + Fed 4%", T29,0)))</f>
        <v>0</v>
      </c>
      <c r="R30" s="1500">
        <f>IF(OR(R27="4%", R27="Fed 4%+State"), R29, 0)</f>
        <v>0</v>
      </c>
      <c r="S30" s="1500">
        <f>IF(R27="9%", S29, 0)</f>
        <v>0</v>
      </c>
      <c r="T30" s="361">
        <f>IF(OR(R27="4%", R27="Fed 4%+State"), R29, 0)</f>
        <v>0</v>
      </c>
      <c r="U30" s="361"/>
      <c r="V30" s="361"/>
      <c r="W30" s="361"/>
    </row>
    <row r="31" spans="1:34">
      <c r="B31" s="1220"/>
      <c r="C31" s="1468" t="s">
        <v>347</v>
      </c>
      <c r="D31" s="126" t="s">
        <v>3882</v>
      </c>
      <c r="E31" s="273">
        <v>0</v>
      </c>
      <c r="F31" s="1719">
        <f>IF($E$56=0, 0, Grant_Amount_3/$E$56)</f>
        <v>0</v>
      </c>
      <c r="G31" s="1220"/>
      <c r="H31" s="1220"/>
      <c r="I31" s="1220"/>
      <c r="J31" s="1220"/>
      <c r="K31" s="1220"/>
      <c r="L31" s="1220"/>
      <c r="M31" s="1220"/>
      <c r="N31" s="1264"/>
      <c r="O31" s="1220"/>
      <c r="P31" s="361"/>
      <c r="Q31" s="361"/>
      <c r="R31" s="361" t="s">
        <v>3883</v>
      </c>
      <c r="S31" s="361" t="s">
        <v>3884</v>
      </c>
      <c r="T31" s="361" t="s">
        <v>298</v>
      </c>
      <c r="U31" s="361"/>
      <c r="V31" s="361"/>
      <c r="W31" s="361"/>
    </row>
    <row r="32" spans="1:34">
      <c r="B32" s="1220"/>
      <c r="C32" s="152" t="s">
        <v>347</v>
      </c>
      <c r="D32" s="126" t="s">
        <v>3882</v>
      </c>
      <c r="E32" s="273">
        <v>0</v>
      </c>
      <c r="F32" s="1719">
        <f>IF($E$56=0, 0, Grant_Amount_4/$E$56)</f>
        <v>0</v>
      </c>
      <c r="G32" s="1220"/>
      <c r="H32" s="1220"/>
      <c r="I32" s="1220"/>
      <c r="J32" s="1220"/>
      <c r="K32" s="1220"/>
      <c r="L32" s="1220"/>
      <c r="M32" s="1220"/>
      <c r="N32" s="1264"/>
      <c r="O32" s="1220"/>
      <c r="P32" s="361"/>
      <c r="Q32" s="361"/>
      <c r="R32" s="361"/>
      <c r="S32" s="361"/>
      <c r="T32" s="361"/>
      <c r="U32" s="361"/>
      <c r="V32" s="361"/>
      <c r="W32" s="361"/>
    </row>
    <row r="33" spans="2:34">
      <c r="B33" s="1220"/>
      <c r="C33" s="152" t="s">
        <v>347</v>
      </c>
      <c r="D33" s="126" t="s">
        <v>3882</v>
      </c>
      <c r="E33" s="273">
        <v>0</v>
      </c>
      <c r="F33" s="1719">
        <f>IF($E$56=0, 0, Grant_Amount_5/$E$56)</f>
        <v>0</v>
      </c>
      <c r="G33" s="1220"/>
      <c r="H33" s="1220"/>
      <c r="I33" s="1220"/>
      <c r="J33" s="1220"/>
      <c r="K33" s="1220"/>
      <c r="L33" s="1220"/>
      <c r="M33" s="1220"/>
      <c r="N33" s="1264"/>
      <c r="O33" s="1220"/>
      <c r="P33" s="361"/>
      <c r="Q33" s="361"/>
      <c r="R33" s="361"/>
      <c r="S33" s="361"/>
      <c r="T33" s="361"/>
      <c r="U33" s="361"/>
      <c r="V33" s="361"/>
      <c r="W33" s="361"/>
    </row>
    <row r="34" spans="2:34">
      <c r="B34" s="1220"/>
      <c r="C34" s="152" t="s">
        <v>347</v>
      </c>
      <c r="D34" s="126" t="s">
        <v>3882</v>
      </c>
      <c r="E34" s="273">
        <v>0</v>
      </c>
      <c r="F34" s="1719">
        <f>IF($E$56=0, 0, Grant_Amount_6/$E$56)</f>
        <v>0</v>
      </c>
      <c r="G34" s="1220"/>
      <c r="H34" s="1220"/>
      <c r="I34" s="1220"/>
      <c r="J34" s="1220"/>
      <c r="K34" s="1220"/>
      <c r="L34" s="1220"/>
      <c r="M34" s="1220"/>
      <c r="N34" s="1264"/>
      <c r="O34" s="1220"/>
      <c r="P34" s="361"/>
      <c r="Q34" s="361"/>
      <c r="R34" s="361"/>
      <c r="S34" s="361"/>
      <c r="T34" s="361"/>
      <c r="U34" s="361"/>
      <c r="V34" s="361"/>
      <c r="W34" s="361"/>
    </row>
    <row r="35" spans="2:34">
      <c r="B35" s="1220"/>
      <c r="C35" s="152" t="s">
        <v>347</v>
      </c>
      <c r="D35" s="126" t="s">
        <v>3882</v>
      </c>
      <c r="E35" s="273">
        <v>0</v>
      </c>
      <c r="F35" s="1719">
        <f>IF($E$56=0, 0, Grant_Amount_7/$E$56)</f>
        <v>0</v>
      </c>
      <c r="G35" s="1220"/>
      <c r="H35" s="1220"/>
      <c r="I35" s="1220"/>
      <c r="J35" s="1220"/>
      <c r="K35" s="1220"/>
      <c r="L35" s="1220"/>
      <c r="M35" s="1220"/>
      <c r="N35" s="1264"/>
      <c r="O35" s="1220"/>
      <c r="P35" s="361"/>
      <c r="S35" s="361"/>
      <c r="T35" s="361"/>
      <c r="U35" s="361"/>
      <c r="V35" s="361"/>
      <c r="W35" s="361"/>
    </row>
    <row r="36" spans="2:34">
      <c r="B36" s="1220"/>
      <c r="C36" s="152" t="s">
        <v>347</v>
      </c>
      <c r="D36" s="126" t="s">
        <v>3882</v>
      </c>
      <c r="E36" s="273">
        <v>0</v>
      </c>
      <c r="F36" s="1719">
        <f>IF($E$56=0, 0, Grant_Amount_8/$E$56)</f>
        <v>0</v>
      </c>
      <c r="G36" s="1220"/>
      <c r="H36" s="1220"/>
      <c r="I36" s="1220"/>
      <c r="J36" s="1220"/>
      <c r="K36" s="1220"/>
      <c r="L36" s="1220"/>
      <c r="M36" s="1220"/>
      <c r="N36" s="1264"/>
      <c r="O36" s="1220"/>
      <c r="P36" s="361"/>
      <c r="S36" s="361"/>
      <c r="T36" s="361"/>
      <c r="U36" s="361"/>
      <c r="V36" s="361"/>
      <c r="W36" s="361"/>
    </row>
    <row r="37" spans="2:34">
      <c r="B37" s="1220"/>
      <c r="C37" s="152" t="s">
        <v>347</v>
      </c>
      <c r="D37" s="126" t="s">
        <v>3882</v>
      </c>
      <c r="E37" s="273">
        <v>0</v>
      </c>
      <c r="F37" s="1719">
        <f>IF($E$56=0, 0, Grant_Amount_9/$E$56)</f>
        <v>0</v>
      </c>
      <c r="G37" s="1220"/>
      <c r="H37" s="1220"/>
      <c r="I37" s="1220"/>
      <c r="J37" s="1220"/>
      <c r="K37" s="1220"/>
      <c r="L37" s="1220"/>
      <c r="M37" s="1220"/>
      <c r="N37" s="1264"/>
      <c r="O37" s="1220"/>
      <c r="P37" s="361"/>
      <c r="S37" s="361"/>
      <c r="T37" s="361"/>
      <c r="U37" s="361"/>
      <c r="V37" s="361"/>
      <c r="W37" s="361"/>
    </row>
    <row r="38" spans="2:34">
      <c r="B38" s="1220"/>
      <c r="C38" s="152" t="s">
        <v>347</v>
      </c>
      <c r="D38" s="126" t="s">
        <v>3882</v>
      </c>
      <c r="E38" s="273">
        <v>0</v>
      </c>
      <c r="F38" s="1719">
        <f>IF($E$56=0, 0, Grant_Amount_10/$E$56)</f>
        <v>0</v>
      </c>
      <c r="G38" s="1220"/>
      <c r="H38" s="1220"/>
      <c r="I38" s="1220"/>
      <c r="J38" s="1220"/>
      <c r="K38" s="1220"/>
      <c r="L38" s="1220"/>
      <c r="M38" s="1220"/>
      <c r="N38" s="1264"/>
      <c r="O38" s="1220"/>
      <c r="P38" s="361"/>
      <c r="S38" s="361"/>
      <c r="T38" s="361"/>
      <c r="U38" s="361"/>
      <c r="V38" s="361"/>
      <c r="W38" s="361"/>
    </row>
    <row r="39" spans="2:34">
      <c r="B39" s="1220"/>
      <c r="C39" s="152" t="s">
        <v>347</v>
      </c>
      <c r="D39" s="126" t="s">
        <v>3882</v>
      </c>
      <c r="E39" s="273">
        <v>0</v>
      </c>
      <c r="F39" s="1719">
        <f>IF($E$56=0, 0, Grant_Amount_11/$E$56)</f>
        <v>0</v>
      </c>
      <c r="G39" s="1220"/>
      <c r="H39" s="1220"/>
      <c r="I39" s="1220"/>
      <c r="J39" s="1220"/>
      <c r="K39" s="1220"/>
      <c r="L39" s="1220"/>
      <c r="M39" s="1220"/>
      <c r="N39" s="1264"/>
      <c r="O39" s="1220"/>
      <c r="P39" s="361"/>
      <c r="S39" s="361"/>
      <c r="T39" s="361"/>
      <c r="U39" s="361"/>
      <c r="V39" s="361"/>
      <c r="W39" s="361"/>
    </row>
    <row r="40" spans="2:34">
      <c r="B40" s="1220"/>
      <c r="C40" s="1261"/>
      <c r="D40" s="1459" t="s">
        <v>3885</v>
      </c>
      <c r="E40" s="1454">
        <f>SUM(E29:E39)</f>
        <v>0</v>
      </c>
      <c r="F40" s="1455">
        <f>SUM(F29:F39)</f>
        <v>0</v>
      </c>
      <c r="G40" s="1220"/>
      <c r="H40" s="1220"/>
      <c r="I40" s="1220"/>
      <c r="J40" s="1220"/>
      <c r="K40" s="1220"/>
      <c r="L40" s="1220"/>
      <c r="M40" s="1220"/>
      <c r="N40" s="1264"/>
      <c r="O40" s="1220"/>
      <c r="P40" s="361"/>
      <c r="S40" s="361"/>
      <c r="T40" s="361"/>
      <c r="U40" s="361"/>
      <c r="V40" s="361"/>
      <c r="W40" s="361"/>
    </row>
    <row r="41" spans="2:34" s="3" customFormat="1">
      <c r="B41" s="1220"/>
      <c r="C41" s="1220"/>
      <c r="D41" s="1220"/>
      <c r="E41" s="1220"/>
      <c r="F41" s="1220"/>
      <c r="G41" s="1220"/>
      <c r="H41" s="1220"/>
      <c r="I41" s="1220"/>
      <c r="J41" s="1220"/>
      <c r="K41" s="1220"/>
      <c r="L41" s="1220"/>
      <c r="M41" s="1220"/>
      <c r="N41" s="1220"/>
      <c r="O41" s="1220"/>
      <c r="P41" s="9"/>
      <c r="Q41" s="9"/>
      <c r="R41" s="9"/>
      <c r="S41" s="9"/>
      <c r="T41" s="9"/>
      <c r="U41" s="9"/>
      <c r="V41" s="9"/>
      <c r="W41" s="9"/>
      <c r="X41" s="9"/>
      <c r="Y41" s="149"/>
      <c r="Z41" s="149"/>
      <c r="AA41" s="149"/>
      <c r="AB41" s="149"/>
      <c r="AC41" s="149"/>
      <c r="AD41" s="149"/>
      <c r="AE41" s="149"/>
      <c r="AF41" s="149"/>
      <c r="AG41" s="149"/>
      <c r="AH41" s="149"/>
    </row>
    <row r="42" spans="2:34" ht="16">
      <c r="B42" s="1456" t="s">
        <v>3886</v>
      </c>
      <c r="C42" s="1261"/>
      <c r="D42" s="1267"/>
      <c r="E42" s="1268"/>
      <c r="F42" s="1268"/>
      <c r="G42" s="1220"/>
      <c r="H42" s="1220"/>
      <c r="I42" s="1220"/>
      <c r="J42" s="1220"/>
      <c r="K42" s="1220"/>
      <c r="L42" s="1220"/>
      <c r="M42" s="1220"/>
      <c r="N42" s="1264"/>
      <c r="O42" s="1220"/>
      <c r="P42" s="361"/>
      <c r="S42" s="361"/>
      <c r="T42" s="361"/>
      <c r="U42" s="361"/>
      <c r="V42" s="361"/>
      <c r="W42" s="361"/>
    </row>
    <row r="43" spans="2:34" ht="17" customHeight="1">
      <c r="B43" s="1220"/>
      <c r="C43" s="80" t="s">
        <v>3855</v>
      </c>
      <c r="D43" s="80" t="s">
        <v>3856</v>
      </c>
      <c r="E43" s="80" t="s">
        <v>2604</v>
      </c>
      <c r="F43" s="80" t="s">
        <v>3857</v>
      </c>
      <c r="G43" s="81" t="s">
        <v>3887</v>
      </c>
      <c r="H43" s="81" t="s">
        <v>3888</v>
      </c>
      <c r="I43" s="81" t="s">
        <v>3889</v>
      </c>
      <c r="J43" s="81" t="s">
        <v>3890</v>
      </c>
      <c r="K43" s="1270"/>
      <c r="L43" s="1220"/>
      <c r="M43" s="1220"/>
      <c r="N43" s="1264"/>
      <c r="O43" s="1220"/>
      <c r="P43" s="361"/>
      <c r="S43" s="361"/>
      <c r="T43" s="361"/>
      <c r="U43" s="361"/>
      <c r="V43" s="361"/>
      <c r="W43" s="361"/>
    </row>
    <row r="44" spans="2:34">
      <c r="B44" s="1220"/>
      <c r="C44" s="789" t="s">
        <v>3280</v>
      </c>
      <c r="D44" s="126" t="s">
        <v>3891</v>
      </c>
      <c r="E44" s="93">
        <f>ROUND(I44*H44*G44*J44, 0)</f>
        <v>0</v>
      </c>
      <c r="F44" s="1719">
        <f>IF($E$56=0, 0, E44/$E$56)</f>
        <v>0</v>
      </c>
      <c r="G44" s="129"/>
      <c r="H44" s="130"/>
      <c r="I44" s="327"/>
      <c r="J44" s="315">
        <f>Federal_Credits</f>
        <v>0</v>
      </c>
      <c r="K44" s="1271"/>
      <c r="L44" s="1220"/>
      <c r="M44" s="1220"/>
      <c r="N44" s="1264"/>
      <c r="O44" s="1220"/>
      <c r="P44" s="361"/>
      <c r="S44" s="361"/>
      <c r="T44" s="361"/>
      <c r="U44" s="361"/>
      <c r="V44" s="361"/>
      <c r="W44" s="361"/>
    </row>
    <row r="45" spans="2:34">
      <c r="B45" s="1220"/>
      <c r="C45" s="789" t="s">
        <v>3702</v>
      </c>
      <c r="D45" s="126" t="s">
        <v>3891</v>
      </c>
      <c r="E45" s="128">
        <v>0</v>
      </c>
      <c r="F45" s="1719">
        <f t="shared" ref="F45:F54" si="4">IF($E$56=0, 0, E45/$E$56)</f>
        <v>0</v>
      </c>
      <c r="G45" s="1269"/>
      <c r="H45" s="1269"/>
      <c r="I45" s="1269"/>
      <c r="J45" s="1269"/>
      <c r="K45" s="1271"/>
      <c r="L45" s="1220"/>
      <c r="M45" s="1220"/>
      <c r="N45" s="1264"/>
      <c r="O45" s="1220"/>
      <c r="P45" s="361"/>
      <c r="Q45" s="101">
        <f>IF('14. Project Costs'!I214="",0,'14. Project Costs'!I214)</f>
        <v>0</v>
      </c>
      <c r="S45" s="361"/>
      <c r="T45" s="361"/>
      <c r="U45" s="361"/>
      <c r="V45" s="361"/>
      <c r="W45" s="361"/>
    </row>
    <row r="46" spans="2:34">
      <c r="B46" s="1220"/>
      <c r="C46" s="789" t="s">
        <v>3281</v>
      </c>
      <c r="D46" s="126" t="s">
        <v>3891</v>
      </c>
      <c r="E46" s="93">
        <f>ROUND(I46*H46*G46*J46, 0)</f>
        <v>0</v>
      </c>
      <c r="F46" s="1719">
        <f t="shared" si="4"/>
        <v>0</v>
      </c>
      <c r="G46" s="129"/>
      <c r="H46" s="130"/>
      <c r="I46" s="327"/>
      <c r="J46" s="315">
        <f>State_Credits</f>
        <v>0</v>
      </c>
      <c r="K46" s="1271"/>
      <c r="L46" s="1220"/>
      <c r="M46" s="1220"/>
      <c r="N46" s="1264"/>
      <c r="O46" s="1220"/>
      <c r="P46" s="361"/>
      <c r="Q46" s="204"/>
      <c r="R46" s="917"/>
      <c r="S46" s="361"/>
      <c r="T46" s="361"/>
      <c r="U46" s="361"/>
      <c r="V46" s="361"/>
      <c r="W46" s="361"/>
    </row>
    <row r="47" spans="2:34">
      <c r="B47" s="1220"/>
      <c r="C47" s="789" t="s">
        <v>3703</v>
      </c>
      <c r="D47" s="126" t="s">
        <v>3891</v>
      </c>
      <c r="E47" s="128">
        <v>0</v>
      </c>
      <c r="F47" s="1719">
        <f t="shared" si="4"/>
        <v>0</v>
      </c>
      <c r="G47" s="2138" t="s">
        <v>3892</v>
      </c>
      <c r="H47" s="2139"/>
      <c r="I47" s="2139"/>
      <c r="J47" s="2139"/>
      <c r="K47" s="1271"/>
      <c r="L47" s="1271"/>
      <c r="M47" s="1220"/>
      <c r="N47" s="1264"/>
      <c r="O47" s="1220"/>
      <c r="P47" s="361"/>
      <c r="Q47" s="204"/>
      <c r="R47" s="204"/>
      <c r="S47" s="361"/>
      <c r="T47" s="361"/>
      <c r="U47" s="361"/>
      <c r="V47" s="361"/>
      <c r="W47" s="361"/>
    </row>
    <row r="48" spans="2:34">
      <c r="B48" s="1220"/>
      <c r="C48" s="789" t="s">
        <v>3704</v>
      </c>
      <c r="D48" s="126" t="s">
        <v>3891</v>
      </c>
      <c r="E48" s="93">
        <f>PC_DEV_Dev_Fee_Deferred_Total</f>
        <v>0</v>
      </c>
      <c r="F48" s="1719">
        <f t="shared" si="4"/>
        <v>0</v>
      </c>
      <c r="G48" s="2140"/>
      <c r="H48" s="2141"/>
      <c r="I48" s="2141"/>
      <c r="J48" s="2141"/>
      <c r="K48" s="1271"/>
      <c r="L48" s="1271"/>
      <c r="M48" s="1220"/>
      <c r="N48" s="1264"/>
      <c r="O48" s="1220"/>
      <c r="P48" s="361"/>
      <c r="Q48" s="204"/>
      <c r="R48" s="204"/>
      <c r="S48" s="361"/>
      <c r="T48" s="361"/>
      <c r="U48" s="361"/>
      <c r="V48" s="361"/>
      <c r="W48" s="361"/>
    </row>
    <row r="49" spans="1:43">
      <c r="B49" s="1220"/>
      <c r="C49" s="789" t="s">
        <v>3705</v>
      </c>
      <c r="D49" s="126" t="s">
        <v>3891</v>
      </c>
      <c r="E49" s="128">
        <v>0</v>
      </c>
      <c r="F49" s="1719">
        <f t="shared" si="4"/>
        <v>0</v>
      </c>
      <c r="G49" s="2140"/>
      <c r="H49" s="2141"/>
      <c r="I49" s="2141"/>
      <c r="J49" s="2141"/>
      <c r="K49" s="1271"/>
      <c r="L49" s="1271"/>
      <c r="M49" s="1220"/>
      <c r="N49" s="1264"/>
      <c r="O49" s="1220"/>
      <c r="P49" s="361"/>
      <c r="Q49" s="204"/>
      <c r="R49" s="204"/>
      <c r="S49" s="361"/>
      <c r="T49" s="361"/>
      <c r="U49" s="361"/>
      <c r="V49" s="361"/>
      <c r="W49" s="361"/>
    </row>
    <row r="50" spans="1:43">
      <c r="B50" s="1220"/>
      <c r="C50" s="127" t="s">
        <v>347</v>
      </c>
      <c r="D50" s="126" t="s">
        <v>3891</v>
      </c>
      <c r="E50" s="128">
        <v>0</v>
      </c>
      <c r="F50" s="1719">
        <f t="shared" si="4"/>
        <v>0</v>
      </c>
      <c r="G50" s="2140"/>
      <c r="H50" s="2141"/>
      <c r="I50" s="2141"/>
      <c r="J50" s="2141"/>
      <c r="K50" s="1271"/>
      <c r="L50" s="1271"/>
      <c r="M50" s="1220"/>
      <c r="N50" s="1264"/>
      <c r="O50" s="1220"/>
      <c r="P50" s="1501">
        <f>E54+E73</f>
        <v>0</v>
      </c>
      <c r="Q50" s="204"/>
      <c r="R50" s="204"/>
      <c r="S50" s="361"/>
      <c r="T50" s="361"/>
      <c r="U50" s="361"/>
      <c r="V50" s="361"/>
      <c r="W50" s="361"/>
    </row>
    <row r="51" spans="1:43">
      <c r="B51" s="1220"/>
      <c r="C51" s="127" t="s">
        <v>347</v>
      </c>
      <c r="D51" s="126" t="s">
        <v>3891</v>
      </c>
      <c r="E51" s="128">
        <v>0</v>
      </c>
      <c r="F51" s="1719">
        <f t="shared" si="4"/>
        <v>0</v>
      </c>
      <c r="G51" s="2140"/>
      <c r="H51" s="2141"/>
      <c r="I51" s="2141"/>
      <c r="J51" s="2141"/>
      <c r="K51" s="1271"/>
      <c r="L51" s="1271"/>
      <c r="M51" s="1220"/>
      <c r="N51" s="1264"/>
      <c r="O51" s="1220"/>
      <c r="P51" s="1501"/>
      <c r="Q51" s="204"/>
      <c r="R51" s="204"/>
      <c r="S51" s="361"/>
      <c r="T51" s="361"/>
      <c r="U51" s="361"/>
      <c r="V51" s="361"/>
      <c r="W51" s="361"/>
    </row>
    <row r="52" spans="1:43">
      <c r="B52" s="1220"/>
      <c r="C52" s="127" t="s">
        <v>347</v>
      </c>
      <c r="D52" s="126" t="s">
        <v>3891</v>
      </c>
      <c r="E52" s="128">
        <v>0</v>
      </c>
      <c r="F52" s="1719">
        <f t="shared" si="4"/>
        <v>0</v>
      </c>
      <c r="G52" s="2140"/>
      <c r="H52" s="2141"/>
      <c r="I52" s="2141"/>
      <c r="J52" s="2141"/>
      <c r="K52" s="1271"/>
      <c r="L52" s="1271"/>
      <c r="M52" s="1220"/>
      <c r="N52" s="1264"/>
      <c r="O52" s="1220"/>
      <c r="P52" s="1501"/>
      <c r="Q52" s="204"/>
      <c r="R52" s="204"/>
      <c r="S52" s="361"/>
      <c r="T52" s="361"/>
      <c r="U52" s="361"/>
      <c r="V52" s="361"/>
      <c r="W52" s="361"/>
    </row>
    <row r="53" spans="1:43">
      <c r="B53" s="1220"/>
      <c r="C53" s="127" t="s">
        <v>347</v>
      </c>
      <c r="D53" s="126" t="s">
        <v>3891</v>
      </c>
      <c r="E53" s="128">
        <v>0</v>
      </c>
      <c r="F53" s="1719">
        <f t="shared" si="4"/>
        <v>0</v>
      </c>
      <c r="G53" s="2140"/>
      <c r="H53" s="2141"/>
      <c r="I53" s="2141"/>
      <c r="J53" s="2141"/>
      <c r="K53" s="1271"/>
      <c r="L53" s="1271"/>
      <c r="M53" s="1220"/>
      <c r="N53" s="1264"/>
      <c r="O53" s="1220"/>
      <c r="P53" s="1501"/>
      <c r="Q53" s="204"/>
      <c r="R53" s="204"/>
      <c r="S53" s="361"/>
      <c r="T53" s="361"/>
      <c r="U53" s="361"/>
      <c r="V53" s="361"/>
      <c r="W53" s="361"/>
    </row>
    <row r="54" spans="1:43">
      <c r="B54" s="1220"/>
      <c r="C54" s="1458"/>
      <c r="D54" s="1459" t="s">
        <v>3893</v>
      </c>
      <c r="E54" s="1454">
        <f>SUM(E44:E53)</f>
        <v>0</v>
      </c>
      <c r="F54" s="1455">
        <f t="shared" si="4"/>
        <v>0</v>
      </c>
      <c r="G54" s="2140"/>
      <c r="H54" s="2141"/>
      <c r="I54" s="2141"/>
      <c r="J54" s="2141"/>
      <c r="K54" s="1220"/>
      <c r="L54" s="1220"/>
      <c r="M54" s="1220"/>
      <c r="N54" s="1264"/>
      <c r="O54" s="1220"/>
      <c r="P54" s="361"/>
      <c r="Q54" s="361"/>
      <c r="R54" s="361"/>
      <c r="S54" s="361"/>
      <c r="T54" s="361"/>
      <c r="U54" s="361"/>
      <c r="V54" s="361"/>
      <c r="W54" s="361"/>
    </row>
    <row r="55" spans="1:43" ht="16">
      <c r="B55" s="1456" t="s">
        <v>2968</v>
      </c>
      <c r="C55" s="1457"/>
      <c r="D55" s="1457"/>
      <c r="E55" s="1220"/>
      <c r="F55" s="1220"/>
      <c r="G55" s="1693"/>
      <c r="H55" s="1693"/>
      <c r="I55" s="1693"/>
      <c r="J55" s="1693"/>
      <c r="K55" s="1220"/>
      <c r="L55" s="1220"/>
      <c r="M55" s="1220"/>
      <c r="N55" s="1264"/>
      <c r="O55" s="1220"/>
      <c r="P55" s="361"/>
      <c r="Q55" s="361"/>
      <c r="R55" s="361"/>
      <c r="S55" s="361"/>
      <c r="T55" s="361"/>
      <c r="U55" s="361"/>
      <c r="V55" s="361"/>
      <c r="W55" s="361"/>
    </row>
    <row r="56" spans="1:43" ht="16">
      <c r="B56" s="1220"/>
      <c r="C56" s="1457"/>
      <c r="D56" s="1462" t="s">
        <v>2968</v>
      </c>
      <c r="E56" s="1454">
        <f>SUM(E44:E53,E29:E39,E11:E23)</f>
        <v>0</v>
      </c>
      <c r="F56" s="1220"/>
      <c r="G56" s="1693"/>
      <c r="H56" s="1693"/>
      <c r="I56" s="1693"/>
      <c r="J56" s="1693"/>
      <c r="K56" s="1220"/>
      <c r="L56" s="1220"/>
      <c r="M56" s="1220"/>
      <c r="N56" s="1264"/>
      <c r="O56" s="1220"/>
      <c r="P56" s="361"/>
      <c r="Q56" s="361"/>
      <c r="R56" s="361"/>
      <c r="S56" s="361"/>
      <c r="T56" s="361"/>
      <c r="U56" s="361"/>
      <c r="V56" s="361"/>
      <c r="W56" s="361"/>
    </row>
    <row r="57" spans="1:43">
      <c r="B57" s="1220"/>
      <c r="C57" s="1220"/>
      <c r="D57" s="1220"/>
      <c r="E57" s="1220"/>
      <c r="F57" s="1220"/>
      <c r="G57" s="1220"/>
      <c r="H57" s="1220"/>
      <c r="I57" s="1220"/>
      <c r="J57" s="1220"/>
      <c r="K57" s="1220"/>
      <c r="L57" s="1220"/>
      <c r="M57" s="1220"/>
      <c r="N57" s="1264"/>
      <c r="O57" s="1220"/>
    </row>
    <row r="58" spans="1:43" s="76" customFormat="1" ht="19">
      <c r="B58" s="8" t="s">
        <v>3894</v>
      </c>
      <c r="N58" s="98"/>
      <c r="P58" s="98"/>
      <c r="Q58" s="98"/>
      <c r="R58" s="98"/>
      <c r="S58" s="98"/>
      <c r="T58" s="98"/>
      <c r="U58" s="98"/>
      <c r="V58" s="98"/>
      <c r="W58" s="98"/>
      <c r="X58" s="98"/>
      <c r="Y58" s="462"/>
      <c r="Z58" s="462"/>
      <c r="AA58" s="462"/>
      <c r="AB58" s="462"/>
      <c r="AC58" s="462"/>
      <c r="AD58" s="462"/>
      <c r="AE58" s="462"/>
      <c r="AF58" s="462"/>
      <c r="AG58" s="462"/>
      <c r="AH58" s="462"/>
      <c r="AI58" s="462"/>
      <c r="AJ58" s="462"/>
      <c r="AK58" s="462"/>
      <c r="AL58" s="462"/>
      <c r="AM58" s="462"/>
      <c r="AN58" s="462"/>
      <c r="AO58" s="462"/>
      <c r="AP58" s="462"/>
      <c r="AQ58" s="462"/>
    </row>
    <row r="59" spans="1:43" s="3" customFormat="1">
      <c r="B59" s="1220"/>
      <c r="C59" s="1272" t="s">
        <v>3895</v>
      </c>
      <c r="D59" s="1273"/>
      <c r="E59" s="1273"/>
      <c r="F59" s="1273"/>
      <c r="G59" s="1273"/>
      <c r="H59" s="1273"/>
      <c r="I59" s="1273"/>
      <c r="J59" s="1273"/>
      <c r="K59" s="1273"/>
      <c r="L59" s="1273"/>
      <c r="M59" s="1273"/>
      <c r="N59" s="1273"/>
      <c r="O59" s="1273"/>
      <c r="P59" s="9"/>
      <c r="Q59" s="9"/>
      <c r="R59" s="9"/>
      <c r="S59" s="9"/>
      <c r="T59" s="9"/>
      <c r="U59" s="9"/>
      <c r="V59" s="9"/>
      <c r="W59" s="9"/>
      <c r="X59" s="9"/>
      <c r="Y59" s="149"/>
      <c r="Z59" s="149"/>
      <c r="AA59" s="149"/>
      <c r="AB59" s="149"/>
      <c r="AC59" s="149"/>
      <c r="AD59" s="149"/>
      <c r="AE59" s="149"/>
      <c r="AF59" s="149"/>
      <c r="AG59" s="149"/>
      <c r="AH59" s="149"/>
    </row>
    <row r="60" spans="1:43" ht="16">
      <c r="B60" s="1220"/>
      <c r="C60" s="82" t="s">
        <v>3896</v>
      </c>
      <c r="D60" s="80" t="s">
        <v>3856</v>
      </c>
      <c r="E60" s="80" t="s">
        <v>2604</v>
      </c>
      <c r="F60" s="80" t="s">
        <v>3897</v>
      </c>
      <c r="G60" s="80" t="s">
        <v>3898</v>
      </c>
      <c r="H60" s="82" t="s">
        <v>3862</v>
      </c>
      <c r="I60" s="82" t="s">
        <v>3899</v>
      </c>
      <c r="J60" s="1220"/>
      <c r="K60" s="1220"/>
      <c r="L60" s="1220"/>
      <c r="M60" s="1220"/>
      <c r="N60" s="1264"/>
      <c r="O60" s="1220"/>
    </row>
    <row r="61" spans="1:43">
      <c r="B61" s="1220"/>
      <c r="C61" s="789" t="s">
        <v>3900</v>
      </c>
      <c r="D61" s="124" t="s">
        <v>3901</v>
      </c>
      <c r="E61" s="274">
        <v>0</v>
      </c>
      <c r="F61" s="1719">
        <f t="shared" ref="F61:F72" si="5">IF($E$73=0, 0, E61/$E$73)</f>
        <v>0</v>
      </c>
      <c r="G61" s="119"/>
      <c r="H61" s="278"/>
      <c r="I61" s="277"/>
      <c r="J61" s="1220"/>
      <c r="K61" s="1220"/>
      <c r="L61" s="1220"/>
      <c r="M61" s="1220"/>
      <c r="N61" s="1264"/>
      <c r="O61" s="1220"/>
    </row>
    <row r="62" spans="1:43">
      <c r="B62" s="1220"/>
      <c r="C62" s="789" t="s">
        <v>3902</v>
      </c>
      <c r="D62" s="124" t="s">
        <v>3901</v>
      </c>
      <c r="E62" s="274">
        <v>0</v>
      </c>
      <c r="F62" s="1719">
        <f t="shared" si="5"/>
        <v>0</v>
      </c>
      <c r="G62" s="119"/>
      <c r="H62" s="278"/>
      <c r="I62" s="277"/>
      <c r="J62" s="1220"/>
      <c r="K62" s="1220"/>
      <c r="L62" s="1220"/>
      <c r="M62" s="1220"/>
      <c r="N62" s="1264"/>
      <c r="O62" s="1220"/>
    </row>
    <row r="63" spans="1:43">
      <c r="A63" s="97" t="s">
        <v>3565</v>
      </c>
      <c r="B63" s="1220"/>
      <c r="C63" s="789" t="s">
        <v>3903</v>
      </c>
      <c r="D63" s="124" t="s">
        <v>3901</v>
      </c>
      <c r="E63" s="274">
        <v>0</v>
      </c>
      <c r="F63" s="1719">
        <f t="shared" si="5"/>
        <v>0</v>
      </c>
      <c r="G63" s="119"/>
      <c r="H63" s="278"/>
      <c r="I63" s="277"/>
      <c r="J63" s="1220"/>
      <c r="K63" s="1220"/>
      <c r="L63" s="1220"/>
      <c r="M63" s="1220"/>
      <c r="N63" s="1264"/>
      <c r="O63" s="1220"/>
    </row>
    <row r="64" spans="1:43">
      <c r="B64" s="1220"/>
      <c r="C64" s="789" t="s">
        <v>3904</v>
      </c>
      <c r="D64" s="124" t="s">
        <v>3901</v>
      </c>
      <c r="E64" s="274">
        <v>0</v>
      </c>
      <c r="F64" s="1719">
        <f t="shared" si="5"/>
        <v>0</v>
      </c>
      <c r="G64" s="119"/>
      <c r="H64" s="278"/>
      <c r="I64" s="277"/>
      <c r="J64" s="1220"/>
      <c r="K64" s="1220"/>
      <c r="L64" s="1220"/>
      <c r="M64" s="1220"/>
      <c r="N64" s="1264"/>
      <c r="O64" s="1220"/>
    </row>
    <row r="65" spans="2:15">
      <c r="B65" s="1220"/>
      <c r="C65" s="789" t="s">
        <v>3905</v>
      </c>
      <c r="D65" s="124" t="s">
        <v>3901</v>
      </c>
      <c r="E65" s="274">
        <v>0</v>
      </c>
      <c r="F65" s="1719">
        <f t="shared" si="5"/>
        <v>0</v>
      </c>
      <c r="G65" s="119"/>
      <c r="H65" s="279"/>
      <c r="I65" s="276"/>
      <c r="J65" s="1220"/>
      <c r="K65" s="1220"/>
      <c r="L65" s="1220"/>
      <c r="M65" s="1220"/>
      <c r="N65" s="1264"/>
      <c r="O65" s="1220"/>
    </row>
    <row r="66" spans="2:15">
      <c r="B66" s="1220"/>
      <c r="C66" s="789" t="s">
        <v>3280</v>
      </c>
      <c r="D66" s="124" t="s">
        <v>3891</v>
      </c>
      <c r="E66" s="274">
        <v>0</v>
      </c>
      <c r="F66" s="1719">
        <f t="shared" si="5"/>
        <v>0</v>
      </c>
      <c r="G66" s="119"/>
      <c r="H66" s="1274"/>
      <c r="I66" s="1275"/>
      <c r="J66" s="1220"/>
      <c r="K66" s="1220"/>
      <c r="L66" s="1220"/>
      <c r="M66" s="1220"/>
      <c r="N66" s="1264"/>
      <c r="O66" s="1220"/>
    </row>
    <row r="67" spans="2:15">
      <c r="B67" s="1220"/>
      <c r="C67" s="789" t="s">
        <v>3281</v>
      </c>
      <c r="D67" s="124" t="s">
        <v>3891</v>
      </c>
      <c r="E67" s="274">
        <v>0</v>
      </c>
      <c r="F67" s="1719">
        <f t="shared" si="5"/>
        <v>0</v>
      </c>
      <c r="G67" s="119"/>
      <c r="H67" s="1276"/>
      <c r="I67" s="1269"/>
      <c r="J67" s="1220"/>
      <c r="K67" s="1220"/>
      <c r="L67" s="1220"/>
      <c r="M67" s="1220"/>
      <c r="N67" s="1264"/>
      <c r="O67" s="1220"/>
    </row>
    <row r="68" spans="2:15">
      <c r="B68" s="1220"/>
      <c r="C68" s="789" t="s">
        <v>3702</v>
      </c>
      <c r="D68" s="124" t="s">
        <v>3891</v>
      </c>
      <c r="E68" s="274">
        <v>0</v>
      </c>
      <c r="F68" s="1719">
        <f t="shared" si="5"/>
        <v>0</v>
      </c>
      <c r="G68" s="119"/>
      <c r="H68" s="1277"/>
      <c r="I68" s="1268"/>
      <c r="J68" s="1220"/>
      <c r="K68" s="1220"/>
      <c r="L68" s="1220"/>
      <c r="M68" s="1220"/>
      <c r="N68" s="1264"/>
      <c r="O68" s="1220"/>
    </row>
    <row r="69" spans="2:15">
      <c r="B69" s="1220"/>
      <c r="C69" s="560" t="s">
        <v>3906</v>
      </c>
      <c r="D69" s="124" t="s">
        <v>3891</v>
      </c>
      <c r="E69" s="274">
        <v>0</v>
      </c>
      <c r="F69" s="1719">
        <f t="shared" si="5"/>
        <v>0</v>
      </c>
      <c r="G69" s="119"/>
      <c r="H69" s="275"/>
      <c r="I69" s="275"/>
      <c r="J69" s="1220"/>
      <c r="K69" s="1220"/>
      <c r="L69" s="1220"/>
      <c r="M69" s="1220"/>
      <c r="N69" s="1264"/>
      <c r="O69" s="1220"/>
    </row>
    <row r="70" spans="2:15">
      <c r="B70" s="1220"/>
      <c r="C70" s="560" t="s">
        <v>3906</v>
      </c>
      <c r="D70" s="124" t="s">
        <v>3891</v>
      </c>
      <c r="E70" s="274">
        <v>0</v>
      </c>
      <c r="F70" s="1719">
        <f t="shared" si="5"/>
        <v>0</v>
      </c>
      <c r="G70" s="119"/>
      <c r="H70" s="275"/>
      <c r="I70" s="275"/>
      <c r="J70" s="1220"/>
      <c r="K70" s="1220"/>
      <c r="L70" s="1220"/>
      <c r="M70" s="1220"/>
      <c r="N70" s="1264"/>
      <c r="O70" s="1220"/>
    </row>
    <row r="71" spans="2:15">
      <c r="B71" s="1220"/>
      <c r="C71" s="560" t="s">
        <v>3906</v>
      </c>
      <c r="D71" s="124" t="s">
        <v>3891</v>
      </c>
      <c r="E71" s="274">
        <v>0</v>
      </c>
      <c r="F71" s="1719">
        <f t="shared" si="5"/>
        <v>0</v>
      </c>
      <c r="G71" s="119"/>
      <c r="H71" s="275"/>
      <c r="I71" s="275"/>
      <c r="J71" s="1220"/>
      <c r="K71" s="1220"/>
      <c r="L71" s="1220"/>
      <c r="M71" s="1220"/>
      <c r="N71" s="1264"/>
      <c r="O71" s="1220"/>
    </row>
    <row r="72" spans="2:15">
      <c r="B72" s="1220"/>
      <c r="C72" s="560" t="s">
        <v>3906</v>
      </c>
      <c r="D72" s="124" t="s">
        <v>3891</v>
      </c>
      <c r="E72" s="274">
        <v>0</v>
      </c>
      <c r="F72" s="1719">
        <f t="shared" si="5"/>
        <v>0</v>
      </c>
      <c r="G72" s="119"/>
      <c r="H72" s="866"/>
      <c r="I72" s="866"/>
      <c r="J72" s="1220"/>
      <c r="K72" s="1220"/>
      <c r="L72" s="1220"/>
      <c r="M72" s="1220"/>
      <c r="N72" s="1264"/>
      <c r="O72" s="1220"/>
    </row>
    <row r="73" spans="2:15">
      <c r="B73" s="1220"/>
      <c r="C73" s="1220" t="s">
        <v>3907</v>
      </c>
      <c r="D73" s="1459" t="s">
        <v>3907</v>
      </c>
      <c r="E73" s="1460">
        <f>SUM(E61:E72)</f>
        <v>0</v>
      </c>
      <c r="F73" s="1461">
        <f>SUM(F61:F70)</f>
        <v>0</v>
      </c>
      <c r="G73" s="1220"/>
      <c r="H73" s="1220"/>
      <c r="I73" s="1220"/>
      <c r="J73" s="1220"/>
      <c r="K73" s="1220"/>
      <c r="L73" s="1220"/>
      <c r="M73" s="1220"/>
      <c r="N73" s="1264"/>
      <c r="O73" s="1220"/>
    </row>
    <row r="74" spans="2:15">
      <c r="B74" s="1220"/>
      <c r="C74" s="1220"/>
      <c r="D74" s="1220"/>
      <c r="E74" s="1220"/>
      <c r="F74" s="1220"/>
      <c r="G74" s="1220"/>
      <c r="H74" s="1220"/>
      <c r="I74" s="1220"/>
      <c r="J74" s="1220"/>
      <c r="K74" s="1220"/>
      <c r="L74" s="1220"/>
      <c r="M74" s="1220"/>
      <c r="N74" s="1264"/>
      <c r="O74" s="1220"/>
    </row>
    <row r="75" spans="2:15">
      <c r="B75" s="1220"/>
      <c r="C75" s="1220"/>
      <c r="D75" s="1220"/>
      <c r="E75" s="1220"/>
      <c r="F75" s="1220"/>
      <c r="G75" s="1220"/>
      <c r="H75" s="1220"/>
      <c r="I75" s="1220"/>
      <c r="J75" s="1220"/>
      <c r="K75" s="1220"/>
      <c r="L75" s="1220"/>
      <c r="M75" s="1220"/>
      <c r="N75" s="1264"/>
      <c r="O75" s="1220"/>
    </row>
    <row r="76" spans="2:15" ht="32">
      <c r="B76" s="1220"/>
      <c r="C76" s="2142" t="s">
        <v>3908</v>
      </c>
      <c r="D76" s="1694" t="s">
        <v>3909</v>
      </c>
      <c r="E76" s="1694" t="s">
        <v>3910</v>
      </c>
      <c r="F76" s="80" t="s">
        <v>3911</v>
      </c>
      <c r="G76" s="1694" t="s">
        <v>3912</v>
      </c>
      <c r="H76" s="1220"/>
      <c r="I76" s="1220"/>
      <c r="J76" s="1220"/>
      <c r="K76" s="1220"/>
      <c r="L76" s="1220"/>
      <c r="M76" s="1220"/>
      <c r="N76" s="1264"/>
      <c r="O76" s="1220"/>
    </row>
    <row r="77" spans="2:15">
      <c r="B77" s="1220"/>
      <c r="C77" s="2142"/>
      <c r="D77" s="912">
        <f>IF(Credit_percentage_applied_for="9%","N/A for 9% Transactions",(SUM(PC_ACQ_Land_Acq_Total+'14. Project Costs'!K173+(-'15. Credit Calculation'!H18))))</f>
        <v>0</v>
      </c>
      <c r="E77" s="912">
        <f>IF(Credit_percentage_applied_for="9%","N/A for 9% Transactions",(X12))</f>
        <v>0</v>
      </c>
      <c r="F77" s="913">
        <f>IF(Credit_percentage_applied_for="9%","N/A for 9% Transactions",(IFERROR(E77/D77,0)))</f>
        <v>0</v>
      </c>
      <c r="G77" s="913" t="str">
        <f>IF(Credit_percentage_applied_for="9%","N/A for 9% Transactions",(IF(F77=0,"-",IF(F77&gt;=49.5%,"Yes","No"))))</f>
        <v>-</v>
      </c>
      <c r="H77" s="1220"/>
      <c r="I77" s="1220"/>
      <c r="J77" s="1220"/>
      <c r="K77" s="1220"/>
      <c r="L77" s="1220"/>
      <c r="M77" s="1220"/>
      <c r="N77" s="1264"/>
      <c r="O77" s="1220"/>
    </row>
    <row r="78" spans="2:15">
      <c r="B78" s="1220"/>
      <c r="C78" s="1220" t="s">
        <v>3913</v>
      </c>
      <c r="D78" s="1220"/>
      <c r="E78" s="1220"/>
      <c r="F78" s="1220"/>
      <c r="G78" s="1220"/>
      <c r="H78" s="1220"/>
      <c r="I78" s="1220"/>
      <c r="J78" s="1220"/>
      <c r="K78" s="1220"/>
      <c r="L78" s="1220"/>
      <c r="M78" s="1220"/>
      <c r="N78" s="1264"/>
      <c r="O78" s="1220"/>
    </row>
    <row r="79" spans="2:15">
      <c r="B79" s="1220"/>
      <c r="C79" s="1220" t="s">
        <v>3914</v>
      </c>
      <c r="D79" s="1220"/>
      <c r="E79" s="1220"/>
      <c r="F79" s="1220"/>
      <c r="G79" s="1220"/>
      <c r="H79" s="1220"/>
      <c r="I79" s="1220"/>
      <c r="J79" s="1220"/>
      <c r="K79" s="1220"/>
      <c r="L79" s="1220"/>
      <c r="M79" s="1220"/>
      <c r="N79" s="1264"/>
      <c r="O79" s="1220"/>
    </row>
    <row r="80" spans="2:15">
      <c r="B80" s="1220"/>
      <c r="C80" s="2136"/>
      <c r="D80" s="2136"/>
      <c r="E80" s="2136"/>
      <c r="F80" s="2136"/>
      <c r="G80" s="2136"/>
      <c r="H80" s="2136"/>
      <c r="I80" s="2136"/>
      <c r="J80" s="2136"/>
      <c r="K80" s="2136"/>
      <c r="L80" s="1220"/>
      <c r="M80" s="1220"/>
      <c r="N80" s="1220"/>
      <c r="O80" s="1220"/>
    </row>
    <row r="81" spans="2:15">
      <c r="B81" s="1220"/>
      <c r="C81" s="2136"/>
      <c r="D81" s="2136"/>
      <c r="E81" s="2136"/>
      <c r="F81" s="2136"/>
      <c r="G81" s="2136"/>
      <c r="H81" s="2136"/>
      <c r="I81" s="2136"/>
      <c r="J81" s="2136"/>
      <c r="K81" s="2136"/>
      <c r="L81" s="1220"/>
      <c r="M81" s="1220"/>
      <c r="N81" s="1220"/>
      <c r="O81" s="1220"/>
    </row>
    <row r="82" spans="2:15">
      <c r="B82" s="1220"/>
      <c r="C82" s="2136"/>
      <c r="D82" s="2136"/>
      <c r="E82" s="2136"/>
      <c r="F82" s="2136"/>
      <c r="G82" s="2136"/>
      <c r="H82" s="2136"/>
      <c r="I82" s="2136"/>
      <c r="J82" s="2136"/>
      <c r="K82" s="2136"/>
      <c r="L82" s="1220"/>
      <c r="M82" s="1220"/>
      <c r="N82" s="1220"/>
      <c r="O82" s="1220"/>
    </row>
    <row r="83" spans="2:15">
      <c r="B83" s="1220"/>
      <c r="C83" s="2136"/>
      <c r="D83" s="2136"/>
      <c r="E83" s="2136"/>
      <c r="F83" s="2136"/>
      <c r="G83" s="2136"/>
      <c r="H83" s="2136"/>
      <c r="I83" s="2136"/>
      <c r="J83" s="2136"/>
      <c r="K83" s="2136"/>
      <c r="L83" s="1220"/>
      <c r="M83" s="1220"/>
      <c r="N83" s="1220"/>
      <c r="O83" s="1220"/>
    </row>
    <row r="84" spans="2:15">
      <c r="B84" s="1220"/>
      <c r="C84" s="2136"/>
      <c r="D84" s="2136"/>
      <c r="E84" s="2136"/>
      <c r="F84" s="2136"/>
      <c r="G84" s="2136"/>
      <c r="H84" s="2136"/>
      <c r="I84" s="2136"/>
      <c r="J84" s="2136"/>
      <c r="K84" s="2136"/>
      <c r="L84" s="1220"/>
      <c r="M84" s="1220"/>
      <c r="N84" s="1220"/>
      <c r="O84" s="1220"/>
    </row>
    <row r="85" spans="2:15">
      <c r="B85" s="1220"/>
      <c r="C85" s="2136"/>
      <c r="D85" s="2136"/>
      <c r="E85" s="2136"/>
      <c r="F85" s="2136"/>
      <c r="G85" s="2136"/>
      <c r="H85" s="2136"/>
      <c r="I85" s="2136"/>
      <c r="J85" s="2136"/>
      <c r="K85" s="2136"/>
      <c r="L85" s="1220"/>
      <c r="M85" s="1220"/>
      <c r="N85" s="1220"/>
      <c r="O85" s="1220"/>
    </row>
    <row r="86" spans="2:15">
      <c r="B86" s="1220"/>
      <c r="C86" s="2136"/>
      <c r="D86" s="2136"/>
      <c r="E86" s="2136"/>
      <c r="F86" s="2136"/>
      <c r="G86" s="2136"/>
      <c r="H86" s="2136"/>
      <c r="I86" s="2136"/>
      <c r="J86" s="2136"/>
      <c r="K86" s="2136"/>
      <c r="L86" s="1220"/>
      <c r="M86" s="1220"/>
      <c r="N86" s="1220"/>
      <c r="O86" s="1220"/>
    </row>
    <row r="87" spans="2:15">
      <c r="B87" s="1220"/>
      <c r="C87" s="2136"/>
      <c r="D87" s="2136"/>
      <c r="E87" s="2136"/>
      <c r="F87" s="2136"/>
      <c r="G87" s="2136"/>
      <c r="H87" s="2136"/>
      <c r="I87" s="2136"/>
      <c r="J87" s="2136"/>
      <c r="K87" s="2136"/>
      <c r="L87" s="1220"/>
      <c r="M87" s="1220"/>
      <c r="N87" s="1220"/>
      <c r="O87" s="1220"/>
    </row>
    <row r="88" spans="2:15">
      <c r="B88" s="1220"/>
      <c r="C88" s="1220"/>
      <c r="D88" s="1220"/>
      <c r="E88" s="1220"/>
      <c r="F88" s="1220"/>
      <c r="G88" s="1220"/>
      <c r="H88" s="1220"/>
      <c r="I88" s="1220"/>
      <c r="J88" s="1220"/>
      <c r="K88" s="1220"/>
      <c r="L88" s="1220"/>
      <c r="M88" s="1220"/>
      <c r="N88" s="1220"/>
      <c r="O88" s="1220"/>
    </row>
    <row r="89" spans="2:15" ht="19">
      <c r="B89" s="34" t="s">
        <v>3364</v>
      </c>
      <c r="F89" s="41"/>
      <c r="G89" s="41"/>
      <c r="H89" s="41"/>
      <c r="O89" s="3"/>
    </row>
    <row r="90" spans="2:15">
      <c r="B90" s="1220"/>
      <c r="C90" s="1261" t="s">
        <v>3852</v>
      </c>
      <c r="D90" s="1220"/>
      <c r="E90" s="1220"/>
      <c r="F90" s="1220"/>
      <c r="G90" s="1220"/>
      <c r="H90" s="1220"/>
      <c r="I90" s="1220"/>
      <c r="J90" s="1220"/>
      <c r="K90" s="1220"/>
      <c r="L90" s="1220"/>
      <c r="M90" s="1220"/>
      <c r="N90" s="1220"/>
      <c r="O90" s="1220"/>
    </row>
    <row r="91" spans="2:15">
      <c r="B91" s="1220"/>
      <c r="C91" s="2136"/>
      <c r="D91" s="2136"/>
      <c r="E91" s="2136"/>
      <c r="F91" s="2136"/>
      <c r="G91" s="2136"/>
      <c r="H91" s="2136"/>
      <c r="I91" s="1220"/>
      <c r="J91" s="1220"/>
      <c r="K91" s="1220"/>
      <c r="L91" s="1220"/>
      <c r="M91" s="1220"/>
      <c r="N91" s="1220"/>
      <c r="O91" s="1220"/>
    </row>
    <row r="92" spans="2:15">
      <c r="B92" s="1220"/>
      <c r="C92" s="2136"/>
      <c r="D92" s="2136"/>
      <c r="E92" s="2136"/>
      <c r="F92" s="2136"/>
      <c r="G92" s="2136"/>
      <c r="H92" s="2136"/>
      <c r="I92" s="1220"/>
      <c r="J92" s="1220"/>
      <c r="K92" s="1220"/>
      <c r="L92" s="1220"/>
      <c r="M92" s="1220"/>
      <c r="N92" s="1220"/>
      <c r="O92" s="1220"/>
    </row>
    <row r="93" spans="2:15">
      <c r="B93" s="1220"/>
      <c r="C93" s="2136"/>
      <c r="D93" s="2136"/>
      <c r="E93" s="2136"/>
      <c r="F93" s="2136"/>
      <c r="G93" s="2136"/>
      <c r="H93" s="2136"/>
      <c r="I93" s="1220"/>
      <c r="J93" s="1220"/>
      <c r="K93" s="1220"/>
      <c r="L93" s="1220"/>
      <c r="M93" s="1220"/>
      <c r="N93" s="1220"/>
      <c r="O93" s="1220"/>
    </row>
    <row r="94" spans="2:15">
      <c r="B94" s="1220"/>
      <c r="C94" s="2136"/>
      <c r="D94" s="2136"/>
      <c r="E94" s="2136"/>
      <c r="F94" s="2136"/>
      <c r="G94" s="2136"/>
      <c r="H94" s="2136"/>
      <c r="I94" s="1220"/>
      <c r="J94" s="1220"/>
      <c r="K94" s="1220"/>
      <c r="L94" s="1220"/>
      <c r="M94" s="1220"/>
      <c r="N94" s="1220"/>
      <c r="O94" s="1220"/>
    </row>
    <row r="95" spans="2:15">
      <c r="B95" s="1220"/>
      <c r="C95" s="1220"/>
      <c r="D95" s="1220"/>
      <c r="E95" s="1220"/>
      <c r="F95" s="1220"/>
      <c r="G95" s="1220"/>
      <c r="H95" s="1220"/>
      <c r="I95" s="1220"/>
      <c r="J95" s="1220"/>
      <c r="K95" s="1220"/>
      <c r="L95" s="1220"/>
      <c r="M95" s="1220"/>
      <c r="N95" s="1220"/>
      <c r="O95" s="1220"/>
    </row>
    <row r="96" spans="2:15">
      <c r="B96" s="42" t="s">
        <v>3371</v>
      </c>
      <c r="C96" s="33"/>
      <c r="D96" s="33"/>
      <c r="E96" s="33"/>
      <c r="F96" s="33"/>
      <c r="G96" s="33"/>
      <c r="H96" s="33"/>
      <c r="I96" s="33"/>
      <c r="J96" s="33"/>
      <c r="K96" s="33"/>
      <c r="L96" s="33"/>
      <c r="M96" s="33"/>
      <c r="N96" s="33"/>
      <c r="O96" s="33"/>
    </row>
    <row r="97" spans="2:15" ht="19">
      <c r="B97" s="34" t="s">
        <v>3372</v>
      </c>
      <c r="F97" s="41"/>
      <c r="G97" s="41"/>
      <c r="H97" s="41"/>
      <c r="O97" s="29"/>
    </row>
    <row r="98" spans="2:15">
      <c r="B98" s="1220"/>
      <c r="C98" s="1261"/>
      <c r="D98" s="1220"/>
      <c r="E98" s="1220"/>
      <c r="F98" s="1220"/>
      <c r="G98" s="1220"/>
      <c r="H98" s="1220"/>
      <c r="I98" s="1220"/>
      <c r="J98" s="1220"/>
      <c r="K98" s="1220"/>
      <c r="L98" s="1220"/>
      <c r="M98" s="1220"/>
      <c r="N98" s="1220"/>
      <c r="O98" s="1220"/>
    </row>
    <row r="99" spans="2:15">
      <c r="B99" s="1220"/>
      <c r="C99" s="2136"/>
      <c r="D99" s="2136"/>
      <c r="E99" s="2136"/>
      <c r="F99" s="2136"/>
      <c r="G99" s="2136"/>
      <c r="H99" s="2136"/>
      <c r="I99" s="1220"/>
      <c r="J99" s="1220"/>
      <c r="K99" s="1220"/>
      <c r="L99" s="1220"/>
      <c r="M99" s="1220"/>
      <c r="N99" s="1220"/>
      <c r="O99" s="1220"/>
    </row>
    <row r="100" spans="2:15">
      <c r="B100" s="1220"/>
      <c r="C100" s="2136"/>
      <c r="D100" s="2136"/>
      <c r="E100" s="2136"/>
      <c r="F100" s="2136"/>
      <c r="G100" s="2136"/>
      <c r="H100" s="2136"/>
      <c r="I100" s="1220"/>
      <c r="J100" s="1220"/>
      <c r="K100" s="1220"/>
      <c r="L100" s="1220"/>
      <c r="M100" s="1220"/>
      <c r="N100" s="1220"/>
      <c r="O100" s="1220"/>
    </row>
    <row r="101" spans="2:15">
      <c r="B101" s="1220"/>
      <c r="C101" s="2136"/>
      <c r="D101" s="2136"/>
      <c r="E101" s="2136"/>
      <c r="F101" s="2136"/>
      <c r="G101" s="2136"/>
      <c r="H101" s="2136"/>
      <c r="I101" s="1220"/>
      <c r="J101" s="1220"/>
      <c r="K101" s="1220"/>
      <c r="L101" s="1220"/>
      <c r="M101" s="1220"/>
      <c r="N101" s="1220"/>
      <c r="O101" s="1220"/>
    </row>
    <row r="102" spans="2:15">
      <c r="B102" s="1220"/>
      <c r="C102" s="2136"/>
      <c r="D102" s="2136"/>
      <c r="E102" s="2136"/>
      <c r="F102" s="2136"/>
      <c r="G102" s="2136"/>
      <c r="H102" s="2136"/>
      <c r="I102" s="1220"/>
      <c r="J102" s="1220"/>
      <c r="K102" s="1220"/>
      <c r="L102" s="1220"/>
      <c r="M102" s="1220"/>
      <c r="N102" s="1220"/>
      <c r="O102" s="1220"/>
    </row>
    <row r="103" spans="2:15">
      <c r="B103" s="1220"/>
      <c r="C103" s="1220"/>
      <c r="D103" s="1220"/>
      <c r="E103" s="1220"/>
      <c r="F103" s="1220"/>
      <c r="G103" s="1220"/>
      <c r="H103" s="1220"/>
      <c r="I103" s="1220"/>
      <c r="J103" s="1220"/>
      <c r="K103" s="1220"/>
      <c r="L103" s="1220"/>
      <c r="M103" s="1220"/>
      <c r="N103" s="1220"/>
      <c r="O103" s="1220"/>
    </row>
    <row r="104" spans="2:15" ht="16">
      <c r="C104" s="43"/>
      <c r="D104" s="43"/>
      <c r="E104" s="43"/>
      <c r="F104" s="44"/>
    </row>
  </sheetData>
  <sheetProtection algorithmName="SHA-512" hashValue="JxK83SZHiDmrWL1TXsdV9ff36e1NQDnPoOecz06q8W5X2gmiUXTelsBMr9/Lu2SavNr8WcfWTTVttdt5i50yAA==" saltValue="+muYwuaJUtvIEAbkvomqAQ==" spinCount="100000" sheet="1" objects="1" scenarios="1" selectLockedCells="1"/>
  <mergeCells count="6">
    <mergeCell ref="C25:F25"/>
    <mergeCell ref="C91:H94"/>
    <mergeCell ref="C99:H102"/>
    <mergeCell ref="C80:K87"/>
    <mergeCell ref="G47:J54"/>
    <mergeCell ref="C76:C77"/>
  </mergeCells>
  <conditionalFormatting sqref="C11:H11 D11:D15 C29:C31 C44:C49 C61:C68 F61:F72">
    <cfRule type="expression" dxfId="293" priority="27">
      <formula>$Q$11</formula>
    </cfRule>
  </conditionalFormatting>
  <conditionalFormatting sqref="E11:E23">
    <cfRule type="expression" dxfId="292" priority="30">
      <formula>AND(E11&gt;0, ISBLANK(I11))</formula>
    </cfRule>
  </conditionalFormatting>
  <conditionalFormatting sqref="F11:F24">
    <cfRule type="expression" dxfId="291" priority="10">
      <formula>$Q$11</formula>
    </cfRule>
  </conditionalFormatting>
  <conditionalFormatting sqref="F29:F40">
    <cfRule type="expression" dxfId="290" priority="7">
      <formula>$Q$11</formula>
    </cfRule>
  </conditionalFormatting>
  <conditionalFormatting sqref="F44:F54">
    <cfRule type="expression" dxfId="289" priority="1">
      <formula>$Q$11</formula>
    </cfRule>
  </conditionalFormatting>
  <conditionalFormatting sqref="F77:G77">
    <cfRule type="expression" dxfId="288" priority="25">
      <formula>IF(AND($F$77&lt;=49.5%,$F$77&gt;0),TRUE,FALSE)</formula>
    </cfRule>
  </conditionalFormatting>
  <conditionalFormatting sqref="I11:I14">
    <cfRule type="expression" dxfId="287" priority="116">
      <formula>$Q$11</formula>
    </cfRule>
  </conditionalFormatting>
  <conditionalFormatting sqref="I16:I23">
    <cfRule type="expression" dxfId="286" priority="29">
      <formula>$Q$11</formula>
    </cfRule>
  </conditionalFormatting>
  <conditionalFormatting sqref="J11:J23">
    <cfRule type="expression" dxfId="285" priority="242">
      <formula>IF(E11&gt;0,TRUE,FALSE)</formula>
    </cfRule>
  </conditionalFormatting>
  <conditionalFormatting sqref="K11:M11">
    <cfRule type="expression" dxfId="284" priority="117">
      <formula>$Q$11</formula>
    </cfRule>
  </conditionalFormatting>
  <dataValidations count="6">
    <dataValidation type="list" allowBlank="1" showInputMessage="1" showErrorMessage="1" sqref="I12:I14 I16:I23 G61:G72 G11:G23" xr:uid="{BBD766AF-E5ED-4806-8037-87A6DCCA90E6}">
      <formula1>YesNo</formula1>
    </dataValidation>
    <dataValidation type="custom" allowBlank="1" showInputMessage="1" showErrorMessage="1" sqref="G1" xr:uid="{F2034C58-9737-477E-996C-BD9CD3A14F2A}">
      <formula1>"&lt;0&gt;0"</formula1>
    </dataValidation>
    <dataValidation type="list" showInputMessage="1" showErrorMessage="1" sqref="I11" xr:uid="{9174610C-10E6-499C-B716-02E762D257B4}">
      <formula1>YesNo</formula1>
    </dataValidation>
    <dataValidation type="list" allowBlank="1" showInputMessage="1" showErrorMessage="1" sqref="H11:H15" xr:uid="{FD189B46-E187-4D8F-8882-651ADACCD6A7}">
      <formula1>FinancingType</formula1>
    </dataValidation>
    <dataValidation type="custom" allowBlank="1" showInputMessage="1" showErrorMessage="1" errorTitle="Numeric Value Error" error="Please enter numeric values only." sqref="I61:I65 I69 M16 L11:M15 L16:L17 L18:M23" xr:uid="{F3414E66-9F82-4F53-AB44-2114276F88E8}">
      <formula1>ISNUMBER(I11)</formula1>
    </dataValidation>
    <dataValidation type="list" allowBlank="1" showInputMessage="1" showErrorMessage="1" sqref="J11:J23" xr:uid="{8B636C11-827A-4F25-8751-04A5AB7BF4C1}">
      <formula1>$R$11:$R$14</formula1>
    </dataValidation>
  </dataValidations>
  <pageMargins left="0.7" right="0.7" top="0.75" bottom="0.75" header="0.3" footer="0.3"/>
  <pageSetup scale="28" orientation="portrait" r:id="rId1"/>
  <headerFooter>
    <oddHeader>&amp;L&amp;G</oddHeader>
    <oddFooter>&amp;LVersion - 2023.0.01&amp;CWHEDA MULTIFAMILY APPLICATION&amp;R&amp;P of &amp;N</oddFooter>
  </headerFooter>
  <colBreaks count="1" manualBreakCount="1">
    <brk id="14" min="3" max="89"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E4D3-466A-4A00-9B13-AF1B77DAEA77}">
  <dimension ref="A1:C2"/>
  <sheetViews>
    <sheetView workbookViewId="0"/>
  </sheetViews>
  <sheetFormatPr baseColWidth="10" defaultColWidth="8.83203125" defaultRowHeight="15"/>
  <cols>
    <col min="1" max="1" width="17" customWidth="1"/>
    <col min="2" max="2" width="12.5" customWidth="1"/>
    <col min="3" max="3" width="12" customWidth="1"/>
  </cols>
  <sheetData>
    <row r="1" spans="1:3">
      <c r="A1" s="48" t="s">
        <v>200</v>
      </c>
      <c r="B1" s="48" t="s">
        <v>201</v>
      </c>
      <c r="C1" s="48" t="s">
        <v>202</v>
      </c>
    </row>
    <row r="2" spans="1:3">
      <c r="A2" t="s">
        <v>203</v>
      </c>
      <c r="B2">
        <v>2025</v>
      </c>
      <c r="C2" t="s">
        <v>204</v>
      </c>
    </row>
  </sheetData>
  <sheetProtection algorithmName="SHA-512" hashValue="rc+/4Vd9EYJA5cF6FFv7L9zVjdlya0w5jBphMnT8vK0IeGuYR+HObpEz4RmL+f/eLobbnn5DNlhAZiE0UD0now==" saltValue="dKX7IQwqnPLZwEQWKzqcQw==" spinCount="100000"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8076-4848-4F81-97A9-D50F285314E3}">
  <sheetPr codeName="Sheet56">
    <pageSetUpPr autoPageBreaks="0"/>
  </sheetPr>
  <dimension ref="B1:CC428"/>
  <sheetViews>
    <sheetView workbookViewId="0">
      <selection activeCell="F42" sqref="F42"/>
    </sheetView>
  </sheetViews>
  <sheetFormatPr baseColWidth="10" defaultColWidth="9.1640625" defaultRowHeight="16"/>
  <cols>
    <col min="1" max="1" width="4.5" style="3" customWidth="1"/>
    <col min="2" max="2" width="5.6640625" style="3" customWidth="1"/>
    <col min="3" max="3" width="41.1640625" style="487" customWidth="1"/>
    <col min="4" max="4" width="26.1640625" style="488" customWidth="1"/>
    <col min="5" max="5" width="16.5" style="483" customWidth="1"/>
    <col min="6" max="6" width="21.5" style="915" customWidth="1"/>
    <col min="7" max="7" width="20.5" style="3" customWidth="1"/>
    <col min="8" max="8" width="20.5" style="3" hidden="1" customWidth="1"/>
    <col min="9" max="10" width="20.5" style="3" customWidth="1"/>
    <col min="11" max="41" width="20.5" style="3" hidden="1" customWidth="1"/>
    <col min="42" max="42" width="8.33203125" style="3" customWidth="1"/>
    <col min="43" max="43" width="20.5" style="3" customWidth="1"/>
    <col min="44" max="44" width="9.1640625" style="3" customWidth="1"/>
    <col min="45" max="45" width="9.1640625" style="131" customWidth="1"/>
    <col min="46" max="46" width="20.5" style="131" customWidth="1"/>
    <col min="47" max="47" width="9.1640625" style="131"/>
    <col min="48" max="48" width="14.1640625" style="131" customWidth="1"/>
    <col min="49" max="49" width="23.83203125" style="131" bestFit="1" customWidth="1"/>
    <col min="50" max="50" width="11.6640625" style="131" customWidth="1"/>
    <col min="51" max="64" width="9.1640625" style="131"/>
    <col min="65" max="16384" width="9.1640625" style="3"/>
  </cols>
  <sheetData>
    <row r="1" spans="2:81" ht="22.5" customHeight="1">
      <c r="B1" s="4" t="str">
        <f>'1. TOC'!B1</f>
        <v>WHEDA 2025 Multifamily Application</v>
      </c>
      <c r="G1" s="149" t="str">
        <f>'1. TOC'!L1</f>
        <v>v25.1.9</v>
      </c>
      <c r="I1" s="1086" t="str">
        <f>HYPERLINK("#Table_of_Contents", Table_of_Contents)</f>
        <v>Table of Contents</v>
      </c>
    </row>
    <row r="2" spans="2:81" s="485" customFormat="1" ht="18" customHeight="1">
      <c r="B2" s="966" t="str">
        <f>_xlfn.CONCAT(IF(ISBLANK(WHEDA_Project_Number),"",_xlfn.CONCAT(WHEDA_Project_Number,"-")), Project_Name, IF(ISBLANK(Credit_percentage_applied_for),"",_xlfn.CONCAT(" (", Credit_percentage_applied_for," HTC)")))</f>
        <v/>
      </c>
      <c r="C2" s="5"/>
      <c r="D2" s="5"/>
      <c r="E2" s="484"/>
      <c r="F2" s="484"/>
      <c r="W2" s="486"/>
      <c r="X2" s="486"/>
      <c r="Y2" s="486"/>
      <c r="Z2" s="486"/>
      <c r="AA2" s="486"/>
      <c r="AB2" s="486"/>
      <c r="AC2" s="486"/>
      <c r="AD2" s="486"/>
      <c r="AE2" s="486"/>
      <c r="AF2" s="486"/>
      <c r="AL2" s="486"/>
    </row>
    <row r="3" spans="2:81" ht="19">
      <c r="B3" s="132"/>
      <c r="C3" s="13"/>
      <c r="D3" s="13"/>
      <c r="E3" s="7"/>
      <c r="F3" s="7"/>
      <c r="G3" s="7"/>
      <c r="H3" s="7"/>
      <c r="I3" s="7"/>
      <c r="J3" s="463"/>
      <c r="K3" s="463"/>
      <c r="L3" s="463"/>
      <c r="M3" s="463"/>
      <c r="N3" s="463"/>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463"/>
      <c r="AQ3" s="149"/>
      <c r="AR3" s="149"/>
    </row>
    <row r="4" spans="2:81" ht="29">
      <c r="B4" s="4" t="s">
        <v>3915</v>
      </c>
      <c r="D4" s="3"/>
      <c r="E4" s="3"/>
      <c r="F4" s="3"/>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row>
    <row r="5" spans="2:81" s="1108" customFormat="1" ht="15">
      <c r="B5" s="1278"/>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278"/>
      <c r="AH5" s="1278"/>
      <c r="AI5" s="1278"/>
      <c r="AJ5" s="1278"/>
      <c r="AK5" s="1278"/>
      <c r="AL5" s="1278"/>
      <c r="AM5" s="1278"/>
      <c r="AN5" s="1278"/>
      <c r="AO5" s="1278"/>
      <c r="AP5" s="1278"/>
      <c r="AQ5" s="606"/>
      <c r="AR5" s="606"/>
      <c r="AS5" s="990"/>
      <c r="AT5" s="990"/>
      <c r="AU5" s="990"/>
      <c r="AV5" s="990"/>
      <c r="AW5" s="990"/>
      <c r="AX5" s="990"/>
      <c r="AY5" s="990"/>
      <c r="AZ5" s="990"/>
      <c r="BA5" s="990"/>
      <c r="BB5" s="990"/>
      <c r="BC5" s="990"/>
      <c r="BD5" s="990"/>
      <c r="BE5" s="990"/>
      <c r="BF5" s="990"/>
      <c r="BG5" s="990"/>
      <c r="BH5" s="990"/>
      <c r="BI5" s="990"/>
      <c r="BJ5" s="990"/>
      <c r="BK5" s="990"/>
      <c r="BL5" s="990"/>
      <c r="BM5" s="606"/>
      <c r="BN5" s="606"/>
      <c r="BO5" s="606"/>
      <c r="BP5" s="606"/>
      <c r="BQ5" s="606"/>
      <c r="BR5" s="606"/>
      <c r="BS5" s="606"/>
      <c r="BT5" s="606"/>
      <c r="BU5" s="606"/>
      <c r="BV5" s="606"/>
      <c r="BW5" s="606"/>
      <c r="BX5" s="606"/>
      <c r="BY5" s="606"/>
      <c r="BZ5" s="606"/>
      <c r="CA5" s="606"/>
      <c r="CB5" s="606"/>
      <c r="CC5" s="606"/>
    </row>
    <row r="6" spans="2:81" s="918" customFormat="1">
      <c r="B6" s="1278"/>
      <c r="C6" s="2161" t="s">
        <v>3916</v>
      </c>
      <c r="D6" s="2162"/>
      <c r="E6" s="1721" t="s">
        <v>3917</v>
      </c>
      <c r="F6" s="1721" t="s">
        <v>3918</v>
      </c>
      <c r="G6" s="1732" t="s">
        <v>3919</v>
      </c>
      <c r="H6" s="1732" t="s">
        <v>3920</v>
      </c>
      <c r="I6" s="1732" t="s">
        <v>3921</v>
      </c>
      <c r="J6" s="1732" t="s">
        <v>3922</v>
      </c>
      <c r="K6" s="202"/>
      <c r="L6" s="202"/>
      <c r="M6" s="20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1278"/>
      <c r="AQ6" s="3"/>
      <c r="AR6" s="3"/>
      <c r="AS6" s="131"/>
      <c r="AT6" s="131"/>
      <c r="AU6" s="131"/>
      <c r="AV6" s="131"/>
      <c r="AW6" s="131"/>
      <c r="AX6" s="131"/>
    </row>
    <row r="7" spans="2:81" s="919" customFormat="1">
      <c r="B7" s="1278"/>
      <c r="C7" s="643" t="s">
        <v>3923</v>
      </c>
      <c r="D7" s="644"/>
      <c r="E7" s="655">
        <f>+SUM(E8:E17)</f>
        <v>0</v>
      </c>
      <c r="F7" s="655">
        <f t="shared" ref="F7:H7" si="0">+SUM(F8:F17)</f>
        <v>0</v>
      </c>
      <c r="G7" s="655">
        <f t="shared" si="0"/>
        <v>0</v>
      </c>
      <c r="H7" s="655">
        <f t="shared" si="0"/>
        <v>0</v>
      </c>
      <c r="I7" s="655">
        <f>IF('11. Unit Mix'!$G$142&lt;&gt;0,+E7/'11. Unit Mix'!$G$142,0)</f>
        <v>0</v>
      </c>
      <c r="J7" s="655">
        <f t="shared" ref="J7:J17" si="1">IF(Total_Units&lt;&gt;0,+E7/Total_Units,0)</f>
        <v>0</v>
      </c>
      <c r="K7" s="202"/>
      <c r="L7" s="202"/>
      <c r="M7" s="202"/>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c r="AK7" s="1081"/>
      <c r="AL7" s="1081"/>
      <c r="AM7" s="1081"/>
      <c r="AN7" s="1081"/>
      <c r="AO7" s="1081"/>
      <c r="AP7" s="1278"/>
      <c r="AQ7" s="3"/>
      <c r="AR7" s="3"/>
      <c r="AS7" s="131"/>
      <c r="AT7" s="131"/>
      <c r="AU7" s="131"/>
      <c r="AV7" s="131"/>
      <c r="AW7" s="131"/>
      <c r="AX7" s="131"/>
    </row>
    <row r="8" spans="2:81" s="918" customFormat="1">
      <c r="B8" s="1278"/>
      <c r="C8" s="645" t="s">
        <v>3924</v>
      </c>
      <c r="D8" s="646"/>
      <c r="E8" s="1112">
        <f>+SUM(F8:H8)</f>
        <v>0</v>
      </c>
      <c r="F8" s="1111"/>
      <c r="G8" s="1111"/>
      <c r="H8" s="923"/>
      <c r="I8" s="1112">
        <f>IF('11. Unit Mix'!$G$142&lt;&gt;0,+E8/'11. Unit Mix'!$G$142,0)</f>
        <v>0</v>
      </c>
      <c r="J8" s="1112">
        <f t="shared" si="1"/>
        <v>0</v>
      </c>
      <c r="K8" s="202"/>
      <c r="L8" s="202"/>
      <c r="M8" s="202"/>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2"/>
      <c r="AN8" s="642"/>
      <c r="AO8" s="642"/>
      <c r="AP8" s="1278"/>
      <c r="AQ8" s="3"/>
      <c r="AR8" s="3"/>
      <c r="AS8" s="131"/>
      <c r="AT8" s="131"/>
      <c r="AU8" s="131"/>
      <c r="AV8" s="131"/>
      <c r="AW8" s="131"/>
      <c r="AX8" s="131"/>
    </row>
    <row r="9" spans="2:81" s="918" customFormat="1">
      <c r="B9" s="1278"/>
      <c r="C9" s="645" t="s">
        <v>3925</v>
      </c>
      <c r="D9" s="646"/>
      <c r="E9" s="1112">
        <f t="shared" ref="E9:E17" si="2">+SUM(F9:H9)</f>
        <v>0</v>
      </c>
      <c r="F9" s="1111"/>
      <c r="G9" s="1111"/>
      <c r="H9" s="923"/>
      <c r="I9" s="1112">
        <f>IF('11. Unit Mix'!$G$142&lt;&gt;0,+E9/'11. Unit Mix'!$G$142,0)</f>
        <v>0</v>
      </c>
      <c r="J9" s="1112">
        <f t="shared" si="1"/>
        <v>0</v>
      </c>
      <c r="K9" s="202"/>
      <c r="L9" s="202"/>
      <c r="M9" s="202"/>
      <c r="N9" s="642"/>
      <c r="O9" s="642"/>
      <c r="P9" s="642"/>
      <c r="Q9" s="642"/>
      <c r="R9" s="642"/>
      <c r="S9" s="642"/>
      <c r="T9" s="642"/>
      <c r="U9" s="642"/>
      <c r="V9" s="642"/>
      <c r="W9" s="642"/>
      <c r="X9" s="642"/>
      <c r="Y9" s="642"/>
      <c r="Z9" s="642"/>
      <c r="AA9" s="642"/>
      <c r="AB9" s="642"/>
      <c r="AC9" s="642"/>
      <c r="AD9" s="642"/>
      <c r="AE9" s="642"/>
      <c r="AF9" s="642"/>
      <c r="AG9" s="642"/>
      <c r="AH9" s="642"/>
      <c r="AI9" s="642"/>
      <c r="AJ9" s="642"/>
      <c r="AK9" s="642"/>
      <c r="AL9" s="642"/>
      <c r="AM9" s="642"/>
      <c r="AN9" s="642"/>
      <c r="AO9" s="642"/>
      <c r="AP9" s="1278"/>
      <c r="AQ9" s="3"/>
      <c r="AR9" s="3"/>
      <c r="AS9" s="131"/>
      <c r="AT9" s="131"/>
      <c r="AU9" s="131"/>
      <c r="AV9" s="131"/>
      <c r="AW9" s="131"/>
      <c r="AX9" s="131"/>
    </row>
    <row r="10" spans="2:81" s="918" customFormat="1">
      <c r="B10" s="1278"/>
      <c r="C10" s="645" t="s">
        <v>3926</v>
      </c>
      <c r="D10" s="646"/>
      <c r="E10" s="1112">
        <f t="shared" si="2"/>
        <v>0</v>
      </c>
      <c r="F10" s="1111"/>
      <c r="G10" s="1111"/>
      <c r="H10" s="923"/>
      <c r="I10" s="1112">
        <f>IF('11. Unit Mix'!$G$142&lt;&gt;0,+E10/'11. Unit Mix'!$G$142,0)</f>
        <v>0</v>
      </c>
      <c r="J10" s="1112">
        <f t="shared" si="1"/>
        <v>0</v>
      </c>
      <c r="K10" s="202"/>
      <c r="L10" s="202"/>
      <c r="M10" s="20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1278"/>
      <c r="AQ10" s="3"/>
      <c r="AR10" s="3"/>
      <c r="AS10" s="131"/>
      <c r="AT10" s="131"/>
      <c r="AU10" s="131"/>
      <c r="AV10" s="131"/>
      <c r="AW10" s="131"/>
      <c r="AX10" s="131"/>
    </row>
    <row r="11" spans="2:81" s="918" customFormat="1">
      <c r="B11" s="1278"/>
      <c r="C11" s="645" t="s">
        <v>3927</v>
      </c>
      <c r="D11" s="646"/>
      <c r="E11" s="1112">
        <f t="shared" si="2"/>
        <v>0</v>
      </c>
      <c r="F11" s="1111"/>
      <c r="G11" s="1111"/>
      <c r="H11" s="923"/>
      <c r="I11" s="1112">
        <f>IF('11. Unit Mix'!$G$142&lt;&gt;0,+E11/'11. Unit Mix'!$G$142,0)</f>
        <v>0</v>
      </c>
      <c r="J11" s="1112">
        <f t="shared" si="1"/>
        <v>0</v>
      </c>
      <c r="K11" s="202"/>
      <c r="L11" s="202"/>
      <c r="M11" s="20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2"/>
      <c r="AO11" s="642"/>
      <c r="AP11" s="1278"/>
      <c r="AQ11" s="3"/>
      <c r="AR11" s="3"/>
      <c r="AS11" s="131"/>
      <c r="AT11" s="131"/>
      <c r="AU11" s="131"/>
      <c r="AV11" s="131"/>
      <c r="AW11" s="131"/>
      <c r="AX11" s="131"/>
    </row>
    <row r="12" spans="2:81" s="918" customFormat="1">
      <c r="B12" s="1278"/>
      <c r="C12" s="645" t="s">
        <v>3928</v>
      </c>
      <c r="D12" s="646"/>
      <c r="E12" s="1112">
        <f t="shared" si="2"/>
        <v>0</v>
      </c>
      <c r="F12" s="1111"/>
      <c r="G12" s="1111"/>
      <c r="H12" s="923"/>
      <c r="I12" s="1112">
        <f>IF('11. Unit Mix'!$G$142&lt;&gt;0,+E12/'11. Unit Mix'!$G$142,0)</f>
        <v>0</v>
      </c>
      <c r="J12" s="1112">
        <f t="shared" si="1"/>
        <v>0</v>
      </c>
      <c r="K12" s="202"/>
      <c r="L12" s="202"/>
      <c r="M12" s="20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1278"/>
      <c r="AQ12" s="3"/>
      <c r="AR12" s="3"/>
      <c r="AS12" s="131"/>
      <c r="AT12" s="131"/>
      <c r="AU12" s="131"/>
      <c r="AV12" s="131"/>
      <c r="AW12" s="131"/>
      <c r="AX12" s="131"/>
    </row>
    <row r="13" spans="2:81" s="918" customFormat="1">
      <c r="B13" s="1278"/>
      <c r="C13" s="645" t="s">
        <v>3929</v>
      </c>
      <c r="D13" s="646"/>
      <c r="E13" s="1112">
        <f t="shared" si="2"/>
        <v>0</v>
      </c>
      <c r="F13" s="1111"/>
      <c r="G13" s="1111"/>
      <c r="H13" s="923"/>
      <c r="I13" s="1112">
        <f>IF('11. Unit Mix'!$G$142&lt;&gt;0,+E13/'11. Unit Mix'!$G$142,0)</f>
        <v>0</v>
      </c>
      <c r="J13" s="1112">
        <f t="shared" si="1"/>
        <v>0</v>
      </c>
      <c r="K13" s="202"/>
      <c r="L13" s="202"/>
      <c r="M13" s="20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1278"/>
      <c r="AQ13" s="3"/>
      <c r="AR13" s="3"/>
      <c r="AS13" s="131"/>
      <c r="AT13" s="131"/>
      <c r="AU13" s="131"/>
      <c r="AV13" s="131"/>
      <c r="AW13" s="131"/>
      <c r="AX13" s="131"/>
    </row>
    <row r="14" spans="2:81" s="918" customFormat="1">
      <c r="B14" s="1278"/>
      <c r="C14" s="645" t="s">
        <v>3930</v>
      </c>
      <c r="D14" s="646"/>
      <c r="E14" s="1112">
        <f t="shared" si="2"/>
        <v>0</v>
      </c>
      <c r="F14" s="1111"/>
      <c r="G14" s="1111"/>
      <c r="H14" s="923"/>
      <c r="I14" s="1112">
        <f>IF('11. Unit Mix'!$G$142&lt;&gt;0,+E14/'11. Unit Mix'!$G$142,0)</f>
        <v>0</v>
      </c>
      <c r="J14" s="1112">
        <f t="shared" si="1"/>
        <v>0</v>
      </c>
      <c r="K14" s="202"/>
      <c r="L14" s="202"/>
      <c r="M14" s="20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1278"/>
      <c r="AQ14" s="3"/>
      <c r="AR14" s="3"/>
      <c r="AS14" s="131"/>
      <c r="AT14" s="131"/>
      <c r="AU14" s="131"/>
      <c r="AV14" s="131"/>
      <c r="AW14" s="131"/>
      <c r="AX14" s="131"/>
    </row>
    <row r="15" spans="2:81" s="918" customFormat="1">
      <c r="B15" s="1278"/>
      <c r="C15" s="645" t="s">
        <v>3931</v>
      </c>
      <c r="D15" s="646"/>
      <c r="E15" s="1112">
        <f t="shared" si="2"/>
        <v>0</v>
      </c>
      <c r="F15" s="1111"/>
      <c r="G15" s="1111"/>
      <c r="H15" s="923"/>
      <c r="I15" s="1112">
        <f>IF('11. Unit Mix'!$G$142&lt;&gt;0,+E15/'11. Unit Mix'!$G$142,0)</f>
        <v>0</v>
      </c>
      <c r="J15" s="1112">
        <f t="shared" si="1"/>
        <v>0</v>
      </c>
      <c r="K15" s="202"/>
      <c r="L15" s="202"/>
      <c r="M15" s="202"/>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c r="AO15" s="642"/>
      <c r="AP15" s="1278"/>
      <c r="AQ15" s="3"/>
      <c r="AR15" s="3"/>
      <c r="AS15" s="131"/>
      <c r="AT15" s="131"/>
      <c r="AU15" s="131"/>
      <c r="AV15" s="131"/>
      <c r="AW15" s="131"/>
      <c r="AX15" s="131"/>
    </row>
    <row r="16" spans="2:81" s="918" customFormat="1">
      <c r="B16" s="1278"/>
      <c r="C16" s="645" t="s">
        <v>3932</v>
      </c>
      <c r="D16" s="646"/>
      <c r="E16" s="1112">
        <f t="shared" si="2"/>
        <v>0</v>
      </c>
      <c r="F16" s="1111"/>
      <c r="G16" s="1111"/>
      <c r="H16" s="923"/>
      <c r="I16" s="1112">
        <f>IF('11. Unit Mix'!$G$142&lt;&gt;0,+E16/'11. Unit Mix'!$G$142,0)</f>
        <v>0</v>
      </c>
      <c r="J16" s="1112">
        <f t="shared" si="1"/>
        <v>0</v>
      </c>
      <c r="K16" s="202"/>
      <c r="L16" s="202"/>
      <c r="M16" s="20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1278"/>
      <c r="AQ16" s="3"/>
      <c r="AR16" s="3"/>
      <c r="AS16" s="131"/>
      <c r="AT16" s="131"/>
      <c r="AU16" s="131"/>
      <c r="AV16" s="131"/>
      <c r="AW16" s="131"/>
      <c r="AX16" s="131"/>
    </row>
    <row r="17" spans="2:50" s="918" customFormat="1">
      <c r="B17" s="1278"/>
      <c r="C17" s="645" t="s">
        <v>3933</v>
      </c>
      <c r="D17" s="646"/>
      <c r="E17" s="1112">
        <f t="shared" si="2"/>
        <v>0</v>
      </c>
      <c r="F17" s="1111"/>
      <c r="G17" s="1111"/>
      <c r="H17" s="923"/>
      <c r="I17" s="1112">
        <f>IF('11. Unit Mix'!$G$142&lt;&gt;0,+E17/'11. Unit Mix'!$G$142,0)</f>
        <v>0</v>
      </c>
      <c r="J17" s="1112">
        <f t="shared" si="1"/>
        <v>0</v>
      </c>
      <c r="K17" s="202"/>
      <c r="L17" s="202"/>
      <c r="M17" s="20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1278"/>
      <c r="AQ17" s="3"/>
      <c r="AR17" s="3"/>
      <c r="AS17" s="131"/>
      <c r="AT17" s="131"/>
      <c r="AU17" s="131"/>
      <c r="AV17" s="131"/>
      <c r="AW17" s="131"/>
      <c r="AX17" s="131"/>
    </row>
    <row r="18" spans="2:50" s="918" customFormat="1">
      <c r="B18" s="1278"/>
      <c r="C18" s="1279"/>
      <c r="D18" s="1279"/>
      <c r="E18" s="1279"/>
      <c r="F18" s="1279"/>
      <c r="G18" s="1279"/>
      <c r="H18" s="1279"/>
      <c r="I18" s="1279"/>
      <c r="J18" s="1279"/>
      <c r="K18" s="202"/>
      <c r="L18" s="202"/>
      <c r="M18" s="20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1278"/>
      <c r="AQ18" s="3"/>
      <c r="AR18" s="3"/>
      <c r="AS18" s="131"/>
      <c r="AT18" s="131"/>
      <c r="AU18" s="131"/>
      <c r="AV18" s="131"/>
      <c r="AW18" s="131"/>
      <c r="AX18" s="131"/>
    </row>
    <row r="19" spans="2:50" s="919" customFormat="1" hidden="1">
      <c r="B19" s="1278"/>
      <c r="C19" s="643" t="s">
        <v>3934</v>
      </c>
      <c r="D19" s="644"/>
      <c r="E19" s="655">
        <f>+SUM(E20:E29)</f>
        <v>0</v>
      </c>
      <c r="F19" s="655">
        <f t="shared" ref="F19:H19" si="3">+SUM(F20:F29)</f>
        <v>0</v>
      </c>
      <c r="G19" s="655">
        <f t="shared" si="3"/>
        <v>0</v>
      </c>
      <c r="H19" s="655">
        <f t="shared" si="3"/>
        <v>0</v>
      </c>
      <c r="I19" s="655">
        <f>IF('11. Unit Mix'!$G$142&lt;&gt;0,+E19/'11. Unit Mix'!$G$142,0)</f>
        <v>0</v>
      </c>
      <c r="J19" s="655">
        <f t="shared" ref="J19:J29" si="4">IF(Total_Units&lt;&gt;0,+E19/Total_Units,0)</f>
        <v>0</v>
      </c>
      <c r="K19" s="202"/>
      <c r="L19" s="202"/>
      <c r="M19" s="202"/>
      <c r="N19" s="1081"/>
      <c r="O19" s="1081"/>
      <c r="P19" s="1081"/>
      <c r="Q19" s="1081"/>
      <c r="R19" s="1081"/>
      <c r="S19" s="1081"/>
      <c r="T19" s="1081"/>
      <c r="U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1"/>
      <c r="AP19" s="1278"/>
      <c r="AQ19" s="3"/>
      <c r="AR19" s="3"/>
      <c r="AS19" s="131"/>
      <c r="AT19" s="131"/>
      <c r="AU19" s="131"/>
      <c r="AV19" s="131"/>
      <c r="AW19" s="131"/>
      <c r="AX19" s="131"/>
    </row>
    <row r="20" spans="2:50" s="918" customFormat="1" hidden="1">
      <c r="B20" s="1278"/>
      <c r="C20" s="645" t="s">
        <v>3935</v>
      </c>
      <c r="D20" s="646"/>
      <c r="E20" s="647">
        <f>SUM(F20:H20)</f>
        <v>0</v>
      </c>
      <c r="F20" s="924"/>
      <c r="G20" s="924"/>
      <c r="H20" s="923"/>
      <c r="I20" s="647">
        <f>IF('11. Unit Mix'!$G$142&lt;&gt;0,+E20/'11. Unit Mix'!$G$142,0)</f>
        <v>0</v>
      </c>
      <c r="J20" s="647">
        <f t="shared" si="4"/>
        <v>0</v>
      </c>
      <c r="K20" s="202"/>
      <c r="L20" s="202"/>
      <c r="M20" s="20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1278"/>
      <c r="AQ20" s="3"/>
      <c r="AR20" s="3"/>
      <c r="AS20" s="131"/>
      <c r="AT20" s="131"/>
      <c r="AU20" s="131"/>
      <c r="AV20" s="131"/>
      <c r="AW20" s="131"/>
      <c r="AX20" s="131"/>
    </row>
    <row r="21" spans="2:50" s="918" customFormat="1" hidden="1">
      <c r="B21" s="1278"/>
      <c r="C21" s="645" t="s">
        <v>3936</v>
      </c>
      <c r="D21" s="646"/>
      <c r="E21" s="647">
        <f t="shared" ref="E21:E29" si="5">SUM(F21:H21)</f>
        <v>0</v>
      </c>
      <c r="F21" s="924"/>
      <c r="G21" s="924"/>
      <c r="H21" s="923"/>
      <c r="I21" s="647">
        <f>IF('11. Unit Mix'!$G$142&lt;&gt;0,+E21/'11. Unit Mix'!$G$142,0)</f>
        <v>0</v>
      </c>
      <c r="J21" s="647">
        <f t="shared" si="4"/>
        <v>0</v>
      </c>
      <c r="K21" s="202"/>
      <c r="L21" s="202"/>
      <c r="M21" s="20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1278"/>
      <c r="AQ21" s="3"/>
      <c r="AR21" s="3"/>
      <c r="AS21" s="131"/>
      <c r="AT21" s="131"/>
      <c r="AU21" s="131"/>
      <c r="AV21" s="131"/>
      <c r="AW21" s="131"/>
      <c r="AX21" s="131"/>
    </row>
    <row r="22" spans="2:50" s="918" customFormat="1" hidden="1">
      <c r="B22" s="1278"/>
      <c r="C22" s="645" t="s">
        <v>3937</v>
      </c>
      <c r="D22" s="646"/>
      <c r="E22" s="647">
        <f t="shared" si="5"/>
        <v>0</v>
      </c>
      <c r="F22" s="924"/>
      <c r="G22" s="924"/>
      <c r="H22" s="923"/>
      <c r="I22" s="647">
        <f>IF('11. Unit Mix'!$G$142&lt;&gt;0,+E22/'11. Unit Mix'!$G$142,0)</f>
        <v>0</v>
      </c>
      <c r="J22" s="647">
        <f t="shared" si="4"/>
        <v>0</v>
      </c>
      <c r="K22" s="202"/>
      <c r="L22" s="202"/>
      <c r="M22" s="20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1278"/>
      <c r="AQ22" s="3"/>
      <c r="AR22" s="3"/>
      <c r="AS22" s="131"/>
      <c r="AT22" s="131"/>
      <c r="AU22" s="131"/>
      <c r="AV22" s="131"/>
      <c r="AW22" s="131"/>
      <c r="AX22" s="131"/>
    </row>
    <row r="23" spans="2:50" s="918" customFormat="1" hidden="1">
      <c r="B23" s="1278"/>
      <c r="C23" s="645" t="s">
        <v>3938</v>
      </c>
      <c r="D23" s="646"/>
      <c r="E23" s="647">
        <f t="shared" si="5"/>
        <v>0</v>
      </c>
      <c r="F23" s="924"/>
      <c r="G23" s="924"/>
      <c r="H23" s="923"/>
      <c r="I23" s="647">
        <f>IF('11. Unit Mix'!$G$142&lt;&gt;0,+E23/'11. Unit Mix'!$G$142,0)</f>
        <v>0</v>
      </c>
      <c r="J23" s="647">
        <f t="shared" si="4"/>
        <v>0</v>
      </c>
      <c r="K23" s="202"/>
      <c r="L23" s="202"/>
      <c r="M23" s="20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1278"/>
      <c r="AQ23" s="3"/>
      <c r="AR23" s="3"/>
      <c r="AS23" s="131"/>
      <c r="AT23" s="131"/>
      <c r="AU23" s="131"/>
      <c r="AV23" s="131"/>
      <c r="AW23" s="131"/>
      <c r="AX23" s="131"/>
    </row>
    <row r="24" spans="2:50" s="918" customFormat="1" hidden="1">
      <c r="B24" s="1278"/>
      <c r="C24" s="645" t="s">
        <v>3939</v>
      </c>
      <c r="D24" s="646"/>
      <c r="E24" s="647">
        <f t="shared" si="5"/>
        <v>0</v>
      </c>
      <c r="F24" s="924"/>
      <c r="G24" s="924"/>
      <c r="H24" s="923"/>
      <c r="I24" s="647">
        <f>IF('11. Unit Mix'!$G$142&lt;&gt;0,+E24/'11. Unit Mix'!$G$142,0)</f>
        <v>0</v>
      </c>
      <c r="J24" s="647">
        <f t="shared" si="4"/>
        <v>0</v>
      </c>
      <c r="K24" s="202"/>
      <c r="L24" s="202"/>
      <c r="M24" s="20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1278"/>
      <c r="AQ24" s="3"/>
      <c r="AR24" s="3"/>
      <c r="AS24" s="131"/>
      <c r="AT24" s="131"/>
      <c r="AU24" s="131"/>
      <c r="AV24" s="131"/>
      <c r="AW24" s="131"/>
      <c r="AX24" s="131"/>
    </row>
    <row r="25" spans="2:50" s="918" customFormat="1" hidden="1">
      <c r="B25" s="1278"/>
      <c r="C25" s="645" t="s">
        <v>3940</v>
      </c>
      <c r="D25" s="646"/>
      <c r="E25" s="647">
        <f t="shared" si="5"/>
        <v>0</v>
      </c>
      <c r="F25" s="924"/>
      <c r="G25" s="924"/>
      <c r="H25" s="923"/>
      <c r="I25" s="647">
        <f>IF('11. Unit Mix'!$G$142&lt;&gt;0,+E25/'11. Unit Mix'!$G$142,0)</f>
        <v>0</v>
      </c>
      <c r="J25" s="647">
        <f t="shared" si="4"/>
        <v>0</v>
      </c>
      <c r="K25" s="202"/>
      <c r="L25" s="202"/>
      <c r="M25" s="20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1278"/>
      <c r="AQ25" s="3"/>
      <c r="AR25" s="3"/>
      <c r="AS25" s="131"/>
      <c r="AT25" s="131"/>
      <c r="AU25" s="131"/>
      <c r="AV25" s="131"/>
      <c r="AW25" s="131"/>
      <c r="AX25" s="131"/>
    </row>
    <row r="26" spans="2:50" s="918" customFormat="1" hidden="1">
      <c r="B26" s="1278"/>
      <c r="C26" s="645" t="s">
        <v>3941</v>
      </c>
      <c r="D26" s="646"/>
      <c r="E26" s="647">
        <f t="shared" si="5"/>
        <v>0</v>
      </c>
      <c r="F26" s="924"/>
      <c r="G26" s="924"/>
      <c r="H26" s="923"/>
      <c r="I26" s="647">
        <f>IF('11. Unit Mix'!$G$142&lt;&gt;0,+E26/'11. Unit Mix'!$G$142,0)</f>
        <v>0</v>
      </c>
      <c r="J26" s="647">
        <f t="shared" si="4"/>
        <v>0</v>
      </c>
      <c r="K26" s="202"/>
      <c r="L26" s="202"/>
      <c r="M26" s="202"/>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2"/>
      <c r="AN26" s="642"/>
      <c r="AO26" s="642"/>
      <c r="AP26" s="1278"/>
      <c r="AQ26" s="3"/>
      <c r="AR26" s="3"/>
      <c r="AS26" s="131"/>
      <c r="AT26" s="131"/>
      <c r="AU26" s="131"/>
      <c r="AV26" s="131"/>
      <c r="AW26" s="131"/>
      <c r="AX26" s="131"/>
    </row>
    <row r="27" spans="2:50" s="918" customFormat="1" hidden="1">
      <c r="B27" s="1278"/>
      <c r="C27" s="645" t="s">
        <v>3942</v>
      </c>
      <c r="D27" s="646"/>
      <c r="E27" s="647">
        <f t="shared" si="5"/>
        <v>0</v>
      </c>
      <c r="F27" s="924"/>
      <c r="G27" s="924"/>
      <c r="H27" s="923"/>
      <c r="I27" s="647">
        <f>IF('11. Unit Mix'!$G$142&lt;&gt;0,+E27/'11. Unit Mix'!$G$142,0)</f>
        <v>0</v>
      </c>
      <c r="J27" s="647">
        <f t="shared" si="4"/>
        <v>0</v>
      </c>
      <c r="K27" s="202"/>
      <c r="L27" s="202"/>
      <c r="M27" s="20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c r="AO27" s="642"/>
      <c r="AP27" s="1278"/>
      <c r="AQ27" s="3"/>
      <c r="AR27" s="3"/>
      <c r="AS27" s="131"/>
      <c r="AT27" s="131"/>
      <c r="AU27" s="131"/>
      <c r="AV27" s="131"/>
      <c r="AW27" s="131"/>
      <c r="AX27" s="131"/>
    </row>
    <row r="28" spans="2:50" s="918" customFormat="1" hidden="1">
      <c r="B28" s="1278"/>
      <c r="C28" s="645" t="s">
        <v>3943</v>
      </c>
      <c r="D28" s="646"/>
      <c r="E28" s="647">
        <f t="shared" si="5"/>
        <v>0</v>
      </c>
      <c r="F28" s="924"/>
      <c r="G28" s="924"/>
      <c r="H28" s="923"/>
      <c r="I28" s="647">
        <f>IF('11. Unit Mix'!$G$142&lt;&gt;0,+E28/'11. Unit Mix'!$G$142,0)</f>
        <v>0</v>
      </c>
      <c r="J28" s="647">
        <f t="shared" si="4"/>
        <v>0</v>
      </c>
      <c r="K28" s="202"/>
      <c r="L28" s="202"/>
      <c r="M28" s="20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1278"/>
      <c r="AQ28" s="3"/>
      <c r="AR28" s="3"/>
      <c r="AS28" s="131"/>
      <c r="AT28" s="131"/>
      <c r="AU28" s="131"/>
      <c r="AV28" s="131"/>
      <c r="AW28" s="131"/>
      <c r="AX28" s="131"/>
    </row>
    <row r="29" spans="2:50" s="918" customFormat="1" hidden="1">
      <c r="B29" s="1278"/>
      <c r="C29" s="645" t="s">
        <v>3944</v>
      </c>
      <c r="D29" s="646"/>
      <c r="E29" s="647">
        <f t="shared" si="5"/>
        <v>0</v>
      </c>
      <c r="F29" s="924"/>
      <c r="G29" s="924"/>
      <c r="H29" s="923"/>
      <c r="I29" s="647">
        <f>IF('11. Unit Mix'!$G$142&lt;&gt;0,+E29/'11. Unit Mix'!$G$142,0)</f>
        <v>0</v>
      </c>
      <c r="J29" s="647">
        <f t="shared" si="4"/>
        <v>0</v>
      </c>
      <c r="K29" s="202"/>
      <c r="L29" s="202"/>
      <c r="M29" s="20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2"/>
      <c r="AN29" s="642"/>
      <c r="AO29" s="642"/>
      <c r="AP29" s="1278"/>
      <c r="AQ29" s="3"/>
      <c r="AR29" s="3"/>
      <c r="AS29" s="131"/>
      <c r="AT29" s="131"/>
      <c r="AU29" s="131"/>
      <c r="AV29" s="131"/>
      <c r="AW29" s="131"/>
      <c r="AX29" s="131"/>
    </row>
    <row r="30" spans="2:50" s="918" customFormat="1" hidden="1">
      <c r="B30" s="1278"/>
      <c r="C30" s="202"/>
      <c r="D30" s="202"/>
      <c r="E30" s="202"/>
      <c r="F30" s="202"/>
      <c r="G30" s="202"/>
      <c r="H30" s="202"/>
      <c r="I30" s="202"/>
      <c r="J30" s="202"/>
      <c r="K30" s="202"/>
      <c r="L30" s="202"/>
      <c r="M30" s="20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c r="AO30" s="642"/>
      <c r="AP30" s="1278"/>
      <c r="AQ30" s="3"/>
      <c r="AR30" s="3"/>
      <c r="AS30" s="131"/>
      <c r="AT30" s="131"/>
      <c r="AU30" s="131"/>
      <c r="AV30" s="131"/>
      <c r="AW30" s="131"/>
      <c r="AX30" s="131"/>
    </row>
    <row r="31" spans="2:50" s="919" customFormat="1">
      <c r="B31" s="1278"/>
      <c r="C31" s="648" t="s">
        <v>3945</v>
      </c>
      <c r="D31" s="649"/>
      <c r="E31" s="655">
        <f>+SUM(E32:E39)</f>
        <v>0</v>
      </c>
      <c r="F31" s="655">
        <f t="shared" ref="F31:H31" si="6">+SUM(F32:F39)</f>
        <v>0</v>
      </c>
      <c r="G31" s="655">
        <f>+SUM(G32:G39)</f>
        <v>0</v>
      </c>
      <c r="H31" s="655">
        <f t="shared" si="6"/>
        <v>0</v>
      </c>
      <c r="I31" s="655">
        <f>IF('11. Unit Mix'!$G$142&lt;&gt;0,+E31/'11. Unit Mix'!$G$142,0)</f>
        <v>0</v>
      </c>
      <c r="J31" s="655">
        <f t="shared" ref="J31:J39" si="7">IF(Total_Units&lt;&gt;0,+E31/Total_Units,0)</f>
        <v>0</v>
      </c>
      <c r="K31" s="202"/>
      <c r="L31" s="202"/>
      <c r="M31" s="202"/>
      <c r="N31" s="1081"/>
      <c r="O31" s="1081"/>
      <c r="P31" s="1081"/>
      <c r="Q31" s="1081"/>
      <c r="R31" s="1081"/>
      <c r="S31" s="1081"/>
      <c r="T31" s="1081"/>
      <c r="U31" s="1081"/>
      <c r="V31" s="1081"/>
      <c r="W31" s="1081"/>
      <c r="X31" s="1081"/>
      <c r="Y31" s="1081"/>
      <c r="Z31" s="1081"/>
      <c r="AA31" s="1081"/>
      <c r="AB31" s="1081"/>
      <c r="AC31" s="1081"/>
      <c r="AD31" s="1081"/>
      <c r="AE31" s="1081"/>
      <c r="AF31" s="1081"/>
      <c r="AG31" s="1081"/>
      <c r="AH31" s="1081"/>
      <c r="AI31" s="1081"/>
      <c r="AJ31" s="1081"/>
      <c r="AK31" s="1081"/>
      <c r="AL31" s="1081"/>
      <c r="AM31" s="1081"/>
      <c r="AN31" s="1081"/>
      <c r="AO31" s="1081"/>
      <c r="AP31" s="1278"/>
      <c r="AQ31" s="3"/>
      <c r="AR31" s="3"/>
      <c r="AS31" s="131"/>
      <c r="AT31" s="131"/>
      <c r="AU31" s="131"/>
      <c r="AV31" s="131"/>
      <c r="AW31" s="131"/>
      <c r="AX31" s="131"/>
    </row>
    <row r="32" spans="2:50" s="918" customFormat="1">
      <c r="B32" s="1278"/>
      <c r="C32" s="645" t="s">
        <v>3946</v>
      </c>
      <c r="D32" s="646"/>
      <c r="E32" s="1112">
        <f t="shared" ref="E32:E39" si="8">SUM(F32:H32)</f>
        <v>0</v>
      </c>
      <c r="F32" s="1111"/>
      <c r="G32" s="1111"/>
      <c r="H32" s="923"/>
      <c r="I32" s="1112">
        <f>IF('11. Unit Mix'!$G$142&lt;&gt;0,+E32/'11. Unit Mix'!$G$142,0)</f>
        <v>0</v>
      </c>
      <c r="J32" s="1112">
        <f t="shared" si="7"/>
        <v>0</v>
      </c>
      <c r="K32" s="202"/>
      <c r="L32" s="202"/>
      <c r="M32" s="20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c r="AO32" s="642"/>
      <c r="AP32" s="1278"/>
      <c r="AQ32" s="3"/>
      <c r="AR32" s="3"/>
      <c r="AS32" s="131"/>
      <c r="AT32" s="131"/>
      <c r="AU32" s="131"/>
      <c r="AV32" s="131"/>
      <c r="AW32" s="131"/>
      <c r="AX32" s="131"/>
    </row>
    <row r="33" spans="2:50" s="918" customFormat="1">
      <c r="B33" s="1278"/>
      <c r="C33" s="645" t="s">
        <v>3947</v>
      </c>
      <c r="D33" s="646"/>
      <c r="E33" s="1112">
        <f t="shared" si="8"/>
        <v>0</v>
      </c>
      <c r="F33" s="1111"/>
      <c r="G33" s="1111"/>
      <c r="H33" s="923"/>
      <c r="I33" s="1112">
        <f>IF('11. Unit Mix'!$G$142&lt;&gt;0,+E33/'11. Unit Mix'!$G$142,0)</f>
        <v>0</v>
      </c>
      <c r="J33" s="1112">
        <f t="shared" si="7"/>
        <v>0</v>
      </c>
      <c r="K33" s="202"/>
      <c r="L33" s="202"/>
      <c r="M33" s="20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642"/>
      <c r="AM33" s="642"/>
      <c r="AN33" s="642"/>
      <c r="AO33" s="642"/>
      <c r="AP33" s="1278"/>
      <c r="AQ33" s="3"/>
      <c r="AR33" s="3"/>
      <c r="AS33" s="131"/>
      <c r="AT33" s="131"/>
      <c r="AU33" s="131"/>
      <c r="AV33" s="131"/>
      <c r="AW33" s="131"/>
      <c r="AX33" s="131"/>
    </row>
    <row r="34" spans="2:50" s="918" customFormat="1">
      <c r="B34" s="1278"/>
      <c r="C34" s="645" t="s">
        <v>3948</v>
      </c>
      <c r="D34" s="646"/>
      <c r="E34" s="1112">
        <f t="shared" si="8"/>
        <v>0</v>
      </c>
      <c r="F34" s="1111"/>
      <c r="G34" s="1111"/>
      <c r="H34" s="923"/>
      <c r="I34" s="1112">
        <f>IF('11. Unit Mix'!$G$142&lt;&gt;0,+E34/'11. Unit Mix'!$G$142,0)</f>
        <v>0</v>
      </c>
      <c r="J34" s="1112">
        <f t="shared" si="7"/>
        <v>0</v>
      </c>
      <c r="K34" s="202"/>
      <c r="L34" s="202"/>
      <c r="M34" s="20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1278"/>
      <c r="AQ34" s="3"/>
      <c r="AR34" s="3"/>
      <c r="AS34" s="131"/>
      <c r="AT34" s="131"/>
      <c r="AU34" s="131"/>
      <c r="AV34" s="131"/>
      <c r="AW34" s="131"/>
      <c r="AX34" s="131"/>
    </row>
    <row r="35" spans="2:50" s="918" customFormat="1">
      <c r="B35" s="1278"/>
      <c r="C35" s="645" t="s">
        <v>3949</v>
      </c>
      <c r="D35" s="646"/>
      <c r="E35" s="1112">
        <f t="shared" si="8"/>
        <v>0</v>
      </c>
      <c r="F35" s="1111"/>
      <c r="G35" s="1111"/>
      <c r="H35" s="923"/>
      <c r="I35" s="1112">
        <f>IF('11. Unit Mix'!$G$142&lt;&gt;0,+E35/'11. Unit Mix'!$G$142,0)</f>
        <v>0</v>
      </c>
      <c r="J35" s="1112">
        <f t="shared" si="7"/>
        <v>0</v>
      </c>
      <c r="K35" s="202"/>
      <c r="L35" s="202"/>
      <c r="M35" s="202"/>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1278"/>
      <c r="AQ35" s="3"/>
      <c r="AR35" s="3"/>
      <c r="AS35" s="131"/>
      <c r="AT35" s="131"/>
      <c r="AU35" s="131"/>
      <c r="AV35" s="131"/>
      <c r="AW35" s="131"/>
      <c r="AX35" s="131"/>
    </row>
    <row r="36" spans="2:50" s="918" customFormat="1">
      <c r="B36" s="1278"/>
      <c r="C36" s="645" t="s">
        <v>3950</v>
      </c>
      <c r="D36" s="646"/>
      <c r="E36" s="1112">
        <f t="shared" si="8"/>
        <v>0</v>
      </c>
      <c r="F36" s="1111"/>
      <c r="G36" s="1111"/>
      <c r="H36" s="923"/>
      <c r="I36" s="1112">
        <f>IF('11. Unit Mix'!$G$142&lt;&gt;0,+E36/'11. Unit Mix'!$G$142,0)</f>
        <v>0</v>
      </c>
      <c r="J36" s="1112">
        <f t="shared" si="7"/>
        <v>0</v>
      </c>
      <c r="K36" s="202"/>
      <c r="L36" s="202"/>
      <c r="M36" s="202"/>
      <c r="N36" s="642"/>
      <c r="O36" s="642"/>
      <c r="P36" s="642"/>
      <c r="Q36" s="642"/>
      <c r="R36" s="642"/>
      <c r="S36" s="642"/>
      <c r="T36" s="642"/>
      <c r="U36" s="642"/>
      <c r="V36" s="642"/>
      <c r="W36" s="642"/>
      <c r="X36" s="642"/>
      <c r="Y36" s="642"/>
      <c r="Z36" s="642"/>
      <c r="AA36" s="642"/>
      <c r="AB36" s="642"/>
      <c r="AC36" s="642"/>
      <c r="AD36" s="642"/>
      <c r="AE36" s="642"/>
      <c r="AF36" s="642"/>
      <c r="AG36" s="642"/>
      <c r="AH36" s="642"/>
      <c r="AI36" s="642"/>
      <c r="AJ36" s="642"/>
      <c r="AK36" s="642"/>
      <c r="AL36" s="642"/>
      <c r="AM36" s="642"/>
      <c r="AN36" s="642"/>
      <c r="AO36" s="642"/>
      <c r="AP36" s="1278"/>
      <c r="AQ36" s="3"/>
      <c r="AR36" s="3"/>
      <c r="AS36" s="131"/>
      <c r="AT36" s="131"/>
      <c r="AU36" s="131"/>
      <c r="AV36" s="131"/>
      <c r="AW36" s="131"/>
      <c r="AX36" s="131"/>
    </row>
    <row r="37" spans="2:50" s="918" customFormat="1">
      <c r="B37" s="1278"/>
      <c r="C37" s="645" t="s">
        <v>3951</v>
      </c>
      <c r="D37" s="646"/>
      <c r="E37" s="1112">
        <f t="shared" si="8"/>
        <v>0</v>
      </c>
      <c r="F37" s="1111"/>
      <c r="G37" s="1111"/>
      <c r="H37" s="923"/>
      <c r="I37" s="1112">
        <f>IF('11. Unit Mix'!$G$142&lt;&gt;0,+E37/'11. Unit Mix'!$G$142,0)</f>
        <v>0</v>
      </c>
      <c r="J37" s="1112">
        <f t="shared" si="7"/>
        <v>0</v>
      </c>
      <c r="K37" s="202"/>
      <c r="L37" s="202"/>
      <c r="M37" s="202"/>
      <c r="N37" s="642"/>
      <c r="O37" s="642"/>
      <c r="P37" s="642"/>
      <c r="Q37" s="642"/>
      <c r="R37" s="642"/>
      <c r="S37" s="642"/>
      <c r="T37" s="642"/>
      <c r="U37" s="642"/>
      <c r="V37" s="642"/>
      <c r="W37" s="642"/>
      <c r="X37" s="642"/>
      <c r="Y37" s="642"/>
      <c r="Z37" s="642"/>
      <c r="AA37" s="642"/>
      <c r="AB37" s="642"/>
      <c r="AC37" s="642"/>
      <c r="AD37" s="642"/>
      <c r="AE37" s="642"/>
      <c r="AF37" s="642"/>
      <c r="AG37" s="642"/>
      <c r="AH37" s="642"/>
      <c r="AI37" s="642"/>
      <c r="AJ37" s="642"/>
      <c r="AK37" s="642"/>
      <c r="AL37" s="642"/>
      <c r="AM37" s="642"/>
      <c r="AN37" s="642"/>
      <c r="AO37" s="642"/>
      <c r="AP37" s="1278"/>
      <c r="AQ37" s="3"/>
      <c r="AR37" s="3"/>
      <c r="AS37" s="131"/>
      <c r="AT37" s="131"/>
      <c r="AU37" s="131"/>
      <c r="AV37" s="131"/>
      <c r="AW37" s="131"/>
      <c r="AX37" s="131"/>
    </row>
    <row r="38" spans="2:50" s="918" customFormat="1">
      <c r="B38" s="1278"/>
      <c r="C38" s="645" t="s">
        <v>3952</v>
      </c>
      <c r="D38" s="646"/>
      <c r="E38" s="1112">
        <f t="shared" si="8"/>
        <v>0</v>
      </c>
      <c r="F38" s="1111"/>
      <c r="G38" s="1111"/>
      <c r="H38" s="923"/>
      <c r="I38" s="1112">
        <f>IF('11. Unit Mix'!$G$142&lt;&gt;0,+E38/'11. Unit Mix'!$G$142,0)</f>
        <v>0</v>
      </c>
      <c r="J38" s="1112">
        <f t="shared" si="7"/>
        <v>0</v>
      </c>
      <c r="K38" s="202"/>
      <c r="L38" s="202"/>
      <c r="M38" s="202"/>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642"/>
      <c r="AL38" s="642"/>
      <c r="AM38" s="642"/>
      <c r="AN38" s="642"/>
      <c r="AO38" s="642"/>
      <c r="AP38" s="1278"/>
      <c r="AQ38" s="3"/>
      <c r="AR38" s="3"/>
      <c r="AS38" s="131"/>
      <c r="AT38" s="131"/>
      <c r="AU38" s="131"/>
      <c r="AV38" s="131"/>
      <c r="AW38" s="131"/>
      <c r="AX38" s="131"/>
    </row>
    <row r="39" spans="2:50" s="918" customFormat="1">
      <c r="B39" s="1278"/>
      <c r="C39" s="645" t="s">
        <v>3953</v>
      </c>
      <c r="D39" s="646"/>
      <c r="E39" s="1112">
        <f t="shared" si="8"/>
        <v>0</v>
      </c>
      <c r="F39" s="1111"/>
      <c r="G39" s="1111"/>
      <c r="H39" s="923"/>
      <c r="I39" s="1112">
        <f>IF('11. Unit Mix'!$G$142&lt;&gt;0,+E39/'11. Unit Mix'!$G$142,0)</f>
        <v>0</v>
      </c>
      <c r="J39" s="1112">
        <f t="shared" si="7"/>
        <v>0</v>
      </c>
      <c r="K39" s="202"/>
      <c r="L39" s="202"/>
      <c r="M39" s="202"/>
      <c r="N39" s="642"/>
      <c r="O39" s="642"/>
      <c r="P39" s="642"/>
      <c r="Q39" s="642"/>
      <c r="R39" s="642"/>
      <c r="S39" s="642"/>
      <c r="T39" s="642"/>
      <c r="U39" s="642"/>
      <c r="V39" s="642"/>
      <c r="W39" s="642"/>
      <c r="X39" s="642"/>
      <c r="Y39" s="642"/>
      <c r="Z39" s="642"/>
      <c r="AA39" s="642"/>
      <c r="AB39" s="642"/>
      <c r="AC39" s="642"/>
      <c r="AD39" s="642"/>
      <c r="AE39" s="642"/>
      <c r="AF39" s="642"/>
      <c r="AG39" s="642"/>
      <c r="AH39" s="642"/>
      <c r="AI39" s="642"/>
      <c r="AJ39" s="642"/>
      <c r="AK39" s="642"/>
      <c r="AL39" s="642"/>
      <c r="AM39" s="642"/>
      <c r="AN39" s="642"/>
      <c r="AO39" s="642"/>
      <c r="AP39" s="1278"/>
      <c r="AQ39" s="3"/>
      <c r="AR39" s="3"/>
      <c r="AS39" s="131"/>
      <c r="AT39" s="131"/>
      <c r="AU39" s="131"/>
      <c r="AV39" s="131"/>
      <c r="AW39" s="131"/>
      <c r="AX39" s="131"/>
    </row>
    <row r="40" spans="2:50" s="918" customFormat="1">
      <c r="B40" s="1278"/>
      <c r="C40" s="1279"/>
      <c r="D40" s="1279"/>
      <c r="E40" s="1279"/>
      <c r="F40" s="1279"/>
      <c r="G40" s="1279"/>
      <c r="H40" s="1279"/>
      <c r="I40" s="1279"/>
      <c r="J40" s="1279"/>
      <c r="K40" s="202"/>
      <c r="L40" s="202"/>
      <c r="M40" s="202"/>
      <c r="N40" s="642"/>
      <c r="O40" s="642"/>
      <c r="P40" s="642"/>
      <c r="Q40" s="642"/>
      <c r="R40" s="642"/>
      <c r="S40" s="642"/>
      <c r="T40" s="642"/>
      <c r="U40" s="642"/>
      <c r="V40" s="642"/>
      <c r="W40" s="642"/>
      <c r="X40" s="642"/>
      <c r="Y40" s="642"/>
      <c r="Z40" s="642"/>
      <c r="AA40" s="642"/>
      <c r="AB40" s="642"/>
      <c r="AC40" s="642"/>
      <c r="AD40" s="642"/>
      <c r="AE40" s="642"/>
      <c r="AF40" s="642"/>
      <c r="AG40" s="642"/>
      <c r="AH40" s="642"/>
      <c r="AI40" s="642"/>
      <c r="AJ40" s="642"/>
      <c r="AK40" s="642"/>
      <c r="AL40" s="642"/>
      <c r="AM40" s="642"/>
      <c r="AN40" s="642"/>
      <c r="AO40" s="642"/>
      <c r="AP40" s="1278"/>
      <c r="AQ40" s="3"/>
      <c r="AR40" s="3"/>
      <c r="AS40" s="131"/>
      <c r="AT40" s="131"/>
      <c r="AU40" s="131"/>
      <c r="AV40" s="131"/>
      <c r="AW40" s="131"/>
      <c r="AX40" s="131"/>
    </row>
    <row r="41" spans="2:50" s="919" customFormat="1">
      <c r="B41" s="1278"/>
      <c r="C41" s="648" t="s">
        <v>3954</v>
      </c>
      <c r="D41" s="649"/>
      <c r="E41" s="655">
        <f>+SUM(E42:E50)</f>
        <v>0</v>
      </c>
      <c r="F41" s="655">
        <f t="shared" ref="F41:H41" si="9">+SUM(F42:F50)</f>
        <v>0</v>
      </c>
      <c r="G41" s="655">
        <f t="shared" si="9"/>
        <v>0</v>
      </c>
      <c r="H41" s="655">
        <f t="shared" si="9"/>
        <v>0</v>
      </c>
      <c r="I41" s="655">
        <f>IF('11. Unit Mix'!$G$142&lt;&gt;0,+E41/'11. Unit Mix'!$G$142,0)</f>
        <v>0</v>
      </c>
      <c r="J41" s="655">
        <f t="shared" ref="J41:J50" si="10">IF(Total_Units&lt;&gt;0,+E41/Total_Units,0)</f>
        <v>0</v>
      </c>
      <c r="K41" s="202"/>
      <c r="L41" s="202"/>
      <c r="M41" s="202"/>
      <c r="N41" s="1081"/>
      <c r="O41" s="1081"/>
      <c r="P41" s="1081"/>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081"/>
      <c r="AL41" s="1081"/>
      <c r="AM41" s="1081"/>
      <c r="AN41" s="1081"/>
      <c r="AO41" s="1081"/>
      <c r="AP41" s="1278"/>
      <c r="AQ41" s="3"/>
      <c r="AR41" s="3"/>
      <c r="AS41" s="131"/>
      <c r="AT41" s="131"/>
      <c r="AU41" s="131"/>
      <c r="AV41" s="131"/>
      <c r="AW41" s="131"/>
      <c r="AX41" s="131"/>
    </row>
    <row r="42" spans="2:50" s="918" customFormat="1">
      <c r="B42" s="1278"/>
      <c r="C42" s="645" t="s">
        <v>3955</v>
      </c>
      <c r="D42" s="646"/>
      <c r="E42" s="1112">
        <f t="shared" ref="E42:E50" si="11">SUM(F42:H42)</f>
        <v>0</v>
      </c>
      <c r="F42" s="1111"/>
      <c r="G42" s="1111"/>
      <c r="H42" s="923"/>
      <c r="I42" s="1112">
        <f>IF('11. Unit Mix'!$G$142&lt;&gt;0,+E42/'11. Unit Mix'!$G$142,0)</f>
        <v>0</v>
      </c>
      <c r="J42" s="1112">
        <f t="shared" si="10"/>
        <v>0</v>
      </c>
      <c r="K42" s="202"/>
      <c r="L42" s="202"/>
      <c r="M42" s="202"/>
      <c r="N42" s="642"/>
      <c r="O42" s="642"/>
      <c r="P42" s="642"/>
      <c r="Q42" s="642"/>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2"/>
      <c r="AO42" s="642"/>
      <c r="AP42" s="1278"/>
      <c r="AQ42" s="3"/>
      <c r="AR42" s="3"/>
      <c r="AS42" s="131"/>
      <c r="AT42" s="131"/>
      <c r="AU42" s="131"/>
      <c r="AV42" s="131"/>
      <c r="AW42" s="131"/>
      <c r="AX42" s="131"/>
    </row>
    <row r="43" spans="2:50" s="918" customFormat="1">
      <c r="B43" s="1278"/>
      <c r="C43" s="645" t="s">
        <v>3956</v>
      </c>
      <c r="D43" s="646"/>
      <c r="E43" s="1112">
        <f t="shared" si="11"/>
        <v>0</v>
      </c>
      <c r="F43" s="1111"/>
      <c r="G43" s="1111"/>
      <c r="H43" s="923"/>
      <c r="I43" s="1112">
        <f>IF('11. Unit Mix'!$G$142&lt;&gt;0,+E43/'11. Unit Mix'!$G$142,0)</f>
        <v>0</v>
      </c>
      <c r="J43" s="1112">
        <f t="shared" si="10"/>
        <v>0</v>
      </c>
      <c r="K43" s="202"/>
      <c r="L43" s="202"/>
      <c r="M43" s="202"/>
      <c r="N43" s="642"/>
      <c r="O43" s="642"/>
      <c r="P43" s="642"/>
      <c r="Q43" s="642"/>
      <c r="R43" s="642"/>
      <c r="S43" s="642"/>
      <c r="T43" s="642"/>
      <c r="U43" s="642"/>
      <c r="V43" s="642"/>
      <c r="W43" s="642"/>
      <c r="X43" s="642"/>
      <c r="Y43" s="642"/>
      <c r="Z43" s="642"/>
      <c r="AA43" s="642"/>
      <c r="AB43" s="642"/>
      <c r="AC43" s="642"/>
      <c r="AD43" s="642"/>
      <c r="AE43" s="642"/>
      <c r="AF43" s="642"/>
      <c r="AG43" s="642"/>
      <c r="AH43" s="642"/>
      <c r="AI43" s="642"/>
      <c r="AJ43" s="642"/>
      <c r="AK43" s="642"/>
      <c r="AL43" s="642"/>
      <c r="AM43" s="642"/>
      <c r="AN43" s="642"/>
      <c r="AO43" s="642"/>
      <c r="AP43" s="1278"/>
      <c r="AQ43" s="3"/>
      <c r="AR43" s="3"/>
      <c r="AS43" s="131"/>
      <c r="AT43" s="131"/>
      <c r="AU43" s="131"/>
      <c r="AV43" s="131"/>
      <c r="AW43" s="131"/>
      <c r="AX43" s="131"/>
    </row>
    <row r="44" spans="2:50" s="918" customFormat="1">
      <c r="B44" s="1278"/>
      <c r="C44" s="645" t="s">
        <v>3957</v>
      </c>
      <c r="D44" s="646"/>
      <c r="E44" s="1112">
        <f t="shared" si="11"/>
        <v>0</v>
      </c>
      <c r="F44" s="1111"/>
      <c r="G44" s="1111"/>
      <c r="H44" s="923"/>
      <c r="I44" s="1112">
        <f>IF('11. Unit Mix'!$G$142&lt;&gt;0,+E44/'11. Unit Mix'!$G$142,0)</f>
        <v>0</v>
      </c>
      <c r="J44" s="1112">
        <f t="shared" si="10"/>
        <v>0</v>
      </c>
      <c r="K44" s="202"/>
      <c r="L44" s="202"/>
      <c r="M44" s="202"/>
      <c r="N44" s="642"/>
      <c r="O44" s="642"/>
      <c r="P44" s="642"/>
      <c r="Q44" s="642"/>
      <c r="R44" s="642"/>
      <c r="S44" s="642"/>
      <c r="T44" s="642"/>
      <c r="U44" s="642"/>
      <c r="V44" s="642"/>
      <c r="W44" s="642"/>
      <c r="X44" s="642"/>
      <c r="Y44" s="642"/>
      <c r="Z44" s="642"/>
      <c r="AA44" s="642"/>
      <c r="AB44" s="642"/>
      <c r="AC44" s="642"/>
      <c r="AD44" s="642"/>
      <c r="AE44" s="642"/>
      <c r="AF44" s="642"/>
      <c r="AG44" s="642"/>
      <c r="AH44" s="642"/>
      <c r="AI44" s="642"/>
      <c r="AJ44" s="642"/>
      <c r="AK44" s="642"/>
      <c r="AL44" s="642"/>
      <c r="AM44" s="642"/>
      <c r="AN44" s="642"/>
      <c r="AO44" s="642"/>
      <c r="AP44" s="1278"/>
      <c r="AQ44" s="3"/>
      <c r="AR44" s="3"/>
      <c r="AS44" s="131"/>
      <c r="AT44" s="131"/>
      <c r="AU44" s="131"/>
      <c r="AV44" s="131"/>
      <c r="AW44" s="131"/>
      <c r="AX44" s="131"/>
    </row>
    <row r="45" spans="2:50" s="918" customFormat="1">
      <c r="B45" s="1278"/>
      <c r="C45" s="645" t="s">
        <v>3958</v>
      </c>
      <c r="D45" s="646"/>
      <c r="E45" s="1112">
        <f t="shared" si="11"/>
        <v>0</v>
      </c>
      <c r="F45" s="1111"/>
      <c r="G45" s="1111"/>
      <c r="H45" s="923"/>
      <c r="I45" s="1112">
        <f>IF('11. Unit Mix'!$G$142&lt;&gt;0,+E45/'11. Unit Mix'!$G$142,0)</f>
        <v>0</v>
      </c>
      <c r="J45" s="1112">
        <f t="shared" si="10"/>
        <v>0</v>
      </c>
      <c r="K45" s="202"/>
      <c r="L45" s="202"/>
      <c r="M45" s="202"/>
      <c r="N45" s="642"/>
      <c r="O45" s="642"/>
      <c r="P45" s="642"/>
      <c r="Q45" s="642"/>
      <c r="R45" s="642"/>
      <c r="S45" s="642"/>
      <c r="T45" s="642"/>
      <c r="U45" s="642"/>
      <c r="V45" s="642"/>
      <c r="W45" s="642"/>
      <c r="X45" s="642"/>
      <c r="Y45" s="642"/>
      <c r="Z45" s="642"/>
      <c r="AA45" s="642"/>
      <c r="AB45" s="642"/>
      <c r="AC45" s="642"/>
      <c r="AD45" s="642"/>
      <c r="AE45" s="642"/>
      <c r="AF45" s="642"/>
      <c r="AG45" s="642"/>
      <c r="AH45" s="642"/>
      <c r="AI45" s="642"/>
      <c r="AJ45" s="642"/>
      <c r="AK45" s="642"/>
      <c r="AL45" s="642"/>
      <c r="AM45" s="642"/>
      <c r="AN45" s="642"/>
      <c r="AO45" s="642"/>
      <c r="AP45" s="1278"/>
      <c r="AQ45" s="3"/>
      <c r="AR45" s="3"/>
      <c r="AS45" s="131"/>
      <c r="AT45" s="131"/>
      <c r="AU45" s="131"/>
      <c r="AV45" s="131"/>
      <c r="AW45" s="131"/>
      <c r="AX45" s="131"/>
    </row>
    <row r="46" spans="2:50" s="918" customFormat="1">
      <c r="B46" s="1278"/>
      <c r="C46" s="645" t="s">
        <v>3959</v>
      </c>
      <c r="D46" s="646"/>
      <c r="E46" s="1112">
        <f t="shared" si="11"/>
        <v>0</v>
      </c>
      <c r="F46" s="1111"/>
      <c r="G46" s="1111"/>
      <c r="H46" s="923"/>
      <c r="I46" s="1112">
        <f>IF('11. Unit Mix'!$G$142&lt;&gt;0,+E46/'11. Unit Mix'!$G$142,0)</f>
        <v>0</v>
      </c>
      <c r="J46" s="1112">
        <f t="shared" si="10"/>
        <v>0</v>
      </c>
      <c r="K46" s="202"/>
      <c r="L46" s="202"/>
      <c r="M46" s="202"/>
      <c r="N46" s="642"/>
      <c r="O46" s="642"/>
      <c r="P46" s="642"/>
      <c r="Q46" s="642"/>
      <c r="R46" s="642"/>
      <c r="S46" s="642"/>
      <c r="T46" s="642"/>
      <c r="U46" s="642"/>
      <c r="V46" s="642"/>
      <c r="W46" s="642"/>
      <c r="X46" s="642"/>
      <c r="Y46" s="642"/>
      <c r="Z46" s="642"/>
      <c r="AA46" s="642"/>
      <c r="AB46" s="642"/>
      <c r="AC46" s="642"/>
      <c r="AD46" s="642"/>
      <c r="AE46" s="642"/>
      <c r="AF46" s="642"/>
      <c r="AG46" s="642"/>
      <c r="AH46" s="642"/>
      <c r="AI46" s="642"/>
      <c r="AJ46" s="642"/>
      <c r="AK46" s="642"/>
      <c r="AL46" s="642"/>
      <c r="AM46" s="642"/>
      <c r="AN46" s="642"/>
      <c r="AO46" s="642"/>
      <c r="AP46" s="1278"/>
      <c r="AQ46" s="3"/>
      <c r="AR46" s="3"/>
      <c r="AS46" s="131"/>
      <c r="AT46" s="131"/>
      <c r="AU46" s="131"/>
      <c r="AV46" s="131"/>
      <c r="AW46" s="131"/>
      <c r="AX46" s="131"/>
    </row>
    <row r="47" spans="2:50" s="918" customFormat="1">
      <c r="B47" s="1278"/>
      <c r="C47" s="645" t="s">
        <v>3960</v>
      </c>
      <c r="D47" s="646"/>
      <c r="E47" s="1112">
        <f t="shared" si="11"/>
        <v>0</v>
      </c>
      <c r="F47" s="1111"/>
      <c r="G47" s="1111"/>
      <c r="H47" s="923"/>
      <c r="I47" s="1112">
        <f>IF('11. Unit Mix'!$G$142&lt;&gt;0,+E47/'11. Unit Mix'!$G$142,0)</f>
        <v>0</v>
      </c>
      <c r="J47" s="1112">
        <f t="shared" si="10"/>
        <v>0</v>
      </c>
      <c r="K47" s="202"/>
      <c r="L47" s="202"/>
      <c r="M47" s="202"/>
      <c r="N47" s="642"/>
      <c r="O47" s="642"/>
      <c r="P47" s="642"/>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642"/>
      <c r="AP47" s="1278"/>
      <c r="AQ47" s="3"/>
      <c r="AR47" s="3"/>
      <c r="AS47" s="131"/>
      <c r="AT47" s="131"/>
      <c r="AU47" s="131"/>
      <c r="AV47" s="131"/>
      <c r="AW47" s="131"/>
      <c r="AX47" s="131"/>
    </row>
    <row r="48" spans="2:50" s="918" customFormat="1">
      <c r="B48" s="1278"/>
      <c r="C48" s="645" t="s">
        <v>3961</v>
      </c>
      <c r="D48" s="646"/>
      <c r="E48" s="1112">
        <f t="shared" si="11"/>
        <v>0</v>
      </c>
      <c r="F48" s="1111"/>
      <c r="G48" s="1111"/>
      <c r="H48" s="923"/>
      <c r="I48" s="1112">
        <f>IF('11. Unit Mix'!$G$142&lt;&gt;0,+E48/'11. Unit Mix'!$G$142,0)</f>
        <v>0</v>
      </c>
      <c r="J48" s="1112">
        <f t="shared" si="10"/>
        <v>0</v>
      </c>
      <c r="K48" s="202"/>
      <c r="L48" s="202"/>
      <c r="M48" s="202"/>
      <c r="N48" s="642"/>
      <c r="O48" s="642"/>
      <c r="P48" s="642"/>
      <c r="Q48" s="642"/>
      <c r="R48" s="642"/>
      <c r="S48" s="642"/>
      <c r="T48" s="642"/>
      <c r="U48" s="642"/>
      <c r="V48" s="642"/>
      <c r="W48" s="642"/>
      <c r="X48" s="642"/>
      <c r="Y48" s="642"/>
      <c r="Z48" s="642"/>
      <c r="AA48" s="642"/>
      <c r="AB48" s="642"/>
      <c r="AC48" s="642"/>
      <c r="AD48" s="642"/>
      <c r="AE48" s="642"/>
      <c r="AF48" s="642"/>
      <c r="AG48" s="642"/>
      <c r="AH48" s="642"/>
      <c r="AI48" s="642"/>
      <c r="AJ48" s="642"/>
      <c r="AK48" s="642"/>
      <c r="AL48" s="642"/>
      <c r="AM48" s="642"/>
      <c r="AN48" s="642"/>
      <c r="AO48" s="642"/>
      <c r="AP48" s="1278"/>
      <c r="AQ48" s="3"/>
      <c r="AR48" s="3"/>
      <c r="AS48" s="131"/>
      <c r="AT48" s="131"/>
      <c r="AU48" s="131"/>
      <c r="AV48" s="131"/>
      <c r="AW48" s="131"/>
      <c r="AX48" s="131"/>
    </row>
    <row r="49" spans="2:50" s="918" customFormat="1">
      <c r="B49" s="1278"/>
      <c r="C49" s="645" t="s">
        <v>3962</v>
      </c>
      <c r="D49" s="646"/>
      <c r="E49" s="1112">
        <f t="shared" si="11"/>
        <v>0</v>
      </c>
      <c r="F49" s="1111"/>
      <c r="G49" s="1111"/>
      <c r="H49" s="923"/>
      <c r="I49" s="1112">
        <f>IF('11. Unit Mix'!$G$142&lt;&gt;0,+E49/'11. Unit Mix'!$G$142,0)</f>
        <v>0</v>
      </c>
      <c r="J49" s="1112">
        <f t="shared" si="10"/>
        <v>0</v>
      </c>
      <c r="K49" s="202"/>
      <c r="L49" s="202"/>
      <c r="M49" s="20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1278"/>
      <c r="AQ49" s="3"/>
      <c r="AR49" s="3"/>
      <c r="AS49" s="131"/>
      <c r="AT49" s="131"/>
      <c r="AU49" s="131"/>
      <c r="AV49" s="131"/>
      <c r="AW49" s="131"/>
      <c r="AX49" s="131"/>
    </row>
    <row r="50" spans="2:50" s="918" customFormat="1">
      <c r="B50" s="1278"/>
      <c r="C50" s="645" t="s">
        <v>3963</v>
      </c>
      <c r="D50" s="646"/>
      <c r="E50" s="1112">
        <f t="shared" si="11"/>
        <v>0</v>
      </c>
      <c r="F50" s="1111"/>
      <c r="G50" s="1111"/>
      <c r="H50" s="923"/>
      <c r="I50" s="1112">
        <f>IF('11. Unit Mix'!$G$142&lt;&gt;0,+E50/'11. Unit Mix'!$G$142,0)</f>
        <v>0</v>
      </c>
      <c r="J50" s="1112">
        <f t="shared" si="10"/>
        <v>0</v>
      </c>
      <c r="K50" s="202"/>
      <c r="L50" s="202"/>
      <c r="M50" s="20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1278"/>
      <c r="AQ50" s="3"/>
      <c r="AR50" s="3"/>
      <c r="AS50" s="131"/>
      <c r="AT50" s="131"/>
      <c r="AU50" s="131"/>
      <c r="AV50" s="131"/>
      <c r="AW50" s="131"/>
      <c r="AX50" s="131"/>
    </row>
    <row r="51" spans="2:50" s="918" customFormat="1">
      <c r="B51" s="1278"/>
      <c r="C51" s="1279"/>
      <c r="D51" s="1279"/>
      <c r="E51" s="1279"/>
      <c r="F51" s="1279"/>
      <c r="G51" s="1279"/>
      <c r="H51" s="1279"/>
      <c r="I51" s="1279"/>
      <c r="J51" s="1279"/>
      <c r="K51" s="202"/>
      <c r="L51" s="202"/>
      <c r="M51" s="20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1278"/>
      <c r="AQ51" s="3"/>
      <c r="AR51" s="3"/>
      <c r="AS51" s="131"/>
      <c r="AT51" s="131"/>
      <c r="AU51" s="131"/>
      <c r="AV51" s="131"/>
      <c r="AW51" s="131"/>
      <c r="AX51" s="131"/>
    </row>
    <row r="52" spans="2:50" s="919" customFormat="1">
      <c r="B52" s="1278"/>
      <c r="C52" s="648" t="s">
        <v>3964</v>
      </c>
      <c r="D52" s="649"/>
      <c r="E52" s="655">
        <f>+SUM(E53:E58)</f>
        <v>0</v>
      </c>
      <c r="F52" s="655">
        <f t="shared" ref="F52:H52" si="12">+SUM(F53:F58)</f>
        <v>0</v>
      </c>
      <c r="G52" s="655">
        <f t="shared" si="12"/>
        <v>0</v>
      </c>
      <c r="H52" s="655">
        <f t="shared" si="12"/>
        <v>0</v>
      </c>
      <c r="I52" s="655">
        <f>IF('11. Unit Mix'!$G$142&lt;&gt;0,+E52/'11. Unit Mix'!$G$142,0)</f>
        <v>0</v>
      </c>
      <c r="J52" s="655">
        <f t="shared" ref="J52:J58" si="13">IF(Total_Units&lt;&gt;0,+E52/Total_Units,0)</f>
        <v>0</v>
      </c>
      <c r="K52" s="202"/>
      <c r="L52" s="202"/>
      <c r="M52" s="202"/>
      <c r="N52" s="1081"/>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278"/>
      <c r="AQ52" s="3"/>
      <c r="AR52" s="3"/>
      <c r="AS52" s="131"/>
      <c r="AT52" s="131"/>
      <c r="AU52" s="131"/>
      <c r="AV52" s="131"/>
      <c r="AW52" s="131"/>
      <c r="AX52" s="131"/>
    </row>
    <row r="53" spans="2:50" s="918" customFormat="1">
      <c r="B53" s="1278"/>
      <c r="C53" s="645" t="s">
        <v>3965</v>
      </c>
      <c r="D53" s="646"/>
      <c r="E53" s="1112">
        <f t="shared" ref="E53:E58" si="14">SUM(F53:H53)</f>
        <v>0</v>
      </c>
      <c r="F53" s="1111"/>
      <c r="G53" s="1111"/>
      <c r="H53" s="923"/>
      <c r="I53" s="1112">
        <f>IF('11. Unit Mix'!$G$142&lt;&gt;0,+E53/'11. Unit Mix'!$G$142,0)</f>
        <v>0</v>
      </c>
      <c r="J53" s="1112">
        <f t="shared" si="13"/>
        <v>0</v>
      </c>
      <c r="K53" s="202"/>
      <c r="L53" s="202"/>
      <c r="M53" s="20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1278"/>
      <c r="AQ53" s="3"/>
      <c r="AR53" s="3"/>
      <c r="AS53" s="131"/>
      <c r="AT53" s="131"/>
      <c r="AU53" s="131"/>
      <c r="AV53" s="131"/>
      <c r="AW53" s="131"/>
      <c r="AX53" s="131"/>
    </row>
    <row r="54" spans="2:50" s="918" customFormat="1">
      <c r="B54" s="1278"/>
      <c r="C54" s="645" t="s">
        <v>3966</v>
      </c>
      <c r="D54" s="646"/>
      <c r="E54" s="1112">
        <f t="shared" si="14"/>
        <v>0</v>
      </c>
      <c r="F54" s="1111"/>
      <c r="G54" s="1111"/>
      <c r="H54" s="923"/>
      <c r="I54" s="1112">
        <f>IF('11. Unit Mix'!$G$142&lt;&gt;0,+E54/'11. Unit Mix'!$G$142,0)</f>
        <v>0</v>
      </c>
      <c r="J54" s="1112">
        <f t="shared" si="13"/>
        <v>0</v>
      </c>
      <c r="K54" s="202"/>
      <c r="L54" s="202"/>
      <c r="M54" s="20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1278"/>
      <c r="AQ54" s="3"/>
      <c r="AR54" s="3"/>
      <c r="AS54" s="131"/>
      <c r="AT54" s="131"/>
      <c r="AU54" s="131"/>
      <c r="AV54" s="131"/>
      <c r="AW54" s="131"/>
      <c r="AX54" s="131"/>
    </row>
    <row r="55" spans="2:50" s="918" customFormat="1">
      <c r="B55" s="1278"/>
      <c r="C55" s="645" t="s">
        <v>3967</v>
      </c>
      <c r="D55" s="646"/>
      <c r="E55" s="1112">
        <f t="shared" si="14"/>
        <v>0</v>
      </c>
      <c r="F55" s="1111"/>
      <c r="G55" s="1111"/>
      <c r="H55" s="923"/>
      <c r="I55" s="1112">
        <f>IF('11. Unit Mix'!$G$142&lt;&gt;0,+E55/'11. Unit Mix'!$G$142,0)</f>
        <v>0</v>
      </c>
      <c r="J55" s="1112">
        <f t="shared" si="13"/>
        <v>0</v>
      </c>
      <c r="K55" s="202"/>
      <c r="L55" s="202"/>
      <c r="M55" s="20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1278"/>
      <c r="AQ55" s="3"/>
      <c r="AR55" s="3"/>
      <c r="AS55" s="131"/>
      <c r="AT55" s="131"/>
      <c r="AU55" s="131"/>
      <c r="AV55" s="131"/>
      <c r="AW55" s="131"/>
      <c r="AX55" s="131"/>
    </row>
    <row r="56" spans="2:50" s="918" customFormat="1">
      <c r="B56" s="1278"/>
      <c r="C56" s="645" t="s">
        <v>3968</v>
      </c>
      <c r="D56" s="646"/>
      <c r="E56" s="1112">
        <f t="shared" si="14"/>
        <v>0</v>
      </c>
      <c r="F56" s="1111"/>
      <c r="G56" s="1111"/>
      <c r="H56" s="923"/>
      <c r="I56" s="1112">
        <f>IF('11. Unit Mix'!$G$142&lt;&gt;0,+E56/'11. Unit Mix'!$G$142,0)</f>
        <v>0</v>
      </c>
      <c r="J56" s="1112">
        <f t="shared" si="13"/>
        <v>0</v>
      </c>
      <c r="K56" s="202"/>
      <c r="L56" s="202"/>
      <c r="M56" s="20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1278"/>
      <c r="AQ56" s="3"/>
      <c r="AR56" s="3"/>
      <c r="AS56" s="131"/>
      <c r="AT56" s="131"/>
      <c r="AU56" s="131"/>
      <c r="AV56" s="131"/>
      <c r="AW56" s="131"/>
      <c r="AX56" s="131"/>
    </row>
    <row r="57" spans="2:50" s="918" customFormat="1">
      <c r="B57" s="1278"/>
      <c r="C57" s="645" t="s">
        <v>3969</v>
      </c>
      <c r="D57" s="646"/>
      <c r="E57" s="1112">
        <f t="shared" si="14"/>
        <v>0</v>
      </c>
      <c r="F57" s="1111"/>
      <c r="G57" s="1111"/>
      <c r="H57" s="923"/>
      <c r="I57" s="1112">
        <f>IF('11. Unit Mix'!$G$142&lt;&gt;0,+E57/'11. Unit Mix'!$G$142,0)</f>
        <v>0</v>
      </c>
      <c r="J57" s="1112">
        <f t="shared" si="13"/>
        <v>0</v>
      </c>
      <c r="K57" s="202"/>
      <c r="L57" s="202"/>
      <c r="M57" s="20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1278"/>
      <c r="AQ57" s="3"/>
      <c r="AR57" s="3"/>
      <c r="AS57" s="131"/>
      <c r="AT57" s="131"/>
      <c r="AU57" s="131"/>
      <c r="AV57" s="131"/>
      <c r="AW57" s="131"/>
      <c r="AX57" s="131"/>
    </row>
    <row r="58" spans="2:50" s="918" customFormat="1">
      <c r="B58" s="1278"/>
      <c r="C58" s="645" t="s">
        <v>3970</v>
      </c>
      <c r="D58" s="646"/>
      <c r="E58" s="1112">
        <f t="shared" si="14"/>
        <v>0</v>
      </c>
      <c r="F58" s="1111"/>
      <c r="G58" s="1111"/>
      <c r="H58" s="923"/>
      <c r="I58" s="1112">
        <f>IF('11. Unit Mix'!$G$142&lt;&gt;0,+E58/'11. Unit Mix'!$G$142,0)</f>
        <v>0</v>
      </c>
      <c r="J58" s="1112">
        <f t="shared" si="13"/>
        <v>0</v>
      </c>
      <c r="K58" s="202"/>
      <c r="L58" s="202"/>
      <c r="M58" s="20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1278"/>
      <c r="AQ58" s="3"/>
      <c r="AR58" s="3"/>
      <c r="AS58" s="131"/>
      <c r="AT58" s="131"/>
      <c r="AU58" s="131"/>
      <c r="AV58" s="131"/>
      <c r="AW58" s="131"/>
      <c r="AX58" s="131"/>
    </row>
    <row r="59" spans="2:50" s="918" customFormat="1">
      <c r="B59" s="1278"/>
      <c r="C59" s="1279"/>
      <c r="D59" s="1279"/>
      <c r="E59" s="1279"/>
      <c r="F59" s="1279"/>
      <c r="G59" s="1279"/>
      <c r="H59" s="1279"/>
      <c r="I59" s="1279"/>
      <c r="J59" s="1279"/>
      <c r="K59" s="202"/>
      <c r="L59" s="202"/>
      <c r="M59" s="20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1278"/>
      <c r="AQ59" s="3"/>
      <c r="AR59" s="3"/>
      <c r="AS59" s="131"/>
      <c r="AT59" s="131"/>
      <c r="AU59" s="131"/>
      <c r="AV59" s="131"/>
      <c r="AW59" s="131"/>
      <c r="AX59" s="131"/>
    </row>
    <row r="60" spans="2:50" s="919" customFormat="1">
      <c r="B60" s="1278"/>
      <c r="C60" s="643" t="s">
        <v>3971</v>
      </c>
      <c r="D60" s="644"/>
      <c r="E60" s="655">
        <f>+SUM(E61:E67)</f>
        <v>0</v>
      </c>
      <c r="F60" s="655">
        <f t="shared" ref="F60:H60" si="15">+SUM(F61:F67)</f>
        <v>0</v>
      </c>
      <c r="G60" s="655">
        <f t="shared" si="15"/>
        <v>0</v>
      </c>
      <c r="H60" s="655">
        <f t="shared" si="15"/>
        <v>0</v>
      </c>
      <c r="I60" s="655">
        <f>IF('11. Unit Mix'!$G$142&lt;&gt;0,+E60/'11. Unit Mix'!$G$142,0)</f>
        <v>0</v>
      </c>
      <c r="J60" s="655">
        <f t="shared" ref="J60:J67" si="16">IF(Total_Units&lt;&gt;0,+E60/Total_Units,0)</f>
        <v>0</v>
      </c>
      <c r="K60" s="202"/>
      <c r="L60" s="202"/>
      <c r="M60" s="202"/>
      <c r="N60" s="1081"/>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278"/>
      <c r="AQ60" s="3"/>
      <c r="AR60" s="3"/>
      <c r="AS60" s="131"/>
      <c r="AT60" s="131"/>
      <c r="AU60" s="131"/>
      <c r="AV60" s="131"/>
      <c r="AW60" s="131"/>
      <c r="AX60" s="131"/>
    </row>
    <row r="61" spans="2:50" s="918" customFormat="1">
      <c r="B61" s="1278"/>
      <c r="C61" s="645" t="s">
        <v>3972</v>
      </c>
      <c r="D61" s="646"/>
      <c r="E61" s="1112">
        <f t="shared" ref="E61:E67" si="17">SUM(F61:H61)</f>
        <v>0</v>
      </c>
      <c r="F61" s="1111"/>
      <c r="G61" s="1111"/>
      <c r="H61" s="923"/>
      <c r="I61" s="1112">
        <f>IF('11. Unit Mix'!$G$142&lt;&gt;0,+E61/'11. Unit Mix'!$G$142,0)</f>
        <v>0</v>
      </c>
      <c r="J61" s="1112">
        <f t="shared" si="16"/>
        <v>0</v>
      </c>
      <c r="K61" s="202"/>
      <c r="L61" s="202"/>
      <c r="M61" s="20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1278"/>
      <c r="AQ61" s="3"/>
      <c r="AR61" s="3"/>
      <c r="AS61" s="131"/>
      <c r="AT61" s="131"/>
      <c r="AU61" s="131"/>
      <c r="AV61" s="131"/>
      <c r="AW61" s="131"/>
      <c r="AX61" s="131"/>
    </row>
    <row r="62" spans="2:50" s="918" customFormat="1">
      <c r="B62" s="1278"/>
      <c r="C62" s="645" t="s">
        <v>3973</v>
      </c>
      <c r="D62" s="646"/>
      <c r="E62" s="1112">
        <f t="shared" si="17"/>
        <v>0</v>
      </c>
      <c r="F62" s="1111"/>
      <c r="G62" s="1111"/>
      <c r="H62" s="923"/>
      <c r="I62" s="1112">
        <f>IF('11. Unit Mix'!$G$142&lt;&gt;0,+E62/'11. Unit Mix'!$G$142,0)</f>
        <v>0</v>
      </c>
      <c r="J62" s="1112">
        <f t="shared" si="16"/>
        <v>0</v>
      </c>
      <c r="K62" s="202"/>
      <c r="L62" s="202"/>
      <c r="M62" s="20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1278"/>
      <c r="AQ62" s="3"/>
      <c r="AR62" s="3"/>
      <c r="AS62" s="131"/>
      <c r="AT62" s="131"/>
      <c r="AU62" s="131"/>
      <c r="AV62" s="131"/>
      <c r="AW62" s="131"/>
      <c r="AX62" s="131"/>
    </row>
    <row r="63" spans="2:50" s="918" customFormat="1">
      <c r="B63" s="1278"/>
      <c r="C63" s="645" t="s">
        <v>3974</v>
      </c>
      <c r="D63" s="646"/>
      <c r="E63" s="1112">
        <f t="shared" si="17"/>
        <v>0</v>
      </c>
      <c r="F63" s="1111"/>
      <c r="G63" s="1111"/>
      <c r="H63" s="923"/>
      <c r="I63" s="1112">
        <f>IF('11. Unit Mix'!$G$142&lt;&gt;0,+E63/'11. Unit Mix'!$G$142,0)</f>
        <v>0</v>
      </c>
      <c r="J63" s="1112">
        <f t="shared" si="16"/>
        <v>0</v>
      </c>
      <c r="K63" s="202"/>
      <c r="L63" s="202"/>
      <c r="M63" s="20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1278"/>
      <c r="AQ63" s="3"/>
      <c r="AR63" s="3"/>
      <c r="AS63" s="131"/>
      <c r="AT63" s="131"/>
      <c r="AU63" s="131"/>
      <c r="AV63" s="131"/>
      <c r="AW63" s="131"/>
      <c r="AX63" s="131"/>
    </row>
    <row r="64" spans="2:50" s="918" customFormat="1">
      <c r="B64" s="1278"/>
      <c r="C64" s="645" t="s">
        <v>3975</v>
      </c>
      <c r="D64" s="646"/>
      <c r="E64" s="1112">
        <f t="shared" si="17"/>
        <v>0</v>
      </c>
      <c r="F64" s="1111"/>
      <c r="G64" s="1111"/>
      <c r="H64" s="923"/>
      <c r="I64" s="1112">
        <f>IF('11. Unit Mix'!$G$142&lt;&gt;0,+E64/'11. Unit Mix'!$G$142,0)</f>
        <v>0</v>
      </c>
      <c r="J64" s="1112">
        <f t="shared" si="16"/>
        <v>0</v>
      </c>
      <c r="K64" s="202"/>
      <c r="L64" s="202"/>
      <c r="M64" s="20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c r="AO64" s="642"/>
      <c r="AP64" s="1278"/>
      <c r="AQ64" s="3"/>
      <c r="AR64" s="3"/>
      <c r="AS64" s="131"/>
      <c r="AT64" s="131"/>
      <c r="AU64" s="131"/>
      <c r="AV64" s="131"/>
      <c r="AW64" s="131"/>
      <c r="AX64" s="131"/>
    </row>
    <row r="65" spans="2:50" s="918" customFormat="1">
      <c r="B65" s="1278"/>
      <c r="C65" s="645" t="s">
        <v>3976</v>
      </c>
      <c r="D65" s="646"/>
      <c r="E65" s="1112">
        <f t="shared" si="17"/>
        <v>0</v>
      </c>
      <c r="F65" s="1111"/>
      <c r="G65" s="1111"/>
      <c r="H65" s="923"/>
      <c r="I65" s="1112">
        <f>IF('11. Unit Mix'!$G$142&lt;&gt;0,+E65/'11. Unit Mix'!$G$142,0)</f>
        <v>0</v>
      </c>
      <c r="J65" s="1112">
        <f t="shared" si="16"/>
        <v>0</v>
      </c>
      <c r="K65" s="202"/>
      <c r="L65" s="202"/>
      <c r="M65" s="20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1278"/>
      <c r="AQ65" s="3"/>
      <c r="AR65" s="3"/>
      <c r="AS65" s="131"/>
      <c r="AT65" s="131"/>
      <c r="AU65" s="131"/>
      <c r="AV65" s="131"/>
      <c r="AW65" s="131"/>
      <c r="AX65" s="131"/>
    </row>
    <row r="66" spans="2:50" s="918" customFormat="1">
      <c r="B66" s="1278"/>
      <c r="C66" s="645" t="s">
        <v>3977</v>
      </c>
      <c r="D66" s="646"/>
      <c r="E66" s="1112">
        <f t="shared" si="17"/>
        <v>0</v>
      </c>
      <c r="F66" s="1111"/>
      <c r="G66" s="1111"/>
      <c r="H66" s="923"/>
      <c r="I66" s="1112">
        <f>IF('11. Unit Mix'!$G$142&lt;&gt;0,+E66/'11. Unit Mix'!$G$142,0)</f>
        <v>0</v>
      </c>
      <c r="J66" s="1112">
        <f t="shared" si="16"/>
        <v>0</v>
      </c>
      <c r="K66" s="202"/>
      <c r="L66" s="202"/>
      <c r="M66" s="202"/>
      <c r="N66" s="642"/>
      <c r="O66" s="642"/>
      <c r="P66" s="642"/>
      <c r="Q66" s="642"/>
      <c r="R66" s="642"/>
      <c r="S66" s="642"/>
      <c r="T66" s="642"/>
      <c r="U66" s="642"/>
      <c r="V66" s="642"/>
      <c r="W66" s="642"/>
      <c r="X66" s="642"/>
      <c r="Y66" s="642"/>
      <c r="Z66" s="642"/>
      <c r="AA66" s="642"/>
      <c r="AB66" s="642"/>
      <c r="AC66" s="642"/>
      <c r="AD66" s="642"/>
      <c r="AE66" s="642"/>
      <c r="AF66" s="642"/>
      <c r="AG66" s="642"/>
      <c r="AH66" s="642"/>
      <c r="AI66" s="642"/>
      <c r="AJ66" s="642"/>
      <c r="AK66" s="642"/>
      <c r="AL66" s="642"/>
      <c r="AM66" s="642"/>
      <c r="AN66" s="642"/>
      <c r="AO66" s="642"/>
      <c r="AP66" s="1278"/>
      <c r="AQ66" s="3"/>
      <c r="AR66" s="3"/>
      <c r="AS66" s="131"/>
      <c r="AT66" s="131"/>
      <c r="AU66" s="131"/>
      <c r="AV66" s="131"/>
      <c r="AW66" s="131"/>
      <c r="AX66" s="131"/>
    </row>
    <row r="67" spans="2:50" s="918" customFormat="1">
      <c r="B67" s="1278"/>
      <c r="C67" s="645" t="s">
        <v>3978</v>
      </c>
      <c r="D67" s="646"/>
      <c r="E67" s="1112">
        <f t="shared" si="17"/>
        <v>0</v>
      </c>
      <c r="F67" s="1111"/>
      <c r="G67" s="1111"/>
      <c r="H67" s="923"/>
      <c r="I67" s="1112">
        <f>IF('11. Unit Mix'!$G$142&lt;&gt;0,+E67/'11. Unit Mix'!$G$142,0)</f>
        <v>0</v>
      </c>
      <c r="J67" s="1112">
        <f t="shared" si="16"/>
        <v>0</v>
      </c>
      <c r="K67" s="202"/>
      <c r="L67" s="202"/>
      <c r="M67" s="202"/>
      <c r="N67" s="642"/>
      <c r="O67" s="642"/>
      <c r="P67" s="642"/>
      <c r="Q67" s="642"/>
      <c r="R67" s="642"/>
      <c r="S67" s="642"/>
      <c r="T67" s="642"/>
      <c r="U67" s="642"/>
      <c r="V67" s="642"/>
      <c r="W67" s="642"/>
      <c r="X67" s="642"/>
      <c r="Y67" s="642"/>
      <c r="Z67" s="642"/>
      <c r="AA67" s="642"/>
      <c r="AB67" s="642"/>
      <c r="AC67" s="642"/>
      <c r="AD67" s="642"/>
      <c r="AE67" s="642"/>
      <c r="AF67" s="642"/>
      <c r="AG67" s="642"/>
      <c r="AH67" s="642"/>
      <c r="AI67" s="642"/>
      <c r="AJ67" s="642"/>
      <c r="AK67" s="642"/>
      <c r="AL67" s="642"/>
      <c r="AM67" s="642"/>
      <c r="AN67" s="642"/>
      <c r="AO67" s="642"/>
      <c r="AP67" s="1278"/>
      <c r="AQ67" s="3"/>
      <c r="AR67" s="3"/>
      <c r="AS67" s="131"/>
      <c r="AT67" s="131"/>
      <c r="AU67" s="131"/>
      <c r="AV67" s="131"/>
      <c r="AW67" s="131"/>
      <c r="AX67" s="131"/>
    </row>
    <row r="68" spans="2:50" s="918" customFormat="1">
      <c r="B68" s="1278"/>
      <c r="C68" s="1279"/>
      <c r="D68" s="1279"/>
      <c r="E68" s="1279"/>
      <c r="F68" s="1279"/>
      <c r="G68" s="1279"/>
      <c r="H68" s="1279"/>
      <c r="I68" s="1279"/>
      <c r="J68" s="1279"/>
      <c r="K68" s="202"/>
      <c r="L68" s="202"/>
      <c r="M68" s="202"/>
      <c r="N68" s="642"/>
      <c r="O68" s="642"/>
      <c r="P68" s="642"/>
      <c r="Q68" s="642"/>
      <c r="R68" s="642"/>
      <c r="S68" s="642"/>
      <c r="T68" s="642"/>
      <c r="U68" s="642"/>
      <c r="V68" s="642"/>
      <c r="W68" s="642"/>
      <c r="X68" s="642"/>
      <c r="Y68" s="642"/>
      <c r="Z68" s="642"/>
      <c r="AA68" s="642"/>
      <c r="AB68" s="642"/>
      <c r="AC68" s="642"/>
      <c r="AD68" s="642"/>
      <c r="AE68" s="642"/>
      <c r="AF68" s="642"/>
      <c r="AG68" s="642"/>
      <c r="AH68" s="642"/>
      <c r="AI68" s="642"/>
      <c r="AJ68" s="642"/>
      <c r="AK68" s="642"/>
      <c r="AL68" s="642"/>
      <c r="AM68" s="642"/>
      <c r="AN68" s="642"/>
      <c r="AO68" s="642"/>
      <c r="AP68" s="1278"/>
      <c r="AQ68" s="3"/>
      <c r="AR68" s="3"/>
      <c r="AS68" s="131"/>
      <c r="AT68" s="131"/>
      <c r="AU68" s="131"/>
      <c r="AV68" s="131"/>
      <c r="AW68" s="131"/>
      <c r="AX68" s="131"/>
    </row>
    <row r="69" spans="2:50" s="919" customFormat="1">
      <c r="B69" s="1278"/>
      <c r="C69" s="643" t="s">
        <v>3979</v>
      </c>
      <c r="D69" s="644"/>
      <c r="E69" s="655">
        <f>+SUM(E70:E77)</f>
        <v>0</v>
      </c>
      <c r="F69" s="655">
        <f t="shared" ref="F69:H69" si="18">+SUM(F70:F77)</f>
        <v>0</v>
      </c>
      <c r="G69" s="655">
        <f t="shared" si="18"/>
        <v>0</v>
      </c>
      <c r="H69" s="655">
        <f t="shared" si="18"/>
        <v>0</v>
      </c>
      <c r="I69" s="655">
        <f>IF('11. Unit Mix'!$G$142&lt;&gt;0,+E69/'11. Unit Mix'!$G$142,0)</f>
        <v>0</v>
      </c>
      <c r="J69" s="655">
        <f t="shared" ref="J69:J77" si="19">IF(Total_Units&lt;&gt;0,+E69/Total_Units,0)</f>
        <v>0</v>
      </c>
      <c r="K69" s="202"/>
      <c r="L69" s="202"/>
      <c r="M69" s="202"/>
      <c r="N69" s="1081"/>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1"/>
      <c r="AP69" s="1278"/>
      <c r="AQ69" s="3"/>
      <c r="AR69" s="3"/>
      <c r="AS69" s="131"/>
      <c r="AT69" s="131"/>
      <c r="AU69" s="131"/>
      <c r="AV69" s="131"/>
      <c r="AW69" s="131"/>
      <c r="AX69" s="131"/>
    </row>
    <row r="70" spans="2:50" s="918" customFormat="1">
      <c r="B70" s="1278"/>
      <c r="C70" s="645" t="s">
        <v>3980</v>
      </c>
      <c r="D70" s="646"/>
      <c r="E70" s="1112">
        <f t="shared" ref="E70:E77" si="20">SUM(F70:H70)</f>
        <v>0</v>
      </c>
      <c r="F70" s="1111"/>
      <c r="G70" s="1111"/>
      <c r="H70" s="923"/>
      <c r="I70" s="1112">
        <f>IF('11. Unit Mix'!$G$142&lt;&gt;0,+E70/'11. Unit Mix'!$G$142,0)</f>
        <v>0</v>
      </c>
      <c r="J70" s="1112">
        <f t="shared" si="19"/>
        <v>0</v>
      </c>
      <c r="K70" s="202"/>
      <c r="L70" s="202"/>
      <c r="M70" s="202"/>
      <c r="N70" s="642"/>
      <c r="O70" s="642"/>
      <c r="P70" s="642"/>
      <c r="Q70" s="642"/>
      <c r="R70" s="642"/>
      <c r="S70" s="642"/>
      <c r="T70" s="642"/>
      <c r="U70" s="642"/>
      <c r="V70" s="642"/>
      <c r="W70" s="642"/>
      <c r="X70" s="642"/>
      <c r="Y70" s="642"/>
      <c r="Z70" s="642"/>
      <c r="AA70" s="642"/>
      <c r="AB70" s="642"/>
      <c r="AC70" s="642"/>
      <c r="AD70" s="642"/>
      <c r="AE70" s="642"/>
      <c r="AF70" s="642"/>
      <c r="AG70" s="642"/>
      <c r="AH70" s="642"/>
      <c r="AI70" s="642"/>
      <c r="AJ70" s="642"/>
      <c r="AK70" s="642"/>
      <c r="AL70" s="642"/>
      <c r="AM70" s="642"/>
      <c r="AN70" s="642"/>
      <c r="AO70" s="642"/>
      <c r="AP70" s="1278"/>
      <c r="AQ70" s="3"/>
      <c r="AR70" s="3"/>
      <c r="AS70" s="131"/>
      <c r="AT70" s="131"/>
      <c r="AU70" s="131"/>
      <c r="AV70" s="131"/>
      <c r="AW70" s="131"/>
      <c r="AX70" s="131"/>
    </row>
    <row r="71" spans="2:50" s="918" customFormat="1">
      <c r="B71" s="1278"/>
      <c r="C71" s="645" t="s">
        <v>3981</v>
      </c>
      <c r="D71" s="646"/>
      <c r="E71" s="1112">
        <f t="shared" si="20"/>
        <v>0</v>
      </c>
      <c r="F71" s="1111"/>
      <c r="G71" s="1111"/>
      <c r="H71" s="923"/>
      <c r="I71" s="1112">
        <f>IF('11. Unit Mix'!$G$142&lt;&gt;0,+E71/'11. Unit Mix'!$G$142,0)</f>
        <v>0</v>
      </c>
      <c r="J71" s="1112">
        <f t="shared" si="19"/>
        <v>0</v>
      </c>
      <c r="K71" s="202"/>
      <c r="L71" s="202"/>
      <c r="M71" s="20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1278"/>
      <c r="AQ71" s="3"/>
      <c r="AR71" s="3"/>
      <c r="AS71" s="131"/>
      <c r="AT71" s="131"/>
      <c r="AU71" s="131"/>
      <c r="AV71" s="131"/>
      <c r="AW71" s="131"/>
      <c r="AX71" s="131"/>
    </row>
    <row r="72" spans="2:50" s="918" customFormat="1">
      <c r="B72" s="1278"/>
      <c r="C72" s="645" t="s">
        <v>3982</v>
      </c>
      <c r="D72" s="646"/>
      <c r="E72" s="1112">
        <f t="shared" si="20"/>
        <v>0</v>
      </c>
      <c r="F72" s="1111"/>
      <c r="G72" s="1111"/>
      <c r="H72" s="923"/>
      <c r="I72" s="1112">
        <f>IF('11. Unit Mix'!$G$142&lt;&gt;0,+E72/'11. Unit Mix'!$G$142,0)</f>
        <v>0</v>
      </c>
      <c r="J72" s="1112">
        <f t="shared" si="19"/>
        <v>0</v>
      </c>
      <c r="K72" s="202"/>
      <c r="L72" s="202"/>
      <c r="M72" s="20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1278"/>
      <c r="AQ72" s="3"/>
      <c r="AR72" s="3"/>
      <c r="AS72" s="131"/>
      <c r="AT72" s="131"/>
      <c r="AU72" s="131"/>
      <c r="AV72" s="131"/>
      <c r="AW72" s="131"/>
      <c r="AX72" s="131"/>
    </row>
    <row r="73" spans="2:50" s="918" customFormat="1">
      <c r="B73" s="1278"/>
      <c r="C73" s="645" t="s">
        <v>3983</v>
      </c>
      <c r="D73" s="646"/>
      <c r="E73" s="1112">
        <f t="shared" si="20"/>
        <v>0</v>
      </c>
      <c r="F73" s="1111"/>
      <c r="G73" s="1111"/>
      <c r="H73" s="923"/>
      <c r="I73" s="1112">
        <f>IF('11. Unit Mix'!$G$142&lt;&gt;0,+E73/'11. Unit Mix'!$G$142,0)</f>
        <v>0</v>
      </c>
      <c r="J73" s="1112">
        <f t="shared" si="19"/>
        <v>0</v>
      </c>
      <c r="K73" s="202"/>
      <c r="L73" s="202"/>
      <c r="M73" s="20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1278"/>
      <c r="AQ73" s="3"/>
      <c r="AR73" s="3"/>
      <c r="AS73" s="131"/>
      <c r="AT73" s="131"/>
      <c r="AU73" s="131"/>
      <c r="AV73" s="131"/>
      <c r="AW73" s="131"/>
      <c r="AX73" s="131"/>
    </row>
    <row r="74" spans="2:50" s="918" customFormat="1">
      <c r="B74" s="1278"/>
      <c r="C74" s="645" t="s">
        <v>3984</v>
      </c>
      <c r="D74" s="646"/>
      <c r="E74" s="1112">
        <f t="shared" si="20"/>
        <v>0</v>
      </c>
      <c r="F74" s="1111"/>
      <c r="G74" s="1111"/>
      <c r="H74" s="923"/>
      <c r="I74" s="1112">
        <f>IF('11. Unit Mix'!$G$142&lt;&gt;0,+E74/'11. Unit Mix'!$G$142,0)</f>
        <v>0</v>
      </c>
      <c r="J74" s="1112">
        <f t="shared" si="19"/>
        <v>0</v>
      </c>
      <c r="K74" s="202"/>
      <c r="L74" s="202"/>
      <c r="M74" s="20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1278"/>
      <c r="AQ74" s="3"/>
      <c r="AR74" s="3"/>
      <c r="AS74" s="131"/>
      <c r="AT74" s="131"/>
      <c r="AU74" s="131"/>
      <c r="AV74" s="131"/>
      <c r="AW74" s="131"/>
      <c r="AX74" s="131"/>
    </row>
    <row r="75" spans="2:50" s="918" customFormat="1">
      <c r="B75" s="1278"/>
      <c r="C75" s="645" t="s">
        <v>3985</v>
      </c>
      <c r="D75" s="646"/>
      <c r="E75" s="1112">
        <f t="shared" si="20"/>
        <v>0</v>
      </c>
      <c r="F75" s="1111"/>
      <c r="G75" s="1111"/>
      <c r="H75" s="923"/>
      <c r="I75" s="1112">
        <f>IF('11. Unit Mix'!$G$142&lt;&gt;0,+E75/'11. Unit Mix'!$G$142,0)</f>
        <v>0</v>
      </c>
      <c r="J75" s="1112">
        <f t="shared" si="19"/>
        <v>0</v>
      </c>
      <c r="K75" s="202"/>
      <c r="L75" s="202"/>
      <c r="M75" s="202"/>
      <c r="N75" s="642"/>
      <c r="O75" s="642"/>
      <c r="P75" s="642"/>
      <c r="Q75" s="642"/>
      <c r="R75" s="642"/>
      <c r="S75" s="642"/>
      <c r="T75" s="642"/>
      <c r="U75" s="642"/>
      <c r="V75" s="642"/>
      <c r="W75" s="642"/>
      <c r="X75" s="642"/>
      <c r="Y75" s="642"/>
      <c r="Z75" s="642"/>
      <c r="AA75" s="642"/>
      <c r="AB75" s="642"/>
      <c r="AC75" s="642"/>
      <c r="AD75" s="642"/>
      <c r="AE75" s="642"/>
      <c r="AF75" s="642"/>
      <c r="AG75" s="642"/>
      <c r="AH75" s="642"/>
      <c r="AI75" s="642"/>
      <c r="AJ75" s="642"/>
      <c r="AK75" s="642"/>
      <c r="AL75" s="642"/>
      <c r="AM75" s="642"/>
      <c r="AN75" s="642"/>
      <c r="AO75" s="642"/>
      <c r="AP75" s="1278"/>
      <c r="AQ75" s="3"/>
      <c r="AR75" s="3"/>
      <c r="AS75" s="131"/>
      <c r="AT75" s="131"/>
      <c r="AU75" s="131"/>
      <c r="AV75" s="131"/>
      <c r="AW75" s="131"/>
      <c r="AX75" s="131"/>
    </row>
    <row r="76" spans="2:50" s="918" customFormat="1">
      <c r="B76" s="1278"/>
      <c r="C76" s="645" t="s">
        <v>3986</v>
      </c>
      <c r="D76" s="646"/>
      <c r="E76" s="1112">
        <f t="shared" si="20"/>
        <v>0</v>
      </c>
      <c r="F76" s="1111"/>
      <c r="G76" s="1111"/>
      <c r="H76" s="923"/>
      <c r="I76" s="1112">
        <f>IF('11. Unit Mix'!$G$142&lt;&gt;0,+E76/'11. Unit Mix'!$G$142,0)</f>
        <v>0</v>
      </c>
      <c r="J76" s="1112">
        <f t="shared" si="19"/>
        <v>0</v>
      </c>
      <c r="K76" s="202"/>
      <c r="L76" s="202"/>
      <c r="M76" s="202"/>
      <c r="N76" s="642"/>
      <c r="O76" s="642"/>
      <c r="P76" s="642"/>
      <c r="Q76" s="642"/>
      <c r="R76" s="642"/>
      <c r="S76" s="642"/>
      <c r="T76" s="642"/>
      <c r="U76" s="642"/>
      <c r="V76" s="642"/>
      <c r="W76" s="642"/>
      <c r="X76" s="642"/>
      <c r="Y76" s="642"/>
      <c r="Z76" s="642"/>
      <c r="AA76" s="642"/>
      <c r="AB76" s="642"/>
      <c r="AC76" s="642"/>
      <c r="AD76" s="642"/>
      <c r="AE76" s="642"/>
      <c r="AF76" s="642"/>
      <c r="AG76" s="642"/>
      <c r="AH76" s="642"/>
      <c r="AI76" s="642"/>
      <c r="AJ76" s="642"/>
      <c r="AK76" s="642"/>
      <c r="AL76" s="642"/>
      <c r="AM76" s="642"/>
      <c r="AN76" s="642"/>
      <c r="AO76" s="642"/>
      <c r="AP76" s="1278"/>
      <c r="AQ76" s="3"/>
      <c r="AR76" s="3"/>
      <c r="AS76" s="131"/>
      <c r="AT76" s="131"/>
      <c r="AU76" s="131"/>
      <c r="AV76" s="131"/>
      <c r="AW76" s="131"/>
      <c r="AX76" s="131"/>
    </row>
    <row r="77" spans="2:50" s="918" customFormat="1">
      <c r="B77" s="1278"/>
      <c r="C77" s="645" t="s">
        <v>3987</v>
      </c>
      <c r="D77" s="646"/>
      <c r="E77" s="1112">
        <f t="shared" si="20"/>
        <v>0</v>
      </c>
      <c r="F77" s="1111"/>
      <c r="G77" s="1111"/>
      <c r="H77" s="923"/>
      <c r="I77" s="1112">
        <f>IF('11. Unit Mix'!$G$142&lt;&gt;0,+E77/'11. Unit Mix'!$G$142,0)</f>
        <v>0</v>
      </c>
      <c r="J77" s="1112">
        <f t="shared" si="19"/>
        <v>0</v>
      </c>
      <c r="K77" s="202"/>
      <c r="L77" s="202"/>
      <c r="M77" s="202"/>
      <c r="N77" s="642"/>
      <c r="O77" s="642"/>
      <c r="P77" s="642"/>
      <c r="Q77" s="642"/>
      <c r="R77" s="642"/>
      <c r="S77" s="642"/>
      <c r="T77" s="642"/>
      <c r="U77" s="642"/>
      <c r="V77" s="642"/>
      <c r="W77" s="642"/>
      <c r="X77" s="642"/>
      <c r="Y77" s="642"/>
      <c r="Z77" s="642"/>
      <c r="AA77" s="642"/>
      <c r="AB77" s="642"/>
      <c r="AC77" s="642"/>
      <c r="AD77" s="642"/>
      <c r="AE77" s="642"/>
      <c r="AF77" s="642"/>
      <c r="AG77" s="642"/>
      <c r="AH77" s="642"/>
      <c r="AI77" s="642"/>
      <c r="AJ77" s="642"/>
      <c r="AK77" s="642"/>
      <c r="AL77" s="642"/>
      <c r="AM77" s="642"/>
      <c r="AN77" s="642"/>
      <c r="AO77" s="642"/>
      <c r="AP77" s="1278"/>
      <c r="AQ77" s="3"/>
      <c r="AR77" s="3"/>
      <c r="AS77" s="131"/>
      <c r="AT77" s="131"/>
      <c r="AU77" s="131"/>
      <c r="AV77" s="131"/>
      <c r="AW77" s="131"/>
      <c r="AX77" s="131"/>
    </row>
    <row r="78" spans="2:50" s="918" customFormat="1">
      <c r="B78" s="1278"/>
      <c r="C78" s="1279"/>
      <c r="D78" s="1279"/>
      <c r="E78" s="1279"/>
      <c r="F78" s="1279"/>
      <c r="G78" s="1279"/>
      <c r="H78" s="1279"/>
      <c r="I78" s="1279"/>
      <c r="J78" s="1279"/>
      <c r="K78" s="202"/>
      <c r="L78" s="202"/>
      <c r="M78" s="202"/>
      <c r="N78" s="642"/>
      <c r="O78" s="642"/>
      <c r="P78" s="642"/>
      <c r="Q78" s="642"/>
      <c r="R78" s="642"/>
      <c r="S78" s="642"/>
      <c r="T78" s="642"/>
      <c r="U78" s="642"/>
      <c r="V78" s="642"/>
      <c r="W78" s="642"/>
      <c r="X78" s="642"/>
      <c r="Y78" s="642"/>
      <c r="Z78" s="642"/>
      <c r="AA78" s="642"/>
      <c r="AB78" s="642"/>
      <c r="AC78" s="642"/>
      <c r="AD78" s="642"/>
      <c r="AE78" s="642"/>
      <c r="AF78" s="642"/>
      <c r="AG78" s="642"/>
      <c r="AH78" s="642"/>
      <c r="AI78" s="642"/>
      <c r="AJ78" s="642"/>
      <c r="AK78" s="642"/>
      <c r="AL78" s="642"/>
      <c r="AM78" s="642"/>
      <c r="AN78" s="642"/>
      <c r="AO78" s="642"/>
      <c r="AP78" s="1278"/>
      <c r="AQ78" s="3"/>
      <c r="AR78" s="3"/>
      <c r="AS78" s="131"/>
      <c r="AT78" s="131"/>
      <c r="AU78" s="131"/>
      <c r="AV78" s="131"/>
      <c r="AW78" s="131"/>
      <c r="AX78" s="131"/>
    </row>
    <row r="79" spans="2:50" s="919" customFormat="1">
      <c r="B79" s="1278"/>
      <c r="C79" s="643" t="s">
        <v>3988</v>
      </c>
      <c r="D79" s="644"/>
      <c r="E79" s="655">
        <f>+SUM(E80:E90)</f>
        <v>0</v>
      </c>
      <c r="F79" s="655">
        <f t="shared" ref="F79:H79" si="21">+SUM(F80:F90)</f>
        <v>0</v>
      </c>
      <c r="G79" s="655">
        <f t="shared" si="21"/>
        <v>0</v>
      </c>
      <c r="H79" s="655">
        <f t="shared" si="21"/>
        <v>0</v>
      </c>
      <c r="I79" s="655">
        <f>IF('11. Unit Mix'!$G$142&lt;&gt;0,+E79/'11. Unit Mix'!$G$142,0)</f>
        <v>0</v>
      </c>
      <c r="J79" s="655">
        <f t="shared" ref="J79:J90" si="22">IF(Total_Units&lt;&gt;0,+E79/Total_Units,0)</f>
        <v>0</v>
      </c>
      <c r="K79" s="202"/>
      <c r="L79" s="202"/>
      <c r="M79" s="202"/>
      <c r="N79" s="1081"/>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c r="AK79" s="1081"/>
      <c r="AL79" s="1081"/>
      <c r="AM79" s="1081"/>
      <c r="AN79" s="1081"/>
      <c r="AO79" s="1081"/>
      <c r="AP79" s="1278"/>
      <c r="AQ79" s="3"/>
      <c r="AR79" s="3"/>
      <c r="AS79" s="131"/>
      <c r="AT79" s="131"/>
      <c r="AU79" s="131"/>
      <c r="AV79" s="131"/>
      <c r="AW79" s="131"/>
      <c r="AX79" s="131"/>
    </row>
    <row r="80" spans="2:50" s="918" customFormat="1">
      <c r="B80" s="1278"/>
      <c r="C80" s="645" t="s">
        <v>3989</v>
      </c>
      <c r="D80" s="646"/>
      <c r="E80" s="1112">
        <f t="shared" ref="E80:E90" si="23">SUM(F80:H80)</f>
        <v>0</v>
      </c>
      <c r="F80" s="1111"/>
      <c r="G80" s="1111"/>
      <c r="H80" s="923"/>
      <c r="I80" s="1112">
        <f>IF('11. Unit Mix'!$G$142&lt;&gt;0,+E80/'11. Unit Mix'!$G$142,0)</f>
        <v>0</v>
      </c>
      <c r="J80" s="1112">
        <f t="shared" si="22"/>
        <v>0</v>
      </c>
      <c r="K80" s="202"/>
      <c r="L80" s="202"/>
      <c r="M80" s="202"/>
      <c r="N80" s="642"/>
      <c r="O80" s="642"/>
      <c r="P80" s="642"/>
      <c r="Q80" s="642"/>
      <c r="R80" s="642"/>
      <c r="S80" s="642"/>
      <c r="T80" s="642"/>
      <c r="U80" s="642"/>
      <c r="V80" s="642"/>
      <c r="W80" s="642"/>
      <c r="X80" s="642"/>
      <c r="Y80" s="642"/>
      <c r="Z80" s="642"/>
      <c r="AA80" s="642"/>
      <c r="AB80" s="642"/>
      <c r="AC80" s="642"/>
      <c r="AD80" s="642"/>
      <c r="AE80" s="642"/>
      <c r="AF80" s="642"/>
      <c r="AG80" s="642"/>
      <c r="AH80" s="642"/>
      <c r="AI80" s="642"/>
      <c r="AJ80" s="642"/>
      <c r="AK80" s="642"/>
      <c r="AL80" s="642"/>
      <c r="AM80" s="642"/>
      <c r="AN80" s="642"/>
      <c r="AO80" s="642"/>
      <c r="AP80" s="1278"/>
      <c r="AQ80" s="3"/>
      <c r="AR80" s="3"/>
      <c r="AS80" s="131"/>
      <c r="AT80" s="131"/>
      <c r="AU80" s="131"/>
      <c r="AV80" s="131"/>
      <c r="AW80" s="131"/>
      <c r="AX80" s="131"/>
    </row>
    <row r="81" spans="2:50" s="918" customFormat="1">
      <c r="B81" s="1278"/>
      <c r="C81" s="645" t="s">
        <v>3990</v>
      </c>
      <c r="D81" s="646"/>
      <c r="E81" s="1112">
        <f t="shared" si="23"/>
        <v>0</v>
      </c>
      <c r="F81" s="1111"/>
      <c r="G81" s="1111"/>
      <c r="H81" s="923"/>
      <c r="I81" s="1112">
        <f>IF('11. Unit Mix'!$G$142&lt;&gt;0,+E81/'11. Unit Mix'!$G$142,0)</f>
        <v>0</v>
      </c>
      <c r="J81" s="1112">
        <f t="shared" si="22"/>
        <v>0</v>
      </c>
      <c r="K81" s="202"/>
      <c r="L81" s="202"/>
      <c r="M81" s="202"/>
      <c r="N81" s="642"/>
      <c r="O81" s="642"/>
      <c r="P81" s="642"/>
      <c r="Q81" s="642"/>
      <c r="R81" s="642"/>
      <c r="S81" s="642"/>
      <c r="T81" s="642"/>
      <c r="U81" s="642"/>
      <c r="V81" s="642"/>
      <c r="W81" s="642"/>
      <c r="X81" s="642"/>
      <c r="Y81" s="642"/>
      <c r="Z81" s="642"/>
      <c r="AA81" s="642"/>
      <c r="AB81" s="642"/>
      <c r="AC81" s="642"/>
      <c r="AD81" s="642"/>
      <c r="AE81" s="642"/>
      <c r="AF81" s="642"/>
      <c r="AG81" s="642"/>
      <c r="AH81" s="642"/>
      <c r="AI81" s="642"/>
      <c r="AJ81" s="642"/>
      <c r="AK81" s="642"/>
      <c r="AL81" s="642"/>
      <c r="AM81" s="642"/>
      <c r="AN81" s="642"/>
      <c r="AO81" s="642"/>
      <c r="AP81" s="1278"/>
      <c r="AQ81" s="3"/>
      <c r="AR81" s="3"/>
      <c r="AS81" s="131"/>
      <c r="AT81" s="131"/>
      <c r="AU81" s="131"/>
      <c r="AV81" s="131"/>
      <c r="AW81" s="131"/>
      <c r="AX81" s="131"/>
    </row>
    <row r="82" spans="2:50" s="918" customFormat="1">
      <c r="B82" s="1278"/>
      <c r="C82" s="645" t="s">
        <v>3991</v>
      </c>
      <c r="D82" s="646"/>
      <c r="E82" s="1112">
        <f t="shared" si="23"/>
        <v>0</v>
      </c>
      <c r="F82" s="1111"/>
      <c r="G82" s="1111"/>
      <c r="H82" s="923"/>
      <c r="I82" s="1112">
        <f>IF('11. Unit Mix'!$G$142&lt;&gt;0,+E82/'11. Unit Mix'!$G$142,0)</f>
        <v>0</v>
      </c>
      <c r="J82" s="1112">
        <f t="shared" si="22"/>
        <v>0</v>
      </c>
      <c r="K82" s="202"/>
      <c r="L82" s="202"/>
      <c r="M82" s="202"/>
      <c r="N82" s="642"/>
      <c r="O82" s="642"/>
      <c r="P82" s="642"/>
      <c r="Q82" s="642"/>
      <c r="R82" s="642"/>
      <c r="S82" s="642"/>
      <c r="T82" s="642"/>
      <c r="U82" s="642"/>
      <c r="V82" s="642"/>
      <c r="W82" s="642"/>
      <c r="X82" s="642"/>
      <c r="Y82" s="642"/>
      <c r="Z82" s="642"/>
      <c r="AA82" s="642"/>
      <c r="AB82" s="642"/>
      <c r="AC82" s="642"/>
      <c r="AD82" s="642"/>
      <c r="AE82" s="642"/>
      <c r="AF82" s="642"/>
      <c r="AG82" s="642"/>
      <c r="AH82" s="642"/>
      <c r="AI82" s="642"/>
      <c r="AJ82" s="642"/>
      <c r="AK82" s="642"/>
      <c r="AL82" s="642"/>
      <c r="AM82" s="642"/>
      <c r="AN82" s="642"/>
      <c r="AO82" s="642"/>
      <c r="AP82" s="1278"/>
      <c r="AQ82" s="3"/>
      <c r="AR82" s="3"/>
      <c r="AS82" s="131"/>
      <c r="AT82" s="131"/>
      <c r="AU82" s="131"/>
      <c r="AV82" s="131"/>
      <c r="AW82" s="131"/>
      <c r="AX82" s="131"/>
    </row>
    <row r="83" spans="2:50" s="918" customFormat="1">
      <c r="B83" s="1278"/>
      <c r="C83" s="645" t="s">
        <v>3992</v>
      </c>
      <c r="D83" s="646"/>
      <c r="E83" s="1112">
        <f t="shared" si="23"/>
        <v>0</v>
      </c>
      <c r="F83" s="1111"/>
      <c r="G83" s="1111"/>
      <c r="H83" s="923"/>
      <c r="I83" s="1112">
        <f>IF('11. Unit Mix'!$G$142&lt;&gt;0,+E83/'11. Unit Mix'!$G$142,0)</f>
        <v>0</v>
      </c>
      <c r="J83" s="1112">
        <f t="shared" si="22"/>
        <v>0</v>
      </c>
      <c r="K83" s="202"/>
      <c r="L83" s="202"/>
      <c r="M83" s="202"/>
      <c r="N83" s="642"/>
      <c r="O83" s="642"/>
      <c r="P83" s="642"/>
      <c r="Q83" s="642"/>
      <c r="R83" s="642"/>
      <c r="S83" s="642"/>
      <c r="T83" s="642"/>
      <c r="U83" s="642"/>
      <c r="V83" s="642"/>
      <c r="W83" s="642"/>
      <c r="X83" s="642"/>
      <c r="Y83" s="642"/>
      <c r="Z83" s="642"/>
      <c r="AA83" s="642"/>
      <c r="AB83" s="642"/>
      <c r="AC83" s="642"/>
      <c r="AD83" s="642"/>
      <c r="AE83" s="642"/>
      <c r="AF83" s="642"/>
      <c r="AG83" s="642"/>
      <c r="AH83" s="642"/>
      <c r="AI83" s="642"/>
      <c r="AJ83" s="642"/>
      <c r="AK83" s="642"/>
      <c r="AL83" s="642"/>
      <c r="AM83" s="642"/>
      <c r="AN83" s="642"/>
      <c r="AO83" s="642"/>
      <c r="AP83" s="1278"/>
      <c r="AQ83" s="3"/>
      <c r="AR83" s="3"/>
      <c r="AS83" s="131"/>
      <c r="AT83" s="131"/>
      <c r="AU83" s="131"/>
      <c r="AV83" s="131"/>
      <c r="AW83" s="131"/>
      <c r="AX83" s="131"/>
    </row>
    <row r="84" spans="2:50" s="918" customFormat="1">
      <c r="B84" s="1278"/>
      <c r="C84" s="645" t="s">
        <v>3993</v>
      </c>
      <c r="D84" s="646"/>
      <c r="E84" s="1112">
        <f t="shared" si="23"/>
        <v>0</v>
      </c>
      <c r="F84" s="1111"/>
      <c r="G84" s="1111"/>
      <c r="H84" s="923"/>
      <c r="I84" s="1112">
        <f>IF('11. Unit Mix'!$G$142&lt;&gt;0,+E84/'11. Unit Mix'!$G$142,0)</f>
        <v>0</v>
      </c>
      <c r="J84" s="1112">
        <f t="shared" si="22"/>
        <v>0</v>
      </c>
      <c r="K84" s="202"/>
      <c r="L84" s="202"/>
      <c r="M84" s="202"/>
      <c r="N84" s="642"/>
      <c r="O84" s="642"/>
      <c r="P84" s="642"/>
      <c r="Q84" s="642"/>
      <c r="R84" s="642"/>
      <c r="S84" s="642"/>
      <c r="T84" s="642"/>
      <c r="U84" s="642"/>
      <c r="V84" s="642"/>
      <c r="W84" s="642"/>
      <c r="X84" s="642"/>
      <c r="Y84" s="642"/>
      <c r="Z84" s="642"/>
      <c r="AA84" s="642"/>
      <c r="AB84" s="642"/>
      <c r="AC84" s="642"/>
      <c r="AD84" s="642"/>
      <c r="AE84" s="642"/>
      <c r="AF84" s="642"/>
      <c r="AG84" s="642"/>
      <c r="AH84" s="642"/>
      <c r="AI84" s="642"/>
      <c r="AJ84" s="642"/>
      <c r="AK84" s="642"/>
      <c r="AL84" s="642"/>
      <c r="AM84" s="642"/>
      <c r="AN84" s="642"/>
      <c r="AO84" s="642"/>
      <c r="AP84" s="1278"/>
      <c r="AQ84" s="3"/>
      <c r="AR84" s="3"/>
      <c r="AS84" s="131"/>
      <c r="AT84" s="131"/>
      <c r="AU84" s="131"/>
      <c r="AV84" s="131"/>
      <c r="AW84" s="131"/>
      <c r="AX84" s="131"/>
    </row>
    <row r="85" spans="2:50" s="918" customFormat="1">
      <c r="B85" s="1278"/>
      <c r="C85" s="645" t="s">
        <v>3994</v>
      </c>
      <c r="D85" s="646"/>
      <c r="E85" s="1112">
        <f t="shared" si="23"/>
        <v>0</v>
      </c>
      <c r="F85" s="1111"/>
      <c r="G85" s="1111"/>
      <c r="H85" s="923"/>
      <c r="I85" s="1112">
        <f>IF('11. Unit Mix'!$G$142&lt;&gt;0,+E85/'11. Unit Mix'!$G$142,0)</f>
        <v>0</v>
      </c>
      <c r="J85" s="1112">
        <f t="shared" si="22"/>
        <v>0</v>
      </c>
      <c r="K85" s="202"/>
      <c r="L85" s="202"/>
      <c r="M85" s="202"/>
      <c r="N85" s="642"/>
      <c r="O85" s="642"/>
      <c r="P85" s="642"/>
      <c r="Q85" s="642"/>
      <c r="R85" s="642"/>
      <c r="S85" s="642"/>
      <c r="T85" s="642"/>
      <c r="U85" s="642"/>
      <c r="V85" s="642"/>
      <c r="W85" s="642"/>
      <c r="X85" s="642"/>
      <c r="Y85" s="642"/>
      <c r="Z85" s="642"/>
      <c r="AA85" s="642"/>
      <c r="AB85" s="642"/>
      <c r="AC85" s="642"/>
      <c r="AD85" s="642"/>
      <c r="AE85" s="642"/>
      <c r="AF85" s="642"/>
      <c r="AG85" s="642"/>
      <c r="AH85" s="642"/>
      <c r="AI85" s="642"/>
      <c r="AJ85" s="642"/>
      <c r="AK85" s="642"/>
      <c r="AL85" s="642"/>
      <c r="AM85" s="642"/>
      <c r="AN85" s="642"/>
      <c r="AO85" s="642"/>
      <c r="AP85" s="1278"/>
      <c r="AQ85" s="3"/>
      <c r="AR85" s="3"/>
      <c r="AS85" s="131"/>
      <c r="AT85" s="131"/>
      <c r="AU85" s="131"/>
      <c r="AV85" s="131"/>
      <c r="AW85" s="131"/>
      <c r="AX85" s="131"/>
    </row>
    <row r="86" spans="2:50" s="918" customFormat="1">
      <c r="B86" s="1278"/>
      <c r="C86" s="645" t="s">
        <v>3995</v>
      </c>
      <c r="D86" s="646"/>
      <c r="E86" s="1112">
        <f t="shared" si="23"/>
        <v>0</v>
      </c>
      <c r="F86" s="1111"/>
      <c r="G86" s="1111"/>
      <c r="H86" s="923"/>
      <c r="I86" s="1112">
        <f>IF('11. Unit Mix'!$G$142&lt;&gt;0,+E86/'11. Unit Mix'!$G$142,0)</f>
        <v>0</v>
      </c>
      <c r="J86" s="1112">
        <f t="shared" si="22"/>
        <v>0</v>
      </c>
      <c r="K86" s="202"/>
      <c r="L86" s="202"/>
      <c r="M86" s="202"/>
      <c r="N86" s="642"/>
      <c r="O86" s="642"/>
      <c r="P86" s="642"/>
      <c r="Q86" s="642"/>
      <c r="R86" s="642"/>
      <c r="S86" s="642"/>
      <c r="T86" s="642"/>
      <c r="U86" s="642"/>
      <c r="V86" s="642"/>
      <c r="W86" s="642"/>
      <c r="X86" s="642"/>
      <c r="Y86" s="642"/>
      <c r="Z86" s="642"/>
      <c r="AA86" s="642"/>
      <c r="AB86" s="642"/>
      <c r="AC86" s="642"/>
      <c r="AD86" s="642"/>
      <c r="AE86" s="642"/>
      <c r="AF86" s="642"/>
      <c r="AG86" s="642"/>
      <c r="AH86" s="642"/>
      <c r="AI86" s="642"/>
      <c r="AJ86" s="642"/>
      <c r="AK86" s="642"/>
      <c r="AL86" s="642"/>
      <c r="AM86" s="642"/>
      <c r="AN86" s="642"/>
      <c r="AO86" s="642"/>
      <c r="AP86" s="1278"/>
      <c r="AQ86" s="3"/>
      <c r="AR86" s="3"/>
      <c r="AS86" s="131"/>
      <c r="AT86" s="131"/>
      <c r="AU86" s="131"/>
      <c r="AV86" s="131"/>
      <c r="AW86" s="131"/>
      <c r="AX86" s="131"/>
    </row>
    <row r="87" spans="2:50" s="918" customFormat="1">
      <c r="B87" s="1278"/>
      <c r="C87" s="645" t="s">
        <v>3996</v>
      </c>
      <c r="D87" s="646"/>
      <c r="E87" s="1112">
        <f t="shared" si="23"/>
        <v>0</v>
      </c>
      <c r="F87" s="1111"/>
      <c r="G87" s="1111"/>
      <c r="H87" s="923"/>
      <c r="I87" s="1112">
        <f>IF('11. Unit Mix'!$G$142&lt;&gt;0,+E87/'11. Unit Mix'!$G$142,0)</f>
        <v>0</v>
      </c>
      <c r="J87" s="1112">
        <f t="shared" si="22"/>
        <v>0</v>
      </c>
      <c r="K87" s="202"/>
      <c r="L87" s="202"/>
      <c r="M87" s="202"/>
      <c r="N87" s="642"/>
      <c r="O87" s="642"/>
      <c r="P87" s="642"/>
      <c r="Q87" s="642"/>
      <c r="R87" s="642"/>
      <c r="S87" s="642"/>
      <c r="T87" s="642"/>
      <c r="U87" s="642"/>
      <c r="V87" s="642"/>
      <c r="W87" s="642"/>
      <c r="X87" s="642"/>
      <c r="Y87" s="642"/>
      <c r="Z87" s="642"/>
      <c r="AA87" s="642"/>
      <c r="AB87" s="642"/>
      <c r="AC87" s="642"/>
      <c r="AD87" s="642"/>
      <c r="AE87" s="642"/>
      <c r="AF87" s="642"/>
      <c r="AG87" s="642"/>
      <c r="AH87" s="642"/>
      <c r="AI87" s="642"/>
      <c r="AJ87" s="642"/>
      <c r="AK87" s="642"/>
      <c r="AL87" s="642"/>
      <c r="AM87" s="642"/>
      <c r="AN87" s="642"/>
      <c r="AO87" s="642"/>
      <c r="AP87" s="1278"/>
      <c r="AQ87" s="3"/>
      <c r="AR87" s="3"/>
      <c r="AS87" s="131"/>
      <c r="AT87" s="131"/>
      <c r="AU87" s="131"/>
      <c r="AV87" s="131"/>
      <c r="AW87" s="131"/>
      <c r="AX87" s="131"/>
    </row>
    <row r="88" spans="2:50" s="918" customFormat="1">
      <c r="B88" s="1278"/>
      <c r="C88" s="645" t="s">
        <v>3997</v>
      </c>
      <c r="D88" s="646"/>
      <c r="E88" s="1112">
        <f t="shared" si="23"/>
        <v>0</v>
      </c>
      <c r="F88" s="1111"/>
      <c r="G88" s="1111"/>
      <c r="H88" s="923"/>
      <c r="I88" s="1112">
        <f>IF('11. Unit Mix'!$G$142&lt;&gt;0,+E88/'11. Unit Mix'!$G$142,0)</f>
        <v>0</v>
      </c>
      <c r="J88" s="1112">
        <f t="shared" si="22"/>
        <v>0</v>
      </c>
      <c r="K88" s="202"/>
      <c r="L88" s="202"/>
      <c r="M88" s="202"/>
      <c r="N88" s="642"/>
      <c r="O88" s="642"/>
      <c r="P88" s="642"/>
      <c r="Q88" s="642"/>
      <c r="R88" s="642"/>
      <c r="S88" s="642"/>
      <c r="T88" s="642"/>
      <c r="U88" s="642"/>
      <c r="V88" s="642"/>
      <c r="W88" s="642"/>
      <c r="X88" s="642"/>
      <c r="Y88" s="642"/>
      <c r="Z88" s="642"/>
      <c r="AA88" s="642"/>
      <c r="AB88" s="642"/>
      <c r="AC88" s="642"/>
      <c r="AD88" s="642"/>
      <c r="AE88" s="642"/>
      <c r="AF88" s="642"/>
      <c r="AG88" s="642"/>
      <c r="AH88" s="642"/>
      <c r="AI88" s="642"/>
      <c r="AJ88" s="642"/>
      <c r="AK88" s="642"/>
      <c r="AL88" s="642"/>
      <c r="AM88" s="642"/>
      <c r="AN88" s="642"/>
      <c r="AO88" s="642"/>
      <c r="AP88" s="1278"/>
      <c r="AQ88" s="3"/>
      <c r="AR88" s="3"/>
      <c r="AS88" s="131"/>
      <c r="AT88" s="131"/>
      <c r="AU88" s="131"/>
      <c r="AV88" s="131"/>
      <c r="AW88" s="131"/>
      <c r="AX88" s="131"/>
    </row>
    <row r="89" spans="2:50" s="918" customFormat="1">
      <c r="B89" s="1278"/>
      <c r="C89" s="645" t="s">
        <v>3998</v>
      </c>
      <c r="D89" s="646"/>
      <c r="E89" s="1112">
        <f t="shared" si="23"/>
        <v>0</v>
      </c>
      <c r="F89" s="1111"/>
      <c r="G89" s="1111"/>
      <c r="H89" s="923"/>
      <c r="I89" s="1112">
        <f>IF('11. Unit Mix'!$G$142&lt;&gt;0,+E89/'11. Unit Mix'!$G$142,0)</f>
        <v>0</v>
      </c>
      <c r="J89" s="1112">
        <f t="shared" si="22"/>
        <v>0</v>
      </c>
      <c r="K89" s="202"/>
      <c r="L89" s="202"/>
      <c r="M89" s="202"/>
      <c r="N89" s="642"/>
      <c r="O89" s="642"/>
      <c r="P89" s="642"/>
      <c r="Q89" s="642"/>
      <c r="R89" s="642"/>
      <c r="S89" s="642"/>
      <c r="T89" s="642"/>
      <c r="U89" s="642"/>
      <c r="V89" s="642"/>
      <c r="W89" s="642"/>
      <c r="X89" s="642"/>
      <c r="Y89" s="642"/>
      <c r="Z89" s="642"/>
      <c r="AA89" s="642"/>
      <c r="AB89" s="642"/>
      <c r="AC89" s="642"/>
      <c r="AD89" s="642"/>
      <c r="AE89" s="642"/>
      <c r="AF89" s="642"/>
      <c r="AG89" s="642"/>
      <c r="AH89" s="642"/>
      <c r="AI89" s="642"/>
      <c r="AJ89" s="642"/>
      <c r="AK89" s="642"/>
      <c r="AL89" s="642"/>
      <c r="AM89" s="642"/>
      <c r="AN89" s="642"/>
      <c r="AO89" s="642"/>
      <c r="AP89" s="1278"/>
      <c r="AQ89" s="3"/>
      <c r="AR89" s="3"/>
      <c r="AS89" s="131"/>
      <c r="AT89" s="131"/>
      <c r="AU89" s="131"/>
      <c r="AV89" s="131"/>
      <c r="AW89" s="131"/>
      <c r="AX89" s="131"/>
    </row>
    <row r="90" spans="2:50" s="918" customFormat="1">
      <c r="B90" s="1278"/>
      <c r="C90" s="645" t="s">
        <v>3999</v>
      </c>
      <c r="D90" s="646"/>
      <c r="E90" s="1112">
        <f t="shared" si="23"/>
        <v>0</v>
      </c>
      <c r="F90" s="1111"/>
      <c r="G90" s="1111"/>
      <c r="H90" s="923"/>
      <c r="I90" s="1112">
        <f>IF('11. Unit Mix'!$G$142&lt;&gt;0,+E90/'11. Unit Mix'!$G$142,0)</f>
        <v>0</v>
      </c>
      <c r="J90" s="1112">
        <f t="shared" si="22"/>
        <v>0</v>
      </c>
      <c r="K90" s="202"/>
      <c r="L90" s="202"/>
      <c r="M90" s="202"/>
      <c r="N90" s="642"/>
      <c r="O90" s="642"/>
      <c r="P90" s="642"/>
      <c r="Q90" s="642"/>
      <c r="R90" s="642"/>
      <c r="S90" s="642"/>
      <c r="T90" s="642"/>
      <c r="U90" s="642"/>
      <c r="V90" s="642"/>
      <c r="W90" s="642"/>
      <c r="X90" s="642"/>
      <c r="Y90" s="642"/>
      <c r="Z90" s="642"/>
      <c r="AA90" s="642"/>
      <c r="AB90" s="642"/>
      <c r="AC90" s="642"/>
      <c r="AD90" s="642"/>
      <c r="AE90" s="642"/>
      <c r="AF90" s="642"/>
      <c r="AG90" s="642"/>
      <c r="AH90" s="642"/>
      <c r="AI90" s="642"/>
      <c r="AJ90" s="642"/>
      <c r="AK90" s="642"/>
      <c r="AL90" s="642"/>
      <c r="AM90" s="642"/>
      <c r="AN90" s="642"/>
      <c r="AO90" s="642"/>
      <c r="AP90" s="1278"/>
      <c r="AQ90" s="3"/>
      <c r="AR90" s="3"/>
      <c r="AS90" s="131"/>
      <c r="AT90" s="131"/>
      <c r="AU90" s="131"/>
      <c r="AV90" s="131"/>
      <c r="AW90" s="131"/>
      <c r="AX90" s="131"/>
    </row>
    <row r="91" spans="2:50" s="918" customFormat="1">
      <c r="B91" s="1278"/>
      <c r="C91" s="1279"/>
      <c r="D91" s="1279"/>
      <c r="E91" s="1279"/>
      <c r="F91" s="1279"/>
      <c r="G91" s="1279"/>
      <c r="H91" s="1279"/>
      <c r="I91" s="1279"/>
      <c r="J91" s="1279"/>
      <c r="K91" s="202"/>
      <c r="L91" s="202"/>
      <c r="M91" s="202"/>
      <c r="N91" s="642"/>
      <c r="O91" s="642"/>
      <c r="P91" s="642"/>
      <c r="Q91" s="642"/>
      <c r="R91" s="642"/>
      <c r="S91" s="642"/>
      <c r="T91" s="642"/>
      <c r="U91" s="642"/>
      <c r="V91" s="642"/>
      <c r="W91" s="642"/>
      <c r="X91" s="642"/>
      <c r="Y91" s="642"/>
      <c r="Z91" s="642"/>
      <c r="AA91" s="642"/>
      <c r="AB91" s="642"/>
      <c r="AC91" s="642"/>
      <c r="AD91" s="642"/>
      <c r="AE91" s="642"/>
      <c r="AF91" s="642"/>
      <c r="AG91" s="642"/>
      <c r="AH91" s="642"/>
      <c r="AI91" s="642"/>
      <c r="AJ91" s="642"/>
      <c r="AK91" s="642"/>
      <c r="AL91" s="642"/>
      <c r="AM91" s="642"/>
      <c r="AN91" s="642"/>
      <c r="AO91" s="642"/>
      <c r="AP91" s="1278"/>
      <c r="AQ91" s="3"/>
      <c r="AR91" s="3"/>
      <c r="AS91" s="131"/>
      <c r="AT91" s="131"/>
      <c r="AU91" s="131"/>
      <c r="AV91" s="131"/>
      <c r="AW91" s="131"/>
      <c r="AX91" s="131"/>
    </row>
    <row r="92" spans="2:50" s="919" customFormat="1">
      <c r="B92" s="1278"/>
      <c r="C92" s="643" t="s">
        <v>4000</v>
      </c>
      <c r="D92" s="644"/>
      <c r="E92" s="655">
        <f>+SUM(E93:E101)</f>
        <v>0</v>
      </c>
      <c r="F92" s="655">
        <f t="shared" ref="F92:H92" si="24">+SUM(F93:F101)</f>
        <v>0</v>
      </c>
      <c r="G92" s="655">
        <f t="shared" si="24"/>
        <v>0</v>
      </c>
      <c r="H92" s="655">
        <f t="shared" si="24"/>
        <v>0</v>
      </c>
      <c r="I92" s="655">
        <f>IF('11. Unit Mix'!$G$142&lt;&gt;0,+E92/'11. Unit Mix'!$G$142,0)</f>
        <v>0</v>
      </c>
      <c r="J92" s="655">
        <f t="shared" ref="J92:J101" si="25">IF(Total_Units&lt;&gt;0,+E92/Total_Units,0)</f>
        <v>0</v>
      </c>
      <c r="K92" s="202"/>
      <c r="L92" s="202"/>
      <c r="M92" s="202"/>
      <c r="N92" s="1081"/>
      <c r="O92" s="1081"/>
      <c r="P92" s="1081"/>
      <c r="Q92" s="1081"/>
      <c r="R92" s="1081"/>
      <c r="S92" s="1081"/>
      <c r="T92" s="1081"/>
      <c r="U92" s="1081"/>
      <c r="V92" s="1081"/>
      <c r="W92" s="1081"/>
      <c r="X92" s="1081"/>
      <c r="Y92" s="1081"/>
      <c r="Z92" s="1081"/>
      <c r="AA92" s="1081"/>
      <c r="AB92" s="1081"/>
      <c r="AC92" s="1081"/>
      <c r="AD92" s="1081"/>
      <c r="AE92" s="1081"/>
      <c r="AF92" s="1081"/>
      <c r="AG92" s="1081"/>
      <c r="AH92" s="1081"/>
      <c r="AI92" s="1081"/>
      <c r="AJ92" s="1081"/>
      <c r="AK92" s="1081"/>
      <c r="AL92" s="1081"/>
      <c r="AM92" s="1081"/>
      <c r="AN92" s="1081"/>
      <c r="AO92" s="1081"/>
      <c r="AP92" s="1278"/>
      <c r="AQ92" s="3"/>
      <c r="AR92" s="3"/>
      <c r="AS92" s="131"/>
      <c r="AT92" s="131"/>
      <c r="AU92" s="131"/>
      <c r="AV92" s="131"/>
      <c r="AW92" s="131"/>
      <c r="AX92" s="131"/>
    </row>
    <row r="93" spans="2:50" s="918" customFormat="1">
      <c r="B93" s="1278"/>
      <c r="C93" s="645" t="s">
        <v>4001</v>
      </c>
      <c r="D93" s="646"/>
      <c r="E93" s="1112">
        <f t="shared" ref="E93:E101" si="26">SUM(F93:H93)</f>
        <v>0</v>
      </c>
      <c r="F93" s="1111"/>
      <c r="G93" s="1111"/>
      <c r="H93" s="923"/>
      <c r="I93" s="1112">
        <f>IF('11. Unit Mix'!$G$142&lt;&gt;0,+E93/'11. Unit Mix'!$G$142,0)</f>
        <v>0</v>
      </c>
      <c r="J93" s="1112">
        <f t="shared" si="25"/>
        <v>0</v>
      </c>
      <c r="K93" s="202"/>
      <c r="L93" s="202"/>
      <c r="M93" s="202"/>
      <c r="N93" s="642"/>
      <c r="O93" s="642"/>
      <c r="P93" s="642"/>
      <c r="Q93" s="642"/>
      <c r="R93" s="642"/>
      <c r="S93" s="642"/>
      <c r="T93" s="642"/>
      <c r="U93" s="642"/>
      <c r="V93" s="642"/>
      <c r="W93" s="642"/>
      <c r="X93" s="642"/>
      <c r="Y93" s="642"/>
      <c r="Z93" s="642"/>
      <c r="AA93" s="642"/>
      <c r="AB93" s="642"/>
      <c r="AC93" s="642"/>
      <c r="AD93" s="642"/>
      <c r="AE93" s="642"/>
      <c r="AF93" s="642"/>
      <c r="AG93" s="642"/>
      <c r="AH93" s="642"/>
      <c r="AI93" s="642"/>
      <c r="AJ93" s="642"/>
      <c r="AK93" s="642"/>
      <c r="AL93" s="642"/>
      <c r="AM93" s="642"/>
      <c r="AN93" s="642"/>
      <c r="AO93" s="642"/>
      <c r="AP93" s="1278"/>
      <c r="AQ93" s="3"/>
      <c r="AR93" s="3"/>
      <c r="AS93" s="131"/>
      <c r="AT93" s="131"/>
      <c r="AU93" s="131"/>
      <c r="AV93" s="131"/>
      <c r="AW93" s="131"/>
      <c r="AX93" s="131"/>
    </row>
    <row r="94" spans="2:50" s="918" customFormat="1">
      <c r="B94" s="1278"/>
      <c r="C94" s="645" t="s">
        <v>4002</v>
      </c>
      <c r="D94" s="646"/>
      <c r="E94" s="1112">
        <f t="shared" si="26"/>
        <v>0</v>
      </c>
      <c r="F94" s="1111"/>
      <c r="G94" s="1111"/>
      <c r="H94" s="923"/>
      <c r="I94" s="1112">
        <f>IF('11. Unit Mix'!$G$142&lt;&gt;0,+E94/'11. Unit Mix'!$G$142,0)</f>
        <v>0</v>
      </c>
      <c r="J94" s="1112">
        <f t="shared" si="25"/>
        <v>0</v>
      </c>
      <c r="K94" s="202"/>
      <c r="L94" s="202"/>
      <c r="M94" s="202"/>
      <c r="N94" s="642"/>
      <c r="O94" s="642"/>
      <c r="P94" s="642"/>
      <c r="Q94" s="642"/>
      <c r="R94" s="642"/>
      <c r="S94" s="642"/>
      <c r="T94" s="642"/>
      <c r="U94" s="642"/>
      <c r="V94" s="642"/>
      <c r="W94" s="642"/>
      <c r="X94" s="642"/>
      <c r="Y94" s="642"/>
      <c r="Z94" s="642"/>
      <c r="AA94" s="642"/>
      <c r="AB94" s="642"/>
      <c r="AC94" s="642"/>
      <c r="AD94" s="642"/>
      <c r="AE94" s="642"/>
      <c r="AF94" s="642"/>
      <c r="AG94" s="642"/>
      <c r="AH94" s="642"/>
      <c r="AI94" s="642"/>
      <c r="AJ94" s="642"/>
      <c r="AK94" s="642"/>
      <c r="AL94" s="642"/>
      <c r="AM94" s="642"/>
      <c r="AN94" s="642"/>
      <c r="AO94" s="642"/>
      <c r="AP94" s="1278"/>
      <c r="AQ94" s="3"/>
      <c r="AR94" s="3"/>
      <c r="AS94" s="131"/>
      <c r="AT94" s="131"/>
      <c r="AU94" s="131"/>
      <c r="AV94" s="131"/>
      <c r="AW94" s="131"/>
      <c r="AX94" s="131"/>
    </row>
    <row r="95" spans="2:50" s="918" customFormat="1">
      <c r="B95" s="1278"/>
      <c r="C95" s="645" t="s">
        <v>4003</v>
      </c>
      <c r="D95" s="646"/>
      <c r="E95" s="1112">
        <f t="shared" si="26"/>
        <v>0</v>
      </c>
      <c r="F95" s="1111"/>
      <c r="G95" s="1111"/>
      <c r="H95" s="923"/>
      <c r="I95" s="1112">
        <f>IF('11. Unit Mix'!$G$142&lt;&gt;0,+E95/'11. Unit Mix'!$G$142,0)</f>
        <v>0</v>
      </c>
      <c r="J95" s="1112">
        <f t="shared" si="25"/>
        <v>0</v>
      </c>
      <c r="K95" s="202"/>
      <c r="L95" s="202"/>
      <c r="M95" s="202"/>
      <c r="N95" s="642"/>
      <c r="O95" s="642"/>
      <c r="P95" s="642"/>
      <c r="Q95" s="642"/>
      <c r="R95" s="642"/>
      <c r="S95" s="642"/>
      <c r="T95" s="642"/>
      <c r="U95" s="642"/>
      <c r="V95" s="642"/>
      <c r="W95" s="642"/>
      <c r="X95" s="642"/>
      <c r="Y95" s="642"/>
      <c r="Z95" s="642"/>
      <c r="AA95" s="642"/>
      <c r="AB95" s="642"/>
      <c r="AC95" s="642"/>
      <c r="AD95" s="642"/>
      <c r="AE95" s="642"/>
      <c r="AF95" s="642"/>
      <c r="AG95" s="642"/>
      <c r="AH95" s="642"/>
      <c r="AI95" s="642"/>
      <c r="AJ95" s="642"/>
      <c r="AK95" s="642"/>
      <c r="AL95" s="642"/>
      <c r="AM95" s="642"/>
      <c r="AN95" s="642"/>
      <c r="AO95" s="642"/>
      <c r="AP95" s="1278"/>
      <c r="AQ95" s="3"/>
      <c r="AR95" s="3"/>
      <c r="AS95" s="131"/>
      <c r="AT95" s="131"/>
      <c r="AU95" s="131"/>
      <c r="AV95" s="131"/>
      <c r="AW95" s="131"/>
      <c r="AX95" s="131"/>
    </row>
    <row r="96" spans="2:50" s="918" customFormat="1">
      <c r="B96" s="1278"/>
      <c r="C96" s="645" t="s">
        <v>4004</v>
      </c>
      <c r="D96" s="646"/>
      <c r="E96" s="1112">
        <f t="shared" si="26"/>
        <v>0</v>
      </c>
      <c r="F96" s="1111"/>
      <c r="G96" s="1111"/>
      <c r="H96" s="923"/>
      <c r="I96" s="1112">
        <f>IF('11. Unit Mix'!$G$142&lt;&gt;0,+E96/'11. Unit Mix'!$G$142,0)</f>
        <v>0</v>
      </c>
      <c r="J96" s="1112">
        <f t="shared" si="25"/>
        <v>0</v>
      </c>
      <c r="K96" s="202"/>
      <c r="L96" s="202"/>
      <c r="M96" s="202"/>
      <c r="N96" s="642"/>
      <c r="O96" s="642"/>
      <c r="P96" s="642"/>
      <c r="Q96" s="642"/>
      <c r="R96" s="642"/>
      <c r="S96" s="642"/>
      <c r="T96" s="642"/>
      <c r="U96" s="642"/>
      <c r="V96" s="642"/>
      <c r="W96" s="642"/>
      <c r="X96" s="642"/>
      <c r="Y96" s="642"/>
      <c r="Z96" s="642"/>
      <c r="AA96" s="642"/>
      <c r="AB96" s="642"/>
      <c r="AC96" s="642"/>
      <c r="AD96" s="642"/>
      <c r="AE96" s="642"/>
      <c r="AF96" s="642"/>
      <c r="AG96" s="642"/>
      <c r="AH96" s="642"/>
      <c r="AI96" s="642"/>
      <c r="AJ96" s="642"/>
      <c r="AK96" s="642"/>
      <c r="AL96" s="642"/>
      <c r="AM96" s="642"/>
      <c r="AN96" s="642"/>
      <c r="AO96" s="642"/>
      <c r="AP96" s="1278"/>
      <c r="AQ96" s="3"/>
      <c r="AR96" s="3"/>
      <c r="AS96" s="131"/>
      <c r="AT96" s="131"/>
      <c r="AU96" s="131"/>
      <c r="AV96" s="131"/>
      <c r="AW96" s="131"/>
      <c r="AX96" s="131"/>
    </row>
    <row r="97" spans="2:50" s="918" customFormat="1">
      <c r="B97" s="1278"/>
      <c r="C97" s="645" t="s">
        <v>4005</v>
      </c>
      <c r="D97" s="646"/>
      <c r="E97" s="1112">
        <f t="shared" si="26"/>
        <v>0</v>
      </c>
      <c r="F97" s="1111"/>
      <c r="G97" s="1111"/>
      <c r="H97" s="923"/>
      <c r="I97" s="1112">
        <f>IF('11. Unit Mix'!$G$142&lt;&gt;0,+E97/'11. Unit Mix'!$G$142,0)</f>
        <v>0</v>
      </c>
      <c r="J97" s="1112">
        <f t="shared" si="25"/>
        <v>0</v>
      </c>
      <c r="K97" s="202"/>
      <c r="L97" s="202"/>
      <c r="M97" s="202"/>
      <c r="N97" s="642"/>
      <c r="O97" s="642"/>
      <c r="P97" s="642"/>
      <c r="Q97" s="642"/>
      <c r="R97" s="642"/>
      <c r="S97" s="642"/>
      <c r="T97" s="642"/>
      <c r="U97" s="642"/>
      <c r="V97" s="642"/>
      <c r="W97" s="642"/>
      <c r="X97" s="642"/>
      <c r="Y97" s="642"/>
      <c r="Z97" s="642"/>
      <c r="AA97" s="642"/>
      <c r="AB97" s="642"/>
      <c r="AC97" s="642"/>
      <c r="AD97" s="642"/>
      <c r="AE97" s="642"/>
      <c r="AF97" s="642"/>
      <c r="AG97" s="642"/>
      <c r="AH97" s="642"/>
      <c r="AI97" s="642"/>
      <c r="AJ97" s="642"/>
      <c r="AK97" s="642"/>
      <c r="AL97" s="642"/>
      <c r="AM97" s="642"/>
      <c r="AN97" s="642"/>
      <c r="AO97" s="642"/>
      <c r="AP97" s="1278"/>
      <c r="AQ97" s="3"/>
      <c r="AR97" s="3"/>
      <c r="AS97" s="131"/>
      <c r="AT97" s="131"/>
      <c r="AU97" s="131"/>
      <c r="AV97" s="131"/>
      <c r="AW97" s="131"/>
      <c r="AX97" s="131"/>
    </row>
    <row r="98" spans="2:50" s="918" customFormat="1">
      <c r="B98" s="1278"/>
      <c r="C98" s="645" t="s">
        <v>4006</v>
      </c>
      <c r="D98" s="646"/>
      <c r="E98" s="1112">
        <f t="shared" si="26"/>
        <v>0</v>
      </c>
      <c r="F98" s="1111"/>
      <c r="G98" s="1111"/>
      <c r="H98" s="923"/>
      <c r="I98" s="1112">
        <f>IF('11. Unit Mix'!$G$142&lt;&gt;0,+E98/'11. Unit Mix'!$G$142,0)</f>
        <v>0</v>
      </c>
      <c r="J98" s="1112">
        <f t="shared" si="25"/>
        <v>0</v>
      </c>
      <c r="K98" s="202"/>
      <c r="L98" s="202"/>
      <c r="M98" s="202"/>
      <c r="N98" s="642"/>
      <c r="O98" s="642"/>
      <c r="P98" s="642"/>
      <c r="Q98" s="642"/>
      <c r="R98" s="642"/>
      <c r="S98" s="642"/>
      <c r="T98" s="642"/>
      <c r="U98" s="642"/>
      <c r="V98" s="642"/>
      <c r="W98" s="642"/>
      <c r="X98" s="642"/>
      <c r="Y98" s="642"/>
      <c r="Z98" s="642"/>
      <c r="AA98" s="642"/>
      <c r="AB98" s="642"/>
      <c r="AC98" s="642"/>
      <c r="AD98" s="642"/>
      <c r="AE98" s="642"/>
      <c r="AF98" s="642"/>
      <c r="AG98" s="642"/>
      <c r="AH98" s="642"/>
      <c r="AI98" s="642"/>
      <c r="AJ98" s="642"/>
      <c r="AK98" s="642"/>
      <c r="AL98" s="642"/>
      <c r="AM98" s="642"/>
      <c r="AN98" s="642"/>
      <c r="AO98" s="642"/>
      <c r="AP98" s="1278"/>
      <c r="AQ98" s="3"/>
      <c r="AR98" s="3"/>
      <c r="AS98" s="131"/>
      <c r="AT98" s="131"/>
      <c r="AU98" s="131"/>
      <c r="AV98" s="131"/>
      <c r="AW98" s="131"/>
      <c r="AX98" s="131"/>
    </row>
    <row r="99" spans="2:50" s="918" customFormat="1">
      <c r="B99" s="1278"/>
      <c r="C99" s="645" t="s">
        <v>4007</v>
      </c>
      <c r="D99" s="646"/>
      <c r="E99" s="1112">
        <f t="shared" si="26"/>
        <v>0</v>
      </c>
      <c r="F99" s="1111"/>
      <c r="G99" s="1111"/>
      <c r="H99" s="923"/>
      <c r="I99" s="1112">
        <f>IF('11. Unit Mix'!$G$142&lt;&gt;0,+E99/'11. Unit Mix'!$G$142,0)</f>
        <v>0</v>
      </c>
      <c r="J99" s="1112">
        <f t="shared" si="25"/>
        <v>0</v>
      </c>
      <c r="K99" s="202"/>
      <c r="L99" s="202"/>
      <c r="M99" s="202"/>
      <c r="N99" s="642"/>
      <c r="O99" s="642"/>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1278"/>
      <c r="AQ99" s="3"/>
      <c r="AR99" s="3"/>
      <c r="AS99" s="131"/>
      <c r="AT99" s="131"/>
      <c r="AU99" s="131"/>
      <c r="AV99" s="131"/>
      <c r="AW99" s="131"/>
      <c r="AX99" s="131"/>
    </row>
    <row r="100" spans="2:50" s="918" customFormat="1">
      <c r="B100" s="1278"/>
      <c r="C100" s="645" t="s">
        <v>4008</v>
      </c>
      <c r="D100" s="646"/>
      <c r="E100" s="1112">
        <f t="shared" si="26"/>
        <v>0</v>
      </c>
      <c r="F100" s="1111"/>
      <c r="G100" s="1111"/>
      <c r="H100" s="923"/>
      <c r="I100" s="1112">
        <f>IF('11. Unit Mix'!$G$142&lt;&gt;0,+E100/'11. Unit Mix'!$G$142,0)</f>
        <v>0</v>
      </c>
      <c r="J100" s="1112">
        <f t="shared" si="25"/>
        <v>0</v>
      </c>
      <c r="K100" s="202"/>
      <c r="L100" s="202"/>
      <c r="M100" s="202"/>
      <c r="N100" s="642"/>
      <c r="O100" s="642"/>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1278"/>
      <c r="AQ100" s="3"/>
      <c r="AR100" s="3"/>
      <c r="AS100" s="131"/>
      <c r="AT100" s="131"/>
      <c r="AU100" s="131"/>
      <c r="AV100" s="131"/>
      <c r="AW100" s="131"/>
      <c r="AX100" s="131"/>
    </row>
    <row r="101" spans="2:50" s="918" customFormat="1">
      <c r="B101" s="1278"/>
      <c r="C101" s="645" t="s">
        <v>4009</v>
      </c>
      <c r="D101" s="646"/>
      <c r="E101" s="1112">
        <f t="shared" si="26"/>
        <v>0</v>
      </c>
      <c r="F101" s="1111"/>
      <c r="G101" s="1111"/>
      <c r="H101" s="923"/>
      <c r="I101" s="1112">
        <f>IF('11. Unit Mix'!$G$142&lt;&gt;0,+E101/'11. Unit Mix'!$G$142,0)</f>
        <v>0</v>
      </c>
      <c r="J101" s="1112">
        <f t="shared" si="25"/>
        <v>0</v>
      </c>
      <c r="K101" s="202"/>
      <c r="L101" s="202"/>
      <c r="M101" s="202"/>
      <c r="N101" s="642"/>
      <c r="O101" s="642"/>
      <c r="P101" s="642"/>
      <c r="Q101" s="642"/>
      <c r="R101" s="642"/>
      <c r="S101" s="642"/>
      <c r="T101" s="642"/>
      <c r="U101" s="642"/>
      <c r="V101" s="642"/>
      <c r="W101" s="642"/>
      <c r="X101" s="642"/>
      <c r="Y101" s="642"/>
      <c r="Z101" s="642"/>
      <c r="AA101" s="642"/>
      <c r="AB101" s="642"/>
      <c r="AC101" s="642"/>
      <c r="AD101" s="642"/>
      <c r="AE101" s="642"/>
      <c r="AF101" s="642"/>
      <c r="AG101" s="642"/>
      <c r="AH101" s="642"/>
      <c r="AI101" s="642"/>
      <c r="AJ101" s="642"/>
      <c r="AK101" s="642"/>
      <c r="AL101" s="642"/>
      <c r="AM101" s="642"/>
      <c r="AN101" s="642"/>
      <c r="AO101" s="642"/>
      <c r="AP101" s="1278"/>
      <c r="AQ101" s="3"/>
      <c r="AR101" s="3"/>
      <c r="AS101" s="131"/>
      <c r="AT101" s="131"/>
      <c r="AU101" s="131"/>
      <c r="AV101" s="131"/>
      <c r="AW101" s="131"/>
      <c r="AX101" s="131"/>
    </row>
    <row r="102" spans="2:50" s="918" customFormat="1">
      <c r="B102" s="1278"/>
      <c r="C102" s="1279"/>
      <c r="D102" s="1279"/>
      <c r="E102" s="1279"/>
      <c r="F102" s="1279"/>
      <c r="G102" s="1279"/>
      <c r="H102" s="1279"/>
      <c r="I102" s="1279"/>
      <c r="J102" s="1279"/>
      <c r="K102" s="202"/>
      <c r="L102" s="202"/>
      <c r="M102" s="202"/>
      <c r="N102" s="642"/>
      <c r="O102" s="642"/>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42"/>
      <c r="AO102" s="642"/>
      <c r="AP102" s="1278"/>
      <c r="AQ102" s="3"/>
      <c r="AR102" s="3"/>
      <c r="AS102" s="131"/>
      <c r="AT102" s="131"/>
      <c r="AU102" s="131"/>
      <c r="AV102" s="131"/>
      <c r="AW102" s="131"/>
      <c r="AX102" s="131"/>
    </row>
    <row r="103" spans="2:50" s="919" customFormat="1">
      <c r="B103" s="1278"/>
      <c r="C103" s="643" t="s">
        <v>4010</v>
      </c>
      <c r="D103" s="644"/>
      <c r="E103" s="655">
        <f>+SUM(E104:E112)</f>
        <v>0</v>
      </c>
      <c r="F103" s="655">
        <f t="shared" ref="F103:H103" si="27">+SUM(F104:F112)</f>
        <v>0</v>
      </c>
      <c r="G103" s="655">
        <f t="shared" si="27"/>
        <v>0</v>
      </c>
      <c r="H103" s="655">
        <f t="shared" si="27"/>
        <v>0</v>
      </c>
      <c r="I103" s="655">
        <f>IF('11. Unit Mix'!$G$142&lt;&gt;0,+E103/'11. Unit Mix'!$G$142,0)</f>
        <v>0</v>
      </c>
      <c r="J103" s="655">
        <f t="shared" ref="J103:J112" si="28">IF(Total_Units&lt;&gt;0,+E103/Total_Units,0)</f>
        <v>0</v>
      </c>
      <c r="K103" s="202"/>
      <c r="L103" s="202"/>
      <c r="M103" s="202"/>
      <c r="N103" s="1081"/>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278"/>
      <c r="AQ103" s="3"/>
      <c r="AR103" s="3"/>
      <c r="AS103" s="131"/>
      <c r="AT103" s="131"/>
      <c r="AU103" s="131"/>
      <c r="AV103" s="131"/>
      <c r="AW103" s="131"/>
      <c r="AX103" s="131"/>
    </row>
    <row r="104" spans="2:50" s="918" customFormat="1">
      <c r="B104" s="1278"/>
      <c r="C104" s="645" t="s">
        <v>4011</v>
      </c>
      <c r="D104" s="646"/>
      <c r="E104" s="1112">
        <f t="shared" ref="E104:E112" si="29">SUM(F104:H104)</f>
        <v>0</v>
      </c>
      <c r="F104" s="1111"/>
      <c r="G104" s="1111"/>
      <c r="H104" s="923"/>
      <c r="I104" s="1112">
        <f>IF('11. Unit Mix'!$G$142&lt;&gt;0,+E104/'11. Unit Mix'!$G$142,0)</f>
        <v>0</v>
      </c>
      <c r="J104" s="1112">
        <f t="shared" si="28"/>
        <v>0</v>
      </c>
      <c r="K104" s="202"/>
      <c r="L104" s="202"/>
      <c r="M104" s="202"/>
      <c r="N104" s="642"/>
      <c r="O104" s="642"/>
      <c r="P104" s="642"/>
      <c r="Q104" s="642"/>
      <c r="R104" s="642"/>
      <c r="S104" s="642"/>
      <c r="T104" s="642"/>
      <c r="U104" s="642"/>
      <c r="V104" s="642"/>
      <c r="W104" s="642"/>
      <c r="X104" s="642"/>
      <c r="Y104" s="642"/>
      <c r="Z104" s="642"/>
      <c r="AA104" s="642"/>
      <c r="AB104" s="642"/>
      <c r="AC104" s="642"/>
      <c r="AD104" s="642"/>
      <c r="AE104" s="642"/>
      <c r="AF104" s="642"/>
      <c r="AG104" s="642"/>
      <c r="AH104" s="642"/>
      <c r="AI104" s="642"/>
      <c r="AJ104" s="642"/>
      <c r="AK104" s="642"/>
      <c r="AL104" s="642"/>
      <c r="AM104" s="642"/>
      <c r="AN104" s="642"/>
      <c r="AO104" s="642"/>
      <c r="AP104" s="1278"/>
      <c r="AQ104" s="3"/>
      <c r="AR104" s="3"/>
      <c r="AS104" s="131"/>
      <c r="AT104" s="131"/>
      <c r="AU104" s="131"/>
      <c r="AV104" s="131"/>
      <c r="AW104" s="131"/>
      <c r="AX104" s="131"/>
    </row>
    <row r="105" spans="2:50" s="918" customFormat="1">
      <c r="B105" s="1278"/>
      <c r="C105" s="645" t="s">
        <v>4012</v>
      </c>
      <c r="D105" s="646"/>
      <c r="E105" s="1112">
        <f t="shared" si="29"/>
        <v>0</v>
      </c>
      <c r="F105" s="1111"/>
      <c r="G105" s="1111"/>
      <c r="H105" s="923"/>
      <c r="I105" s="1112">
        <f>IF('11. Unit Mix'!$G$142&lt;&gt;0,+E105/'11. Unit Mix'!$G$142,0)</f>
        <v>0</v>
      </c>
      <c r="J105" s="1112">
        <f t="shared" si="28"/>
        <v>0</v>
      </c>
      <c r="K105" s="202"/>
      <c r="L105" s="202"/>
      <c r="M105" s="202"/>
      <c r="N105" s="642"/>
      <c r="O105" s="642"/>
      <c r="P105" s="642"/>
      <c r="Q105" s="642"/>
      <c r="R105" s="642"/>
      <c r="S105" s="642"/>
      <c r="T105" s="642"/>
      <c r="U105" s="642"/>
      <c r="V105" s="642"/>
      <c r="W105" s="642"/>
      <c r="X105" s="642"/>
      <c r="Y105" s="642"/>
      <c r="Z105" s="642"/>
      <c r="AA105" s="642"/>
      <c r="AB105" s="642"/>
      <c r="AC105" s="642"/>
      <c r="AD105" s="642"/>
      <c r="AE105" s="642"/>
      <c r="AF105" s="642"/>
      <c r="AG105" s="642"/>
      <c r="AH105" s="642"/>
      <c r="AI105" s="642"/>
      <c r="AJ105" s="642"/>
      <c r="AK105" s="642"/>
      <c r="AL105" s="642"/>
      <c r="AM105" s="642"/>
      <c r="AN105" s="642"/>
      <c r="AO105" s="642"/>
      <c r="AP105" s="1278"/>
      <c r="AQ105" s="3"/>
      <c r="AR105" s="3"/>
      <c r="AS105" s="131"/>
      <c r="AT105" s="131"/>
      <c r="AU105" s="131"/>
      <c r="AV105" s="131"/>
      <c r="AW105" s="131"/>
      <c r="AX105" s="131"/>
    </row>
    <row r="106" spans="2:50" s="918" customFormat="1">
      <c r="B106" s="1278"/>
      <c r="C106" s="645" t="s">
        <v>4013</v>
      </c>
      <c r="D106" s="646"/>
      <c r="E106" s="1112">
        <f t="shared" si="29"/>
        <v>0</v>
      </c>
      <c r="F106" s="1111"/>
      <c r="G106" s="1111"/>
      <c r="H106" s="923"/>
      <c r="I106" s="1112">
        <f>IF('11. Unit Mix'!$G$142&lt;&gt;0,+E106/'11. Unit Mix'!$G$142,0)</f>
        <v>0</v>
      </c>
      <c r="J106" s="1112">
        <f t="shared" si="28"/>
        <v>0</v>
      </c>
      <c r="K106" s="202"/>
      <c r="L106" s="202"/>
      <c r="M106" s="202"/>
      <c r="N106" s="642"/>
      <c r="O106" s="642"/>
      <c r="P106" s="642"/>
      <c r="Q106" s="642"/>
      <c r="R106" s="642"/>
      <c r="S106" s="642"/>
      <c r="T106" s="642"/>
      <c r="U106" s="642"/>
      <c r="V106" s="642"/>
      <c r="W106" s="642"/>
      <c r="X106" s="642"/>
      <c r="Y106" s="642"/>
      <c r="Z106" s="642"/>
      <c r="AA106" s="642"/>
      <c r="AB106" s="642"/>
      <c r="AC106" s="642"/>
      <c r="AD106" s="642"/>
      <c r="AE106" s="642"/>
      <c r="AF106" s="642"/>
      <c r="AG106" s="642"/>
      <c r="AH106" s="642"/>
      <c r="AI106" s="642"/>
      <c r="AJ106" s="642"/>
      <c r="AK106" s="642"/>
      <c r="AL106" s="642"/>
      <c r="AM106" s="642"/>
      <c r="AN106" s="642"/>
      <c r="AO106" s="642"/>
      <c r="AP106" s="1278"/>
      <c r="AQ106" s="3"/>
      <c r="AR106" s="3"/>
      <c r="AS106" s="131"/>
      <c r="AT106" s="131"/>
      <c r="AU106" s="131"/>
      <c r="AV106" s="131"/>
      <c r="AW106" s="131"/>
      <c r="AX106" s="131"/>
    </row>
    <row r="107" spans="2:50" s="918" customFormat="1">
      <c r="B107" s="1278"/>
      <c r="C107" s="645" t="s">
        <v>4014</v>
      </c>
      <c r="D107" s="646"/>
      <c r="E107" s="1112">
        <f t="shared" si="29"/>
        <v>0</v>
      </c>
      <c r="F107" s="1111"/>
      <c r="G107" s="1111"/>
      <c r="H107" s="923"/>
      <c r="I107" s="1112">
        <f>IF('11. Unit Mix'!$G$142&lt;&gt;0,+E107/'11. Unit Mix'!$G$142,0)</f>
        <v>0</v>
      </c>
      <c r="J107" s="1112">
        <f t="shared" si="28"/>
        <v>0</v>
      </c>
      <c r="K107" s="202"/>
      <c r="L107" s="202"/>
      <c r="M107" s="202"/>
      <c r="N107" s="642"/>
      <c r="O107" s="642"/>
      <c r="P107" s="642"/>
      <c r="Q107" s="642"/>
      <c r="R107" s="642"/>
      <c r="S107" s="642"/>
      <c r="T107" s="642"/>
      <c r="U107" s="642"/>
      <c r="V107" s="642"/>
      <c r="W107" s="642"/>
      <c r="X107" s="642"/>
      <c r="Y107" s="642"/>
      <c r="Z107" s="642"/>
      <c r="AA107" s="642"/>
      <c r="AB107" s="642"/>
      <c r="AC107" s="642"/>
      <c r="AD107" s="642"/>
      <c r="AE107" s="642"/>
      <c r="AF107" s="642"/>
      <c r="AG107" s="642"/>
      <c r="AH107" s="642"/>
      <c r="AI107" s="642"/>
      <c r="AJ107" s="642"/>
      <c r="AK107" s="642"/>
      <c r="AL107" s="642"/>
      <c r="AM107" s="642"/>
      <c r="AN107" s="642"/>
      <c r="AO107" s="642"/>
      <c r="AP107" s="1278"/>
      <c r="AQ107" s="3"/>
      <c r="AR107" s="3"/>
      <c r="AS107" s="131"/>
      <c r="AT107" s="131"/>
      <c r="AU107" s="131"/>
      <c r="AV107" s="131"/>
      <c r="AW107" s="131"/>
      <c r="AX107" s="131"/>
    </row>
    <row r="108" spans="2:50" s="918" customFormat="1">
      <c r="B108" s="1278"/>
      <c r="C108" s="645" t="s">
        <v>4015</v>
      </c>
      <c r="D108" s="646"/>
      <c r="E108" s="1112">
        <f t="shared" si="29"/>
        <v>0</v>
      </c>
      <c r="F108" s="1111"/>
      <c r="G108" s="1111"/>
      <c r="H108" s="923"/>
      <c r="I108" s="1112">
        <f>IF('11. Unit Mix'!$G$142&lt;&gt;0,+E108/'11. Unit Mix'!$G$142,0)</f>
        <v>0</v>
      </c>
      <c r="J108" s="1112">
        <f t="shared" si="28"/>
        <v>0</v>
      </c>
      <c r="K108" s="202"/>
      <c r="L108" s="202"/>
      <c r="M108" s="202"/>
      <c r="N108" s="642"/>
      <c r="O108" s="642"/>
      <c r="P108" s="642"/>
      <c r="Q108" s="642"/>
      <c r="R108" s="642"/>
      <c r="S108" s="642"/>
      <c r="T108" s="642"/>
      <c r="U108" s="642"/>
      <c r="V108" s="642"/>
      <c r="W108" s="642"/>
      <c r="X108" s="642"/>
      <c r="Y108" s="642"/>
      <c r="Z108" s="642"/>
      <c r="AA108" s="642"/>
      <c r="AB108" s="642"/>
      <c r="AC108" s="642"/>
      <c r="AD108" s="642"/>
      <c r="AE108" s="642"/>
      <c r="AF108" s="642"/>
      <c r="AG108" s="642"/>
      <c r="AH108" s="642"/>
      <c r="AI108" s="642"/>
      <c r="AJ108" s="642"/>
      <c r="AK108" s="642"/>
      <c r="AL108" s="642"/>
      <c r="AM108" s="642"/>
      <c r="AN108" s="642"/>
      <c r="AO108" s="642"/>
      <c r="AP108" s="1278"/>
      <c r="AQ108" s="3"/>
      <c r="AR108" s="3"/>
      <c r="AS108" s="131"/>
      <c r="AT108" s="131"/>
      <c r="AU108" s="131"/>
      <c r="AV108" s="131"/>
      <c r="AW108" s="131"/>
      <c r="AX108" s="131"/>
    </row>
    <row r="109" spans="2:50" s="918" customFormat="1">
      <c r="B109" s="1278"/>
      <c r="C109" s="645" t="s">
        <v>4016</v>
      </c>
      <c r="D109" s="646"/>
      <c r="E109" s="1112">
        <f t="shared" si="29"/>
        <v>0</v>
      </c>
      <c r="F109" s="1111"/>
      <c r="G109" s="1111"/>
      <c r="H109" s="923"/>
      <c r="I109" s="1112">
        <f>IF('11. Unit Mix'!$G$142&lt;&gt;0,+E109/'11. Unit Mix'!$G$142,0)</f>
        <v>0</v>
      </c>
      <c r="J109" s="1112">
        <f t="shared" si="28"/>
        <v>0</v>
      </c>
      <c r="K109" s="202"/>
      <c r="L109" s="202"/>
      <c r="M109" s="202"/>
      <c r="N109" s="642"/>
      <c r="O109" s="642"/>
      <c r="P109" s="642"/>
      <c r="Q109" s="642"/>
      <c r="R109" s="642"/>
      <c r="S109" s="642"/>
      <c r="T109" s="642"/>
      <c r="U109" s="642"/>
      <c r="V109" s="642"/>
      <c r="W109" s="642"/>
      <c r="X109" s="642"/>
      <c r="Y109" s="642"/>
      <c r="Z109" s="642"/>
      <c r="AA109" s="642"/>
      <c r="AB109" s="642"/>
      <c r="AC109" s="642"/>
      <c r="AD109" s="642"/>
      <c r="AE109" s="642"/>
      <c r="AF109" s="642"/>
      <c r="AG109" s="642"/>
      <c r="AH109" s="642"/>
      <c r="AI109" s="642"/>
      <c r="AJ109" s="642"/>
      <c r="AK109" s="642"/>
      <c r="AL109" s="642"/>
      <c r="AM109" s="642"/>
      <c r="AN109" s="642"/>
      <c r="AO109" s="642"/>
      <c r="AP109" s="1278"/>
      <c r="AQ109" s="3"/>
      <c r="AR109" s="3"/>
      <c r="AS109" s="131"/>
      <c r="AT109" s="131"/>
      <c r="AU109" s="131"/>
      <c r="AV109" s="131"/>
      <c r="AW109" s="131"/>
      <c r="AX109" s="131"/>
    </row>
    <row r="110" spans="2:50" s="918" customFormat="1">
      <c r="B110" s="1278"/>
      <c r="C110" s="645" t="s">
        <v>4017</v>
      </c>
      <c r="D110" s="646"/>
      <c r="E110" s="1112">
        <f t="shared" si="29"/>
        <v>0</v>
      </c>
      <c r="F110" s="1111"/>
      <c r="G110" s="1111"/>
      <c r="H110" s="923"/>
      <c r="I110" s="1112">
        <f>IF('11. Unit Mix'!$G$142&lt;&gt;0,+E110/'11. Unit Mix'!$G$142,0)</f>
        <v>0</v>
      </c>
      <c r="J110" s="1112">
        <f t="shared" si="28"/>
        <v>0</v>
      </c>
      <c r="K110" s="202"/>
      <c r="L110" s="202"/>
      <c r="M110" s="202"/>
      <c r="N110" s="642"/>
      <c r="O110" s="642"/>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c r="AM110" s="642"/>
      <c r="AN110" s="642"/>
      <c r="AO110" s="642"/>
      <c r="AP110" s="1278"/>
      <c r="AQ110" s="3"/>
      <c r="AR110" s="3"/>
      <c r="AS110" s="131"/>
      <c r="AT110" s="131"/>
      <c r="AU110" s="131"/>
      <c r="AV110" s="131"/>
      <c r="AW110" s="131"/>
      <c r="AX110" s="131"/>
    </row>
    <row r="111" spans="2:50" s="918" customFormat="1">
      <c r="B111" s="1278"/>
      <c r="C111" s="645" t="s">
        <v>4018</v>
      </c>
      <c r="D111" s="646"/>
      <c r="E111" s="1112">
        <f t="shared" si="29"/>
        <v>0</v>
      </c>
      <c r="F111" s="1111"/>
      <c r="G111" s="1111"/>
      <c r="H111" s="923"/>
      <c r="I111" s="1112">
        <f>IF('11. Unit Mix'!$G$142&lt;&gt;0,+E111/'11. Unit Mix'!$G$142,0)</f>
        <v>0</v>
      </c>
      <c r="J111" s="1112">
        <f t="shared" si="28"/>
        <v>0</v>
      </c>
      <c r="K111" s="202"/>
      <c r="L111" s="202"/>
      <c r="M111" s="202"/>
      <c r="N111" s="642"/>
      <c r="O111" s="642"/>
      <c r="P111" s="642"/>
      <c r="Q111" s="642"/>
      <c r="R111" s="642"/>
      <c r="S111" s="642"/>
      <c r="T111" s="642"/>
      <c r="U111" s="642"/>
      <c r="V111" s="642"/>
      <c r="W111" s="642"/>
      <c r="X111" s="642"/>
      <c r="Y111" s="642"/>
      <c r="Z111" s="642"/>
      <c r="AA111" s="642"/>
      <c r="AB111" s="642"/>
      <c r="AC111" s="642"/>
      <c r="AD111" s="642"/>
      <c r="AE111" s="642"/>
      <c r="AF111" s="642"/>
      <c r="AG111" s="642"/>
      <c r="AH111" s="642"/>
      <c r="AI111" s="642"/>
      <c r="AJ111" s="642"/>
      <c r="AK111" s="642"/>
      <c r="AL111" s="642"/>
      <c r="AM111" s="642"/>
      <c r="AN111" s="642"/>
      <c r="AO111" s="642"/>
      <c r="AP111" s="1278"/>
      <c r="AQ111" s="3"/>
      <c r="AR111" s="3"/>
      <c r="AS111" s="131"/>
      <c r="AT111" s="131"/>
      <c r="AU111" s="131"/>
      <c r="AV111" s="131"/>
      <c r="AW111" s="131"/>
      <c r="AX111" s="131"/>
    </row>
    <row r="112" spans="2:50" s="918" customFormat="1">
      <c r="B112" s="1278"/>
      <c r="C112" s="645" t="s">
        <v>4019</v>
      </c>
      <c r="D112" s="646"/>
      <c r="E112" s="1112">
        <f t="shared" si="29"/>
        <v>0</v>
      </c>
      <c r="F112" s="1111"/>
      <c r="G112" s="1111"/>
      <c r="H112" s="923"/>
      <c r="I112" s="1112">
        <f>IF('11. Unit Mix'!$G$142&lt;&gt;0,+E112/'11. Unit Mix'!$G$142,0)</f>
        <v>0</v>
      </c>
      <c r="J112" s="1112">
        <f t="shared" si="28"/>
        <v>0</v>
      </c>
      <c r="K112" s="202"/>
      <c r="L112" s="202"/>
      <c r="M112" s="202"/>
      <c r="N112" s="642"/>
      <c r="O112" s="642"/>
      <c r="P112" s="642"/>
      <c r="Q112" s="642"/>
      <c r="R112" s="642"/>
      <c r="S112" s="642"/>
      <c r="T112" s="642"/>
      <c r="U112" s="642"/>
      <c r="V112" s="642"/>
      <c r="W112" s="642"/>
      <c r="X112" s="642"/>
      <c r="Y112" s="642"/>
      <c r="Z112" s="642"/>
      <c r="AA112" s="642"/>
      <c r="AB112" s="642"/>
      <c r="AC112" s="642"/>
      <c r="AD112" s="642"/>
      <c r="AE112" s="642"/>
      <c r="AF112" s="642"/>
      <c r="AG112" s="642"/>
      <c r="AH112" s="642"/>
      <c r="AI112" s="642"/>
      <c r="AJ112" s="642"/>
      <c r="AK112" s="642"/>
      <c r="AL112" s="642"/>
      <c r="AM112" s="642"/>
      <c r="AN112" s="642"/>
      <c r="AO112" s="642"/>
      <c r="AP112" s="1278"/>
      <c r="AQ112" s="3"/>
      <c r="AR112" s="3"/>
      <c r="AS112" s="131"/>
      <c r="AT112" s="131"/>
      <c r="AU112" s="131"/>
      <c r="AV112" s="131"/>
      <c r="AW112" s="131"/>
      <c r="AX112" s="131"/>
    </row>
    <row r="113" spans="2:50" s="918" customFormat="1">
      <c r="B113" s="1278"/>
      <c r="C113" s="1279"/>
      <c r="D113" s="1279"/>
      <c r="E113" s="1279"/>
      <c r="F113" s="1279"/>
      <c r="G113" s="1279"/>
      <c r="H113" s="1279"/>
      <c r="I113" s="1279"/>
      <c r="J113" s="1279"/>
      <c r="K113" s="202"/>
      <c r="L113" s="202"/>
      <c r="M113" s="202"/>
      <c r="N113" s="642"/>
      <c r="O113" s="642"/>
      <c r="P113" s="642"/>
      <c r="Q113" s="642"/>
      <c r="R113" s="642"/>
      <c r="S113" s="642"/>
      <c r="T113" s="642"/>
      <c r="U113" s="642"/>
      <c r="V113" s="642"/>
      <c r="W113" s="642"/>
      <c r="X113" s="642"/>
      <c r="Y113" s="642"/>
      <c r="Z113" s="642"/>
      <c r="AA113" s="642"/>
      <c r="AB113" s="642"/>
      <c r="AC113" s="642"/>
      <c r="AD113" s="642"/>
      <c r="AE113" s="642"/>
      <c r="AF113" s="642"/>
      <c r="AG113" s="642"/>
      <c r="AH113" s="642"/>
      <c r="AI113" s="642"/>
      <c r="AJ113" s="642"/>
      <c r="AK113" s="642"/>
      <c r="AL113" s="642"/>
      <c r="AM113" s="642"/>
      <c r="AN113" s="642"/>
      <c r="AO113" s="642"/>
      <c r="AP113" s="1278"/>
      <c r="AQ113" s="3"/>
      <c r="AR113" s="3"/>
      <c r="AS113" s="131"/>
      <c r="AT113" s="131"/>
      <c r="AU113" s="131"/>
      <c r="AV113" s="131"/>
      <c r="AW113" s="131"/>
      <c r="AX113" s="131"/>
    </row>
    <row r="114" spans="2:50" s="919" customFormat="1">
      <c r="B114" s="1278"/>
      <c r="C114" s="643" t="s">
        <v>4020</v>
      </c>
      <c r="D114" s="644"/>
      <c r="E114" s="655">
        <f>+SUM(E115:E122)</f>
        <v>0</v>
      </c>
      <c r="F114" s="655">
        <f t="shared" ref="F114:H114" si="30">+SUM(F115:F122)</f>
        <v>0</v>
      </c>
      <c r="G114" s="655">
        <f t="shared" si="30"/>
        <v>0</v>
      </c>
      <c r="H114" s="655">
        <f t="shared" si="30"/>
        <v>0</v>
      </c>
      <c r="I114" s="655">
        <f>IF('11. Unit Mix'!$G$142&lt;&gt;0,+E114/'11. Unit Mix'!$G$142,0)</f>
        <v>0</v>
      </c>
      <c r="J114" s="655">
        <f t="shared" ref="J114:J122" si="31">IF(Total_Units&lt;&gt;0,+E114/Total_Units,0)</f>
        <v>0</v>
      </c>
      <c r="K114" s="202"/>
      <c r="L114" s="202"/>
      <c r="M114" s="202"/>
      <c r="N114" s="1081"/>
      <c r="O114" s="1081"/>
      <c r="P114" s="1081"/>
      <c r="Q114" s="1081"/>
      <c r="R114" s="1081"/>
      <c r="S114" s="1081"/>
      <c r="T114" s="1081"/>
      <c r="U114" s="1081"/>
      <c r="V114" s="1081"/>
      <c r="W114" s="1081"/>
      <c r="X114" s="1081"/>
      <c r="Y114" s="1081"/>
      <c r="Z114" s="1081"/>
      <c r="AA114" s="1081"/>
      <c r="AB114" s="1081"/>
      <c r="AC114" s="1081"/>
      <c r="AD114" s="1081"/>
      <c r="AE114" s="1081"/>
      <c r="AF114" s="1081"/>
      <c r="AG114" s="1081"/>
      <c r="AH114" s="1081"/>
      <c r="AI114" s="1081"/>
      <c r="AJ114" s="1081"/>
      <c r="AK114" s="1081"/>
      <c r="AL114" s="1081"/>
      <c r="AM114" s="1081"/>
      <c r="AN114" s="1081"/>
      <c r="AO114" s="1081"/>
      <c r="AP114" s="1278"/>
      <c r="AQ114" s="3"/>
      <c r="AR114" s="3"/>
      <c r="AS114" s="131"/>
      <c r="AT114" s="131"/>
      <c r="AU114" s="131"/>
      <c r="AV114" s="131"/>
      <c r="AW114" s="131"/>
      <c r="AX114" s="131"/>
    </row>
    <row r="115" spans="2:50" s="918" customFormat="1">
      <c r="B115" s="1278"/>
      <c r="C115" s="645" t="s">
        <v>4021</v>
      </c>
      <c r="D115" s="646"/>
      <c r="E115" s="1112">
        <f t="shared" ref="E115:E122" si="32">SUM(F115:H115)</f>
        <v>0</v>
      </c>
      <c r="F115" s="1111"/>
      <c r="G115" s="1111"/>
      <c r="H115" s="923"/>
      <c r="I115" s="1112">
        <f>IF('11. Unit Mix'!$G$142&lt;&gt;0,+E115/'11. Unit Mix'!$G$142,0)</f>
        <v>0</v>
      </c>
      <c r="J115" s="1112">
        <f t="shared" si="31"/>
        <v>0</v>
      </c>
      <c r="K115" s="202"/>
      <c r="L115" s="202"/>
      <c r="M115" s="20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1278"/>
      <c r="AQ115" s="3"/>
      <c r="AR115" s="3"/>
      <c r="AS115" s="131"/>
      <c r="AT115" s="131"/>
      <c r="AU115" s="131"/>
      <c r="AV115" s="131"/>
      <c r="AW115" s="131"/>
      <c r="AX115" s="131"/>
    </row>
    <row r="116" spans="2:50" s="918" customFormat="1">
      <c r="B116" s="1278"/>
      <c r="C116" s="645" t="s">
        <v>4022</v>
      </c>
      <c r="D116" s="646"/>
      <c r="E116" s="1112">
        <f t="shared" si="32"/>
        <v>0</v>
      </c>
      <c r="F116" s="1111"/>
      <c r="G116" s="1111"/>
      <c r="H116" s="923"/>
      <c r="I116" s="1112">
        <f>IF('11. Unit Mix'!$G$142&lt;&gt;0,+E116/'11. Unit Mix'!$G$142,0)</f>
        <v>0</v>
      </c>
      <c r="J116" s="1112">
        <f t="shared" si="31"/>
        <v>0</v>
      </c>
      <c r="K116" s="202"/>
      <c r="L116" s="202"/>
      <c r="M116" s="20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2"/>
      <c r="AM116" s="642"/>
      <c r="AN116" s="642"/>
      <c r="AO116" s="642"/>
      <c r="AP116" s="1278"/>
      <c r="AQ116" s="3"/>
      <c r="AR116" s="3"/>
      <c r="AS116" s="131"/>
      <c r="AT116" s="131"/>
      <c r="AU116" s="131"/>
      <c r="AV116" s="131"/>
      <c r="AW116" s="131"/>
      <c r="AX116" s="131"/>
    </row>
    <row r="117" spans="2:50" s="918" customFormat="1">
      <c r="B117" s="1278"/>
      <c r="C117" s="645" t="s">
        <v>4023</v>
      </c>
      <c r="D117" s="646"/>
      <c r="E117" s="1112">
        <f t="shared" si="32"/>
        <v>0</v>
      </c>
      <c r="F117" s="1111"/>
      <c r="G117" s="1111"/>
      <c r="H117" s="923"/>
      <c r="I117" s="1112">
        <f>IF('11. Unit Mix'!$G$142&lt;&gt;0,+E117/'11. Unit Mix'!$G$142,0)</f>
        <v>0</v>
      </c>
      <c r="J117" s="1112">
        <f t="shared" si="31"/>
        <v>0</v>
      </c>
      <c r="K117" s="202"/>
      <c r="L117" s="202"/>
      <c r="M117" s="202"/>
      <c r="N117" s="642"/>
      <c r="O117" s="642"/>
      <c r="P117" s="642"/>
      <c r="Q117" s="642"/>
      <c r="R117" s="642"/>
      <c r="S117" s="642"/>
      <c r="T117" s="642"/>
      <c r="U117" s="642"/>
      <c r="V117" s="642"/>
      <c r="W117" s="642"/>
      <c r="X117" s="642"/>
      <c r="Y117" s="642"/>
      <c r="Z117" s="642"/>
      <c r="AA117" s="642"/>
      <c r="AB117" s="642"/>
      <c r="AC117" s="642"/>
      <c r="AD117" s="642"/>
      <c r="AE117" s="642"/>
      <c r="AF117" s="642"/>
      <c r="AG117" s="642"/>
      <c r="AH117" s="642"/>
      <c r="AI117" s="642"/>
      <c r="AJ117" s="642"/>
      <c r="AK117" s="642"/>
      <c r="AL117" s="642"/>
      <c r="AM117" s="642"/>
      <c r="AN117" s="642"/>
      <c r="AO117" s="642"/>
      <c r="AP117" s="1278"/>
      <c r="AQ117" s="3"/>
      <c r="AR117" s="3"/>
      <c r="AS117" s="131"/>
      <c r="AT117" s="131"/>
      <c r="AU117" s="131"/>
      <c r="AV117" s="131"/>
      <c r="AW117" s="131"/>
      <c r="AX117" s="131"/>
    </row>
    <row r="118" spans="2:50" s="918" customFormat="1">
      <c r="B118" s="1278"/>
      <c r="C118" s="645" t="s">
        <v>4024</v>
      </c>
      <c r="D118" s="646"/>
      <c r="E118" s="1112">
        <f t="shared" si="32"/>
        <v>0</v>
      </c>
      <c r="F118" s="1111"/>
      <c r="G118" s="1111"/>
      <c r="H118" s="923"/>
      <c r="I118" s="1112">
        <f>IF('11. Unit Mix'!$G$142&lt;&gt;0,+E118/'11. Unit Mix'!$G$142,0)</f>
        <v>0</v>
      </c>
      <c r="J118" s="1112">
        <f t="shared" si="31"/>
        <v>0</v>
      </c>
      <c r="K118" s="202"/>
      <c r="L118" s="202"/>
      <c r="M118" s="202"/>
      <c r="N118" s="642"/>
      <c r="O118" s="642"/>
      <c r="P118" s="642"/>
      <c r="Q118" s="642"/>
      <c r="R118" s="642"/>
      <c r="S118" s="642"/>
      <c r="T118" s="642"/>
      <c r="U118" s="642"/>
      <c r="V118" s="642"/>
      <c r="W118" s="642"/>
      <c r="X118" s="642"/>
      <c r="Y118" s="642"/>
      <c r="Z118" s="642"/>
      <c r="AA118" s="642"/>
      <c r="AB118" s="642"/>
      <c r="AC118" s="642"/>
      <c r="AD118" s="642"/>
      <c r="AE118" s="642"/>
      <c r="AF118" s="642"/>
      <c r="AG118" s="642"/>
      <c r="AH118" s="642"/>
      <c r="AI118" s="642"/>
      <c r="AJ118" s="642"/>
      <c r="AK118" s="642"/>
      <c r="AL118" s="642"/>
      <c r="AM118" s="642"/>
      <c r="AN118" s="642"/>
      <c r="AO118" s="642"/>
      <c r="AP118" s="1278"/>
      <c r="AQ118" s="3"/>
      <c r="AR118" s="3"/>
      <c r="AS118" s="131"/>
      <c r="AT118" s="131"/>
      <c r="AU118" s="131"/>
      <c r="AV118" s="131"/>
      <c r="AW118" s="131"/>
      <c r="AX118" s="131"/>
    </row>
    <row r="119" spans="2:50" s="918" customFormat="1">
      <c r="B119" s="1278"/>
      <c r="C119" s="645" t="s">
        <v>4025</v>
      </c>
      <c r="D119" s="646"/>
      <c r="E119" s="1112">
        <f t="shared" si="32"/>
        <v>0</v>
      </c>
      <c r="F119" s="1111"/>
      <c r="G119" s="1111"/>
      <c r="H119" s="923"/>
      <c r="I119" s="1112">
        <f>IF('11. Unit Mix'!$G$142&lt;&gt;0,+E119/'11. Unit Mix'!$G$142,0)</f>
        <v>0</v>
      </c>
      <c r="J119" s="1112">
        <f t="shared" si="31"/>
        <v>0</v>
      </c>
      <c r="K119" s="202"/>
      <c r="L119" s="202"/>
      <c r="M119" s="202"/>
      <c r="N119" s="642"/>
      <c r="O119" s="642"/>
      <c r="P119" s="642"/>
      <c r="Q119" s="642"/>
      <c r="R119" s="642"/>
      <c r="S119" s="642"/>
      <c r="T119" s="642"/>
      <c r="U119" s="642"/>
      <c r="V119" s="642"/>
      <c r="W119" s="642"/>
      <c r="X119" s="642"/>
      <c r="Y119" s="642"/>
      <c r="Z119" s="642"/>
      <c r="AA119" s="642"/>
      <c r="AB119" s="642"/>
      <c r="AC119" s="642"/>
      <c r="AD119" s="642"/>
      <c r="AE119" s="642"/>
      <c r="AF119" s="642"/>
      <c r="AG119" s="642"/>
      <c r="AH119" s="642"/>
      <c r="AI119" s="642"/>
      <c r="AJ119" s="642"/>
      <c r="AK119" s="642"/>
      <c r="AL119" s="642"/>
      <c r="AM119" s="642"/>
      <c r="AN119" s="642"/>
      <c r="AO119" s="642"/>
      <c r="AP119" s="1278"/>
      <c r="AQ119" s="3"/>
      <c r="AR119" s="3"/>
      <c r="AS119" s="131"/>
      <c r="AT119" s="131"/>
      <c r="AU119" s="131"/>
      <c r="AV119" s="131"/>
      <c r="AW119" s="131"/>
      <c r="AX119" s="131"/>
    </row>
    <row r="120" spans="2:50" s="918" customFormat="1">
      <c r="B120" s="1278"/>
      <c r="C120" s="645" t="s">
        <v>4026</v>
      </c>
      <c r="D120" s="646"/>
      <c r="E120" s="1112">
        <f t="shared" si="32"/>
        <v>0</v>
      </c>
      <c r="F120" s="1111"/>
      <c r="G120" s="1111"/>
      <c r="H120" s="923"/>
      <c r="I120" s="1112">
        <f>IF('11. Unit Mix'!$G$142&lt;&gt;0,+E120/'11. Unit Mix'!$G$142,0)</f>
        <v>0</v>
      </c>
      <c r="J120" s="1112">
        <f t="shared" si="31"/>
        <v>0</v>
      </c>
      <c r="K120" s="202"/>
      <c r="L120" s="202"/>
      <c r="M120" s="202"/>
      <c r="N120" s="642"/>
      <c r="O120" s="642"/>
      <c r="P120" s="642"/>
      <c r="Q120" s="642"/>
      <c r="R120" s="642"/>
      <c r="S120" s="642"/>
      <c r="T120" s="642"/>
      <c r="U120" s="642"/>
      <c r="V120" s="642"/>
      <c r="W120" s="642"/>
      <c r="X120" s="642"/>
      <c r="Y120" s="642"/>
      <c r="Z120" s="642"/>
      <c r="AA120" s="642"/>
      <c r="AB120" s="642"/>
      <c r="AC120" s="642"/>
      <c r="AD120" s="642"/>
      <c r="AE120" s="642"/>
      <c r="AF120" s="642"/>
      <c r="AG120" s="642"/>
      <c r="AH120" s="642"/>
      <c r="AI120" s="642"/>
      <c r="AJ120" s="642"/>
      <c r="AK120" s="642"/>
      <c r="AL120" s="642"/>
      <c r="AM120" s="642"/>
      <c r="AN120" s="642"/>
      <c r="AO120" s="642"/>
      <c r="AP120" s="1278"/>
      <c r="AQ120" s="3"/>
      <c r="AR120" s="3"/>
      <c r="AS120" s="131"/>
      <c r="AT120" s="131"/>
      <c r="AU120" s="131"/>
      <c r="AV120" s="131"/>
      <c r="AW120" s="131"/>
      <c r="AX120" s="131"/>
    </row>
    <row r="121" spans="2:50" s="918" customFormat="1">
      <c r="B121" s="1278"/>
      <c r="C121" s="645" t="s">
        <v>4027</v>
      </c>
      <c r="D121" s="646"/>
      <c r="E121" s="1112">
        <f t="shared" si="32"/>
        <v>0</v>
      </c>
      <c r="F121" s="1111"/>
      <c r="G121" s="1111"/>
      <c r="H121" s="923"/>
      <c r="I121" s="1112">
        <f>IF('11. Unit Mix'!$G$142&lt;&gt;0,+E121/'11. Unit Mix'!$G$142,0)</f>
        <v>0</v>
      </c>
      <c r="J121" s="1112">
        <f t="shared" si="31"/>
        <v>0</v>
      </c>
      <c r="K121" s="202"/>
      <c r="L121" s="202"/>
      <c r="M121" s="202"/>
      <c r="N121" s="642"/>
      <c r="O121" s="642"/>
      <c r="P121" s="642"/>
      <c r="Q121" s="642"/>
      <c r="R121" s="642"/>
      <c r="S121" s="642"/>
      <c r="T121" s="642"/>
      <c r="U121" s="642"/>
      <c r="V121" s="642"/>
      <c r="W121" s="642"/>
      <c r="X121" s="642"/>
      <c r="Y121" s="642"/>
      <c r="Z121" s="642"/>
      <c r="AA121" s="642"/>
      <c r="AB121" s="642"/>
      <c r="AC121" s="642"/>
      <c r="AD121" s="642"/>
      <c r="AE121" s="642"/>
      <c r="AF121" s="642"/>
      <c r="AG121" s="642"/>
      <c r="AH121" s="642"/>
      <c r="AI121" s="642"/>
      <c r="AJ121" s="642"/>
      <c r="AK121" s="642"/>
      <c r="AL121" s="642"/>
      <c r="AM121" s="642"/>
      <c r="AN121" s="642"/>
      <c r="AO121" s="642"/>
      <c r="AP121" s="1278"/>
      <c r="AQ121" s="3"/>
      <c r="AR121" s="3"/>
      <c r="AS121" s="131"/>
      <c r="AT121" s="131"/>
      <c r="AU121" s="131"/>
      <c r="AV121" s="131"/>
      <c r="AW121" s="131"/>
      <c r="AX121" s="131"/>
    </row>
    <row r="122" spans="2:50" s="918" customFormat="1">
      <c r="B122" s="1278"/>
      <c r="C122" s="645" t="s">
        <v>4028</v>
      </c>
      <c r="D122" s="646"/>
      <c r="E122" s="1112">
        <f t="shared" si="32"/>
        <v>0</v>
      </c>
      <c r="F122" s="1111"/>
      <c r="G122" s="1111"/>
      <c r="H122" s="923"/>
      <c r="I122" s="1112">
        <f>IF('11. Unit Mix'!$G$142&lt;&gt;0,+E122/'11. Unit Mix'!$G$142,0)</f>
        <v>0</v>
      </c>
      <c r="J122" s="1112">
        <f t="shared" si="31"/>
        <v>0</v>
      </c>
      <c r="K122" s="202"/>
      <c r="L122" s="202"/>
      <c r="M122" s="202"/>
      <c r="N122" s="642"/>
      <c r="O122" s="642"/>
      <c r="P122" s="642"/>
      <c r="Q122" s="642"/>
      <c r="R122" s="642"/>
      <c r="S122" s="642"/>
      <c r="T122" s="642"/>
      <c r="U122" s="642"/>
      <c r="V122" s="642"/>
      <c r="W122" s="642"/>
      <c r="X122" s="642"/>
      <c r="Y122" s="642"/>
      <c r="Z122" s="642"/>
      <c r="AA122" s="642"/>
      <c r="AB122" s="642"/>
      <c r="AC122" s="642"/>
      <c r="AD122" s="642"/>
      <c r="AE122" s="642"/>
      <c r="AF122" s="642"/>
      <c r="AG122" s="642"/>
      <c r="AH122" s="642"/>
      <c r="AI122" s="642"/>
      <c r="AJ122" s="642"/>
      <c r="AK122" s="642"/>
      <c r="AL122" s="642"/>
      <c r="AM122" s="642"/>
      <c r="AN122" s="642"/>
      <c r="AO122" s="642"/>
      <c r="AP122" s="1278"/>
      <c r="AQ122" s="3"/>
      <c r="AR122" s="3"/>
      <c r="AS122" s="131"/>
      <c r="AT122" s="131"/>
      <c r="AU122" s="131"/>
      <c r="AV122" s="131"/>
      <c r="AW122" s="131"/>
      <c r="AX122" s="131"/>
    </row>
    <row r="123" spans="2:50" s="918" customFormat="1">
      <c r="B123" s="1278"/>
      <c r="C123" s="1279"/>
      <c r="D123" s="1279"/>
      <c r="E123" s="1279"/>
      <c r="F123" s="1279"/>
      <c r="G123" s="1279"/>
      <c r="H123" s="1279"/>
      <c r="I123" s="1279"/>
      <c r="J123" s="1279"/>
      <c r="K123" s="202"/>
      <c r="L123" s="202"/>
      <c r="M123" s="202"/>
      <c r="N123" s="642"/>
      <c r="O123" s="642"/>
      <c r="P123" s="642"/>
      <c r="Q123" s="642"/>
      <c r="R123" s="642"/>
      <c r="S123" s="642"/>
      <c r="T123" s="642"/>
      <c r="U123" s="642"/>
      <c r="V123" s="642"/>
      <c r="W123" s="642"/>
      <c r="X123" s="642"/>
      <c r="Y123" s="642"/>
      <c r="Z123" s="642"/>
      <c r="AA123" s="642"/>
      <c r="AB123" s="642"/>
      <c r="AC123" s="642"/>
      <c r="AD123" s="642"/>
      <c r="AE123" s="642"/>
      <c r="AF123" s="642"/>
      <c r="AG123" s="642"/>
      <c r="AH123" s="642"/>
      <c r="AI123" s="642"/>
      <c r="AJ123" s="642"/>
      <c r="AK123" s="642"/>
      <c r="AL123" s="642"/>
      <c r="AM123" s="642"/>
      <c r="AN123" s="642"/>
      <c r="AO123" s="642"/>
      <c r="AP123" s="1278"/>
      <c r="AQ123" s="3"/>
      <c r="AR123" s="3"/>
      <c r="AS123" s="131"/>
      <c r="AT123" s="131"/>
      <c r="AU123" s="131"/>
      <c r="AV123" s="131"/>
      <c r="AW123" s="131"/>
      <c r="AX123" s="131"/>
    </row>
    <row r="124" spans="2:50" s="918" customFormat="1">
      <c r="B124" s="1278"/>
      <c r="C124" s="643" t="s">
        <v>4029</v>
      </c>
      <c r="D124" s="644"/>
      <c r="E124" s="655">
        <f>+SUM(E125:E136)</f>
        <v>0</v>
      </c>
      <c r="F124" s="655">
        <f t="shared" ref="F124:H124" si="33">+SUM(F125:F136)</f>
        <v>0</v>
      </c>
      <c r="G124" s="655">
        <f t="shared" si="33"/>
        <v>0</v>
      </c>
      <c r="H124" s="655">
        <f t="shared" si="33"/>
        <v>0</v>
      </c>
      <c r="I124" s="655">
        <f>IF('11. Unit Mix'!$G$142&lt;&gt;0,+E124/'11. Unit Mix'!$G$142,0)</f>
        <v>0</v>
      </c>
      <c r="J124" s="655">
        <f t="shared" ref="J124:J136" si="34">IF(Total_Units&lt;&gt;0,+E124/Total_Units,0)</f>
        <v>0</v>
      </c>
      <c r="K124" s="202"/>
      <c r="L124" s="202"/>
      <c r="M124" s="202"/>
      <c r="N124" s="642"/>
      <c r="O124" s="642"/>
      <c r="P124" s="642"/>
      <c r="Q124" s="642"/>
      <c r="R124" s="642"/>
      <c r="S124" s="642"/>
      <c r="T124" s="642"/>
      <c r="U124" s="642"/>
      <c r="V124" s="642"/>
      <c r="W124" s="642"/>
      <c r="X124" s="642"/>
      <c r="Y124" s="642"/>
      <c r="Z124" s="642"/>
      <c r="AA124" s="642"/>
      <c r="AB124" s="642"/>
      <c r="AC124" s="642"/>
      <c r="AD124" s="642"/>
      <c r="AE124" s="642"/>
      <c r="AF124" s="642"/>
      <c r="AG124" s="642"/>
      <c r="AH124" s="642"/>
      <c r="AI124" s="642"/>
      <c r="AJ124" s="642"/>
      <c r="AK124" s="642"/>
      <c r="AL124" s="642"/>
      <c r="AM124" s="642"/>
      <c r="AN124" s="642"/>
      <c r="AO124" s="642"/>
      <c r="AP124" s="1278"/>
      <c r="AQ124" s="3"/>
      <c r="AR124" s="3"/>
      <c r="AS124" s="131"/>
      <c r="AT124" s="131"/>
      <c r="AU124" s="131"/>
      <c r="AV124" s="131"/>
      <c r="AW124" s="131"/>
      <c r="AX124" s="131"/>
    </row>
    <row r="125" spans="2:50" s="919" customFormat="1">
      <c r="B125" s="1278"/>
      <c r="C125" s="645" t="s">
        <v>4030</v>
      </c>
      <c r="D125" s="646"/>
      <c r="E125" s="1112">
        <f t="shared" ref="E125:E136" si="35">SUM(F125:H125)</f>
        <v>0</v>
      </c>
      <c r="F125" s="1111"/>
      <c r="G125" s="1111"/>
      <c r="H125" s="923"/>
      <c r="I125" s="1112">
        <f>IF('11. Unit Mix'!$G$142&lt;&gt;0,+E125/'11. Unit Mix'!$G$142,0)</f>
        <v>0</v>
      </c>
      <c r="J125" s="1112">
        <f t="shared" si="34"/>
        <v>0</v>
      </c>
      <c r="K125" s="202"/>
      <c r="L125" s="202"/>
      <c r="M125" s="202"/>
      <c r="N125" s="1081"/>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278"/>
      <c r="AQ125" s="3"/>
      <c r="AR125" s="3"/>
      <c r="AS125" s="131"/>
      <c r="AT125" s="131"/>
      <c r="AU125" s="131"/>
      <c r="AV125" s="131"/>
      <c r="AW125" s="131"/>
      <c r="AX125" s="131"/>
    </row>
    <row r="126" spans="2:50" s="918" customFormat="1">
      <c r="B126" s="1278"/>
      <c r="C126" s="645" t="s">
        <v>4031</v>
      </c>
      <c r="D126" s="646"/>
      <c r="E126" s="1112">
        <f t="shared" si="35"/>
        <v>0</v>
      </c>
      <c r="F126" s="1111"/>
      <c r="G126" s="1111"/>
      <c r="H126" s="923"/>
      <c r="I126" s="1112">
        <f>IF('11. Unit Mix'!$G$142&lt;&gt;0,+E126/'11. Unit Mix'!$G$142,0)</f>
        <v>0</v>
      </c>
      <c r="J126" s="1112">
        <f t="shared" si="34"/>
        <v>0</v>
      </c>
      <c r="K126" s="202"/>
      <c r="L126" s="202"/>
      <c r="M126" s="202"/>
      <c r="N126" s="642"/>
      <c r="O126" s="642"/>
      <c r="P126" s="642"/>
      <c r="Q126" s="642"/>
      <c r="R126" s="642"/>
      <c r="S126" s="642"/>
      <c r="T126" s="642"/>
      <c r="U126" s="642"/>
      <c r="V126" s="642"/>
      <c r="W126" s="642"/>
      <c r="X126" s="642"/>
      <c r="Y126" s="642"/>
      <c r="Z126" s="642"/>
      <c r="AA126" s="642"/>
      <c r="AB126" s="642"/>
      <c r="AC126" s="642"/>
      <c r="AD126" s="642"/>
      <c r="AE126" s="642"/>
      <c r="AF126" s="642"/>
      <c r="AG126" s="642"/>
      <c r="AH126" s="642"/>
      <c r="AI126" s="642"/>
      <c r="AJ126" s="642"/>
      <c r="AK126" s="642"/>
      <c r="AL126" s="642"/>
      <c r="AM126" s="642"/>
      <c r="AN126" s="642"/>
      <c r="AO126" s="642"/>
      <c r="AP126" s="1278"/>
      <c r="AQ126" s="3"/>
      <c r="AR126" s="3"/>
      <c r="AS126" s="131"/>
      <c r="AT126" s="131"/>
      <c r="AU126" s="131"/>
      <c r="AV126" s="131"/>
      <c r="AW126" s="131"/>
      <c r="AX126" s="131"/>
    </row>
    <row r="127" spans="2:50" s="918" customFormat="1">
      <c r="B127" s="1278"/>
      <c r="C127" s="645" t="s">
        <v>4032</v>
      </c>
      <c r="D127" s="646"/>
      <c r="E127" s="1112">
        <f t="shared" si="35"/>
        <v>0</v>
      </c>
      <c r="F127" s="1111"/>
      <c r="G127" s="1111"/>
      <c r="H127" s="923"/>
      <c r="I127" s="1112">
        <f>IF('11. Unit Mix'!$G$142&lt;&gt;0,+E127/'11. Unit Mix'!$G$142,0)</f>
        <v>0</v>
      </c>
      <c r="J127" s="1112">
        <f t="shared" si="34"/>
        <v>0</v>
      </c>
      <c r="K127" s="202"/>
      <c r="L127" s="202"/>
      <c r="M127" s="202"/>
      <c r="N127" s="642"/>
      <c r="O127" s="642"/>
      <c r="P127" s="642"/>
      <c r="Q127" s="642"/>
      <c r="R127" s="642"/>
      <c r="S127" s="642"/>
      <c r="T127" s="642"/>
      <c r="U127" s="642"/>
      <c r="V127" s="642"/>
      <c r="W127" s="642"/>
      <c r="X127" s="642"/>
      <c r="Y127" s="642"/>
      <c r="Z127" s="642"/>
      <c r="AA127" s="642"/>
      <c r="AB127" s="642"/>
      <c r="AC127" s="642"/>
      <c r="AD127" s="642"/>
      <c r="AE127" s="642"/>
      <c r="AF127" s="642"/>
      <c r="AG127" s="642"/>
      <c r="AH127" s="642"/>
      <c r="AI127" s="642"/>
      <c r="AJ127" s="642"/>
      <c r="AK127" s="642"/>
      <c r="AL127" s="642"/>
      <c r="AM127" s="642"/>
      <c r="AN127" s="642"/>
      <c r="AO127" s="642"/>
      <c r="AP127" s="1278"/>
      <c r="AQ127" s="3"/>
      <c r="AR127" s="3"/>
      <c r="AS127" s="131"/>
      <c r="AT127" s="131"/>
      <c r="AU127" s="131"/>
      <c r="AV127" s="131"/>
      <c r="AW127" s="131"/>
      <c r="AX127" s="131"/>
    </row>
    <row r="128" spans="2:50" s="918" customFormat="1">
      <c r="B128" s="1278"/>
      <c r="C128" s="645" t="s">
        <v>4033</v>
      </c>
      <c r="D128" s="646"/>
      <c r="E128" s="1112">
        <f t="shared" si="35"/>
        <v>0</v>
      </c>
      <c r="F128" s="1111"/>
      <c r="G128" s="1111"/>
      <c r="H128" s="923"/>
      <c r="I128" s="1112">
        <f>IF('11. Unit Mix'!$G$142&lt;&gt;0,+E128/'11. Unit Mix'!$G$142,0)</f>
        <v>0</v>
      </c>
      <c r="J128" s="1112">
        <f t="shared" si="34"/>
        <v>0</v>
      </c>
      <c r="K128" s="202"/>
      <c r="L128" s="202"/>
      <c r="M128" s="202"/>
      <c r="N128" s="642"/>
      <c r="O128" s="642"/>
      <c r="P128" s="642"/>
      <c r="Q128" s="642"/>
      <c r="R128" s="642"/>
      <c r="S128" s="642"/>
      <c r="T128" s="642"/>
      <c r="U128" s="642"/>
      <c r="V128" s="642"/>
      <c r="W128" s="642"/>
      <c r="X128" s="642"/>
      <c r="Y128" s="642"/>
      <c r="Z128" s="642"/>
      <c r="AA128" s="642"/>
      <c r="AB128" s="642"/>
      <c r="AC128" s="642"/>
      <c r="AD128" s="642"/>
      <c r="AE128" s="642"/>
      <c r="AF128" s="642"/>
      <c r="AG128" s="642"/>
      <c r="AH128" s="642"/>
      <c r="AI128" s="642"/>
      <c r="AJ128" s="642"/>
      <c r="AK128" s="642"/>
      <c r="AL128" s="642"/>
      <c r="AM128" s="642"/>
      <c r="AN128" s="642"/>
      <c r="AO128" s="642"/>
      <c r="AP128" s="1278"/>
      <c r="AQ128" s="3"/>
      <c r="AR128" s="3"/>
      <c r="AS128" s="131"/>
      <c r="AT128" s="131"/>
      <c r="AU128" s="131"/>
      <c r="AV128" s="131"/>
      <c r="AW128" s="131"/>
      <c r="AX128" s="131"/>
    </row>
    <row r="129" spans="2:50" s="918" customFormat="1">
      <c r="B129" s="1278"/>
      <c r="C129" s="645" t="s">
        <v>4034</v>
      </c>
      <c r="D129" s="646"/>
      <c r="E129" s="1112">
        <f t="shared" si="35"/>
        <v>0</v>
      </c>
      <c r="F129" s="1111"/>
      <c r="G129" s="1111"/>
      <c r="H129" s="923"/>
      <c r="I129" s="1112">
        <f>IF('11. Unit Mix'!$G$142&lt;&gt;0,+E129/'11. Unit Mix'!$G$142,0)</f>
        <v>0</v>
      </c>
      <c r="J129" s="1112">
        <f t="shared" si="34"/>
        <v>0</v>
      </c>
      <c r="K129" s="202"/>
      <c r="L129" s="202"/>
      <c r="M129" s="20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42"/>
      <c r="AP129" s="1278"/>
      <c r="AQ129" s="3"/>
      <c r="AR129" s="3"/>
      <c r="AS129" s="131"/>
      <c r="AT129" s="131"/>
      <c r="AU129" s="131"/>
      <c r="AV129" s="131"/>
      <c r="AW129" s="131"/>
      <c r="AX129" s="131"/>
    </row>
    <row r="130" spans="2:50" s="918" customFormat="1">
      <c r="B130" s="1278"/>
      <c r="C130" s="645" t="s">
        <v>4035</v>
      </c>
      <c r="D130" s="646"/>
      <c r="E130" s="1112">
        <f t="shared" si="35"/>
        <v>0</v>
      </c>
      <c r="F130" s="1111"/>
      <c r="G130" s="1111"/>
      <c r="H130" s="923"/>
      <c r="I130" s="1112">
        <f>IF('11. Unit Mix'!$G$142&lt;&gt;0,+E130/'11. Unit Mix'!$G$142,0)</f>
        <v>0</v>
      </c>
      <c r="J130" s="1112">
        <f t="shared" si="34"/>
        <v>0</v>
      </c>
      <c r="K130" s="202"/>
      <c r="L130" s="202"/>
      <c r="M130" s="202"/>
      <c r="N130" s="642"/>
      <c r="O130" s="642"/>
      <c r="P130" s="642"/>
      <c r="Q130" s="642"/>
      <c r="R130" s="642"/>
      <c r="S130" s="642"/>
      <c r="T130" s="642"/>
      <c r="U130" s="642"/>
      <c r="V130" s="642"/>
      <c r="W130" s="642"/>
      <c r="X130" s="642"/>
      <c r="Y130" s="642"/>
      <c r="Z130" s="642"/>
      <c r="AA130" s="642"/>
      <c r="AB130" s="642"/>
      <c r="AC130" s="642"/>
      <c r="AD130" s="642"/>
      <c r="AE130" s="642"/>
      <c r="AF130" s="642"/>
      <c r="AG130" s="642"/>
      <c r="AH130" s="642"/>
      <c r="AI130" s="642"/>
      <c r="AJ130" s="642"/>
      <c r="AK130" s="642"/>
      <c r="AL130" s="642"/>
      <c r="AM130" s="642"/>
      <c r="AN130" s="642"/>
      <c r="AO130" s="642"/>
      <c r="AP130" s="1278"/>
      <c r="AQ130" s="3"/>
      <c r="AR130" s="3"/>
      <c r="AS130" s="131"/>
      <c r="AT130" s="131"/>
      <c r="AU130" s="131"/>
      <c r="AV130" s="131"/>
      <c r="AW130" s="131"/>
      <c r="AX130" s="131"/>
    </row>
    <row r="131" spans="2:50" s="918" customFormat="1">
      <c r="B131" s="1278"/>
      <c r="C131" s="645" t="s">
        <v>4036</v>
      </c>
      <c r="D131" s="646"/>
      <c r="E131" s="1112">
        <f t="shared" si="35"/>
        <v>0</v>
      </c>
      <c r="F131" s="1111"/>
      <c r="G131" s="1111"/>
      <c r="H131" s="923"/>
      <c r="I131" s="1112">
        <f>IF('11. Unit Mix'!$G$142&lt;&gt;0,+E131/'11. Unit Mix'!$G$142,0)</f>
        <v>0</v>
      </c>
      <c r="J131" s="1112">
        <f t="shared" si="34"/>
        <v>0</v>
      </c>
      <c r="K131" s="202"/>
      <c r="L131" s="202"/>
      <c r="M131" s="20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2"/>
      <c r="AM131" s="642"/>
      <c r="AN131" s="642"/>
      <c r="AO131" s="642"/>
      <c r="AP131" s="1278"/>
      <c r="AQ131" s="3"/>
      <c r="AR131" s="3"/>
      <c r="AS131" s="131"/>
      <c r="AT131" s="131"/>
      <c r="AU131" s="131"/>
      <c r="AV131" s="131"/>
      <c r="AW131" s="131"/>
      <c r="AX131" s="131"/>
    </row>
    <row r="132" spans="2:50" s="918" customFormat="1">
      <c r="B132" s="1278"/>
      <c r="C132" s="645" t="s">
        <v>4037</v>
      </c>
      <c r="D132" s="646"/>
      <c r="E132" s="1112">
        <f t="shared" si="35"/>
        <v>0</v>
      </c>
      <c r="F132" s="1111"/>
      <c r="G132" s="1111"/>
      <c r="H132" s="923"/>
      <c r="I132" s="1112">
        <f>IF('11. Unit Mix'!$G$142&lt;&gt;0,+E132/'11. Unit Mix'!$G$142,0)</f>
        <v>0</v>
      </c>
      <c r="J132" s="1112">
        <f t="shared" si="34"/>
        <v>0</v>
      </c>
      <c r="K132" s="202"/>
      <c r="L132" s="202"/>
      <c r="M132" s="20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642"/>
      <c r="AJ132" s="642"/>
      <c r="AK132" s="642"/>
      <c r="AL132" s="642"/>
      <c r="AM132" s="642"/>
      <c r="AN132" s="642"/>
      <c r="AO132" s="642"/>
      <c r="AP132" s="1278"/>
      <c r="AQ132" s="3"/>
      <c r="AR132" s="3"/>
      <c r="AS132" s="131"/>
      <c r="AT132" s="131"/>
      <c r="AU132" s="131"/>
      <c r="AV132" s="131"/>
      <c r="AW132" s="131"/>
      <c r="AX132" s="131"/>
    </row>
    <row r="133" spans="2:50" s="918" customFormat="1">
      <c r="B133" s="1278"/>
      <c r="C133" s="645" t="s">
        <v>4038</v>
      </c>
      <c r="D133" s="646"/>
      <c r="E133" s="1112">
        <f t="shared" si="35"/>
        <v>0</v>
      </c>
      <c r="F133" s="1111"/>
      <c r="G133" s="1111"/>
      <c r="H133" s="923"/>
      <c r="I133" s="1112">
        <f>IF('11. Unit Mix'!$G$142&lt;&gt;0,+E133/'11. Unit Mix'!$G$142,0)</f>
        <v>0</v>
      </c>
      <c r="J133" s="1112">
        <f t="shared" si="34"/>
        <v>0</v>
      </c>
      <c r="K133" s="202"/>
      <c r="L133" s="202"/>
      <c r="M133" s="202"/>
      <c r="N133" s="642"/>
      <c r="O133" s="642"/>
      <c r="P133" s="642"/>
      <c r="Q133" s="642"/>
      <c r="R133" s="642"/>
      <c r="S133" s="642"/>
      <c r="T133" s="642"/>
      <c r="U133" s="642"/>
      <c r="V133" s="642"/>
      <c r="W133" s="642"/>
      <c r="X133" s="642"/>
      <c r="Y133" s="642"/>
      <c r="Z133" s="642"/>
      <c r="AA133" s="642"/>
      <c r="AB133" s="642"/>
      <c r="AC133" s="642"/>
      <c r="AD133" s="642"/>
      <c r="AE133" s="642"/>
      <c r="AF133" s="642"/>
      <c r="AG133" s="642"/>
      <c r="AH133" s="642"/>
      <c r="AI133" s="642"/>
      <c r="AJ133" s="642"/>
      <c r="AK133" s="642"/>
      <c r="AL133" s="642"/>
      <c r="AM133" s="642"/>
      <c r="AN133" s="642"/>
      <c r="AO133" s="642"/>
      <c r="AP133" s="1278"/>
      <c r="AQ133" s="3"/>
      <c r="AR133" s="3"/>
      <c r="AS133" s="131"/>
      <c r="AT133" s="131"/>
      <c r="AU133" s="131"/>
      <c r="AV133" s="131"/>
      <c r="AW133" s="131"/>
      <c r="AX133" s="131"/>
    </row>
    <row r="134" spans="2:50" s="918" customFormat="1">
      <c r="B134" s="1278"/>
      <c r="C134" s="645" t="s">
        <v>4039</v>
      </c>
      <c r="D134" s="646"/>
      <c r="E134" s="1112">
        <f t="shared" si="35"/>
        <v>0</v>
      </c>
      <c r="F134" s="1111"/>
      <c r="G134" s="1111"/>
      <c r="H134" s="923"/>
      <c r="I134" s="1112">
        <f>IF('11. Unit Mix'!$G$142&lt;&gt;0,+E134/'11. Unit Mix'!$G$142,0)</f>
        <v>0</v>
      </c>
      <c r="J134" s="1112">
        <f t="shared" si="34"/>
        <v>0</v>
      </c>
      <c r="K134" s="202"/>
      <c r="L134" s="202"/>
      <c r="M134" s="202"/>
      <c r="N134" s="642"/>
      <c r="O134" s="642"/>
      <c r="P134" s="642"/>
      <c r="Q134" s="642"/>
      <c r="R134" s="642"/>
      <c r="S134" s="642"/>
      <c r="T134" s="642"/>
      <c r="U134" s="642"/>
      <c r="V134" s="642"/>
      <c r="W134" s="642"/>
      <c r="X134" s="642"/>
      <c r="Y134" s="642"/>
      <c r="Z134" s="642"/>
      <c r="AA134" s="642"/>
      <c r="AB134" s="642"/>
      <c r="AC134" s="642"/>
      <c r="AD134" s="642"/>
      <c r="AE134" s="642"/>
      <c r="AF134" s="642"/>
      <c r="AG134" s="642"/>
      <c r="AH134" s="642"/>
      <c r="AI134" s="642"/>
      <c r="AJ134" s="642"/>
      <c r="AK134" s="642"/>
      <c r="AL134" s="642"/>
      <c r="AM134" s="642"/>
      <c r="AN134" s="642"/>
      <c r="AO134" s="642"/>
      <c r="AP134" s="1278"/>
      <c r="AQ134" s="3"/>
      <c r="AR134" s="3"/>
      <c r="AS134" s="131"/>
      <c r="AT134" s="131"/>
      <c r="AU134" s="131"/>
      <c r="AV134" s="131"/>
      <c r="AW134" s="131"/>
      <c r="AX134" s="131"/>
    </row>
    <row r="135" spans="2:50" s="918" customFormat="1">
      <c r="B135" s="1278"/>
      <c r="C135" s="645" t="s">
        <v>4040</v>
      </c>
      <c r="D135" s="646"/>
      <c r="E135" s="1112">
        <f t="shared" si="35"/>
        <v>0</v>
      </c>
      <c r="F135" s="1111"/>
      <c r="G135" s="1111"/>
      <c r="H135" s="923"/>
      <c r="I135" s="1112">
        <f>IF('11. Unit Mix'!$G$142&lt;&gt;0,+E135/'11. Unit Mix'!$G$142,0)</f>
        <v>0</v>
      </c>
      <c r="J135" s="1112">
        <f t="shared" si="34"/>
        <v>0</v>
      </c>
      <c r="K135" s="202"/>
      <c r="L135" s="202"/>
      <c r="M135" s="202"/>
      <c r="N135" s="642"/>
      <c r="O135" s="642"/>
      <c r="P135" s="642"/>
      <c r="Q135" s="642"/>
      <c r="R135" s="642"/>
      <c r="S135" s="642"/>
      <c r="T135" s="642"/>
      <c r="U135" s="642"/>
      <c r="V135" s="642"/>
      <c r="W135" s="642"/>
      <c r="X135" s="642"/>
      <c r="Y135" s="642"/>
      <c r="Z135" s="642"/>
      <c r="AA135" s="642"/>
      <c r="AB135" s="642"/>
      <c r="AC135" s="642"/>
      <c r="AD135" s="642"/>
      <c r="AE135" s="642"/>
      <c r="AF135" s="642"/>
      <c r="AG135" s="642"/>
      <c r="AH135" s="642"/>
      <c r="AI135" s="642"/>
      <c r="AJ135" s="642"/>
      <c r="AK135" s="642"/>
      <c r="AL135" s="642"/>
      <c r="AM135" s="642"/>
      <c r="AN135" s="642"/>
      <c r="AO135" s="642"/>
      <c r="AP135" s="1278"/>
      <c r="AQ135" s="3"/>
      <c r="AR135" s="3"/>
      <c r="AS135" s="131"/>
      <c r="AT135" s="131"/>
      <c r="AU135" s="131"/>
      <c r="AV135" s="131"/>
      <c r="AW135" s="131"/>
      <c r="AX135" s="131"/>
    </row>
    <row r="136" spans="2:50" s="919" customFormat="1">
      <c r="B136" s="1278"/>
      <c r="C136" s="645" t="s">
        <v>4041</v>
      </c>
      <c r="D136" s="646"/>
      <c r="E136" s="1112">
        <f t="shared" si="35"/>
        <v>0</v>
      </c>
      <c r="F136" s="1111"/>
      <c r="G136" s="1111"/>
      <c r="H136" s="923"/>
      <c r="I136" s="1112">
        <f>IF('11. Unit Mix'!$G$142&lt;&gt;0,+E136/'11. Unit Mix'!$G$142,0)</f>
        <v>0</v>
      </c>
      <c r="J136" s="1112">
        <f t="shared" si="34"/>
        <v>0</v>
      </c>
      <c r="K136" s="202"/>
      <c r="L136" s="202"/>
      <c r="M136" s="202"/>
      <c r="N136" s="1081"/>
      <c r="O136" s="1081"/>
      <c r="P136" s="1081"/>
      <c r="Q136" s="1081"/>
      <c r="R136" s="1081"/>
      <c r="S136" s="1081"/>
      <c r="T136" s="1081"/>
      <c r="U136" s="1081"/>
      <c r="V136" s="1081"/>
      <c r="W136" s="1081"/>
      <c r="X136" s="1081"/>
      <c r="Y136" s="1081"/>
      <c r="Z136" s="1081"/>
      <c r="AA136" s="1081"/>
      <c r="AB136" s="1081"/>
      <c r="AC136" s="1081"/>
      <c r="AD136" s="1081"/>
      <c r="AE136" s="1081"/>
      <c r="AF136" s="1081"/>
      <c r="AG136" s="1081"/>
      <c r="AH136" s="1081"/>
      <c r="AI136" s="1081"/>
      <c r="AJ136" s="1081"/>
      <c r="AK136" s="1081"/>
      <c r="AL136" s="1081"/>
      <c r="AM136" s="1081"/>
      <c r="AN136" s="1081"/>
      <c r="AO136" s="1081"/>
      <c r="AP136" s="1278"/>
      <c r="AQ136" s="3"/>
      <c r="AR136" s="3"/>
      <c r="AS136" s="131"/>
      <c r="AT136" s="131"/>
      <c r="AU136" s="131"/>
      <c r="AV136" s="131"/>
      <c r="AW136" s="131"/>
      <c r="AX136" s="131"/>
    </row>
    <row r="137" spans="2:50" s="918" customFormat="1">
      <c r="B137" s="1278"/>
      <c r="C137" s="1279"/>
      <c r="D137" s="1279"/>
      <c r="E137" s="1279"/>
      <c r="F137" s="1279"/>
      <c r="G137" s="1279"/>
      <c r="H137" s="1279"/>
      <c r="I137" s="1279"/>
      <c r="J137" s="1279"/>
      <c r="K137" s="202"/>
      <c r="L137" s="202"/>
      <c r="M137" s="202"/>
      <c r="N137" s="642"/>
      <c r="O137" s="642"/>
      <c r="P137" s="642"/>
      <c r="Q137" s="642"/>
      <c r="R137" s="642"/>
      <c r="S137" s="642"/>
      <c r="T137" s="642"/>
      <c r="U137" s="642"/>
      <c r="V137" s="642"/>
      <c r="W137" s="642"/>
      <c r="X137" s="642"/>
      <c r="Y137" s="642"/>
      <c r="Z137" s="642"/>
      <c r="AA137" s="642"/>
      <c r="AB137" s="642"/>
      <c r="AC137" s="642"/>
      <c r="AD137" s="642"/>
      <c r="AE137" s="642"/>
      <c r="AF137" s="642"/>
      <c r="AG137" s="642"/>
      <c r="AH137" s="642"/>
      <c r="AI137" s="642"/>
      <c r="AJ137" s="642"/>
      <c r="AK137" s="642"/>
      <c r="AL137" s="642"/>
      <c r="AM137" s="642"/>
      <c r="AN137" s="642"/>
      <c r="AO137" s="642"/>
      <c r="AP137" s="1278"/>
      <c r="AQ137" s="3"/>
      <c r="AR137" s="3"/>
      <c r="AS137" s="131"/>
      <c r="AT137" s="131"/>
      <c r="AU137" s="131"/>
      <c r="AV137" s="131"/>
      <c r="AW137" s="131"/>
      <c r="AX137" s="131"/>
    </row>
    <row r="138" spans="2:50" s="918" customFormat="1">
      <c r="B138" s="1278"/>
      <c r="C138" s="643" t="s">
        <v>4042</v>
      </c>
      <c r="D138" s="644"/>
      <c r="E138" s="655">
        <f>+SUM(E139:E146)</f>
        <v>0</v>
      </c>
      <c r="F138" s="655">
        <f t="shared" ref="F138:H138" si="36">+SUM(F139:F146)</f>
        <v>0</v>
      </c>
      <c r="G138" s="655">
        <f t="shared" si="36"/>
        <v>0</v>
      </c>
      <c r="H138" s="655">
        <f t="shared" si="36"/>
        <v>0</v>
      </c>
      <c r="I138" s="655">
        <f>IF('11. Unit Mix'!$G$142&lt;&gt;0,+E138/'11. Unit Mix'!$G$142,0)</f>
        <v>0</v>
      </c>
      <c r="J138" s="655">
        <f t="shared" ref="J138:J146" si="37">IF(Total_Units&lt;&gt;0,+E138/Total_Units,0)</f>
        <v>0</v>
      </c>
      <c r="K138" s="202"/>
      <c r="L138" s="202"/>
      <c r="M138" s="202"/>
      <c r="N138" s="642"/>
      <c r="O138" s="642"/>
      <c r="P138" s="642"/>
      <c r="Q138" s="642"/>
      <c r="R138" s="642"/>
      <c r="S138" s="642"/>
      <c r="T138" s="642"/>
      <c r="U138" s="642"/>
      <c r="V138" s="642"/>
      <c r="W138" s="642"/>
      <c r="X138" s="642"/>
      <c r="Y138" s="642"/>
      <c r="Z138" s="642"/>
      <c r="AA138" s="642"/>
      <c r="AB138" s="642"/>
      <c r="AC138" s="642"/>
      <c r="AD138" s="642"/>
      <c r="AE138" s="642"/>
      <c r="AF138" s="642"/>
      <c r="AG138" s="642"/>
      <c r="AH138" s="642"/>
      <c r="AI138" s="642"/>
      <c r="AJ138" s="642"/>
      <c r="AK138" s="642"/>
      <c r="AL138" s="642"/>
      <c r="AM138" s="642"/>
      <c r="AN138" s="642"/>
      <c r="AO138" s="642"/>
      <c r="AP138" s="1278"/>
      <c r="AQ138" s="3"/>
      <c r="AR138" s="3"/>
      <c r="AS138" s="131"/>
      <c r="AT138" s="131"/>
      <c r="AU138" s="131"/>
      <c r="AV138" s="131"/>
      <c r="AW138" s="131"/>
      <c r="AX138" s="131"/>
    </row>
    <row r="139" spans="2:50" s="918" customFormat="1">
      <c r="B139" s="1278"/>
      <c r="C139" s="645" t="s">
        <v>4043</v>
      </c>
      <c r="D139" s="646"/>
      <c r="E139" s="1112">
        <f t="shared" ref="E139:E146" si="38">SUM(F139:H139)</f>
        <v>0</v>
      </c>
      <c r="F139" s="1111"/>
      <c r="G139" s="1111"/>
      <c r="H139" s="923"/>
      <c r="I139" s="1112">
        <f>IF('11. Unit Mix'!$G$142&lt;&gt;0,+E139/'11. Unit Mix'!$G$142,0)</f>
        <v>0</v>
      </c>
      <c r="J139" s="1112">
        <f t="shared" si="37"/>
        <v>0</v>
      </c>
      <c r="K139" s="202"/>
      <c r="L139" s="202"/>
      <c r="M139" s="202"/>
      <c r="N139" s="642"/>
      <c r="O139" s="642"/>
      <c r="P139" s="642"/>
      <c r="Q139" s="642"/>
      <c r="R139" s="642"/>
      <c r="S139" s="642"/>
      <c r="T139" s="642"/>
      <c r="U139" s="642"/>
      <c r="V139" s="642"/>
      <c r="W139" s="642"/>
      <c r="X139" s="642"/>
      <c r="Y139" s="642"/>
      <c r="Z139" s="642"/>
      <c r="AA139" s="642"/>
      <c r="AB139" s="642"/>
      <c r="AC139" s="642"/>
      <c r="AD139" s="642"/>
      <c r="AE139" s="642"/>
      <c r="AF139" s="642"/>
      <c r="AG139" s="642"/>
      <c r="AH139" s="642"/>
      <c r="AI139" s="642"/>
      <c r="AJ139" s="642"/>
      <c r="AK139" s="642"/>
      <c r="AL139" s="642"/>
      <c r="AM139" s="642"/>
      <c r="AN139" s="642"/>
      <c r="AO139" s="642"/>
      <c r="AP139" s="1278"/>
      <c r="AQ139" s="3"/>
      <c r="AR139" s="3"/>
      <c r="AS139" s="131"/>
      <c r="AT139" s="131"/>
      <c r="AU139" s="131"/>
      <c r="AV139" s="131"/>
      <c r="AW139" s="131"/>
      <c r="AX139" s="131"/>
    </row>
    <row r="140" spans="2:50" s="918" customFormat="1">
      <c r="B140" s="1278"/>
      <c r="C140" s="645" t="s">
        <v>4044</v>
      </c>
      <c r="D140" s="646"/>
      <c r="E140" s="1112">
        <f t="shared" si="38"/>
        <v>0</v>
      </c>
      <c r="F140" s="1111"/>
      <c r="G140" s="1111"/>
      <c r="H140" s="923"/>
      <c r="I140" s="1112">
        <f>IF('11. Unit Mix'!$G$142&lt;&gt;0,+E140/'11. Unit Mix'!$G$142,0)</f>
        <v>0</v>
      </c>
      <c r="J140" s="1112">
        <f t="shared" si="37"/>
        <v>0</v>
      </c>
      <c r="K140" s="202"/>
      <c r="L140" s="202"/>
      <c r="M140" s="202"/>
      <c r="N140" s="642"/>
      <c r="O140" s="642"/>
      <c r="P140" s="642"/>
      <c r="Q140" s="642"/>
      <c r="R140" s="642"/>
      <c r="S140" s="642"/>
      <c r="T140" s="642"/>
      <c r="U140" s="642"/>
      <c r="V140" s="642"/>
      <c r="W140" s="642"/>
      <c r="X140" s="642"/>
      <c r="Y140" s="642"/>
      <c r="Z140" s="642"/>
      <c r="AA140" s="642"/>
      <c r="AB140" s="642"/>
      <c r="AC140" s="642"/>
      <c r="AD140" s="642"/>
      <c r="AE140" s="642"/>
      <c r="AF140" s="642"/>
      <c r="AG140" s="642"/>
      <c r="AH140" s="642"/>
      <c r="AI140" s="642"/>
      <c r="AJ140" s="642"/>
      <c r="AK140" s="642"/>
      <c r="AL140" s="642"/>
      <c r="AM140" s="642"/>
      <c r="AN140" s="642"/>
      <c r="AO140" s="642"/>
      <c r="AP140" s="1278"/>
      <c r="AQ140" s="3"/>
      <c r="AR140" s="3"/>
      <c r="AS140" s="131"/>
      <c r="AT140" s="131"/>
      <c r="AU140" s="131"/>
      <c r="AV140" s="131"/>
      <c r="AW140" s="131"/>
      <c r="AX140" s="131"/>
    </row>
    <row r="141" spans="2:50" s="918" customFormat="1">
      <c r="B141" s="1278"/>
      <c r="C141" s="645" t="s">
        <v>4045</v>
      </c>
      <c r="D141" s="646"/>
      <c r="E141" s="1112">
        <f t="shared" si="38"/>
        <v>0</v>
      </c>
      <c r="F141" s="1111"/>
      <c r="G141" s="1111"/>
      <c r="H141" s="923"/>
      <c r="I141" s="1112">
        <f>IF('11. Unit Mix'!$G$142&lt;&gt;0,+E141/'11. Unit Mix'!$G$142,0)</f>
        <v>0</v>
      </c>
      <c r="J141" s="1112">
        <f t="shared" si="37"/>
        <v>0</v>
      </c>
      <c r="K141" s="202"/>
      <c r="L141" s="202"/>
      <c r="M141" s="202"/>
      <c r="N141" s="642"/>
      <c r="O141" s="642"/>
      <c r="P141" s="642"/>
      <c r="Q141" s="642"/>
      <c r="R141" s="642"/>
      <c r="S141" s="642"/>
      <c r="T141" s="642"/>
      <c r="U141" s="642"/>
      <c r="V141" s="642"/>
      <c r="W141" s="642"/>
      <c r="X141" s="642"/>
      <c r="Y141" s="642"/>
      <c r="Z141" s="642"/>
      <c r="AA141" s="642"/>
      <c r="AB141" s="642"/>
      <c r="AC141" s="642"/>
      <c r="AD141" s="642"/>
      <c r="AE141" s="642"/>
      <c r="AF141" s="642"/>
      <c r="AG141" s="642"/>
      <c r="AH141" s="642"/>
      <c r="AI141" s="642"/>
      <c r="AJ141" s="642"/>
      <c r="AK141" s="642"/>
      <c r="AL141" s="642"/>
      <c r="AM141" s="642"/>
      <c r="AN141" s="642"/>
      <c r="AO141" s="642"/>
      <c r="AP141" s="1278"/>
      <c r="AQ141" s="3"/>
      <c r="AR141" s="3"/>
      <c r="AS141" s="131"/>
      <c r="AT141" s="131"/>
      <c r="AU141" s="131"/>
      <c r="AV141" s="131"/>
      <c r="AW141" s="131"/>
      <c r="AX141" s="131"/>
    </row>
    <row r="142" spans="2:50" s="918" customFormat="1">
      <c r="B142" s="1278"/>
      <c r="C142" s="645" t="s">
        <v>4046</v>
      </c>
      <c r="D142" s="646"/>
      <c r="E142" s="1112">
        <f t="shared" si="38"/>
        <v>0</v>
      </c>
      <c r="F142" s="1111"/>
      <c r="G142" s="1111"/>
      <c r="H142" s="923"/>
      <c r="I142" s="1112">
        <f>IF('11. Unit Mix'!$G$142&lt;&gt;0,+E142/'11. Unit Mix'!$G$142,0)</f>
        <v>0</v>
      </c>
      <c r="J142" s="1112">
        <f t="shared" si="37"/>
        <v>0</v>
      </c>
      <c r="K142" s="202"/>
      <c r="L142" s="202"/>
      <c r="M142" s="202"/>
      <c r="N142" s="642"/>
      <c r="O142" s="642"/>
      <c r="P142" s="642"/>
      <c r="Q142" s="642"/>
      <c r="R142" s="642"/>
      <c r="S142" s="642"/>
      <c r="T142" s="642"/>
      <c r="U142" s="642"/>
      <c r="V142" s="642"/>
      <c r="W142" s="642"/>
      <c r="X142" s="642"/>
      <c r="Y142" s="642"/>
      <c r="Z142" s="642"/>
      <c r="AA142" s="642"/>
      <c r="AB142" s="642"/>
      <c r="AC142" s="642"/>
      <c r="AD142" s="642"/>
      <c r="AE142" s="642"/>
      <c r="AF142" s="642"/>
      <c r="AG142" s="642"/>
      <c r="AH142" s="642"/>
      <c r="AI142" s="642"/>
      <c r="AJ142" s="642"/>
      <c r="AK142" s="642"/>
      <c r="AL142" s="642"/>
      <c r="AM142" s="642"/>
      <c r="AN142" s="642"/>
      <c r="AO142" s="642"/>
      <c r="AP142" s="1278"/>
      <c r="AQ142" s="3"/>
      <c r="AR142" s="3"/>
      <c r="AS142" s="131"/>
      <c r="AT142" s="131"/>
      <c r="AU142" s="131"/>
      <c r="AV142" s="131"/>
      <c r="AW142" s="131"/>
      <c r="AX142" s="131"/>
    </row>
    <row r="143" spans="2:50" s="918" customFormat="1">
      <c r="B143" s="1278"/>
      <c r="C143" s="645" t="s">
        <v>4047</v>
      </c>
      <c r="D143" s="646"/>
      <c r="E143" s="1112">
        <f t="shared" si="38"/>
        <v>0</v>
      </c>
      <c r="F143" s="1111"/>
      <c r="G143" s="1111"/>
      <c r="H143" s="923"/>
      <c r="I143" s="1112">
        <f>IF('11. Unit Mix'!$G$142&lt;&gt;0,+E143/'11. Unit Mix'!$G$142,0)</f>
        <v>0</v>
      </c>
      <c r="J143" s="1112">
        <f t="shared" si="37"/>
        <v>0</v>
      </c>
      <c r="K143" s="202"/>
      <c r="L143" s="202"/>
      <c r="M143" s="202"/>
      <c r="N143" s="642"/>
      <c r="O143" s="642"/>
      <c r="P143" s="642"/>
      <c r="Q143" s="642"/>
      <c r="R143" s="642"/>
      <c r="S143" s="642"/>
      <c r="T143" s="642"/>
      <c r="U143" s="642"/>
      <c r="V143" s="642"/>
      <c r="W143" s="642"/>
      <c r="X143" s="642"/>
      <c r="Y143" s="642"/>
      <c r="Z143" s="642"/>
      <c r="AA143" s="642"/>
      <c r="AB143" s="642"/>
      <c r="AC143" s="642"/>
      <c r="AD143" s="642"/>
      <c r="AE143" s="642"/>
      <c r="AF143" s="642"/>
      <c r="AG143" s="642"/>
      <c r="AH143" s="642"/>
      <c r="AI143" s="642"/>
      <c r="AJ143" s="642"/>
      <c r="AK143" s="642"/>
      <c r="AL143" s="642"/>
      <c r="AM143" s="642"/>
      <c r="AN143" s="642"/>
      <c r="AO143" s="642"/>
      <c r="AP143" s="1278"/>
      <c r="AQ143" s="3"/>
      <c r="AR143" s="3"/>
      <c r="AS143" s="131"/>
      <c r="AT143" s="131"/>
      <c r="AU143" s="131"/>
      <c r="AV143" s="131"/>
      <c r="AW143" s="131"/>
      <c r="AX143" s="131"/>
    </row>
    <row r="144" spans="2:50" s="918" customFormat="1">
      <c r="B144" s="1278"/>
      <c r="C144" s="645" t="s">
        <v>4048</v>
      </c>
      <c r="D144" s="646"/>
      <c r="E144" s="1112">
        <f t="shared" si="38"/>
        <v>0</v>
      </c>
      <c r="F144" s="1111"/>
      <c r="G144" s="1111"/>
      <c r="H144" s="923"/>
      <c r="I144" s="1112">
        <f>IF('11. Unit Mix'!$G$142&lt;&gt;0,+E144/'11. Unit Mix'!$G$142,0)</f>
        <v>0</v>
      </c>
      <c r="J144" s="1112">
        <f t="shared" si="37"/>
        <v>0</v>
      </c>
      <c r="K144" s="202"/>
      <c r="L144" s="202"/>
      <c r="M144" s="202"/>
      <c r="N144" s="642"/>
      <c r="O144" s="642"/>
      <c r="P144" s="642"/>
      <c r="Q144" s="642"/>
      <c r="R144" s="642"/>
      <c r="S144" s="642"/>
      <c r="T144" s="642"/>
      <c r="U144" s="642"/>
      <c r="V144" s="642"/>
      <c r="W144" s="642"/>
      <c r="X144" s="642"/>
      <c r="Y144" s="642"/>
      <c r="Z144" s="642"/>
      <c r="AA144" s="642"/>
      <c r="AB144" s="642"/>
      <c r="AC144" s="642"/>
      <c r="AD144" s="642"/>
      <c r="AE144" s="642"/>
      <c r="AF144" s="642"/>
      <c r="AG144" s="642"/>
      <c r="AH144" s="642"/>
      <c r="AI144" s="642"/>
      <c r="AJ144" s="642"/>
      <c r="AK144" s="642"/>
      <c r="AL144" s="642"/>
      <c r="AM144" s="642"/>
      <c r="AN144" s="642"/>
      <c r="AO144" s="642"/>
      <c r="AP144" s="1278"/>
      <c r="AQ144" s="3"/>
      <c r="AR144" s="3"/>
      <c r="AS144" s="131"/>
      <c r="AT144" s="131"/>
      <c r="AU144" s="131"/>
      <c r="AV144" s="131"/>
      <c r="AW144" s="131"/>
      <c r="AX144" s="131"/>
    </row>
    <row r="145" spans="2:50" s="918" customFormat="1">
      <c r="B145" s="1278"/>
      <c r="C145" s="645" t="s">
        <v>4049</v>
      </c>
      <c r="D145" s="646"/>
      <c r="E145" s="1112">
        <f t="shared" si="38"/>
        <v>0</v>
      </c>
      <c r="F145" s="1111"/>
      <c r="G145" s="1111"/>
      <c r="H145" s="923"/>
      <c r="I145" s="1112">
        <f>IF('11. Unit Mix'!$G$142&lt;&gt;0,+E145/'11. Unit Mix'!$G$142,0)</f>
        <v>0</v>
      </c>
      <c r="J145" s="1112">
        <f t="shared" si="37"/>
        <v>0</v>
      </c>
      <c r="K145" s="202"/>
      <c r="L145" s="202"/>
      <c r="M145" s="202"/>
      <c r="N145" s="642"/>
      <c r="O145" s="642"/>
      <c r="P145" s="642"/>
      <c r="Q145" s="642"/>
      <c r="R145" s="642"/>
      <c r="S145" s="642"/>
      <c r="T145" s="642"/>
      <c r="U145" s="642"/>
      <c r="V145" s="642"/>
      <c r="W145" s="642"/>
      <c r="X145" s="642"/>
      <c r="Y145" s="642"/>
      <c r="Z145" s="642"/>
      <c r="AA145" s="642"/>
      <c r="AB145" s="642"/>
      <c r="AC145" s="642"/>
      <c r="AD145" s="642"/>
      <c r="AE145" s="642"/>
      <c r="AF145" s="642"/>
      <c r="AG145" s="642"/>
      <c r="AH145" s="642"/>
      <c r="AI145" s="642"/>
      <c r="AJ145" s="642"/>
      <c r="AK145" s="642"/>
      <c r="AL145" s="642"/>
      <c r="AM145" s="642"/>
      <c r="AN145" s="642"/>
      <c r="AO145" s="642"/>
      <c r="AP145" s="1278"/>
      <c r="AQ145" s="3"/>
      <c r="AR145" s="3"/>
      <c r="AS145" s="131"/>
      <c r="AT145" s="131"/>
      <c r="AU145" s="131"/>
      <c r="AV145" s="131"/>
      <c r="AW145" s="131"/>
      <c r="AX145" s="131"/>
    </row>
    <row r="146" spans="2:50" s="919" customFormat="1">
      <c r="B146" s="1278"/>
      <c r="C146" s="645" t="s">
        <v>4050</v>
      </c>
      <c r="D146" s="646"/>
      <c r="E146" s="1112">
        <f t="shared" si="38"/>
        <v>0</v>
      </c>
      <c r="F146" s="1111"/>
      <c r="G146" s="1111"/>
      <c r="H146" s="923"/>
      <c r="I146" s="1112">
        <f>IF('11. Unit Mix'!$G$142&lt;&gt;0,+E146/'11. Unit Mix'!$G$142,0)</f>
        <v>0</v>
      </c>
      <c r="J146" s="1112">
        <f t="shared" si="37"/>
        <v>0</v>
      </c>
      <c r="K146" s="202"/>
      <c r="L146" s="202"/>
      <c r="M146" s="202"/>
      <c r="N146" s="1081"/>
      <c r="O146" s="1081"/>
      <c r="P146" s="1081"/>
      <c r="Q146" s="1081"/>
      <c r="R146" s="1081"/>
      <c r="S146" s="1081"/>
      <c r="T146" s="1081"/>
      <c r="U146" s="1081"/>
      <c r="V146" s="1081"/>
      <c r="W146" s="1081"/>
      <c r="X146" s="1081"/>
      <c r="Y146" s="1081"/>
      <c r="Z146" s="1081"/>
      <c r="AA146" s="1081"/>
      <c r="AB146" s="1081"/>
      <c r="AC146" s="1081"/>
      <c r="AD146" s="1081"/>
      <c r="AE146" s="1081"/>
      <c r="AF146" s="1081"/>
      <c r="AG146" s="1081"/>
      <c r="AH146" s="1081"/>
      <c r="AI146" s="1081"/>
      <c r="AJ146" s="1081"/>
      <c r="AK146" s="1081"/>
      <c r="AL146" s="1081"/>
      <c r="AM146" s="1081"/>
      <c r="AN146" s="1081"/>
      <c r="AO146" s="1081"/>
      <c r="AP146" s="1278"/>
      <c r="AQ146" s="3"/>
      <c r="AR146" s="3"/>
      <c r="AS146" s="131"/>
      <c r="AT146" s="131"/>
      <c r="AU146" s="131"/>
      <c r="AV146" s="131"/>
      <c r="AW146" s="131"/>
      <c r="AX146" s="131"/>
    </row>
    <row r="147" spans="2:50" s="918" customFormat="1">
      <c r="B147" s="1278"/>
      <c r="C147" s="1279"/>
      <c r="D147" s="1279"/>
      <c r="E147" s="1279"/>
      <c r="F147" s="1279"/>
      <c r="G147" s="1279"/>
      <c r="H147" s="1279"/>
      <c r="I147" s="1279"/>
      <c r="J147" s="1279"/>
      <c r="K147" s="202"/>
      <c r="L147" s="202"/>
      <c r="M147" s="202"/>
      <c r="N147" s="642"/>
      <c r="O147" s="642"/>
      <c r="P147" s="642"/>
      <c r="Q147" s="642"/>
      <c r="R147" s="642"/>
      <c r="S147" s="642"/>
      <c r="T147" s="642"/>
      <c r="U147" s="642"/>
      <c r="V147" s="642"/>
      <c r="W147" s="642"/>
      <c r="X147" s="642"/>
      <c r="Y147" s="642"/>
      <c r="Z147" s="642"/>
      <c r="AA147" s="642"/>
      <c r="AB147" s="642"/>
      <c r="AC147" s="642"/>
      <c r="AD147" s="642"/>
      <c r="AE147" s="642"/>
      <c r="AF147" s="642"/>
      <c r="AG147" s="642"/>
      <c r="AH147" s="642"/>
      <c r="AI147" s="642"/>
      <c r="AJ147" s="642"/>
      <c r="AK147" s="642"/>
      <c r="AL147" s="642"/>
      <c r="AM147" s="642"/>
      <c r="AN147" s="642"/>
      <c r="AO147" s="642"/>
      <c r="AP147" s="1278"/>
      <c r="AQ147" s="3"/>
      <c r="AR147" s="3"/>
      <c r="AS147" s="131"/>
      <c r="AT147" s="131"/>
      <c r="AU147" s="131"/>
      <c r="AV147" s="131"/>
      <c r="AW147" s="131"/>
      <c r="AX147" s="131"/>
    </row>
    <row r="148" spans="2:50" s="918" customFormat="1">
      <c r="B148" s="1278"/>
      <c r="C148" s="643" t="s">
        <v>4051</v>
      </c>
      <c r="D148" s="644"/>
      <c r="E148" s="655">
        <f>+SUM(E149:E154)</f>
        <v>0</v>
      </c>
      <c r="F148" s="655">
        <f t="shared" ref="F148:H148" si="39">+SUM(F149:F154)</f>
        <v>0</v>
      </c>
      <c r="G148" s="655">
        <f t="shared" si="39"/>
        <v>0</v>
      </c>
      <c r="H148" s="655">
        <f t="shared" si="39"/>
        <v>0</v>
      </c>
      <c r="I148" s="655">
        <f>IF('11. Unit Mix'!$G$142&lt;&gt;0,+E148/'11. Unit Mix'!$G$142,0)</f>
        <v>0</v>
      </c>
      <c r="J148" s="655">
        <f t="shared" ref="J148:J154" si="40">IF(Total_Units&lt;&gt;0,+E148/Total_Units,0)</f>
        <v>0</v>
      </c>
      <c r="K148" s="202"/>
      <c r="L148" s="202"/>
      <c r="M148" s="202"/>
      <c r="N148" s="642"/>
      <c r="O148" s="642"/>
      <c r="P148" s="642"/>
      <c r="Q148" s="642"/>
      <c r="R148" s="642"/>
      <c r="S148" s="642"/>
      <c r="T148" s="642"/>
      <c r="U148" s="642"/>
      <c r="V148" s="642"/>
      <c r="W148" s="642"/>
      <c r="X148" s="642"/>
      <c r="Y148" s="642"/>
      <c r="Z148" s="642"/>
      <c r="AA148" s="642"/>
      <c r="AB148" s="642"/>
      <c r="AC148" s="642"/>
      <c r="AD148" s="642"/>
      <c r="AE148" s="642"/>
      <c r="AF148" s="642"/>
      <c r="AG148" s="642"/>
      <c r="AH148" s="642"/>
      <c r="AI148" s="642"/>
      <c r="AJ148" s="642"/>
      <c r="AK148" s="642"/>
      <c r="AL148" s="642"/>
      <c r="AM148" s="642"/>
      <c r="AN148" s="642"/>
      <c r="AO148" s="642"/>
      <c r="AP148" s="1278"/>
      <c r="AQ148" s="3"/>
      <c r="AR148" s="3"/>
      <c r="AS148" s="131"/>
      <c r="AT148" s="131"/>
      <c r="AU148" s="131"/>
      <c r="AV148" s="131"/>
      <c r="AW148" s="131"/>
      <c r="AX148" s="131"/>
    </row>
    <row r="149" spans="2:50" s="918" customFormat="1">
      <c r="B149" s="1278"/>
      <c r="C149" s="645" t="s">
        <v>4052</v>
      </c>
      <c r="D149" s="646"/>
      <c r="E149" s="1112">
        <f t="shared" ref="E149:E154" si="41">SUM(F149:H149)</f>
        <v>0</v>
      </c>
      <c r="F149" s="1111"/>
      <c r="G149" s="1111"/>
      <c r="H149" s="923"/>
      <c r="I149" s="1112">
        <f>IF('11. Unit Mix'!$G$142&lt;&gt;0,+E149/'11. Unit Mix'!$G$142,0)</f>
        <v>0</v>
      </c>
      <c r="J149" s="1112">
        <f t="shared" si="40"/>
        <v>0</v>
      </c>
      <c r="K149" s="202"/>
      <c r="L149" s="202"/>
      <c r="M149" s="202"/>
      <c r="N149" s="642"/>
      <c r="O149" s="642"/>
      <c r="P149" s="642"/>
      <c r="Q149" s="642"/>
      <c r="R149" s="642"/>
      <c r="S149" s="642"/>
      <c r="T149" s="642"/>
      <c r="U149" s="642"/>
      <c r="V149" s="642"/>
      <c r="W149" s="642"/>
      <c r="X149" s="642"/>
      <c r="Y149" s="642"/>
      <c r="Z149" s="642"/>
      <c r="AA149" s="642"/>
      <c r="AB149" s="642"/>
      <c r="AC149" s="642"/>
      <c r="AD149" s="642"/>
      <c r="AE149" s="642"/>
      <c r="AF149" s="642"/>
      <c r="AG149" s="642"/>
      <c r="AH149" s="642"/>
      <c r="AI149" s="642"/>
      <c r="AJ149" s="642"/>
      <c r="AK149" s="642"/>
      <c r="AL149" s="642"/>
      <c r="AM149" s="642"/>
      <c r="AN149" s="642"/>
      <c r="AO149" s="642"/>
      <c r="AP149" s="1278"/>
      <c r="AQ149" s="3"/>
      <c r="AR149" s="3"/>
      <c r="AS149" s="131"/>
      <c r="AT149" s="131"/>
      <c r="AU149" s="131"/>
      <c r="AV149" s="131"/>
      <c r="AW149" s="131"/>
      <c r="AX149" s="131"/>
    </row>
    <row r="150" spans="2:50" s="918" customFormat="1">
      <c r="B150" s="1278"/>
      <c r="C150" s="645" t="s">
        <v>4053</v>
      </c>
      <c r="D150" s="646"/>
      <c r="E150" s="1112">
        <f t="shared" si="41"/>
        <v>0</v>
      </c>
      <c r="F150" s="1111"/>
      <c r="G150" s="1111"/>
      <c r="H150" s="923"/>
      <c r="I150" s="1112">
        <f>IF('11. Unit Mix'!$G$142&lt;&gt;0,+E150/'11. Unit Mix'!$G$142,0)</f>
        <v>0</v>
      </c>
      <c r="J150" s="1112">
        <f t="shared" si="40"/>
        <v>0</v>
      </c>
      <c r="K150" s="202"/>
      <c r="L150" s="202"/>
      <c r="M150" s="202"/>
      <c r="N150" s="642"/>
      <c r="O150" s="642"/>
      <c r="P150" s="642"/>
      <c r="Q150" s="642"/>
      <c r="R150" s="642"/>
      <c r="S150" s="642"/>
      <c r="T150" s="642"/>
      <c r="U150" s="642"/>
      <c r="V150" s="642"/>
      <c r="W150" s="642"/>
      <c r="X150" s="642"/>
      <c r="Y150" s="642"/>
      <c r="Z150" s="642"/>
      <c r="AA150" s="642"/>
      <c r="AB150" s="642"/>
      <c r="AC150" s="642"/>
      <c r="AD150" s="642"/>
      <c r="AE150" s="642"/>
      <c r="AF150" s="642"/>
      <c r="AG150" s="642"/>
      <c r="AH150" s="642"/>
      <c r="AI150" s="642"/>
      <c r="AJ150" s="642"/>
      <c r="AK150" s="642"/>
      <c r="AL150" s="642"/>
      <c r="AM150" s="642"/>
      <c r="AN150" s="642"/>
      <c r="AO150" s="642"/>
      <c r="AP150" s="1278"/>
      <c r="AQ150" s="3"/>
      <c r="AR150" s="3"/>
      <c r="AS150" s="131"/>
      <c r="AT150" s="131"/>
      <c r="AU150" s="131"/>
      <c r="AV150" s="131"/>
      <c r="AW150" s="131"/>
      <c r="AX150" s="131"/>
    </row>
    <row r="151" spans="2:50" s="918" customFormat="1">
      <c r="B151" s="1278"/>
      <c r="C151" s="645" t="s">
        <v>4054</v>
      </c>
      <c r="D151" s="646"/>
      <c r="E151" s="1112">
        <f t="shared" si="41"/>
        <v>0</v>
      </c>
      <c r="F151" s="1111"/>
      <c r="G151" s="1111"/>
      <c r="H151" s="923"/>
      <c r="I151" s="1112">
        <f>IF('11. Unit Mix'!$G$142&lt;&gt;0,+E151/'11. Unit Mix'!$G$142,0)</f>
        <v>0</v>
      </c>
      <c r="J151" s="1112">
        <f t="shared" si="40"/>
        <v>0</v>
      </c>
      <c r="K151" s="202"/>
      <c r="L151" s="202"/>
      <c r="M151" s="202"/>
      <c r="N151" s="642"/>
      <c r="O151" s="642"/>
      <c r="P151" s="642"/>
      <c r="Q151" s="642"/>
      <c r="R151" s="642"/>
      <c r="S151" s="642"/>
      <c r="T151" s="642"/>
      <c r="U151" s="642"/>
      <c r="V151" s="642"/>
      <c r="W151" s="642"/>
      <c r="X151" s="642"/>
      <c r="Y151" s="642"/>
      <c r="Z151" s="642"/>
      <c r="AA151" s="642"/>
      <c r="AB151" s="642"/>
      <c r="AC151" s="642"/>
      <c r="AD151" s="642"/>
      <c r="AE151" s="642"/>
      <c r="AF151" s="642"/>
      <c r="AG151" s="642"/>
      <c r="AH151" s="642"/>
      <c r="AI151" s="642"/>
      <c r="AJ151" s="642"/>
      <c r="AK151" s="642"/>
      <c r="AL151" s="642"/>
      <c r="AM151" s="642"/>
      <c r="AN151" s="642"/>
      <c r="AO151" s="642"/>
      <c r="AP151" s="1278"/>
      <c r="AQ151" s="3"/>
      <c r="AR151" s="3"/>
      <c r="AS151" s="131"/>
      <c r="AT151" s="131"/>
      <c r="AU151" s="131"/>
      <c r="AV151" s="131"/>
      <c r="AW151" s="131"/>
      <c r="AX151" s="131"/>
    </row>
    <row r="152" spans="2:50" s="918" customFormat="1">
      <c r="B152" s="1278"/>
      <c r="C152" s="645" t="s">
        <v>4055</v>
      </c>
      <c r="D152" s="646"/>
      <c r="E152" s="1112">
        <f t="shared" si="41"/>
        <v>0</v>
      </c>
      <c r="F152" s="1111"/>
      <c r="G152" s="1111"/>
      <c r="H152" s="923"/>
      <c r="I152" s="1112">
        <f>IF('11. Unit Mix'!$G$142&lt;&gt;0,+E152/'11. Unit Mix'!$G$142,0)</f>
        <v>0</v>
      </c>
      <c r="J152" s="1112">
        <f t="shared" si="40"/>
        <v>0</v>
      </c>
      <c r="K152" s="202"/>
      <c r="L152" s="202"/>
      <c r="M152" s="202"/>
      <c r="N152" s="642"/>
      <c r="O152" s="642"/>
      <c r="P152" s="642"/>
      <c r="Q152" s="642"/>
      <c r="R152" s="642"/>
      <c r="S152" s="642"/>
      <c r="T152" s="642"/>
      <c r="U152" s="642"/>
      <c r="V152" s="642"/>
      <c r="W152" s="642"/>
      <c r="X152" s="642"/>
      <c r="Y152" s="642"/>
      <c r="Z152" s="642"/>
      <c r="AA152" s="642"/>
      <c r="AB152" s="642"/>
      <c r="AC152" s="642"/>
      <c r="AD152" s="642"/>
      <c r="AE152" s="642"/>
      <c r="AF152" s="642"/>
      <c r="AG152" s="642"/>
      <c r="AH152" s="642"/>
      <c r="AI152" s="642"/>
      <c r="AJ152" s="642"/>
      <c r="AK152" s="642"/>
      <c r="AL152" s="642"/>
      <c r="AM152" s="642"/>
      <c r="AN152" s="642"/>
      <c r="AO152" s="642"/>
      <c r="AP152" s="1278"/>
      <c r="AQ152" s="3"/>
      <c r="AR152" s="3"/>
      <c r="AS152" s="131"/>
      <c r="AT152" s="131"/>
      <c r="AU152" s="131"/>
      <c r="AV152" s="131"/>
      <c r="AW152" s="131"/>
      <c r="AX152" s="131"/>
    </row>
    <row r="153" spans="2:50" s="918" customFormat="1">
      <c r="B153" s="1278"/>
      <c r="C153" s="645" t="s">
        <v>4056</v>
      </c>
      <c r="D153" s="646"/>
      <c r="E153" s="1112">
        <f t="shared" si="41"/>
        <v>0</v>
      </c>
      <c r="F153" s="1111"/>
      <c r="G153" s="1111"/>
      <c r="H153" s="923"/>
      <c r="I153" s="1112">
        <f>IF('11. Unit Mix'!$G$142&lt;&gt;0,+E153/'11. Unit Mix'!$G$142,0)</f>
        <v>0</v>
      </c>
      <c r="J153" s="1112">
        <f t="shared" si="40"/>
        <v>0</v>
      </c>
      <c r="K153" s="202"/>
      <c r="L153" s="202"/>
      <c r="M153" s="202"/>
      <c r="N153" s="642"/>
      <c r="O153" s="642"/>
      <c r="P153" s="642"/>
      <c r="Q153" s="642"/>
      <c r="R153" s="642"/>
      <c r="S153" s="642"/>
      <c r="T153" s="642"/>
      <c r="U153" s="642"/>
      <c r="V153" s="642"/>
      <c r="W153" s="642"/>
      <c r="X153" s="642"/>
      <c r="Y153" s="642"/>
      <c r="Z153" s="642"/>
      <c r="AA153" s="642"/>
      <c r="AB153" s="642"/>
      <c r="AC153" s="642"/>
      <c r="AD153" s="642"/>
      <c r="AE153" s="642"/>
      <c r="AF153" s="642"/>
      <c r="AG153" s="642"/>
      <c r="AH153" s="642"/>
      <c r="AI153" s="642"/>
      <c r="AJ153" s="642"/>
      <c r="AK153" s="642"/>
      <c r="AL153" s="642"/>
      <c r="AM153" s="642"/>
      <c r="AN153" s="642"/>
      <c r="AO153" s="642"/>
      <c r="AP153" s="1278"/>
      <c r="AQ153" s="3"/>
      <c r="AR153" s="3"/>
      <c r="AS153" s="131"/>
      <c r="AT153" s="131"/>
      <c r="AU153" s="131"/>
      <c r="AV153" s="131"/>
      <c r="AW153" s="131"/>
      <c r="AX153" s="131"/>
    </row>
    <row r="154" spans="2:50" s="919" customFormat="1">
      <c r="B154" s="1278"/>
      <c r="C154" s="645" t="s">
        <v>4057</v>
      </c>
      <c r="D154" s="646"/>
      <c r="E154" s="1112">
        <f t="shared" si="41"/>
        <v>0</v>
      </c>
      <c r="F154" s="1111"/>
      <c r="G154" s="1111"/>
      <c r="H154" s="923"/>
      <c r="I154" s="1112">
        <f>IF('11. Unit Mix'!$G$142&lt;&gt;0,+E154/'11. Unit Mix'!$G$142,0)</f>
        <v>0</v>
      </c>
      <c r="J154" s="1112">
        <f t="shared" si="40"/>
        <v>0</v>
      </c>
      <c r="K154" s="202"/>
      <c r="L154" s="202"/>
      <c r="M154" s="202"/>
      <c r="N154" s="1081"/>
      <c r="O154" s="1081"/>
      <c r="P154" s="1081"/>
      <c r="Q154" s="1081"/>
      <c r="R154" s="1081"/>
      <c r="S154" s="1081"/>
      <c r="T154" s="1081"/>
      <c r="U154" s="1081"/>
      <c r="V154" s="1081"/>
      <c r="W154" s="1081"/>
      <c r="X154" s="1081"/>
      <c r="Y154" s="1081"/>
      <c r="Z154" s="1081"/>
      <c r="AA154" s="1081"/>
      <c r="AB154" s="1081"/>
      <c r="AC154" s="1081"/>
      <c r="AD154" s="1081"/>
      <c r="AE154" s="1081"/>
      <c r="AF154" s="1081"/>
      <c r="AG154" s="1081"/>
      <c r="AH154" s="1081"/>
      <c r="AI154" s="1081"/>
      <c r="AJ154" s="1081"/>
      <c r="AK154" s="1081"/>
      <c r="AL154" s="1081"/>
      <c r="AM154" s="1081"/>
      <c r="AN154" s="1081"/>
      <c r="AO154" s="1081"/>
      <c r="AP154" s="1278"/>
      <c r="AQ154" s="3"/>
      <c r="AR154" s="3"/>
      <c r="AS154" s="131"/>
      <c r="AT154" s="131"/>
      <c r="AU154" s="131"/>
      <c r="AV154" s="131"/>
      <c r="AW154" s="131"/>
      <c r="AX154" s="131"/>
    </row>
    <row r="155" spans="2:50" s="918" customFormat="1">
      <c r="B155" s="1278"/>
      <c r="C155" s="1279"/>
      <c r="D155" s="1279"/>
      <c r="E155" s="1279"/>
      <c r="F155" s="1279"/>
      <c r="G155" s="1279"/>
      <c r="H155" s="1279"/>
      <c r="I155" s="1279"/>
      <c r="J155" s="1279"/>
      <c r="K155" s="202"/>
      <c r="L155" s="202"/>
      <c r="M155" s="202"/>
      <c r="N155" s="642"/>
      <c r="O155" s="642"/>
      <c r="P155" s="642"/>
      <c r="Q155" s="642"/>
      <c r="R155" s="642"/>
      <c r="S155" s="642"/>
      <c r="T155" s="642"/>
      <c r="U155" s="642"/>
      <c r="V155" s="642"/>
      <c r="W155" s="642"/>
      <c r="X155" s="642"/>
      <c r="Y155" s="642"/>
      <c r="Z155" s="642"/>
      <c r="AA155" s="642"/>
      <c r="AB155" s="642"/>
      <c r="AC155" s="642"/>
      <c r="AD155" s="642"/>
      <c r="AE155" s="642"/>
      <c r="AF155" s="642"/>
      <c r="AG155" s="642"/>
      <c r="AH155" s="642"/>
      <c r="AI155" s="642"/>
      <c r="AJ155" s="642"/>
      <c r="AK155" s="642"/>
      <c r="AL155" s="642"/>
      <c r="AM155" s="642"/>
      <c r="AN155" s="642"/>
      <c r="AO155" s="642"/>
      <c r="AP155" s="1278"/>
      <c r="AQ155" s="3"/>
      <c r="AR155" s="3"/>
      <c r="AS155" s="131"/>
      <c r="AT155" s="131"/>
      <c r="AU155" s="131"/>
      <c r="AV155" s="131"/>
      <c r="AW155" s="131"/>
      <c r="AX155" s="131"/>
    </row>
    <row r="156" spans="2:50" s="918" customFormat="1">
      <c r="B156" s="1278"/>
      <c r="C156" s="643" t="s">
        <v>4058</v>
      </c>
      <c r="D156" s="644"/>
      <c r="E156" s="655">
        <f>+SUM(E157:E164)</f>
        <v>0</v>
      </c>
      <c r="F156" s="655">
        <f t="shared" ref="F156:H156" si="42">+SUM(F157:F164)</f>
        <v>0</v>
      </c>
      <c r="G156" s="655">
        <f t="shared" si="42"/>
        <v>0</v>
      </c>
      <c r="H156" s="655">
        <f t="shared" si="42"/>
        <v>0</v>
      </c>
      <c r="I156" s="655">
        <f>IF('11. Unit Mix'!$G$142&lt;&gt;0,+E156/'11. Unit Mix'!$G$142,0)</f>
        <v>0</v>
      </c>
      <c r="J156" s="655">
        <f t="shared" ref="J156:J164" si="43">IF(Total_Units&lt;&gt;0,+E156/Total_Units,0)</f>
        <v>0</v>
      </c>
      <c r="K156" s="202"/>
      <c r="L156" s="202"/>
      <c r="M156" s="202"/>
      <c r="N156" s="642"/>
      <c r="O156" s="642"/>
      <c r="P156" s="642"/>
      <c r="Q156" s="642"/>
      <c r="R156" s="642"/>
      <c r="S156" s="642"/>
      <c r="T156" s="642"/>
      <c r="U156" s="642"/>
      <c r="V156" s="642"/>
      <c r="W156" s="642"/>
      <c r="X156" s="642"/>
      <c r="Y156" s="642"/>
      <c r="Z156" s="642"/>
      <c r="AA156" s="642"/>
      <c r="AB156" s="642"/>
      <c r="AC156" s="642"/>
      <c r="AD156" s="642"/>
      <c r="AE156" s="642"/>
      <c r="AF156" s="642"/>
      <c r="AG156" s="642"/>
      <c r="AH156" s="642"/>
      <c r="AI156" s="642"/>
      <c r="AJ156" s="642"/>
      <c r="AK156" s="642"/>
      <c r="AL156" s="642"/>
      <c r="AM156" s="642"/>
      <c r="AN156" s="642"/>
      <c r="AO156" s="642"/>
      <c r="AP156" s="1278"/>
      <c r="AQ156" s="3"/>
      <c r="AR156" s="3"/>
      <c r="AS156" s="131"/>
      <c r="AT156" s="131"/>
      <c r="AU156" s="131"/>
      <c r="AV156" s="131"/>
      <c r="AW156" s="131"/>
      <c r="AX156" s="131"/>
    </row>
    <row r="157" spans="2:50" s="918" customFormat="1">
      <c r="B157" s="1278"/>
      <c r="C157" s="645" t="s">
        <v>4059</v>
      </c>
      <c r="D157" s="646"/>
      <c r="E157" s="1112">
        <f t="shared" ref="E157:E164" si="44">SUM(F157:H157)</f>
        <v>0</v>
      </c>
      <c r="F157" s="1111"/>
      <c r="G157" s="1111"/>
      <c r="H157" s="923"/>
      <c r="I157" s="1112">
        <f>IF('11. Unit Mix'!$G$142&lt;&gt;0,+E157/'11. Unit Mix'!$G$142,0)</f>
        <v>0</v>
      </c>
      <c r="J157" s="1112">
        <f t="shared" si="43"/>
        <v>0</v>
      </c>
      <c r="K157" s="202"/>
      <c r="L157" s="202"/>
      <c r="M157" s="202"/>
      <c r="N157" s="642"/>
      <c r="O157" s="642"/>
      <c r="P157" s="642"/>
      <c r="Q157" s="642"/>
      <c r="R157" s="642"/>
      <c r="S157" s="642"/>
      <c r="T157" s="642"/>
      <c r="U157" s="642"/>
      <c r="V157" s="642"/>
      <c r="W157" s="642"/>
      <c r="X157" s="642"/>
      <c r="Y157" s="642"/>
      <c r="Z157" s="642"/>
      <c r="AA157" s="642"/>
      <c r="AB157" s="642"/>
      <c r="AC157" s="642"/>
      <c r="AD157" s="642"/>
      <c r="AE157" s="642"/>
      <c r="AF157" s="642"/>
      <c r="AG157" s="642"/>
      <c r="AH157" s="642"/>
      <c r="AI157" s="642"/>
      <c r="AJ157" s="642"/>
      <c r="AK157" s="642"/>
      <c r="AL157" s="642"/>
      <c r="AM157" s="642"/>
      <c r="AN157" s="642"/>
      <c r="AO157" s="642"/>
      <c r="AP157" s="1278"/>
      <c r="AQ157" s="3"/>
      <c r="AR157" s="3"/>
      <c r="AS157" s="131"/>
      <c r="AT157" s="131"/>
      <c r="AU157" s="131"/>
      <c r="AV157" s="131"/>
      <c r="AW157" s="131"/>
      <c r="AX157" s="131"/>
    </row>
    <row r="158" spans="2:50" s="918" customFormat="1">
      <c r="B158" s="1278"/>
      <c r="C158" s="645" t="s">
        <v>4060</v>
      </c>
      <c r="D158" s="646"/>
      <c r="E158" s="1112">
        <f t="shared" si="44"/>
        <v>0</v>
      </c>
      <c r="F158" s="1111"/>
      <c r="G158" s="1111"/>
      <c r="H158" s="923"/>
      <c r="I158" s="1112">
        <f>IF('11. Unit Mix'!$G$142&lt;&gt;0,+E158/'11. Unit Mix'!$G$142,0)</f>
        <v>0</v>
      </c>
      <c r="J158" s="1112">
        <f t="shared" si="43"/>
        <v>0</v>
      </c>
      <c r="K158" s="202"/>
      <c r="L158" s="202"/>
      <c r="M158" s="202"/>
      <c r="N158" s="642"/>
      <c r="O158" s="642"/>
      <c r="P158" s="642"/>
      <c r="Q158" s="642"/>
      <c r="R158" s="642"/>
      <c r="S158" s="642"/>
      <c r="T158" s="642"/>
      <c r="U158" s="642"/>
      <c r="V158" s="642"/>
      <c r="W158" s="642"/>
      <c r="X158" s="642"/>
      <c r="Y158" s="642"/>
      <c r="Z158" s="642"/>
      <c r="AA158" s="642"/>
      <c r="AB158" s="642"/>
      <c r="AC158" s="642"/>
      <c r="AD158" s="642"/>
      <c r="AE158" s="642"/>
      <c r="AF158" s="642"/>
      <c r="AG158" s="642"/>
      <c r="AH158" s="642"/>
      <c r="AI158" s="642"/>
      <c r="AJ158" s="642"/>
      <c r="AK158" s="642"/>
      <c r="AL158" s="642"/>
      <c r="AM158" s="642"/>
      <c r="AN158" s="642"/>
      <c r="AO158" s="642"/>
      <c r="AP158" s="1278"/>
      <c r="AQ158" s="3"/>
      <c r="AR158" s="3"/>
      <c r="AS158" s="131"/>
      <c r="AT158" s="131"/>
      <c r="AU158" s="131"/>
      <c r="AV158" s="131"/>
      <c r="AW158" s="131"/>
      <c r="AX158" s="131"/>
    </row>
    <row r="159" spans="2:50" s="918" customFormat="1">
      <c r="B159" s="1278"/>
      <c r="C159" s="645" t="s">
        <v>4061</v>
      </c>
      <c r="D159" s="646"/>
      <c r="E159" s="1112">
        <f t="shared" si="44"/>
        <v>0</v>
      </c>
      <c r="F159" s="1111"/>
      <c r="G159" s="1111"/>
      <c r="H159" s="923"/>
      <c r="I159" s="1112">
        <f>IF('11. Unit Mix'!$G$142&lt;&gt;0,+E159/'11. Unit Mix'!$G$142,0)</f>
        <v>0</v>
      </c>
      <c r="J159" s="1112">
        <f t="shared" si="43"/>
        <v>0</v>
      </c>
      <c r="K159" s="202"/>
      <c r="L159" s="202"/>
      <c r="M159" s="202"/>
      <c r="N159" s="642"/>
      <c r="O159" s="642"/>
      <c r="P159" s="642"/>
      <c r="Q159" s="642"/>
      <c r="R159" s="642"/>
      <c r="S159" s="642"/>
      <c r="T159" s="642"/>
      <c r="U159" s="642"/>
      <c r="V159" s="642"/>
      <c r="W159" s="642"/>
      <c r="X159" s="642"/>
      <c r="Y159" s="642"/>
      <c r="Z159" s="642"/>
      <c r="AA159" s="642"/>
      <c r="AB159" s="642"/>
      <c r="AC159" s="642"/>
      <c r="AD159" s="642"/>
      <c r="AE159" s="642"/>
      <c r="AF159" s="642"/>
      <c r="AG159" s="642"/>
      <c r="AH159" s="642"/>
      <c r="AI159" s="642"/>
      <c r="AJ159" s="642"/>
      <c r="AK159" s="642"/>
      <c r="AL159" s="642"/>
      <c r="AM159" s="642"/>
      <c r="AN159" s="642"/>
      <c r="AO159" s="642"/>
      <c r="AP159" s="1278"/>
      <c r="AQ159" s="3"/>
      <c r="AR159" s="3"/>
      <c r="AS159" s="131"/>
      <c r="AT159" s="131"/>
      <c r="AU159" s="131"/>
      <c r="AV159" s="131"/>
      <c r="AW159" s="131"/>
      <c r="AX159" s="131"/>
    </row>
    <row r="160" spans="2:50" s="918" customFormat="1">
      <c r="B160" s="1278"/>
      <c r="C160" s="645" t="s">
        <v>4062</v>
      </c>
      <c r="D160" s="646"/>
      <c r="E160" s="1112">
        <f t="shared" si="44"/>
        <v>0</v>
      </c>
      <c r="F160" s="1111"/>
      <c r="G160" s="1111"/>
      <c r="H160" s="923"/>
      <c r="I160" s="1112">
        <f>IF('11. Unit Mix'!$G$142&lt;&gt;0,+E160/'11. Unit Mix'!$G$142,0)</f>
        <v>0</v>
      </c>
      <c r="J160" s="1112">
        <f t="shared" si="43"/>
        <v>0</v>
      </c>
      <c r="K160" s="202"/>
      <c r="L160" s="202"/>
      <c r="M160" s="202"/>
      <c r="N160" s="642"/>
      <c r="O160" s="642"/>
      <c r="P160" s="642"/>
      <c r="Q160" s="642"/>
      <c r="R160" s="642"/>
      <c r="S160" s="642"/>
      <c r="T160" s="642"/>
      <c r="U160" s="642"/>
      <c r="V160" s="642"/>
      <c r="W160" s="642"/>
      <c r="X160" s="642"/>
      <c r="Y160" s="642"/>
      <c r="Z160" s="642"/>
      <c r="AA160" s="642"/>
      <c r="AB160" s="642"/>
      <c r="AC160" s="642"/>
      <c r="AD160" s="642"/>
      <c r="AE160" s="642"/>
      <c r="AF160" s="642"/>
      <c r="AG160" s="642"/>
      <c r="AH160" s="642"/>
      <c r="AI160" s="642"/>
      <c r="AJ160" s="642"/>
      <c r="AK160" s="642"/>
      <c r="AL160" s="642"/>
      <c r="AM160" s="642"/>
      <c r="AN160" s="642"/>
      <c r="AO160" s="642"/>
      <c r="AP160" s="1278"/>
      <c r="AQ160" s="3"/>
      <c r="AR160" s="3"/>
      <c r="AS160" s="131"/>
      <c r="AT160" s="131"/>
      <c r="AU160" s="131"/>
      <c r="AV160" s="131"/>
      <c r="AW160" s="131"/>
      <c r="AX160" s="131"/>
    </row>
    <row r="161" spans="2:50" s="918" customFormat="1">
      <c r="B161" s="1278"/>
      <c r="C161" s="645" t="s">
        <v>4063</v>
      </c>
      <c r="D161" s="646"/>
      <c r="E161" s="1112">
        <f t="shared" si="44"/>
        <v>0</v>
      </c>
      <c r="F161" s="1111"/>
      <c r="G161" s="1111"/>
      <c r="H161" s="923"/>
      <c r="I161" s="1112">
        <f>IF('11. Unit Mix'!$G$142&lt;&gt;0,+E161/'11. Unit Mix'!$G$142,0)</f>
        <v>0</v>
      </c>
      <c r="J161" s="1112">
        <f t="shared" si="43"/>
        <v>0</v>
      </c>
      <c r="K161" s="202"/>
      <c r="L161" s="202"/>
      <c r="M161" s="202"/>
      <c r="N161" s="642"/>
      <c r="O161" s="642"/>
      <c r="P161" s="642"/>
      <c r="Q161" s="642"/>
      <c r="R161" s="642"/>
      <c r="S161" s="642"/>
      <c r="T161" s="642"/>
      <c r="U161" s="642"/>
      <c r="V161" s="642"/>
      <c r="W161" s="642"/>
      <c r="X161" s="642"/>
      <c r="Y161" s="642"/>
      <c r="Z161" s="642"/>
      <c r="AA161" s="642"/>
      <c r="AB161" s="642"/>
      <c r="AC161" s="642"/>
      <c r="AD161" s="642"/>
      <c r="AE161" s="642"/>
      <c r="AF161" s="642"/>
      <c r="AG161" s="642"/>
      <c r="AH161" s="642"/>
      <c r="AI161" s="642"/>
      <c r="AJ161" s="642"/>
      <c r="AK161" s="642"/>
      <c r="AL161" s="642"/>
      <c r="AM161" s="642"/>
      <c r="AN161" s="642"/>
      <c r="AO161" s="642"/>
      <c r="AP161" s="1278"/>
      <c r="AQ161" s="3"/>
      <c r="AR161" s="3"/>
      <c r="AS161" s="131"/>
      <c r="AT161" s="131"/>
      <c r="AU161" s="131"/>
      <c r="AV161" s="131"/>
      <c r="AW161" s="131"/>
      <c r="AX161" s="131"/>
    </row>
    <row r="162" spans="2:50" s="918" customFormat="1">
      <c r="B162" s="1278"/>
      <c r="C162" s="645" t="s">
        <v>4064</v>
      </c>
      <c r="D162" s="646"/>
      <c r="E162" s="1112">
        <f t="shared" si="44"/>
        <v>0</v>
      </c>
      <c r="F162" s="1111"/>
      <c r="G162" s="1111"/>
      <c r="H162" s="923"/>
      <c r="I162" s="1112">
        <f>IF('11. Unit Mix'!$G$142&lt;&gt;0,+E162/'11. Unit Mix'!$G$142,0)</f>
        <v>0</v>
      </c>
      <c r="J162" s="1112">
        <f t="shared" si="43"/>
        <v>0</v>
      </c>
      <c r="K162" s="202"/>
      <c r="L162" s="202"/>
      <c r="M162" s="202"/>
      <c r="N162" s="642"/>
      <c r="O162" s="642"/>
      <c r="P162" s="642"/>
      <c r="Q162" s="642"/>
      <c r="R162" s="642"/>
      <c r="S162" s="642"/>
      <c r="T162" s="642"/>
      <c r="U162" s="642"/>
      <c r="V162" s="642"/>
      <c r="W162" s="642"/>
      <c r="X162" s="642"/>
      <c r="Y162" s="642"/>
      <c r="Z162" s="642"/>
      <c r="AA162" s="642"/>
      <c r="AB162" s="642"/>
      <c r="AC162" s="642"/>
      <c r="AD162" s="642"/>
      <c r="AE162" s="642"/>
      <c r="AF162" s="642"/>
      <c r="AG162" s="642"/>
      <c r="AH162" s="642"/>
      <c r="AI162" s="642"/>
      <c r="AJ162" s="642"/>
      <c r="AK162" s="642"/>
      <c r="AL162" s="642"/>
      <c r="AM162" s="642"/>
      <c r="AN162" s="642"/>
      <c r="AO162" s="642"/>
      <c r="AP162" s="1278"/>
      <c r="AQ162" s="3"/>
      <c r="AR162" s="3"/>
      <c r="AS162" s="131"/>
      <c r="AT162" s="131"/>
      <c r="AU162" s="131"/>
      <c r="AV162" s="131"/>
      <c r="AW162" s="131"/>
      <c r="AX162" s="131"/>
    </row>
    <row r="163" spans="2:50" s="918" customFormat="1">
      <c r="B163" s="1278"/>
      <c r="C163" s="645" t="s">
        <v>4065</v>
      </c>
      <c r="D163" s="646"/>
      <c r="E163" s="1112">
        <f t="shared" si="44"/>
        <v>0</v>
      </c>
      <c r="F163" s="1111"/>
      <c r="G163" s="1111"/>
      <c r="H163" s="923"/>
      <c r="I163" s="1112">
        <f>IF('11. Unit Mix'!$G$142&lt;&gt;0,+E163/'11. Unit Mix'!$G$142,0)</f>
        <v>0</v>
      </c>
      <c r="J163" s="1112">
        <f t="shared" si="43"/>
        <v>0</v>
      </c>
      <c r="K163" s="202"/>
      <c r="L163" s="202"/>
      <c r="M163" s="202"/>
      <c r="N163" s="642"/>
      <c r="O163" s="642"/>
      <c r="P163" s="642"/>
      <c r="Q163" s="642"/>
      <c r="R163" s="642"/>
      <c r="S163" s="642"/>
      <c r="T163" s="642"/>
      <c r="U163" s="642"/>
      <c r="V163" s="642"/>
      <c r="W163" s="642"/>
      <c r="X163" s="642"/>
      <c r="Y163" s="642"/>
      <c r="Z163" s="642"/>
      <c r="AA163" s="642"/>
      <c r="AB163" s="642"/>
      <c r="AC163" s="642"/>
      <c r="AD163" s="642"/>
      <c r="AE163" s="642"/>
      <c r="AF163" s="642"/>
      <c r="AG163" s="642"/>
      <c r="AH163" s="642"/>
      <c r="AI163" s="642"/>
      <c r="AJ163" s="642"/>
      <c r="AK163" s="642"/>
      <c r="AL163" s="642"/>
      <c r="AM163" s="642"/>
      <c r="AN163" s="642"/>
      <c r="AO163" s="642"/>
      <c r="AP163" s="1278"/>
      <c r="AQ163" s="3"/>
      <c r="AR163" s="3"/>
      <c r="AS163" s="131"/>
      <c r="AT163" s="131"/>
      <c r="AU163" s="131"/>
      <c r="AV163" s="131"/>
      <c r="AW163" s="131"/>
      <c r="AX163" s="131"/>
    </row>
    <row r="164" spans="2:50" s="919" customFormat="1">
      <c r="B164" s="1278"/>
      <c r="C164" s="645" t="s">
        <v>4066</v>
      </c>
      <c r="D164" s="646"/>
      <c r="E164" s="1112">
        <f t="shared" si="44"/>
        <v>0</v>
      </c>
      <c r="F164" s="1111"/>
      <c r="G164" s="1111"/>
      <c r="H164" s="923"/>
      <c r="I164" s="1112">
        <f>IF('11. Unit Mix'!$G$142&lt;&gt;0,+E164/'11. Unit Mix'!$G$142,0)</f>
        <v>0</v>
      </c>
      <c r="J164" s="1112">
        <f t="shared" si="43"/>
        <v>0</v>
      </c>
      <c r="K164" s="202"/>
      <c r="L164" s="202"/>
      <c r="M164" s="202"/>
      <c r="N164" s="1081"/>
      <c r="O164" s="1081"/>
      <c r="P164" s="1081"/>
      <c r="Q164" s="1081"/>
      <c r="R164" s="1081"/>
      <c r="S164" s="1081"/>
      <c r="T164" s="1081"/>
      <c r="U164" s="1081"/>
      <c r="V164" s="1081"/>
      <c r="W164" s="1081"/>
      <c r="X164" s="1081"/>
      <c r="Y164" s="1081"/>
      <c r="Z164" s="1081"/>
      <c r="AA164" s="1081"/>
      <c r="AB164" s="1081"/>
      <c r="AC164" s="1081"/>
      <c r="AD164" s="1081"/>
      <c r="AE164" s="1081"/>
      <c r="AF164" s="1081"/>
      <c r="AG164" s="1081"/>
      <c r="AH164" s="1081"/>
      <c r="AI164" s="1081"/>
      <c r="AJ164" s="1081"/>
      <c r="AK164" s="1081"/>
      <c r="AL164" s="1081"/>
      <c r="AM164" s="1081"/>
      <c r="AN164" s="1081"/>
      <c r="AO164" s="1081"/>
      <c r="AP164" s="1278"/>
      <c r="AQ164" s="3"/>
      <c r="AR164" s="3"/>
      <c r="AS164" s="131"/>
      <c r="AT164" s="131"/>
      <c r="AU164" s="131"/>
      <c r="AV164" s="131"/>
      <c r="AW164" s="131"/>
      <c r="AX164" s="131"/>
    </row>
    <row r="165" spans="2:50" s="918" customFormat="1">
      <c r="B165" s="1278"/>
      <c r="C165" s="1279"/>
      <c r="D165" s="1279"/>
      <c r="E165" s="1279"/>
      <c r="F165" s="1279"/>
      <c r="G165" s="1279"/>
      <c r="H165" s="1279"/>
      <c r="I165" s="1279"/>
      <c r="J165" s="1279"/>
      <c r="K165" s="202"/>
      <c r="L165" s="202"/>
      <c r="M165" s="202"/>
      <c r="N165" s="642"/>
      <c r="O165" s="642"/>
      <c r="P165" s="642"/>
      <c r="Q165" s="642"/>
      <c r="R165" s="642"/>
      <c r="S165" s="642"/>
      <c r="T165" s="642"/>
      <c r="U165" s="642"/>
      <c r="V165" s="642"/>
      <c r="W165" s="642"/>
      <c r="X165" s="642"/>
      <c r="Y165" s="642"/>
      <c r="Z165" s="642"/>
      <c r="AA165" s="642"/>
      <c r="AB165" s="642"/>
      <c r="AC165" s="642"/>
      <c r="AD165" s="642"/>
      <c r="AE165" s="642"/>
      <c r="AF165" s="642"/>
      <c r="AG165" s="642"/>
      <c r="AH165" s="642"/>
      <c r="AI165" s="642"/>
      <c r="AJ165" s="642"/>
      <c r="AK165" s="642"/>
      <c r="AL165" s="642"/>
      <c r="AM165" s="642"/>
      <c r="AN165" s="642"/>
      <c r="AO165" s="642"/>
      <c r="AP165" s="1278"/>
      <c r="AQ165" s="3"/>
      <c r="AR165" s="3"/>
      <c r="AS165" s="131"/>
      <c r="AT165" s="131"/>
      <c r="AU165" s="131"/>
      <c r="AV165" s="131"/>
      <c r="AW165" s="131"/>
      <c r="AX165" s="131"/>
    </row>
    <row r="166" spans="2:50" s="918" customFormat="1">
      <c r="B166" s="1278"/>
      <c r="C166" s="643" t="s">
        <v>4067</v>
      </c>
      <c r="D166" s="644"/>
      <c r="E166" s="655">
        <f>+SUM(E167:E171)</f>
        <v>0</v>
      </c>
      <c r="F166" s="655">
        <f t="shared" ref="F166:H166" si="45">+SUM(F167:F171)</f>
        <v>0</v>
      </c>
      <c r="G166" s="655">
        <f t="shared" si="45"/>
        <v>0</v>
      </c>
      <c r="H166" s="655">
        <f t="shared" si="45"/>
        <v>0</v>
      </c>
      <c r="I166" s="655">
        <f>IF('11. Unit Mix'!$G$142&lt;&gt;0,+E166/'11. Unit Mix'!$G$142,0)</f>
        <v>0</v>
      </c>
      <c r="J166" s="655">
        <f t="shared" ref="J166:J171" si="46">IF(Total_Units&lt;&gt;0,+E166/Total_Units,0)</f>
        <v>0</v>
      </c>
      <c r="K166" s="202"/>
      <c r="L166" s="202"/>
      <c r="M166" s="202"/>
      <c r="N166" s="642"/>
      <c r="O166" s="642"/>
      <c r="P166" s="642"/>
      <c r="Q166" s="642"/>
      <c r="R166" s="642"/>
      <c r="S166" s="642"/>
      <c r="T166" s="642"/>
      <c r="U166" s="642"/>
      <c r="V166" s="642"/>
      <c r="W166" s="642"/>
      <c r="X166" s="642"/>
      <c r="Y166" s="642"/>
      <c r="Z166" s="642"/>
      <c r="AA166" s="642"/>
      <c r="AB166" s="642"/>
      <c r="AC166" s="642"/>
      <c r="AD166" s="642"/>
      <c r="AE166" s="642"/>
      <c r="AF166" s="642"/>
      <c r="AG166" s="642"/>
      <c r="AH166" s="642"/>
      <c r="AI166" s="642"/>
      <c r="AJ166" s="642"/>
      <c r="AK166" s="642"/>
      <c r="AL166" s="642"/>
      <c r="AM166" s="642"/>
      <c r="AN166" s="642"/>
      <c r="AO166" s="642"/>
      <c r="AP166" s="1278"/>
      <c r="AQ166" s="3"/>
      <c r="AR166" s="3"/>
      <c r="AS166" s="131"/>
      <c r="AT166" s="131"/>
      <c r="AU166" s="131"/>
      <c r="AV166" s="131"/>
      <c r="AW166" s="131"/>
      <c r="AX166" s="131"/>
    </row>
    <row r="167" spans="2:50" s="918" customFormat="1">
      <c r="B167" s="1278"/>
      <c r="C167" s="645" t="s">
        <v>4068</v>
      </c>
      <c r="D167" s="646"/>
      <c r="E167" s="1112">
        <f t="shared" ref="E167:E171" si="47">SUM(F167:H167)</f>
        <v>0</v>
      </c>
      <c r="F167" s="1111"/>
      <c r="G167" s="1111"/>
      <c r="H167" s="923"/>
      <c r="I167" s="1112">
        <f>IF('11. Unit Mix'!$G$142&lt;&gt;0,+E167/'11. Unit Mix'!$G$142,0)</f>
        <v>0</v>
      </c>
      <c r="J167" s="1112">
        <f t="shared" si="46"/>
        <v>0</v>
      </c>
      <c r="K167" s="202"/>
      <c r="L167" s="202"/>
      <c r="M167" s="202"/>
      <c r="N167" s="642"/>
      <c r="O167" s="642"/>
      <c r="P167" s="642"/>
      <c r="Q167" s="642"/>
      <c r="R167" s="642"/>
      <c r="S167" s="642"/>
      <c r="T167" s="642"/>
      <c r="U167" s="642"/>
      <c r="V167" s="642"/>
      <c r="W167" s="642"/>
      <c r="X167" s="642"/>
      <c r="Y167" s="642"/>
      <c r="Z167" s="642"/>
      <c r="AA167" s="642"/>
      <c r="AB167" s="642"/>
      <c r="AC167" s="642"/>
      <c r="AD167" s="642"/>
      <c r="AE167" s="642"/>
      <c r="AF167" s="642"/>
      <c r="AG167" s="642"/>
      <c r="AH167" s="642"/>
      <c r="AI167" s="642"/>
      <c r="AJ167" s="642"/>
      <c r="AK167" s="642"/>
      <c r="AL167" s="642"/>
      <c r="AM167" s="642"/>
      <c r="AN167" s="642"/>
      <c r="AO167" s="642"/>
      <c r="AP167" s="1278"/>
      <c r="AQ167" s="3"/>
      <c r="AR167" s="3"/>
      <c r="AS167" s="131"/>
      <c r="AT167" s="131"/>
      <c r="AU167" s="131"/>
      <c r="AV167" s="131"/>
      <c r="AW167" s="131"/>
      <c r="AX167" s="131"/>
    </row>
    <row r="168" spans="2:50" s="918" customFormat="1">
      <c r="B168" s="1278"/>
      <c r="C168" s="645" t="s">
        <v>4069</v>
      </c>
      <c r="D168" s="646"/>
      <c r="E168" s="1112">
        <f t="shared" si="47"/>
        <v>0</v>
      </c>
      <c r="F168" s="1111"/>
      <c r="G168" s="1111"/>
      <c r="H168" s="923"/>
      <c r="I168" s="1112">
        <f>IF('11. Unit Mix'!$G$142&lt;&gt;0,+E168/'11. Unit Mix'!$G$142,0)</f>
        <v>0</v>
      </c>
      <c r="J168" s="1112">
        <f t="shared" si="46"/>
        <v>0</v>
      </c>
      <c r="K168" s="202"/>
      <c r="L168" s="202"/>
      <c r="M168" s="202"/>
      <c r="N168" s="642"/>
      <c r="O168" s="642"/>
      <c r="P168" s="642"/>
      <c r="Q168" s="642"/>
      <c r="R168" s="642"/>
      <c r="S168" s="642"/>
      <c r="T168" s="642"/>
      <c r="U168" s="642"/>
      <c r="V168" s="642"/>
      <c r="W168" s="642"/>
      <c r="X168" s="642"/>
      <c r="Y168" s="642"/>
      <c r="Z168" s="642"/>
      <c r="AA168" s="642"/>
      <c r="AB168" s="642"/>
      <c r="AC168" s="642"/>
      <c r="AD168" s="642"/>
      <c r="AE168" s="642"/>
      <c r="AF168" s="642"/>
      <c r="AG168" s="642"/>
      <c r="AH168" s="642"/>
      <c r="AI168" s="642"/>
      <c r="AJ168" s="642"/>
      <c r="AK168" s="642"/>
      <c r="AL168" s="642"/>
      <c r="AM168" s="642"/>
      <c r="AN168" s="642"/>
      <c r="AO168" s="642"/>
      <c r="AP168" s="1278"/>
      <c r="AQ168" s="3"/>
      <c r="AR168" s="3"/>
      <c r="AS168" s="131"/>
      <c r="AT168" s="131"/>
      <c r="AU168" s="131"/>
      <c r="AV168" s="131"/>
      <c r="AW168" s="131"/>
      <c r="AX168" s="131"/>
    </row>
    <row r="169" spans="2:50" s="918" customFormat="1">
      <c r="B169" s="1278"/>
      <c r="C169" s="645" t="s">
        <v>4070</v>
      </c>
      <c r="D169" s="646"/>
      <c r="E169" s="1112">
        <f t="shared" si="47"/>
        <v>0</v>
      </c>
      <c r="F169" s="1111"/>
      <c r="G169" s="1111"/>
      <c r="H169" s="923"/>
      <c r="I169" s="1112">
        <f>IF('11. Unit Mix'!$G$142&lt;&gt;0,+E169/'11. Unit Mix'!$G$142,0)</f>
        <v>0</v>
      </c>
      <c r="J169" s="1112">
        <f t="shared" si="46"/>
        <v>0</v>
      </c>
      <c r="K169" s="202"/>
      <c r="L169" s="202"/>
      <c r="M169" s="202"/>
      <c r="N169" s="642"/>
      <c r="O169" s="642"/>
      <c r="P169" s="642"/>
      <c r="Q169" s="642"/>
      <c r="R169" s="642"/>
      <c r="S169" s="642"/>
      <c r="T169" s="642"/>
      <c r="U169" s="642"/>
      <c r="V169" s="642"/>
      <c r="W169" s="642"/>
      <c r="X169" s="642"/>
      <c r="Y169" s="642"/>
      <c r="Z169" s="642"/>
      <c r="AA169" s="642"/>
      <c r="AB169" s="642"/>
      <c r="AC169" s="642"/>
      <c r="AD169" s="642"/>
      <c r="AE169" s="642"/>
      <c r="AF169" s="642"/>
      <c r="AG169" s="642"/>
      <c r="AH169" s="642"/>
      <c r="AI169" s="642"/>
      <c r="AJ169" s="642"/>
      <c r="AK169" s="642"/>
      <c r="AL169" s="642"/>
      <c r="AM169" s="642"/>
      <c r="AN169" s="642"/>
      <c r="AO169" s="642"/>
      <c r="AP169" s="1278"/>
      <c r="AQ169" s="3"/>
      <c r="AR169" s="3"/>
      <c r="AS169" s="131"/>
      <c r="AT169" s="131"/>
      <c r="AU169" s="131"/>
      <c r="AV169" s="131"/>
      <c r="AW169" s="131"/>
      <c r="AX169" s="131"/>
    </row>
    <row r="170" spans="2:50" s="918" customFormat="1">
      <c r="B170" s="1278"/>
      <c r="C170" s="645" t="s">
        <v>4071</v>
      </c>
      <c r="D170" s="646"/>
      <c r="E170" s="1112">
        <f t="shared" si="47"/>
        <v>0</v>
      </c>
      <c r="F170" s="1111"/>
      <c r="G170" s="1111"/>
      <c r="H170" s="923"/>
      <c r="I170" s="1112">
        <f>IF('11. Unit Mix'!$G$142&lt;&gt;0,+E170/'11. Unit Mix'!$G$142,0)</f>
        <v>0</v>
      </c>
      <c r="J170" s="1112">
        <f t="shared" si="46"/>
        <v>0</v>
      </c>
      <c r="K170" s="202"/>
      <c r="L170" s="202"/>
      <c r="M170" s="202"/>
      <c r="N170" s="642"/>
      <c r="O170" s="642"/>
      <c r="P170" s="642"/>
      <c r="Q170" s="642"/>
      <c r="R170" s="642"/>
      <c r="S170" s="642"/>
      <c r="T170" s="642"/>
      <c r="U170" s="642"/>
      <c r="V170" s="642"/>
      <c r="W170" s="642"/>
      <c r="X170" s="642"/>
      <c r="Y170" s="642"/>
      <c r="Z170" s="642"/>
      <c r="AA170" s="642"/>
      <c r="AB170" s="642"/>
      <c r="AC170" s="642"/>
      <c r="AD170" s="642"/>
      <c r="AE170" s="642"/>
      <c r="AF170" s="642"/>
      <c r="AG170" s="642"/>
      <c r="AH170" s="642"/>
      <c r="AI170" s="642"/>
      <c r="AJ170" s="642"/>
      <c r="AK170" s="642"/>
      <c r="AL170" s="642"/>
      <c r="AM170" s="642"/>
      <c r="AN170" s="642"/>
      <c r="AO170" s="642"/>
      <c r="AP170" s="1278"/>
      <c r="AQ170" s="3"/>
      <c r="AR170" s="3"/>
      <c r="AS170" s="131"/>
      <c r="AT170" s="131"/>
      <c r="AU170" s="131"/>
      <c r="AV170" s="131"/>
      <c r="AW170" s="131"/>
      <c r="AX170" s="131"/>
    </row>
    <row r="171" spans="2:50" s="919" customFormat="1">
      <c r="B171" s="1278"/>
      <c r="C171" s="645" t="s">
        <v>4072</v>
      </c>
      <c r="D171" s="646"/>
      <c r="E171" s="1112">
        <f t="shared" si="47"/>
        <v>0</v>
      </c>
      <c r="F171" s="1111"/>
      <c r="G171" s="1111"/>
      <c r="H171" s="923"/>
      <c r="I171" s="1112">
        <f>IF('11. Unit Mix'!$G$142&lt;&gt;0,+E171/'11. Unit Mix'!$G$142,0)</f>
        <v>0</v>
      </c>
      <c r="J171" s="1112">
        <f t="shared" si="46"/>
        <v>0</v>
      </c>
      <c r="K171" s="202"/>
      <c r="L171" s="202"/>
      <c r="M171" s="202"/>
      <c r="N171" s="1081"/>
      <c r="O171" s="1081"/>
      <c r="P171" s="1081"/>
      <c r="Q171" s="1081"/>
      <c r="R171" s="1081"/>
      <c r="S171" s="1081"/>
      <c r="T171" s="1081"/>
      <c r="U171" s="1081"/>
      <c r="V171" s="1081"/>
      <c r="W171" s="1081"/>
      <c r="X171" s="1081"/>
      <c r="Y171" s="1081"/>
      <c r="Z171" s="1081"/>
      <c r="AA171" s="1081"/>
      <c r="AB171" s="1081"/>
      <c r="AC171" s="1081"/>
      <c r="AD171" s="1081"/>
      <c r="AE171" s="1081"/>
      <c r="AF171" s="1081"/>
      <c r="AG171" s="1081"/>
      <c r="AH171" s="1081"/>
      <c r="AI171" s="1081"/>
      <c r="AJ171" s="1081"/>
      <c r="AK171" s="1081"/>
      <c r="AL171" s="1081"/>
      <c r="AM171" s="1081"/>
      <c r="AN171" s="1081"/>
      <c r="AO171" s="1081"/>
      <c r="AP171" s="1278"/>
      <c r="AQ171" s="3"/>
      <c r="AR171" s="3"/>
      <c r="AS171" s="131"/>
      <c r="AT171" s="131"/>
      <c r="AU171" s="131"/>
      <c r="AV171" s="131"/>
      <c r="AW171" s="131"/>
      <c r="AX171" s="131"/>
    </row>
    <row r="172" spans="2:50" s="918" customFormat="1">
      <c r="B172" s="1278"/>
      <c r="C172" s="1279"/>
      <c r="D172" s="1279"/>
      <c r="E172" s="1279"/>
      <c r="F172" s="1279"/>
      <c r="G172" s="1279"/>
      <c r="H172" s="1279"/>
      <c r="I172" s="1279"/>
      <c r="J172" s="1279"/>
      <c r="K172" s="202"/>
      <c r="L172" s="202"/>
      <c r="M172" s="202"/>
      <c r="N172" s="642"/>
      <c r="O172" s="642"/>
      <c r="P172" s="642"/>
      <c r="Q172" s="642"/>
      <c r="R172" s="642"/>
      <c r="S172" s="642"/>
      <c r="T172" s="642"/>
      <c r="U172" s="642"/>
      <c r="V172" s="642"/>
      <c r="W172" s="642"/>
      <c r="X172" s="642"/>
      <c r="Y172" s="642"/>
      <c r="Z172" s="642"/>
      <c r="AA172" s="642"/>
      <c r="AB172" s="642"/>
      <c r="AC172" s="642"/>
      <c r="AD172" s="642"/>
      <c r="AE172" s="642"/>
      <c r="AF172" s="642"/>
      <c r="AG172" s="642"/>
      <c r="AH172" s="642"/>
      <c r="AI172" s="642"/>
      <c r="AJ172" s="642"/>
      <c r="AK172" s="642"/>
      <c r="AL172" s="642"/>
      <c r="AM172" s="642"/>
      <c r="AN172" s="642"/>
      <c r="AO172" s="642"/>
      <c r="AP172" s="1278"/>
      <c r="AQ172" s="3"/>
      <c r="AR172" s="3"/>
      <c r="AS172" s="131"/>
      <c r="AT172" s="131"/>
      <c r="AU172" s="131"/>
      <c r="AV172" s="131"/>
      <c r="AW172" s="131"/>
      <c r="AX172" s="131"/>
    </row>
    <row r="173" spans="2:50" s="918" customFormat="1">
      <c r="B173" s="1278"/>
      <c r="C173" s="643" t="s">
        <v>4073</v>
      </c>
      <c r="D173" s="644"/>
      <c r="E173" s="655">
        <f>+SUM(E174:E179)</f>
        <v>0</v>
      </c>
      <c r="F173" s="655">
        <f t="shared" ref="F173:H173" si="48">+SUM(F174:F179)</f>
        <v>0</v>
      </c>
      <c r="G173" s="655">
        <f t="shared" si="48"/>
        <v>0</v>
      </c>
      <c r="H173" s="655">
        <f t="shared" si="48"/>
        <v>0</v>
      </c>
      <c r="I173" s="655">
        <f>IF('11. Unit Mix'!$G$142&lt;&gt;0,+E173/'11. Unit Mix'!$G$142,0)</f>
        <v>0</v>
      </c>
      <c r="J173" s="655">
        <f t="shared" ref="J173:J179" si="49">IF(Total_Units&lt;&gt;0,+E173/Total_Units,0)</f>
        <v>0</v>
      </c>
      <c r="K173" s="202"/>
      <c r="L173" s="202"/>
      <c r="M173" s="202"/>
      <c r="N173" s="642"/>
      <c r="O173" s="642"/>
      <c r="P173" s="642"/>
      <c r="Q173" s="642"/>
      <c r="R173" s="642"/>
      <c r="S173" s="642"/>
      <c r="T173" s="642"/>
      <c r="U173" s="642"/>
      <c r="V173" s="642"/>
      <c r="W173" s="642"/>
      <c r="X173" s="642"/>
      <c r="Y173" s="642"/>
      <c r="Z173" s="642"/>
      <c r="AA173" s="642"/>
      <c r="AB173" s="642"/>
      <c r="AC173" s="642"/>
      <c r="AD173" s="642"/>
      <c r="AE173" s="642"/>
      <c r="AF173" s="642"/>
      <c r="AG173" s="642"/>
      <c r="AH173" s="642"/>
      <c r="AI173" s="642"/>
      <c r="AJ173" s="642"/>
      <c r="AK173" s="642"/>
      <c r="AL173" s="642"/>
      <c r="AM173" s="642"/>
      <c r="AN173" s="642"/>
      <c r="AO173" s="642"/>
      <c r="AP173" s="1278"/>
      <c r="AQ173" s="3"/>
      <c r="AR173" s="3"/>
      <c r="AS173" s="131"/>
      <c r="AT173" s="131"/>
      <c r="AU173" s="131"/>
      <c r="AV173" s="131"/>
      <c r="AW173" s="131"/>
      <c r="AX173" s="131"/>
    </row>
    <row r="174" spans="2:50" s="918" customFormat="1">
      <c r="B174" s="1278"/>
      <c r="C174" s="645" t="s">
        <v>4074</v>
      </c>
      <c r="D174" s="646"/>
      <c r="E174" s="1112">
        <f t="shared" ref="E174:E179" si="50">SUM(F174:H174)</f>
        <v>0</v>
      </c>
      <c r="F174" s="1111"/>
      <c r="G174" s="1111"/>
      <c r="H174" s="923"/>
      <c r="I174" s="1112">
        <f>IF('11. Unit Mix'!$G$142&lt;&gt;0,+E174/'11. Unit Mix'!$G$142,0)</f>
        <v>0</v>
      </c>
      <c r="J174" s="1112">
        <f t="shared" si="49"/>
        <v>0</v>
      </c>
      <c r="K174" s="202"/>
      <c r="L174" s="202"/>
      <c r="M174" s="202"/>
      <c r="N174" s="642"/>
      <c r="O174" s="642"/>
      <c r="P174" s="642"/>
      <c r="Q174" s="642"/>
      <c r="R174" s="642"/>
      <c r="S174" s="642"/>
      <c r="T174" s="642"/>
      <c r="U174" s="642"/>
      <c r="V174" s="642"/>
      <c r="W174" s="642"/>
      <c r="X174" s="642"/>
      <c r="Y174" s="642"/>
      <c r="Z174" s="642"/>
      <c r="AA174" s="642"/>
      <c r="AB174" s="642"/>
      <c r="AC174" s="642"/>
      <c r="AD174" s="642"/>
      <c r="AE174" s="642"/>
      <c r="AF174" s="642"/>
      <c r="AG174" s="642"/>
      <c r="AH174" s="642"/>
      <c r="AI174" s="642"/>
      <c r="AJ174" s="642"/>
      <c r="AK174" s="642"/>
      <c r="AL174" s="642"/>
      <c r="AM174" s="642"/>
      <c r="AN174" s="642"/>
      <c r="AO174" s="642"/>
      <c r="AP174" s="1278"/>
      <c r="AQ174" s="3"/>
      <c r="AR174" s="3"/>
      <c r="AS174" s="131"/>
      <c r="AT174" s="131"/>
      <c r="AU174" s="131"/>
      <c r="AV174" s="131"/>
      <c r="AW174" s="131"/>
      <c r="AX174" s="131"/>
    </row>
    <row r="175" spans="2:50" s="918" customFormat="1">
      <c r="B175" s="1278"/>
      <c r="C175" s="645" t="s">
        <v>4075</v>
      </c>
      <c r="D175" s="646"/>
      <c r="E175" s="1112">
        <f t="shared" si="50"/>
        <v>0</v>
      </c>
      <c r="F175" s="1111"/>
      <c r="G175" s="1111"/>
      <c r="H175" s="923"/>
      <c r="I175" s="1112">
        <f>IF('11. Unit Mix'!$G$142&lt;&gt;0,+E175/'11. Unit Mix'!$G$142,0)</f>
        <v>0</v>
      </c>
      <c r="J175" s="1112">
        <f t="shared" si="49"/>
        <v>0</v>
      </c>
      <c r="K175" s="202"/>
      <c r="L175" s="202"/>
      <c r="M175" s="202"/>
      <c r="N175" s="642"/>
      <c r="O175" s="642"/>
      <c r="P175" s="642"/>
      <c r="Q175" s="642"/>
      <c r="R175" s="642"/>
      <c r="S175" s="642"/>
      <c r="T175" s="642"/>
      <c r="U175" s="642"/>
      <c r="V175" s="642"/>
      <c r="W175" s="642"/>
      <c r="X175" s="642"/>
      <c r="Y175" s="642"/>
      <c r="Z175" s="642"/>
      <c r="AA175" s="642"/>
      <c r="AB175" s="642"/>
      <c r="AC175" s="642"/>
      <c r="AD175" s="642"/>
      <c r="AE175" s="642"/>
      <c r="AF175" s="642"/>
      <c r="AG175" s="642"/>
      <c r="AH175" s="642"/>
      <c r="AI175" s="642"/>
      <c r="AJ175" s="642"/>
      <c r="AK175" s="642"/>
      <c r="AL175" s="642"/>
      <c r="AM175" s="642"/>
      <c r="AN175" s="642"/>
      <c r="AO175" s="642"/>
      <c r="AP175" s="1278"/>
      <c r="AQ175" s="3"/>
      <c r="AR175" s="3"/>
      <c r="AS175" s="131"/>
      <c r="AT175" s="131"/>
      <c r="AU175" s="131"/>
      <c r="AV175" s="131"/>
      <c r="AW175" s="131"/>
      <c r="AX175" s="131"/>
    </row>
    <row r="176" spans="2:50" s="918" customFormat="1">
      <c r="B176" s="1278"/>
      <c r="C176" s="645" t="s">
        <v>4076</v>
      </c>
      <c r="D176" s="646"/>
      <c r="E176" s="1112">
        <f t="shared" si="50"/>
        <v>0</v>
      </c>
      <c r="F176" s="1111"/>
      <c r="G176" s="1111"/>
      <c r="H176" s="923"/>
      <c r="I176" s="1112">
        <f>IF('11. Unit Mix'!$G$142&lt;&gt;0,+E176/'11. Unit Mix'!$G$142,0)</f>
        <v>0</v>
      </c>
      <c r="J176" s="1112">
        <f t="shared" si="49"/>
        <v>0</v>
      </c>
      <c r="K176" s="202"/>
      <c r="L176" s="202"/>
      <c r="M176" s="202"/>
      <c r="N176" s="642"/>
      <c r="O176" s="642"/>
      <c r="P176" s="642"/>
      <c r="Q176" s="642"/>
      <c r="R176" s="642"/>
      <c r="S176" s="642"/>
      <c r="T176" s="642"/>
      <c r="U176" s="642"/>
      <c r="V176" s="642"/>
      <c r="W176" s="642"/>
      <c r="X176" s="642"/>
      <c r="Y176" s="642"/>
      <c r="Z176" s="642"/>
      <c r="AA176" s="642"/>
      <c r="AB176" s="642"/>
      <c r="AC176" s="642"/>
      <c r="AD176" s="642"/>
      <c r="AE176" s="642"/>
      <c r="AF176" s="642"/>
      <c r="AG176" s="642"/>
      <c r="AH176" s="642"/>
      <c r="AI176" s="642"/>
      <c r="AJ176" s="642"/>
      <c r="AK176" s="642"/>
      <c r="AL176" s="642"/>
      <c r="AM176" s="642"/>
      <c r="AN176" s="642"/>
      <c r="AO176" s="642"/>
      <c r="AP176" s="1278"/>
      <c r="AQ176" s="3"/>
      <c r="AR176" s="3"/>
      <c r="AS176" s="131"/>
      <c r="AT176" s="131"/>
      <c r="AU176" s="131"/>
      <c r="AV176" s="131"/>
      <c r="AW176" s="131"/>
      <c r="AX176" s="131"/>
    </row>
    <row r="177" spans="2:50" s="918" customFormat="1">
      <c r="B177" s="1278"/>
      <c r="C177" s="645" t="s">
        <v>4077</v>
      </c>
      <c r="D177" s="646"/>
      <c r="E177" s="1112">
        <f t="shared" si="50"/>
        <v>0</v>
      </c>
      <c r="F177" s="1111"/>
      <c r="G177" s="1111"/>
      <c r="H177" s="923"/>
      <c r="I177" s="1112">
        <f>IF('11. Unit Mix'!$G$142&lt;&gt;0,+E177/'11. Unit Mix'!$G$142,0)</f>
        <v>0</v>
      </c>
      <c r="J177" s="1112">
        <f t="shared" si="49"/>
        <v>0</v>
      </c>
      <c r="K177" s="202"/>
      <c r="L177" s="202"/>
      <c r="M177" s="202"/>
      <c r="N177" s="642"/>
      <c r="O177" s="642"/>
      <c r="P177" s="642"/>
      <c r="Q177" s="642"/>
      <c r="R177" s="642"/>
      <c r="S177" s="642"/>
      <c r="T177" s="642"/>
      <c r="U177" s="642"/>
      <c r="V177" s="642"/>
      <c r="W177" s="642"/>
      <c r="X177" s="642"/>
      <c r="Y177" s="642"/>
      <c r="Z177" s="642"/>
      <c r="AA177" s="642"/>
      <c r="AB177" s="642"/>
      <c r="AC177" s="642"/>
      <c r="AD177" s="642"/>
      <c r="AE177" s="642"/>
      <c r="AF177" s="642"/>
      <c r="AG177" s="642"/>
      <c r="AH177" s="642"/>
      <c r="AI177" s="642"/>
      <c r="AJ177" s="642"/>
      <c r="AK177" s="642"/>
      <c r="AL177" s="642"/>
      <c r="AM177" s="642"/>
      <c r="AN177" s="642"/>
      <c r="AO177" s="642"/>
      <c r="AP177" s="1278"/>
      <c r="AQ177" s="3"/>
      <c r="AR177" s="3"/>
      <c r="AS177" s="131"/>
      <c r="AT177" s="131"/>
      <c r="AU177" s="131"/>
      <c r="AV177" s="131"/>
      <c r="AW177" s="131"/>
      <c r="AX177" s="131"/>
    </row>
    <row r="178" spans="2:50" s="918" customFormat="1">
      <c r="B178" s="1278"/>
      <c r="C178" s="645" t="s">
        <v>4078</v>
      </c>
      <c r="D178" s="646"/>
      <c r="E178" s="1112">
        <f t="shared" si="50"/>
        <v>0</v>
      </c>
      <c r="F178" s="1111"/>
      <c r="G178" s="1111"/>
      <c r="H178" s="923"/>
      <c r="I178" s="1112">
        <f>IF('11. Unit Mix'!$G$142&lt;&gt;0,+E178/'11. Unit Mix'!$G$142,0)</f>
        <v>0</v>
      </c>
      <c r="J178" s="1112">
        <f t="shared" si="49"/>
        <v>0</v>
      </c>
      <c r="K178" s="202"/>
      <c r="L178" s="202"/>
      <c r="M178" s="202"/>
      <c r="N178" s="642"/>
      <c r="O178" s="642"/>
      <c r="P178" s="642"/>
      <c r="Q178" s="642"/>
      <c r="R178" s="642"/>
      <c r="S178" s="642"/>
      <c r="T178" s="642"/>
      <c r="U178" s="642"/>
      <c r="V178" s="642"/>
      <c r="W178" s="642"/>
      <c r="X178" s="642"/>
      <c r="Y178" s="642"/>
      <c r="Z178" s="642"/>
      <c r="AA178" s="642"/>
      <c r="AB178" s="642"/>
      <c r="AC178" s="642"/>
      <c r="AD178" s="642"/>
      <c r="AE178" s="642"/>
      <c r="AF178" s="642"/>
      <c r="AG178" s="642"/>
      <c r="AH178" s="642"/>
      <c r="AI178" s="642"/>
      <c r="AJ178" s="642"/>
      <c r="AK178" s="642"/>
      <c r="AL178" s="642"/>
      <c r="AM178" s="642"/>
      <c r="AN178" s="642"/>
      <c r="AO178" s="642"/>
      <c r="AP178" s="1278"/>
      <c r="AQ178" s="3"/>
      <c r="AR178" s="3"/>
      <c r="AS178" s="131"/>
      <c r="AT178" s="131"/>
      <c r="AU178" s="131"/>
      <c r="AV178" s="131"/>
      <c r="AW178" s="131"/>
      <c r="AX178" s="131"/>
    </row>
    <row r="179" spans="2:50" s="919" customFormat="1">
      <c r="B179" s="1278"/>
      <c r="C179" s="645" t="s">
        <v>4079</v>
      </c>
      <c r="D179" s="646"/>
      <c r="E179" s="1112">
        <f t="shared" si="50"/>
        <v>0</v>
      </c>
      <c r="F179" s="1111"/>
      <c r="G179" s="1111"/>
      <c r="H179" s="923"/>
      <c r="I179" s="1112">
        <f>IF('11. Unit Mix'!$G$142&lt;&gt;0,+E179/'11. Unit Mix'!$G$142,0)</f>
        <v>0</v>
      </c>
      <c r="J179" s="1112">
        <f t="shared" si="49"/>
        <v>0</v>
      </c>
      <c r="K179" s="202"/>
      <c r="L179" s="202"/>
      <c r="M179" s="202"/>
      <c r="N179" s="1081"/>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278"/>
      <c r="AQ179" s="3"/>
      <c r="AR179" s="3"/>
      <c r="AS179" s="131"/>
      <c r="AT179" s="131"/>
      <c r="AU179" s="131"/>
      <c r="AV179" s="131"/>
      <c r="AW179" s="131"/>
      <c r="AX179" s="131"/>
    </row>
    <row r="180" spans="2:50" s="918" customFormat="1">
      <c r="B180" s="1278"/>
      <c r="C180" s="1279"/>
      <c r="D180" s="1279"/>
      <c r="E180" s="1279"/>
      <c r="F180" s="1279"/>
      <c r="G180" s="1279"/>
      <c r="H180" s="1279"/>
      <c r="I180" s="1279"/>
      <c r="J180" s="1279"/>
      <c r="K180" s="202"/>
      <c r="L180" s="202"/>
      <c r="M180" s="20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1278"/>
      <c r="AQ180" s="3"/>
      <c r="AR180" s="3"/>
      <c r="AS180" s="131"/>
      <c r="AT180" s="131"/>
      <c r="AU180" s="131"/>
      <c r="AV180" s="131"/>
      <c r="AW180" s="131"/>
      <c r="AX180" s="131"/>
    </row>
    <row r="181" spans="2:50" s="918" customFormat="1">
      <c r="B181" s="1278"/>
      <c r="C181" s="643" t="s">
        <v>4080</v>
      </c>
      <c r="D181" s="644"/>
      <c r="E181" s="655">
        <f>+SUM(E182:E190)</f>
        <v>0</v>
      </c>
      <c r="F181" s="655">
        <f t="shared" ref="F181:H181" si="51">+SUM(F182:F190)</f>
        <v>0</v>
      </c>
      <c r="G181" s="655">
        <f t="shared" si="51"/>
        <v>0</v>
      </c>
      <c r="H181" s="655">
        <f t="shared" si="51"/>
        <v>0</v>
      </c>
      <c r="I181" s="655">
        <f>IF('11. Unit Mix'!$G$142&lt;&gt;0,+E181/'11. Unit Mix'!$G$142,0)</f>
        <v>0</v>
      </c>
      <c r="J181" s="655">
        <f t="shared" ref="J181:J190" si="52">IF(Total_Units&lt;&gt;0,+E181/Total_Units,0)</f>
        <v>0</v>
      </c>
      <c r="K181" s="202"/>
      <c r="L181" s="202"/>
      <c r="M181" s="20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1278"/>
      <c r="AQ181" s="3"/>
      <c r="AR181" s="3"/>
      <c r="AS181" s="131"/>
      <c r="AT181" s="131"/>
      <c r="AU181" s="131"/>
      <c r="AV181" s="131"/>
      <c r="AW181" s="131"/>
      <c r="AX181" s="131"/>
    </row>
    <row r="182" spans="2:50" s="918" customFormat="1">
      <c r="B182" s="1278"/>
      <c r="C182" s="645" t="s">
        <v>4081</v>
      </c>
      <c r="D182" s="646"/>
      <c r="E182" s="1112">
        <f t="shared" ref="E182:E190" si="53">SUM(F182:H182)</f>
        <v>0</v>
      </c>
      <c r="F182" s="1111"/>
      <c r="G182" s="1111"/>
      <c r="H182" s="923"/>
      <c r="I182" s="1112">
        <f>IF('11. Unit Mix'!$G$142&lt;&gt;0,+E182/'11. Unit Mix'!$G$142,0)</f>
        <v>0</v>
      </c>
      <c r="J182" s="1112">
        <f t="shared" si="52"/>
        <v>0</v>
      </c>
      <c r="K182" s="202"/>
      <c r="L182" s="202"/>
      <c r="M182" s="202"/>
      <c r="N182" s="642"/>
      <c r="O182" s="642"/>
      <c r="P182" s="642"/>
      <c r="Q182" s="642"/>
      <c r="R182" s="642"/>
      <c r="S182" s="642"/>
      <c r="T182" s="642"/>
      <c r="U182" s="642"/>
      <c r="V182" s="642"/>
      <c r="W182" s="642"/>
      <c r="X182" s="642"/>
      <c r="Y182" s="642"/>
      <c r="Z182" s="642"/>
      <c r="AA182" s="642"/>
      <c r="AB182" s="642"/>
      <c r="AC182" s="642"/>
      <c r="AD182" s="642"/>
      <c r="AE182" s="642"/>
      <c r="AF182" s="642"/>
      <c r="AG182" s="642"/>
      <c r="AH182" s="642"/>
      <c r="AI182" s="642"/>
      <c r="AJ182" s="642"/>
      <c r="AK182" s="642"/>
      <c r="AL182" s="642"/>
      <c r="AM182" s="642"/>
      <c r="AN182" s="642"/>
      <c r="AO182" s="642"/>
      <c r="AP182" s="1278"/>
      <c r="AQ182" s="3"/>
      <c r="AR182" s="3"/>
      <c r="AS182" s="131"/>
      <c r="AT182" s="131"/>
      <c r="AU182" s="131"/>
      <c r="AV182" s="131"/>
      <c r="AW182" s="131"/>
      <c r="AX182" s="131"/>
    </row>
    <row r="183" spans="2:50" s="918" customFormat="1">
      <c r="B183" s="1278"/>
      <c r="C183" s="645" t="s">
        <v>4082</v>
      </c>
      <c r="D183" s="646"/>
      <c r="E183" s="1112">
        <f t="shared" si="53"/>
        <v>0</v>
      </c>
      <c r="F183" s="1111"/>
      <c r="G183" s="1111"/>
      <c r="H183" s="923"/>
      <c r="I183" s="1112">
        <f>IF('11. Unit Mix'!$G$142&lt;&gt;0,+E183/'11. Unit Mix'!$G$142,0)</f>
        <v>0</v>
      </c>
      <c r="J183" s="1112">
        <f t="shared" si="52"/>
        <v>0</v>
      </c>
      <c r="K183" s="202"/>
      <c r="L183" s="202"/>
      <c r="M183" s="202"/>
      <c r="N183" s="642"/>
      <c r="O183" s="642"/>
      <c r="P183" s="642"/>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1278"/>
      <c r="AQ183" s="3"/>
      <c r="AR183" s="3"/>
      <c r="AS183" s="131"/>
      <c r="AT183" s="131"/>
      <c r="AU183" s="131"/>
      <c r="AV183" s="131"/>
      <c r="AW183" s="131"/>
      <c r="AX183" s="131"/>
    </row>
    <row r="184" spans="2:50" s="918" customFormat="1">
      <c r="B184" s="1278"/>
      <c r="C184" s="645" t="s">
        <v>4083</v>
      </c>
      <c r="D184" s="646"/>
      <c r="E184" s="1112">
        <f t="shared" si="53"/>
        <v>0</v>
      </c>
      <c r="F184" s="1111"/>
      <c r="G184" s="1111"/>
      <c r="H184" s="923"/>
      <c r="I184" s="1112">
        <f>IF('11. Unit Mix'!$G$142&lt;&gt;0,+E184/'11. Unit Mix'!$G$142,0)</f>
        <v>0</v>
      </c>
      <c r="J184" s="1112">
        <f t="shared" si="52"/>
        <v>0</v>
      </c>
      <c r="K184" s="202"/>
      <c r="L184" s="202"/>
      <c r="M184" s="202"/>
      <c r="N184" s="642"/>
      <c r="O184" s="642"/>
      <c r="P184" s="642"/>
      <c r="Q184" s="642"/>
      <c r="R184" s="642"/>
      <c r="S184" s="642"/>
      <c r="T184" s="642"/>
      <c r="U184" s="642"/>
      <c r="V184" s="642"/>
      <c r="W184" s="642"/>
      <c r="X184" s="642"/>
      <c r="Y184" s="642"/>
      <c r="Z184" s="642"/>
      <c r="AA184" s="642"/>
      <c r="AB184" s="642"/>
      <c r="AC184" s="642"/>
      <c r="AD184" s="642"/>
      <c r="AE184" s="642"/>
      <c r="AF184" s="642"/>
      <c r="AG184" s="642"/>
      <c r="AH184" s="642"/>
      <c r="AI184" s="642"/>
      <c r="AJ184" s="642"/>
      <c r="AK184" s="642"/>
      <c r="AL184" s="642"/>
      <c r="AM184" s="642"/>
      <c r="AN184" s="642"/>
      <c r="AO184" s="642"/>
      <c r="AP184" s="1278"/>
      <c r="AQ184" s="3"/>
      <c r="AR184" s="3"/>
      <c r="AS184" s="131"/>
      <c r="AT184" s="131"/>
      <c r="AU184" s="131"/>
      <c r="AV184" s="131"/>
      <c r="AW184" s="131"/>
      <c r="AX184" s="131"/>
    </row>
    <row r="185" spans="2:50" s="918" customFormat="1">
      <c r="B185" s="1278"/>
      <c r="C185" s="645" t="s">
        <v>4084</v>
      </c>
      <c r="D185" s="646"/>
      <c r="E185" s="1112">
        <f t="shared" si="53"/>
        <v>0</v>
      </c>
      <c r="F185" s="1111"/>
      <c r="G185" s="1111"/>
      <c r="H185" s="923"/>
      <c r="I185" s="1112">
        <f>IF('11. Unit Mix'!$G$142&lt;&gt;0,+E185/'11. Unit Mix'!$G$142,0)</f>
        <v>0</v>
      </c>
      <c r="J185" s="1112">
        <f t="shared" si="52"/>
        <v>0</v>
      </c>
      <c r="K185" s="202"/>
      <c r="L185" s="202"/>
      <c r="M185" s="202"/>
      <c r="N185" s="642"/>
      <c r="O185" s="642"/>
      <c r="P185" s="642"/>
      <c r="Q185" s="642"/>
      <c r="R185" s="642"/>
      <c r="S185" s="642"/>
      <c r="T185" s="642"/>
      <c r="U185" s="642"/>
      <c r="V185" s="642"/>
      <c r="W185" s="642"/>
      <c r="X185" s="642"/>
      <c r="Y185" s="642"/>
      <c r="Z185" s="642"/>
      <c r="AA185" s="642"/>
      <c r="AB185" s="642"/>
      <c r="AC185" s="642"/>
      <c r="AD185" s="642"/>
      <c r="AE185" s="642"/>
      <c r="AF185" s="642"/>
      <c r="AG185" s="642"/>
      <c r="AH185" s="642"/>
      <c r="AI185" s="642"/>
      <c r="AJ185" s="642"/>
      <c r="AK185" s="642"/>
      <c r="AL185" s="642"/>
      <c r="AM185" s="642"/>
      <c r="AN185" s="642"/>
      <c r="AO185" s="642"/>
      <c r="AP185" s="1278"/>
      <c r="AQ185" s="3"/>
      <c r="AR185" s="3"/>
      <c r="AS185" s="131"/>
      <c r="AT185" s="131"/>
      <c r="AU185" s="131"/>
      <c r="AV185" s="131"/>
      <c r="AW185" s="131"/>
      <c r="AX185" s="131"/>
    </row>
    <row r="186" spans="2:50" s="918" customFormat="1">
      <c r="B186" s="1278"/>
      <c r="C186" s="645" t="s">
        <v>4085</v>
      </c>
      <c r="D186" s="646"/>
      <c r="E186" s="1112">
        <f t="shared" si="53"/>
        <v>0</v>
      </c>
      <c r="F186" s="1111"/>
      <c r="G186" s="1111"/>
      <c r="H186" s="923"/>
      <c r="I186" s="1112">
        <f>IF('11. Unit Mix'!$G$142&lt;&gt;0,+E186/'11. Unit Mix'!$G$142,0)</f>
        <v>0</v>
      </c>
      <c r="J186" s="1112">
        <f t="shared" si="52"/>
        <v>0</v>
      </c>
      <c r="K186" s="202"/>
      <c r="L186" s="202"/>
      <c r="M186" s="202"/>
      <c r="N186" s="642"/>
      <c r="O186" s="642"/>
      <c r="P186" s="642"/>
      <c r="Q186" s="642"/>
      <c r="R186" s="642"/>
      <c r="S186" s="642"/>
      <c r="T186" s="642"/>
      <c r="U186" s="642"/>
      <c r="V186" s="642"/>
      <c r="W186" s="642"/>
      <c r="X186" s="642"/>
      <c r="Y186" s="642"/>
      <c r="Z186" s="642"/>
      <c r="AA186" s="642"/>
      <c r="AB186" s="642"/>
      <c r="AC186" s="642"/>
      <c r="AD186" s="642"/>
      <c r="AE186" s="642"/>
      <c r="AF186" s="642"/>
      <c r="AG186" s="642"/>
      <c r="AH186" s="642"/>
      <c r="AI186" s="642"/>
      <c r="AJ186" s="642"/>
      <c r="AK186" s="642"/>
      <c r="AL186" s="642"/>
      <c r="AM186" s="642"/>
      <c r="AN186" s="642"/>
      <c r="AO186" s="642"/>
      <c r="AP186" s="1278"/>
      <c r="AQ186" s="3"/>
      <c r="AR186" s="3"/>
      <c r="AS186" s="131"/>
      <c r="AT186" s="131"/>
      <c r="AU186" s="131"/>
      <c r="AV186" s="131"/>
      <c r="AW186" s="131"/>
      <c r="AX186" s="131"/>
    </row>
    <row r="187" spans="2:50" s="918" customFormat="1">
      <c r="B187" s="1278"/>
      <c r="C187" s="645" t="s">
        <v>4086</v>
      </c>
      <c r="D187" s="646"/>
      <c r="E187" s="1112">
        <f t="shared" si="53"/>
        <v>0</v>
      </c>
      <c r="F187" s="1111"/>
      <c r="G187" s="1111"/>
      <c r="H187" s="923"/>
      <c r="I187" s="1112">
        <f>IF('11. Unit Mix'!$G$142&lt;&gt;0,+E187/'11. Unit Mix'!$G$142,0)</f>
        <v>0</v>
      </c>
      <c r="J187" s="1112">
        <f t="shared" si="52"/>
        <v>0</v>
      </c>
      <c r="K187" s="202"/>
      <c r="L187" s="202"/>
      <c r="M187" s="202"/>
      <c r="N187" s="642"/>
      <c r="O187" s="642"/>
      <c r="P187" s="642"/>
      <c r="Q187" s="642"/>
      <c r="R187" s="642"/>
      <c r="S187" s="642"/>
      <c r="T187" s="642"/>
      <c r="U187" s="642"/>
      <c r="V187" s="642"/>
      <c r="W187" s="642"/>
      <c r="X187" s="642"/>
      <c r="Y187" s="642"/>
      <c r="Z187" s="642"/>
      <c r="AA187" s="642"/>
      <c r="AB187" s="642"/>
      <c r="AC187" s="642"/>
      <c r="AD187" s="642"/>
      <c r="AE187" s="642"/>
      <c r="AF187" s="642"/>
      <c r="AG187" s="642"/>
      <c r="AH187" s="642"/>
      <c r="AI187" s="642"/>
      <c r="AJ187" s="642"/>
      <c r="AK187" s="642"/>
      <c r="AL187" s="642"/>
      <c r="AM187" s="642"/>
      <c r="AN187" s="642"/>
      <c r="AO187" s="642"/>
      <c r="AP187" s="1278"/>
      <c r="AQ187" s="3"/>
      <c r="AR187" s="3"/>
      <c r="AS187" s="131"/>
      <c r="AT187" s="131"/>
      <c r="AU187" s="131"/>
      <c r="AV187" s="131"/>
      <c r="AW187" s="131"/>
      <c r="AX187" s="131"/>
    </row>
    <row r="188" spans="2:50" s="918" customFormat="1">
      <c r="B188" s="1278"/>
      <c r="C188" s="645" t="s">
        <v>4087</v>
      </c>
      <c r="D188" s="646"/>
      <c r="E188" s="1112">
        <f t="shared" si="53"/>
        <v>0</v>
      </c>
      <c r="F188" s="1111"/>
      <c r="G188" s="1111"/>
      <c r="H188" s="923"/>
      <c r="I188" s="1112">
        <f>IF('11. Unit Mix'!$G$142&lt;&gt;0,+E188/'11. Unit Mix'!$G$142,0)</f>
        <v>0</v>
      </c>
      <c r="J188" s="1112">
        <f t="shared" si="52"/>
        <v>0</v>
      </c>
      <c r="K188" s="202"/>
      <c r="L188" s="202"/>
      <c r="M188" s="202"/>
      <c r="N188" s="642"/>
      <c r="O188" s="642"/>
      <c r="P188" s="642"/>
      <c r="Q188" s="642"/>
      <c r="R188" s="642"/>
      <c r="S188" s="642"/>
      <c r="T188" s="642"/>
      <c r="U188" s="642"/>
      <c r="V188" s="642"/>
      <c r="W188" s="642"/>
      <c r="X188" s="642"/>
      <c r="Y188" s="642"/>
      <c r="Z188" s="642"/>
      <c r="AA188" s="642"/>
      <c r="AB188" s="642"/>
      <c r="AC188" s="642"/>
      <c r="AD188" s="642"/>
      <c r="AE188" s="642"/>
      <c r="AF188" s="642"/>
      <c r="AG188" s="642"/>
      <c r="AH188" s="642"/>
      <c r="AI188" s="642"/>
      <c r="AJ188" s="642"/>
      <c r="AK188" s="642"/>
      <c r="AL188" s="642"/>
      <c r="AM188" s="642"/>
      <c r="AN188" s="642"/>
      <c r="AO188" s="642"/>
      <c r="AP188" s="1278"/>
      <c r="AQ188" s="3"/>
      <c r="AR188" s="3"/>
      <c r="AS188" s="131"/>
      <c r="AT188" s="131"/>
      <c r="AU188" s="131"/>
      <c r="AV188" s="131"/>
      <c r="AW188" s="131"/>
      <c r="AX188" s="131"/>
    </row>
    <row r="189" spans="2:50" s="918" customFormat="1">
      <c r="B189" s="1278"/>
      <c r="C189" s="645" t="s">
        <v>4088</v>
      </c>
      <c r="D189" s="646"/>
      <c r="E189" s="1112">
        <f t="shared" si="53"/>
        <v>0</v>
      </c>
      <c r="F189" s="1111"/>
      <c r="G189" s="1111"/>
      <c r="H189" s="923"/>
      <c r="I189" s="1112">
        <f>IF('11. Unit Mix'!$G$142&lt;&gt;0,+E189/'11. Unit Mix'!$G$142,0)</f>
        <v>0</v>
      </c>
      <c r="J189" s="1112">
        <f t="shared" si="52"/>
        <v>0</v>
      </c>
      <c r="K189" s="202"/>
      <c r="L189" s="202"/>
      <c r="M189" s="202"/>
      <c r="N189" s="642"/>
      <c r="O189" s="642"/>
      <c r="P189" s="642"/>
      <c r="Q189" s="642"/>
      <c r="R189" s="642"/>
      <c r="S189" s="642"/>
      <c r="T189" s="642"/>
      <c r="U189" s="642"/>
      <c r="V189" s="642"/>
      <c r="W189" s="642"/>
      <c r="X189" s="642"/>
      <c r="Y189" s="642"/>
      <c r="Z189" s="642"/>
      <c r="AA189" s="642"/>
      <c r="AB189" s="642"/>
      <c r="AC189" s="642"/>
      <c r="AD189" s="642"/>
      <c r="AE189" s="642"/>
      <c r="AF189" s="642"/>
      <c r="AG189" s="642"/>
      <c r="AH189" s="642"/>
      <c r="AI189" s="642"/>
      <c r="AJ189" s="642"/>
      <c r="AK189" s="642"/>
      <c r="AL189" s="642"/>
      <c r="AM189" s="642"/>
      <c r="AN189" s="642"/>
      <c r="AO189" s="642"/>
      <c r="AP189" s="1278"/>
      <c r="AQ189" s="3"/>
      <c r="AR189" s="3"/>
      <c r="AS189" s="131"/>
      <c r="AT189" s="131"/>
      <c r="AU189" s="131"/>
      <c r="AV189" s="131"/>
      <c r="AW189" s="131"/>
      <c r="AX189" s="131"/>
    </row>
    <row r="190" spans="2:50" s="919" customFormat="1">
      <c r="B190" s="1278"/>
      <c r="C190" s="645" t="s">
        <v>4089</v>
      </c>
      <c r="D190" s="646"/>
      <c r="E190" s="1112">
        <f t="shared" si="53"/>
        <v>0</v>
      </c>
      <c r="F190" s="1111"/>
      <c r="G190" s="1111"/>
      <c r="H190" s="923"/>
      <c r="I190" s="1112">
        <f>IF('11. Unit Mix'!$G$142&lt;&gt;0,+E190/'11. Unit Mix'!$G$142,0)</f>
        <v>0</v>
      </c>
      <c r="J190" s="1112">
        <f t="shared" si="52"/>
        <v>0</v>
      </c>
      <c r="K190" s="202"/>
      <c r="L190" s="202"/>
      <c r="M190" s="202"/>
      <c r="N190" s="1081"/>
      <c r="O190" s="1081"/>
      <c r="P190" s="1081"/>
      <c r="Q190" s="1081"/>
      <c r="R190" s="1081"/>
      <c r="S190" s="1081"/>
      <c r="T190" s="1081"/>
      <c r="U190" s="1081"/>
      <c r="V190" s="1081"/>
      <c r="W190" s="1081"/>
      <c r="X190" s="1081"/>
      <c r="Y190" s="1081"/>
      <c r="Z190" s="1081"/>
      <c r="AA190" s="1081"/>
      <c r="AB190" s="1081"/>
      <c r="AC190" s="1081"/>
      <c r="AD190" s="1081"/>
      <c r="AE190" s="1081"/>
      <c r="AF190" s="1081"/>
      <c r="AG190" s="1081"/>
      <c r="AH190" s="1081"/>
      <c r="AI190" s="1081"/>
      <c r="AJ190" s="1081"/>
      <c r="AK190" s="1081"/>
      <c r="AL190" s="1081"/>
      <c r="AM190" s="1081"/>
      <c r="AN190" s="1081"/>
      <c r="AO190" s="1081"/>
      <c r="AP190" s="1278"/>
      <c r="AQ190" s="3"/>
      <c r="AR190" s="3"/>
      <c r="AS190" s="131"/>
      <c r="AT190" s="131"/>
      <c r="AU190" s="131"/>
      <c r="AV190" s="131"/>
      <c r="AW190" s="131"/>
      <c r="AX190" s="131"/>
    </row>
    <row r="191" spans="2:50" s="918" customFormat="1">
      <c r="B191" s="1278"/>
      <c r="C191" s="1279"/>
      <c r="D191" s="1279"/>
      <c r="E191" s="1279"/>
      <c r="F191" s="1279"/>
      <c r="G191" s="1279"/>
      <c r="H191" s="1279"/>
      <c r="I191" s="1279"/>
      <c r="J191" s="1279"/>
      <c r="K191" s="202"/>
      <c r="L191" s="202"/>
      <c r="M191" s="202"/>
      <c r="N191" s="642"/>
      <c r="O191" s="642"/>
      <c r="P191" s="642"/>
      <c r="Q191" s="642"/>
      <c r="R191" s="642"/>
      <c r="S191" s="642"/>
      <c r="T191" s="642"/>
      <c r="U191" s="642"/>
      <c r="V191" s="642"/>
      <c r="W191" s="642"/>
      <c r="X191" s="642"/>
      <c r="Y191" s="642"/>
      <c r="Z191" s="642"/>
      <c r="AA191" s="642"/>
      <c r="AB191" s="642"/>
      <c r="AC191" s="642"/>
      <c r="AD191" s="642"/>
      <c r="AE191" s="642"/>
      <c r="AF191" s="642"/>
      <c r="AG191" s="642"/>
      <c r="AH191" s="642"/>
      <c r="AI191" s="642"/>
      <c r="AJ191" s="642"/>
      <c r="AK191" s="642"/>
      <c r="AL191" s="642"/>
      <c r="AM191" s="642"/>
      <c r="AN191" s="642"/>
      <c r="AO191" s="642"/>
      <c r="AP191" s="1278"/>
      <c r="AQ191" s="3"/>
      <c r="AR191" s="3"/>
      <c r="AS191" s="131"/>
      <c r="AT191" s="131"/>
      <c r="AU191" s="131"/>
      <c r="AV191" s="131"/>
      <c r="AW191" s="131"/>
      <c r="AX191" s="131"/>
    </row>
    <row r="192" spans="2:50" s="918" customFormat="1">
      <c r="B192" s="1278"/>
      <c r="C192" s="643" t="s">
        <v>4090</v>
      </c>
      <c r="D192" s="644"/>
      <c r="E192" s="655">
        <f>+SUM(E193:E197)</f>
        <v>0</v>
      </c>
      <c r="F192" s="655">
        <f t="shared" ref="F192:H192" si="54">+SUM(F193:F197)</f>
        <v>0</v>
      </c>
      <c r="G192" s="655">
        <f t="shared" si="54"/>
        <v>0</v>
      </c>
      <c r="H192" s="655">
        <f t="shared" si="54"/>
        <v>0</v>
      </c>
      <c r="I192" s="655">
        <f>IF('11. Unit Mix'!$G$142&lt;&gt;0,+E192/'11. Unit Mix'!$G$142,0)</f>
        <v>0</v>
      </c>
      <c r="J192" s="655">
        <f t="shared" ref="J192:J197" si="55">IF(Total_Units&lt;&gt;0,+E192/Total_Units,0)</f>
        <v>0</v>
      </c>
      <c r="K192" s="202"/>
      <c r="L192" s="202"/>
      <c r="M192" s="202"/>
      <c r="N192" s="642"/>
      <c r="O192" s="642"/>
      <c r="P192" s="642"/>
      <c r="Q192" s="642"/>
      <c r="R192" s="642"/>
      <c r="S192" s="642"/>
      <c r="T192" s="642"/>
      <c r="U192" s="642"/>
      <c r="V192" s="642"/>
      <c r="W192" s="642"/>
      <c r="X192" s="642"/>
      <c r="Y192" s="642"/>
      <c r="Z192" s="642"/>
      <c r="AA192" s="642"/>
      <c r="AB192" s="642"/>
      <c r="AC192" s="642"/>
      <c r="AD192" s="642"/>
      <c r="AE192" s="642"/>
      <c r="AF192" s="642"/>
      <c r="AG192" s="642"/>
      <c r="AH192" s="642"/>
      <c r="AI192" s="642"/>
      <c r="AJ192" s="642"/>
      <c r="AK192" s="642"/>
      <c r="AL192" s="642"/>
      <c r="AM192" s="642"/>
      <c r="AN192" s="642"/>
      <c r="AO192" s="642"/>
      <c r="AP192" s="1278"/>
      <c r="AQ192" s="3"/>
      <c r="AR192" s="3"/>
      <c r="AS192" s="131"/>
      <c r="AT192" s="131"/>
      <c r="AU192" s="131"/>
      <c r="AV192" s="131"/>
      <c r="AW192" s="131"/>
      <c r="AX192" s="131"/>
    </row>
    <row r="193" spans="2:50" s="918" customFormat="1">
      <c r="B193" s="1278"/>
      <c r="C193" s="645" t="s">
        <v>4091</v>
      </c>
      <c r="D193" s="646"/>
      <c r="E193" s="1112">
        <f t="shared" ref="E193:E197" si="56">SUM(F193:H193)</f>
        <v>0</v>
      </c>
      <c r="F193" s="1111"/>
      <c r="G193" s="1111"/>
      <c r="H193" s="923"/>
      <c r="I193" s="1112">
        <f>IF('11. Unit Mix'!$G$142&lt;&gt;0,+E193/'11. Unit Mix'!$G$142,0)</f>
        <v>0</v>
      </c>
      <c r="J193" s="1112">
        <f t="shared" si="55"/>
        <v>0</v>
      </c>
      <c r="K193" s="202"/>
      <c r="L193" s="202"/>
      <c r="M193" s="202"/>
      <c r="N193" s="642"/>
      <c r="O193" s="642"/>
      <c r="P193" s="642"/>
      <c r="Q193" s="642"/>
      <c r="R193" s="642"/>
      <c r="S193" s="642"/>
      <c r="T193" s="642"/>
      <c r="U193" s="642"/>
      <c r="V193" s="642"/>
      <c r="W193" s="642"/>
      <c r="X193" s="642"/>
      <c r="Y193" s="642"/>
      <c r="Z193" s="642"/>
      <c r="AA193" s="642"/>
      <c r="AB193" s="642"/>
      <c r="AC193" s="642"/>
      <c r="AD193" s="642"/>
      <c r="AE193" s="642"/>
      <c r="AF193" s="642"/>
      <c r="AG193" s="642"/>
      <c r="AH193" s="642"/>
      <c r="AI193" s="642"/>
      <c r="AJ193" s="642"/>
      <c r="AK193" s="642"/>
      <c r="AL193" s="642"/>
      <c r="AM193" s="642"/>
      <c r="AN193" s="642"/>
      <c r="AO193" s="642"/>
      <c r="AP193" s="1278"/>
      <c r="AQ193" s="3"/>
      <c r="AR193" s="3"/>
      <c r="AS193" s="131"/>
      <c r="AT193" s="131"/>
      <c r="AU193" s="131"/>
      <c r="AV193" s="131"/>
      <c r="AW193" s="131"/>
      <c r="AX193" s="131"/>
    </row>
    <row r="194" spans="2:50" s="918" customFormat="1">
      <c r="B194" s="1278"/>
      <c r="C194" s="645" t="s">
        <v>4092</v>
      </c>
      <c r="D194" s="646"/>
      <c r="E194" s="1112">
        <f t="shared" si="56"/>
        <v>0</v>
      </c>
      <c r="F194" s="1111"/>
      <c r="G194" s="1111"/>
      <c r="H194" s="923"/>
      <c r="I194" s="1112">
        <f>IF('11. Unit Mix'!$G$142&lt;&gt;0,+E194/'11. Unit Mix'!$G$142,0)</f>
        <v>0</v>
      </c>
      <c r="J194" s="1112">
        <f t="shared" si="55"/>
        <v>0</v>
      </c>
      <c r="K194" s="202"/>
      <c r="L194" s="202"/>
      <c r="M194" s="202"/>
      <c r="N194" s="642"/>
      <c r="O194" s="642"/>
      <c r="P194" s="642"/>
      <c r="Q194" s="642"/>
      <c r="R194" s="642"/>
      <c r="S194" s="642"/>
      <c r="T194" s="642"/>
      <c r="U194" s="642"/>
      <c r="V194" s="642"/>
      <c r="W194" s="642"/>
      <c r="X194" s="642"/>
      <c r="Y194" s="642"/>
      <c r="Z194" s="642"/>
      <c r="AA194" s="642"/>
      <c r="AB194" s="642"/>
      <c r="AC194" s="642"/>
      <c r="AD194" s="642"/>
      <c r="AE194" s="642"/>
      <c r="AF194" s="642"/>
      <c r="AG194" s="642"/>
      <c r="AH194" s="642"/>
      <c r="AI194" s="642"/>
      <c r="AJ194" s="642"/>
      <c r="AK194" s="642"/>
      <c r="AL194" s="642"/>
      <c r="AM194" s="642"/>
      <c r="AN194" s="642"/>
      <c r="AO194" s="642"/>
      <c r="AP194" s="1278"/>
      <c r="AQ194" s="3"/>
      <c r="AR194" s="3"/>
      <c r="AS194" s="131"/>
      <c r="AT194" s="131"/>
      <c r="AU194" s="131"/>
      <c r="AV194" s="131"/>
      <c r="AW194" s="131"/>
      <c r="AX194" s="131"/>
    </row>
    <row r="195" spans="2:50" s="918" customFormat="1">
      <c r="B195" s="1278"/>
      <c r="C195" s="645" t="s">
        <v>4093</v>
      </c>
      <c r="D195" s="646"/>
      <c r="E195" s="1112">
        <f t="shared" si="56"/>
        <v>0</v>
      </c>
      <c r="F195" s="1111"/>
      <c r="G195" s="1111"/>
      <c r="H195" s="923"/>
      <c r="I195" s="1112">
        <f>IF('11. Unit Mix'!$G$142&lt;&gt;0,+E195/'11. Unit Mix'!$G$142,0)</f>
        <v>0</v>
      </c>
      <c r="J195" s="1112">
        <f t="shared" si="55"/>
        <v>0</v>
      </c>
      <c r="K195" s="202"/>
      <c r="L195" s="202"/>
      <c r="M195" s="202"/>
      <c r="N195" s="642"/>
      <c r="O195" s="642"/>
      <c r="P195" s="642"/>
      <c r="Q195" s="642"/>
      <c r="R195" s="642"/>
      <c r="S195" s="642"/>
      <c r="T195" s="642"/>
      <c r="U195" s="642"/>
      <c r="V195" s="642"/>
      <c r="W195" s="642"/>
      <c r="X195" s="642"/>
      <c r="Y195" s="642"/>
      <c r="Z195" s="642"/>
      <c r="AA195" s="642"/>
      <c r="AB195" s="642"/>
      <c r="AC195" s="642"/>
      <c r="AD195" s="642"/>
      <c r="AE195" s="642"/>
      <c r="AF195" s="642"/>
      <c r="AG195" s="642"/>
      <c r="AH195" s="642"/>
      <c r="AI195" s="642"/>
      <c r="AJ195" s="642"/>
      <c r="AK195" s="642"/>
      <c r="AL195" s="642"/>
      <c r="AM195" s="642"/>
      <c r="AN195" s="642"/>
      <c r="AO195" s="642"/>
      <c r="AP195" s="1278"/>
      <c r="AQ195" s="3"/>
      <c r="AR195" s="3"/>
      <c r="AS195" s="131"/>
      <c r="AT195" s="131"/>
      <c r="AU195" s="131"/>
      <c r="AV195" s="131"/>
      <c r="AW195" s="131"/>
      <c r="AX195" s="131"/>
    </row>
    <row r="196" spans="2:50" s="918" customFormat="1">
      <c r="B196" s="1278"/>
      <c r="C196" s="645" t="s">
        <v>4094</v>
      </c>
      <c r="D196" s="646"/>
      <c r="E196" s="1112">
        <f t="shared" si="56"/>
        <v>0</v>
      </c>
      <c r="F196" s="1111"/>
      <c r="G196" s="1111"/>
      <c r="H196" s="923"/>
      <c r="I196" s="1112">
        <f>IF('11. Unit Mix'!$G$142&lt;&gt;0,+E196/'11. Unit Mix'!$G$142,0)</f>
        <v>0</v>
      </c>
      <c r="J196" s="1112">
        <f t="shared" si="55"/>
        <v>0</v>
      </c>
      <c r="K196" s="202"/>
      <c r="L196" s="202"/>
      <c r="M196" s="202"/>
      <c r="N196" s="642"/>
      <c r="O196" s="642"/>
      <c r="P196" s="642"/>
      <c r="Q196" s="642"/>
      <c r="R196" s="642"/>
      <c r="S196" s="642"/>
      <c r="T196" s="642"/>
      <c r="U196" s="642"/>
      <c r="V196" s="642"/>
      <c r="W196" s="642"/>
      <c r="X196" s="642"/>
      <c r="Y196" s="642"/>
      <c r="Z196" s="642"/>
      <c r="AA196" s="642"/>
      <c r="AB196" s="642"/>
      <c r="AC196" s="642"/>
      <c r="AD196" s="642"/>
      <c r="AE196" s="642"/>
      <c r="AF196" s="642"/>
      <c r="AG196" s="642"/>
      <c r="AH196" s="642"/>
      <c r="AI196" s="642"/>
      <c r="AJ196" s="642"/>
      <c r="AK196" s="642"/>
      <c r="AL196" s="642"/>
      <c r="AM196" s="642"/>
      <c r="AN196" s="642"/>
      <c r="AO196" s="642"/>
      <c r="AP196" s="1278"/>
      <c r="AQ196" s="3"/>
      <c r="AR196" s="3"/>
      <c r="AS196" s="131"/>
      <c r="AT196" s="131"/>
      <c r="AU196" s="131"/>
      <c r="AV196" s="131"/>
      <c r="AW196" s="131"/>
      <c r="AX196" s="131"/>
    </row>
    <row r="197" spans="2:50" s="919" customFormat="1">
      <c r="B197" s="1278"/>
      <c r="C197" s="645" t="s">
        <v>4095</v>
      </c>
      <c r="D197" s="646"/>
      <c r="E197" s="1112">
        <f t="shared" si="56"/>
        <v>0</v>
      </c>
      <c r="F197" s="1111"/>
      <c r="G197" s="1111"/>
      <c r="H197" s="923"/>
      <c r="I197" s="1112">
        <f>IF('11. Unit Mix'!$G$142&lt;&gt;0,+E197/'11. Unit Mix'!$G$142,0)</f>
        <v>0</v>
      </c>
      <c r="J197" s="1112">
        <f t="shared" si="55"/>
        <v>0</v>
      </c>
      <c r="K197" s="202"/>
      <c r="L197" s="202"/>
      <c r="M197" s="202"/>
      <c r="N197" s="1081"/>
      <c r="O197" s="1081"/>
      <c r="P197" s="1081"/>
      <c r="Q197" s="1081"/>
      <c r="R197" s="1081"/>
      <c r="S197" s="1081"/>
      <c r="T197" s="1081"/>
      <c r="U197" s="1081"/>
      <c r="V197" s="1081"/>
      <c r="W197" s="1081"/>
      <c r="X197" s="1081"/>
      <c r="Y197" s="1081"/>
      <c r="Z197" s="1081"/>
      <c r="AA197" s="1081"/>
      <c r="AB197" s="1081"/>
      <c r="AC197" s="1081"/>
      <c r="AD197" s="1081"/>
      <c r="AE197" s="1081"/>
      <c r="AF197" s="1081"/>
      <c r="AG197" s="1081"/>
      <c r="AH197" s="1081"/>
      <c r="AI197" s="1081"/>
      <c r="AJ197" s="1081"/>
      <c r="AK197" s="1081"/>
      <c r="AL197" s="1081"/>
      <c r="AM197" s="1081"/>
      <c r="AN197" s="1081"/>
      <c r="AO197" s="1081"/>
      <c r="AP197" s="1278"/>
      <c r="AQ197" s="3"/>
      <c r="AR197" s="3"/>
      <c r="AS197" s="131"/>
      <c r="AT197" s="131"/>
      <c r="AU197" s="131"/>
      <c r="AV197" s="131"/>
      <c r="AW197" s="131"/>
      <c r="AX197" s="131"/>
    </row>
    <row r="198" spans="2:50" s="918" customFormat="1">
      <c r="B198" s="1278"/>
      <c r="C198" s="1279"/>
      <c r="D198" s="1279"/>
      <c r="E198" s="1279"/>
      <c r="F198" s="1279"/>
      <c r="G198" s="1279"/>
      <c r="H198" s="1279"/>
      <c r="I198" s="1279"/>
      <c r="J198" s="1279"/>
      <c r="K198" s="202"/>
      <c r="L198" s="202"/>
      <c r="M198" s="202"/>
      <c r="N198" s="642"/>
      <c r="O198" s="642"/>
      <c r="P198" s="642"/>
      <c r="Q198" s="642"/>
      <c r="R198" s="642"/>
      <c r="S198" s="642"/>
      <c r="T198" s="642"/>
      <c r="U198" s="642"/>
      <c r="V198" s="642"/>
      <c r="W198" s="642"/>
      <c r="X198" s="642"/>
      <c r="Y198" s="642"/>
      <c r="Z198" s="642"/>
      <c r="AA198" s="642"/>
      <c r="AB198" s="642"/>
      <c r="AC198" s="642"/>
      <c r="AD198" s="642"/>
      <c r="AE198" s="642"/>
      <c r="AF198" s="642"/>
      <c r="AG198" s="642"/>
      <c r="AH198" s="642"/>
      <c r="AI198" s="642"/>
      <c r="AJ198" s="642"/>
      <c r="AK198" s="642"/>
      <c r="AL198" s="642"/>
      <c r="AM198" s="642"/>
      <c r="AN198" s="642"/>
      <c r="AO198" s="642"/>
      <c r="AP198" s="1278"/>
      <c r="AQ198" s="3"/>
      <c r="AR198" s="3"/>
      <c r="AS198" s="131"/>
      <c r="AT198" s="131"/>
      <c r="AU198" s="131"/>
      <c r="AV198" s="131"/>
      <c r="AW198" s="131"/>
      <c r="AX198" s="131"/>
    </row>
    <row r="199" spans="2:50" s="918" customFormat="1">
      <c r="B199" s="1278"/>
      <c r="C199" s="643" t="s">
        <v>4096</v>
      </c>
      <c r="D199" s="644"/>
      <c r="E199" s="655">
        <f>+SUM(E200:E205)</f>
        <v>0</v>
      </c>
      <c r="F199" s="655">
        <f t="shared" ref="F199:H199" si="57">+SUM(F200:F205)</f>
        <v>0</v>
      </c>
      <c r="G199" s="655">
        <f t="shared" si="57"/>
        <v>0</v>
      </c>
      <c r="H199" s="655">
        <f t="shared" si="57"/>
        <v>0</v>
      </c>
      <c r="I199" s="655">
        <f>IF('11. Unit Mix'!$G$142&lt;&gt;0,+E199/'11. Unit Mix'!$G$142,0)</f>
        <v>0</v>
      </c>
      <c r="J199" s="655">
        <f t="shared" ref="J199:J205" si="58">IF(Total_Units&lt;&gt;0,+E199/Total_Units,0)</f>
        <v>0</v>
      </c>
      <c r="K199" s="202"/>
      <c r="L199" s="202"/>
      <c r="M199" s="202"/>
      <c r="N199" s="642"/>
      <c r="O199" s="642"/>
      <c r="P199" s="642"/>
      <c r="Q199" s="642"/>
      <c r="R199" s="642"/>
      <c r="S199" s="642"/>
      <c r="T199" s="642"/>
      <c r="U199" s="642"/>
      <c r="V199" s="642"/>
      <c r="W199" s="642"/>
      <c r="X199" s="642"/>
      <c r="Y199" s="642"/>
      <c r="Z199" s="642"/>
      <c r="AA199" s="642"/>
      <c r="AB199" s="642"/>
      <c r="AC199" s="642"/>
      <c r="AD199" s="642"/>
      <c r="AE199" s="642"/>
      <c r="AF199" s="642"/>
      <c r="AG199" s="642"/>
      <c r="AH199" s="642"/>
      <c r="AI199" s="642"/>
      <c r="AJ199" s="642"/>
      <c r="AK199" s="642"/>
      <c r="AL199" s="642"/>
      <c r="AM199" s="642"/>
      <c r="AN199" s="642"/>
      <c r="AO199" s="642"/>
      <c r="AP199" s="1278"/>
      <c r="AQ199" s="3"/>
      <c r="AR199" s="3"/>
      <c r="AS199" s="131"/>
      <c r="AT199" s="131"/>
      <c r="AU199" s="131"/>
      <c r="AV199" s="131"/>
      <c r="AW199" s="131"/>
      <c r="AX199" s="131"/>
    </row>
    <row r="200" spans="2:50" s="918" customFormat="1">
      <c r="B200" s="1278"/>
      <c r="C200" s="645" t="s">
        <v>4097</v>
      </c>
      <c r="D200" s="646"/>
      <c r="E200" s="1112">
        <f t="shared" ref="E200:E205" si="59">SUM(F200:H200)</f>
        <v>0</v>
      </c>
      <c r="F200" s="1111"/>
      <c r="G200" s="1111"/>
      <c r="H200" s="923"/>
      <c r="I200" s="1112">
        <f>IF('11. Unit Mix'!$G$142&lt;&gt;0,+E200/'11. Unit Mix'!$G$142,0)</f>
        <v>0</v>
      </c>
      <c r="J200" s="1112">
        <f t="shared" si="58"/>
        <v>0</v>
      </c>
      <c r="K200" s="202"/>
      <c r="L200" s="202"/>
      <c r="M200" s="202"/>
      <c r="N200" s="642"/>
      <c r="O200" s="642"/>
      <c r="P200" s="642"/>
      <c r="Q200" s="642"/>
      <c r="R200" s="642"/>
      <c r="S200" s="642"/>
      <c r="T200" s="642"/>
      <c r="U200" s="642"/>
      <c r="V200" s="642"/>
      <c r="W200" s="642"/>
      <c r="X200" s="642"/>
      <c r="Y200" s="642"/>
      <c r="Z200" s="642"/>
      <c r="AA200" s="642"/>
      <c r="AB200" s="642"/>
      <c r="AC200" s="642"/>
      <c r="AD200" s="642"/>
      <c r="AE200" s="642"/>
      <c r="AF200" s="642"/>
      <c r="AG200" s="642"/>
      <c r="AH200" s="642"/>
      <c r="AI200" s="642"/>
      <c r="AJ200" s="642"/>
      <c r="AK200" s="642"/>
      <c r="AL200" s="642"/>
      <c r="AM200" s="642"/>
      <c r="AN200" s="642"/>
      <c r="AO200" s="642"/>
      <c r="AP200" s="1278"/>
      <c r="AQ200" s="3"/>
      <c r="AR200" s="3"/>
      <c r="AS200" s="131"/>
      <c r="AT200" s="131"/>
      <c r="AU200" s="131"/>
      <c r="AV200" s="131"/>
      <c r="AW200" s="131"/>
      <c r="AX200" s="131"/>
    </row>
    <row r="201" spans="2:50" s="918" customFormat="1">
      <c r="B201" s="1278"/>
      <c r="C201" s="645" t="s">
        <v>4098</v>
      </c>
      <c r="D201" s="646"/>
      <c r="E201" s="1112">
        <f t="shared" si="59"/>
        <v>0</v>
      </c>
      <c r="F201" s="1111"/>
      <c r="G201" s="1111"/>
      <c r="H201" s="923"/>
      <c r="I201" s="1112">
        <f>IF('11. Unit Mix'!$G$142&lt;&gt;0,+E201/'11. Unit Mix'!$G$142,0)</f>
        <v>0</v>
      </c>
      <c r="J201" s="1112">
        <f t="shared" si="58"/>
        <v>0</v>
      </c>
      <c r="K201" s="202"/>
      <c r="L201" s="202"/>
      <c r="M201" s="202"/>
      <c r="N201" s="642"/>
      <c r="O201" s="642"/>
      <c r="P201" s="642"/>
      <c r="Q201" s="642"/>
      <c r="R201" s="642"/>
      <c r="S201" s="642"/>
      <c r="T201" s="642"/>
      <c r="U201" s="642"/>
      <c r="V201" s="642"/>
      <c r="W201" s="642"/>
      <c r="X201" s="642"/>
      <c r="Y201" s="642"/>
      <c r="Z201" s="642"/>
      <c r="AA201" s="642"/>
      <c r="AB201" s="642"/>
      <c r="AC201" s="642"/>
      <c r="AD201" s="642"/>
      <c r="AE201" s="642"/>
      <c r="AF201" s="642"/>
      <c r="AG201" s="642"/>
      <c r="AH201" s="642"/>
      <c r="AI201" s="642"/>
      <c r="AJ201" s="642"/>
      <c r="AK201" s="642"/>
      <c r="AL201" s="642"/>
      <c r="AM201" s="642"/>
      <c r="AN201" s="642"/>
      <c r="AO201" s="642"/>
      <c r="AP201" s="1278"/>
      <c r="AQ201" s="3"/>
      <c r="AR201" s="3"/>
      <c r="AS201" s="131"/>
      <c r="AT201" s="131"/>
      <c r="AU201" s="131"/>
      <c r="AV201" s="131"/>
      <c r="AW201" s="131"/>
      <c r="AX201" s="131"/>
    </row>
    <row r="202" spans="2:50" s="918" customFormat="1">
      <c r="B202" s="1278"/>
      <c r="C202" s="645" t="s">
        <v>4099</v>
      </c>
      <c r="D202" s="646"/>
      <c r="E202" s="1112">
        <f t="shared" si="59"/>
        <v>0</v>
      </c>
      <c r="F202" s="1111"/>
      <c r="G202" s="1111"/>
      <c r="H202" s="923"/>
      <c r="I202" s="1112">
        <f>IF('11. Unit Mix'!$G$142&lt;&gt;0,+E202/'11. Unit Mix'!$G$142,0)</f>
        <v>0</v>
      </c>
      <c r="J202" s="1112">
        <f t="shared" si="58"/>
        <v>0</v>
      </c>
      <c r="K202" s="202"/>
      <c r="L202" s="202"/>
      <c r="M202" s="202"/>
      <c r="N202" s="642"/>
      <c r="O202" s="642"/>
      <c r="P202" s="642"/>
      <c r="Q202" s="642"/>
      <c r="R202" s="642"/>
      <c r="S202" s="642"/>
      <c r="T202" s="642"/>
      <c r="U202" s="642"/>
      <c r="V202" s="642"/>
      <c r="W202" s="642"/>
      <c r="X202" s="642"/>
      <c r="Y202" s="642"/>
      <c r="Z202" s="642"/>
      <c r="AA202" s="642"/>
      <c r="AB202" s="642"/>
      <c r="AC202" s="642"/>
      <c r="AD202" s="642"/>
      <c r="AE202" s="642"/>
      <c r="AF202" s="642"/>
      <c r="AG202" s="642"/>
      <c r="AH202" s="642"/>
      <c r="AI202" s="642"/>
      <c r="AJ202" s="642"/>
      <c r="AK202" s="642"/>
      <c r="AL202" s="642"/>
      <c r="AM202" s="642"/>
      <c r="AN202" s="642"/>
      <c r="AO202" s="642"/>
      <c r="AP202" s="1278"/>
      <c r="AQ202" s="3"/>
      <c r="AR202" s="3"/>
      <c r="AS202" s="131"/>
      <c r="AT202" s="131"/>
      <c r="AU202" s="131"/>
      <c r="AV202" s="131"/>
      <c r="AW202" s="131"/>
      <c r="AX202" s="131"/>
    </row>
    <row r="203" spans="2:50" s="918" customFormat="1">
      <c r="B203" s="1278"/>
      <c r="C203" s="645" t="s">
        <v>4100</v>
      </c>
      <c r="D203" s="646"/>
      <c r="E203" s="1112">
        <f t="shared" si="59"/>
        <v>0</v>
      </c>
      <c r="F203" s="1111"/>
      <c r="G203" s="1111"/>
      <c r="H203" s="923"/>
      <c r="I203" s="1112">
        <f>IF('11. Unit Mix'!$G$142&lt;&gt;0,+E203/'11. Unit Mix'!$G$142,0)</f>
        <v>0</v>
      </c>
      <c r="J203" s="1112">
        <f t="shared" si="58"/>
        <v>0</v>
      </c>
      <c r="K203" s="202"/>
      <c r="L203" s="202"/>
      <c r="M203" s="202"/>
      <c r="N203" s="642"/>
      <c r="O203" s="642"/>
      <c r="P203" s="642"/>
      <c r="Q203" s="642"/>
      <c r="R203" s="642"/>
      <c r="S203" s="642"/>
      <c r="T203" s="642"/>
      <c r="U203" s="642"/>
      <c r="V203" s="642"/>
      <c r="W203" s="642"/>
      <c r="X203" s="642"/>
      <c r="Y203" s="642"/>
      <c r="Z203" s="642"/>
      <c r="AA203" s="642"/>
      <c r="AB203" s="642"/>
      <c r="AC203" s="642"/>
      <c r="AD203" s="642"/>
      <c r="AE203" s="642"/>
      <c r="AF203" s="642"/>
      <c r="AG203" s="642"/>
      <c r="AH203" s="642"/>
      <c r="AI203" s="642"/>
      <c r="AJ203" s="642"/>
      <c r="AK203" s="642"/>
      <c r="AL203" s="642"/>
      <c r="AM203" s="642"/>
      <c r="AN203" s="642"/>
      <c r="AO203" s="642"/>
      <c r="AP203" s="1278"/>
      <c r="AQ203" s="3"/>
      <c r="AR203" s="3"/>
      <c r="AS203" s="131"/>
      <c r="AT203" s="131"/>
      <c r="AU203" s="131"/>
      <c r="AV203" s="131"/>
      <c r="AW203" s="131"/>
      <c r="AX203" s="131"/>
    </row>
    <row r="204" spans="2:50" s="918" customFormat="1">
      <c r="B204" s="1278"/>
      <c r="C204" s="645" t="s">
        <v>4101</v>
      </c>
      <c r="D204" s="646"/>
      <c r="E204" s="1112">
        <f t="shared" si="59"/>
        <v>0</v>
      </c>
      <c r="F204" s="1111"/>
      <c r="G204" s="1111"/>
      <c r="H204" s="923"/>
      <c r="I204" s="1112">
        <f>IF('11. Unit Mix'!$G$142&lt;&gt;0,+E204/'11. Unit Mix'!$G$142,0)</f>
        <v>0</v>
      </c>
      <c r="J204" s="1112">
        <f t="shared" si="58"/>
        <v>0</v>
      </c>
      <c r="K204" s="202"/>
      <c r="L204" s="202"/>
      <c r="M204" s="202"/>
      <c r="N204" s="642"/>
      <c r="O204" s="642"/>
      <c r="P204" s="642"/>
      <c r="Q204" s="642"/>
      <c r="R204" s="642"/>
      <c r="S204" s="642"/>
      <c r="T204" s="642"/>
      <c r="U204" s="642"/>
      <c r="V204" s="642"/>
      <c r="W204" s="642"/>
      <c r="X204" s="642"/>
      <c r="Y204" s="642"/>
      <c r="Z204" s="642"/>
      <c r="AA204" s="642"/>
      <c r="AB204" s="642"/>
      <c r="AC204" s="642"/>
      <c r="AD204" s="642"/>
      <c r="AE204" s="642"/>
      <c r="AF204" s="642"/>
      <c r="AG204" s="642"/>
      <c r="AH204" s="642"/>
      <c r="AI204" s="642"/>
      <c r="AJ204" s="642"/>
      <c r="AK204" s="642"/>
      <c r="AL204" s="642"/>
      <c r="AM204" s="642"/>
      <c r="AN204" s="642"/>
      <c r="AO204" s="642"/>
      <c r="AP204" s="1278"/>
      <c r="AQ204" s="3"/>
      <c r="AR204" s="3"/>
      <c r="AS204" s="131"/>
      <c r="AT204" s="131"/>
      <c r="AU204" s="131"/>
      <c r="AV204" s="131"/>
      <c r="AW204" s="131"/>
      <c r="AX204" s="131"/>
    </row>
    <row r="205" spans="2:50" s="919" customFormat="1">
      <c r="B205" s="1278"/>
      <c r="C205" s="645" t="s">
        <v>4102</v>
      </c>
      <c r="D205" s="646"/>
      <c r="E205" s="1112">
        <f t="shared" si="59"/>
        <v>0</v>
      </c>
      <c r="F205" s="1111"/>
      <c r="G205" s="1111"/>
      <c r="H205" s="923"/>
      <c r="I205" s="1112">
        <f>IF('11. Unit Mix'!$G$142&lt;&gt;0,+E205/'11. Unit Mix'!$G$142,0)</f>
        <v>0</v>
      </c>
      <c r="J205" s="1112">
        <f t="shared" si="58"/>
        <v>0</v>
      </c>
      <c r="K205" s="202"/>
      <c r="L205" s="202"/>
      <c r="M205" s="202"/>
      <c r="N205" s="1081"/>
      <c r="O205" s="1081"/>
      <c r="P205" s="1081"/>
      <c r="Q205" s="1081"/>
      <c r="R205" s="1081"/>
      <c r="S205" s="1081"/>
      <c r="T205" s="1081"/>
      <c r="U205" s="1081"/>
      <c r="V205" s="1081"/>
      <c r="W205" s="1081"/>
      <c r="X205" s="1081"/>
      <c r="Y205" s="1081"/>
      <c r="Z205" s="1081"/>
      <c r="AA205" s="1081"/>
      <c r="AB205" s="1081"/>
      <c r="AC205" s="1081"/>
      <c r="AD205" s="1081"/>
      <c r="AE205" s="1081"/>
      <c r="AF205" s="1081"/>
      <c r="AG205" s="1081"/>
      <c r="AH205" s="1081"/>
      <c r="AI205" s="1081"/>
      <c r="AJ205" s="1081"/>
      <c r="AK205" s="1081"/>
      <c r="AL205" s="1081"/>
      <c r="AM205" s="1081"/>
      <c r="AN205" s="1081"/>
      <c r="AO205" s="1081"/>
      <c r="AP205" s="1278"/>
      <c r="AQ205" s="3"/>
      <c r="AR205" s="3"/>
      <c r="AS205" s="131"/>
      <c r="AT205" s="131"/>
      <c r="AU205" s="131"/>
      <c r="AV205" s="131"/>
      <c r="AW205" s="131"/>
      <c r="AX205" s="131"/>
    </row>
    <row r="206" spans="2:50" s="918" customFormat="1">
      <c r="B206" s="1278"/>
      <c r="C206" s="1279"/>
      <c r="D206" s="1279"/>
      <c r="E206" s="1279"/>
      <c r="F206" s="1279"/>
      <c r="G206" s="1279"/>
      <c r="H206" s="1279"/>
      <c r="I206" s="1279"/>
      <c r="J206" s="1279"/>
      <c r="K206" s="202"/>
      <c r="L206" s="202"/>
      <c r="M206" s="202"/>
      <c r="N206" s="642"/>
      <c r="O206" s="642"/>
      <c r="P206" s="642"/>
      <c r="Q206" s="642"/>
      <c r="R206" s="642"/>
      <c r="S206" s="642"/>
      <c r="T206" s="642"/>
      <c r="U206" s="642"/>
      <c r="V206" s="642"/>
      <c r="W206" s="642"/>
      <c r="X206" s="642"/>
      <c r="Y206" s="642"/>
      <c r="Z206" s="642"/>
      <c r="AA206" s="642"/>
      <c r="AB206" s="642"/>
      <c r="AC206" s="642"/>
      <c r="AD206" s="642"/>
      <c r="AE206" s="642"/>
      <c r="AF206" s="642"/>
      <c r="AG206" s="642"/>
      <c r="AH206" s="642"/>
      <c r="AI206" s="642"/>
      <c r="AJ206" s="642"/>
      <c r="AK206" s="642"/>
      <c r="AL206" s="642"/>
      <c r="AM206" s="642"/>
      <c r="AN206" s="642"/>
      <c r="AO206" s="642"/>
      <c r="AP206" s="1278"/>
      <c r="AQ206" s="3"/>
      <c r="AR206" s="3"/>
      <c r="AS206" s="131"/>
      <c r="AT206" s="131"/>
      <c r="AU206" s="131"/>
      <c r="AV206" s="131"/>
      <c r="AW206" s="131"/>
      <c r="AX206" s="131"/>
    </row>
    <row r="207" spans="2:50" s="918" customFormat="1">
      <c r="B207" s="1278"/>
      <c r="C207" s="643" t="s">
        <v>4103</v>
      </c>
      <c r="D207" s="644"/>
      <c r="E207" s="655">
        <f>+SUM(E208:E213)</f>
        <v>0</v>
      </c>
      <c r="F207" s="655">
        <f t="shared" ref="F207:H207" si="60">+SUM(F208:F213)</f>
        <v>0</v>
      </c>
      <c r="G207" s="655">
        <f t="shared" si="60"/>
        <v>0</v>
      </c>
      <c r="H207" s="655">
        <f t="shared" si="60"/>
        <v>0</v>
      </c>
      <c r="I207" s="655">
        <f>IF('11. Unit Mix'!$G$142&lt;&gt;0,+E207/'11. Unit Mix'!$G$142,0)</f>
        <v>0</v>
      </c>
      <c r="J207" s="655">
        <f t="shared" ref="J207:J213" si="61">IF(Total_Units&lt;&gt;0,+E207/Total_Units,0)</f>
        <v>0</v>
      </c>
      <c r="K207" s="202"/>
      <c r="L207" s="202"/>
      <c r="M207" s="202"/>
      <c r="N207" s="642"/>
      <c r="O207" s="642"/>
      <c r="P207" s="642"/>
      <c r="Q207" s="642"/>
      <c r="R207" s="642"/>
      <c r="S207" s="642"/>
      <c r="T207" s="642"/>
      <c r="U207" s="642"/>
      <c r="V207" s="642"/>
      <c r="W207" s="642"/>
      <c r="X207" s="642"/>
      <c r="Y207" s="642"/>
      <c r="Z207" s="642"/>
      <c r="AA207" s="642"/>
      <c r="AB207" s="642"/>
      <c r="AC207" s="642"/>
      <c r="AD207" s="642"/>
      <c r="AE207" s="642"/>
      <c r="AF207" s="642"/>
      <c r="AG207" s="642"/>
      <c r="AH207" s="642"/>
      <c r="AI207" s="642"/>
      <c r="AJ207" s="642"/>
      <c r="AK207" s="642"/>
      <c r="AL207" s="642"/>
      <c r="AM207" s="642"/>
      <c r="AN207" s="642"/>
      <c r="AO207" s="642"/>
      <c r="AP207" s="1278"/>
      <c r="AQ207" s="3"/>
      <c r="AR207" s="3"/>
      <c r="AS207" s="131"/>
      <c r="AT207" s="131"/>
      <c r="AU207" s="131"/>
      <c r="AV207" s="131"/>
      <c r="AW207" s="131"/>
      <c r="AX207" s="131"/>
    </row>
    <row r="208" spans="2:50" s="918" customFormat="1">
      <c r="B208" s="1278"/>
      <c r="C208" s="645" t="s">
        <v>4104</v>
      </c>
      <c r="D208" s="646"/>
      <c r="E208" s="1112">
        <f t="shared" ref="E208:E213" si="62">SUM(F208:H208)</f>
        <v>0</v>
      </c>
      <c r="F208" s="1111"/>
      <c r="G208" s="1111"/>
      <c r="H208" s="923"/>
      <c r="I208" s="647">
        <f>IF('11. Unit Mix'!$G$142&lt;&gt;0,+E208/'11. Unit Mix'!$G$142,0)</f>
        <v>0</v>
      </c>
      <c r="J208" s="647">
        <f t="shared" si="61"/>
        <v>0</v>
      </c>
      <c r="K208" s="202"/>
      <c r="L208" s="202"/>
      <c r="M208" s="202"/>
      <c r="N208" s="642"/>
      <c r="O208" s="642"/>
      <c r="P208" s="642"/>
      <c r="Q208" s="642"/>
      <c r="R208" s="642"/>
      <c r="S208" s="642"/>
      <c r="T208" s="642"/>
      <c r="U208" s="642"/>
      <c r="V208" s="642"/>
      <c r="W208" s="642"/>
      <c r="X208" s="642"/>
      <c r="Y208" s="642"/>
      <c r="Z208" s="642"/>
      <c r="AA208" s="642"/>
      <c r="AB208" s="642"/>
      <c r="AC208" s="642"/>
      <c r="AD208" s="642"/>
      <c r="AE208" s="642"/>
      <c r="AF208" s="642"/>
      <c r="AG208" s="642"/>
      <c r="AH208" s="642"/>
      <c r="AI208" s="642"/>
      <c r="AJ208" s="642"/>
      <c r="AK208" s="642"/>
      <c r="AL208" s="642"/>
      <c r="AM208" s="642"/>
      <c r="AN208" s="642"/>
      <c r="AO208" s="642"/>
      <c r="AP208" s="1278"/>
      <c r="AQ208" s="3"/>
      <c r="AR208" s="3"/>
      <c r="AS208" s="131"/>
      <c r="AT208" s="131"/>
      <c r="AU208" s="131"/>
      <c r="AV208" s="131"/>
      <c r="AW208" s="131"/>
      <c r="AX208" s="131"/>
    </row>
    <row r="209" spans="2:50" s="918" customFormat="1">
      <c r="B209" s="1278"/>
      <c r="C209" s="645" t="s">
        <v>4105</v>
      </c>
      <c r="D209" s="646"/>
      <c r="E209" s="1112">
        <f t="shared" si="62"/>
        <v>0</v>
      </c>
      <c r="F209" s="1111"/>
      <c r="G209" s="1111"/>
      <c r="H209" s="923"/>
      <c r="I209" s="647">
        <f>IF('11. Unit Mix'!$G$142&lt;&gt;0,+E209/'11. Unit Mix'!$G$142,0)</f>
        <v>0</v>
      </c>
      <c r="J209" s="647">
        <f t="shared" si="61"/>
        <v>0</v>
      </c>
      <c r="K209" s="202"/>
      <c r="L209" s="202"/>
      <c r="M209" s="202"/>
      <c r="N209" s="642"/>
      <c r="O209" s="642"/>
      <c r="P209" s="642"/>
      <c r="Q209" s="642"/>
      <c r="R209" s="642"/>
      <c r="S209" s="642"/>
      <c r="T209" s="642"/>
      <c r="U209" s="642"/>
      <c r="V209" s="642"/>
      <c r="W209" s="642"/>
      <c r="X209" s="642"/>
      <c r="Y209" s="642"/>
      <c r="Z209" s="642"/>
      <c r="AA209" s="642"/>
      <c r="AB209" s="642"/>
      <c r="AC209" s="642"/>
      <c r="AD209" s="642"/>
      <c r="AE209" s="642"/>
      <c r="AF209" s="642"/>
      <c r="AG209" s="642"/>
      <c r="AH209" s="642"/>
      <c r="AI209" s="642"/>
      <c r="AJ209" s="642"/>
      <c r="AK209" s="642"/>
      <c r="AL209" s="642"/>
      <c r="AM209" s="642"/>
      <c r="AN209" s="642"/>
      <c r="AO209" s="642"/>
      <c r="AP209" s="1278"/>
      <c r="AQ209" s="3"/>
      <c r="AR209" s="3"/>
      <c r="AS209" s="131"/>
      <c r="AT209" s="131"/>
      <c r="AU209" s="131"/>
      <c r="AV209" s="131"/>
      <c r="AW209" s="131"/>
      <c r="AX209" s="131"/>
    </row>
    <row r="210" spans="2:50" s="918" customFormat="1">
      <c r="B210" s="1278"/>
      <c r="C210" s="645" t="s">
        <v>4106</v>
      </c>
      <c r="D210" s="646"/>
      <c r="E210" s="1112">
        <f t="shared" si="62"/>
        <v>0</v>
      </c>
      <c r="F210" s="1111"/>
      <c r="G210" s="1111"/>
      <c r="H210" s="923"/>
      <c r="I210" s="647">
        <f>IF('11. Unit Mix'!$G$142&lt;&gt;0,+E210/'11. Unit Mix'!$G$142,0)</f>
        <v>0</v>
      </c>
      <c r="J210" s="647">
        <f t="shared" si="61"/>
        <v>0</v>
      </c>
      <c r="K210" s="202"/>
      <c r="L210" s="202"/>
      <c r="M210" s="20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1278"/>
      <c r="AQ210" s="3"/>
      <c r="AR210" s="3"/>
      <c r="AS210" s="131"/>
      <c r="AT210" s="131"/>
      <c r="AU210" s="131"/>
      <c r="AV210" s="131"/>
      <c r="AW210" s="131"/>
      <c r="AX210" s="131"/>
    </row>
    <row r="211" spans="2:50" s="918" customFormat="1">
      <c r="B211" s="1278"/>
      <c r="C211" s="645" t="s">
        <v>4107</v>
      </c>
      <c r="D211" s="646"/>
      <c r="E211" s="1112">
        <f t="shared" si="62"/>
        <v>0</v>
      </c>
      <c r="F211" s="1111"/>
      <c r="G211" s="1111"/>
      <c r="H211" s="923"/>
      <c r="I211" s="647">
        <f>IF('11. Unit Mix'!$G$142&lt;&gt;0,+E211/'11. Unit Mix'!$G$142,0)</f>
        <v>0</v>
      </c>
      <c r="J211" s="647">
        <f t="shared" si="61"/>
        <v>0</v>
      </c>
      <c r="K211" s="202"/>
      <c r="L211" s="202"/>
      <c r="M211" s="202"/>
      <c r="N211" s="642"/>
      <c r="O211" s="642"/>
      <c r="P211" s="642"/>
      <c r="Q211" s="642"/>
      <c r="R211" s="642"/>
      <c r="S211" s="642"/>
      <c r="T211" s="642"/>
      <c r="U211" s="642"/>
      <c r="V211" s="642"/>
      <c r="W211" s="642"/>
      <c r="X211" s="642"/>
      <c r="Y211" s="642"/>
      <c r="Z211" s="642"/>
      <c r="AA211" s="642"/>
      <c r="AB211" s="642"/>
      <c r="AC211" s="642"/>
      <c r="AD211" s="642"/>
      <c r="AE211" s="642"/>
      <c r="AF211" s="642"/>
      <c r="AG211" s="642"/>
      <c r="AH211" s="642"/>
      <c r="AI211" s="642"/>
      <c r="AJ211" s="642"/>
      <c r="AK211" s="642"/>
      <c r="AL211" s="642"/>
      <c r="AM211" s="642"/>
      <c r="AN211" s="642"/>
      <c r="AO211" s="642"/>
      <c r="AP211" s="1278"/>
      <c r="AQ211" s="3"/>
      <c r="AR211" s="3"/>
      <c r="AS211" s="131"/>
      <c r="AT211" s="131"/>
      <c r="AU211" s="131"/>
      <c r="AV211" s="131"/>
      <c r="AW211" s="131"/>
      <c r="AX211" s="131"/>
    </row>
    <row r="212" spans="2:50" s="918" customFormat="1">
      <c r="B212" s="1278"/>
      <c r="C212" s="645" t="s">
        <v>4108</v>
      </c>
      <c r="D212" s="646"/>
      <c r="E212" s="1112">
        <f t="shared" si="62"/>
        <v>0</v>
      </c>
      <c r="F212" s="1111"/>
      <c r="G212" s="1111"/>
      <c r="H212" s="923"/>
      <c r="I212" s="647">
        <f>IF('11. Unit Mix'!$G$142&lt;&gt;0,+E212/'11. Unit Mix'!$G$142,0)</f>
        <v>0</v>
      </c>
      <c r="J212" s="647">
        <f t="shared" si="61"/>
        <v>0</v>
      </c>
      <c r="K212" s="202"/>
      <c r="L212" s="202"/>
      <c r="M212" s="202"/>
      <c r="N212" s="642"/>
      <c r="O212" s="642"/>
      <c r="P212" s="642"/>
      <c r="Q212" s="642"/>
      <c r="R212" s="642"/>
      <c r="S212" s="642"/>
      <c r="T212" s="642"/>
      <c r="U212" s="642"/>
      <c r="V212" s="642"/>
      <c r="W212" s="642"/>
      <c r="X212" s="642"/>
      <c r="Y212" s="642"/>
      <c r="Z212" s="642"/>
      <c r="AA212" s="642"/>
      <c r="AB212" s="642"/>
      <c r="AC212" s="642"/>
      <c r="AD212" s="642"/>
      <c r="AE212" s="642"/>
      <c r="AF212" s="642"/>
      <c r="AG212" s="642"/>
      <c r="AH212" s="642"/>
      <c r="AI212" s="642"/>
      <c r="AJ212" s="642"/>
      <c r="AK212" s="642"/>
      <c r="AL212" s="642"/>
      <c r="AM212" s="642"/>
      <c r="AN212" s="642"/>
      <c r="AO212" s="642"/>
      <c r="AP212" s="1278"/>
      <c r="AQ212" s="3"/>
      <c r="AR212" s="3"/>
      <c r="AS212" s="131"/>
      <c r="AT212" s="131"/>
      <c r="AU212" s="131"/>
      <c r="AV212" s="131"/>
      <c r="AW212" s="131"/>
      <c r="AX212" s="131"/>
    </row>
    <row r="213" spans="2:50" s="919" customFormat="1">
      <c r="B213" s="1278"/>
      <c r="C213" s="645" t="s">
        <v>4109</v>
      </c>
      <c r="D213" s="646"/>
      <c r="E213" s="1112">
        <f t="shared" si="62"/>
        <v>0</v>
      </c>
      <c r="F213" s="1111"/>
      <c r="G213" s="1111"/>
      <c r="H213" s="923"/>
      <c r="I213" s="647">
        <f>IF('11. Unit Mix'!$G$142&lt;&gt;0,+E213/'11. Unit Mix'!$G$142,0)</f>
        <v>0</v>
      </c>
      <c r="J213" s="647">
        <f t="shared" si="61"/>
        <v>0</v>
      </c>
      <c r="K213" s="202"/>
      <c r="L213" s="202"/>
      <c r="M213" s="202"/>
      <c r="N213" s="1081"/>
      <c r="O213" s="1081"/>
      <c r="P213" s="1081"/>
      <c r="Q213" s="1081"/>
      <c r="R213" s="1081"/>
      <c r="S213" s="1081"/>
      <c r="T213" s="1081"/>
      <c r="U213" s="1081"/>
      <c r="V213" s="1081"/>
      <c r="W213" s="1081"/>
      <c r="X213" s="1081"/>
      <c r="Y213" s="1081"/>
      <c r="Z213" s="1081"/>
      <c r="AA213" s="1081"/>
      <c r="AB213" s="1081"/>
      <c r="AC213" s="1081"/>
      <c r="AD213" s="1081"/>
      <c r="AE213" s="1081"/>
      <c r="AF213" s="1081"/>
      <c r="AG213" s="1081"/>
      <c r="AH213" s="1081"/>
      <c r="AI213" s="1081"/>
      <c r="AJ213" s="1081"/>
      <c r="AK213" s="1081"/>
      <c r="AL213" s="1081"/>
      <c r="AM213" s="1081"/>
      <c r="AN213" s="1081"/>
      <c r="AO213" s="1081"/>
      <c r="AP213" s="1278"/>
      <c r="AQ213" s="3"/>
      <c r="AR213" s="3"/>
      <c r="AS213" s="131"/>
      <c r="AT213" s="131"/>
      <c r="AU213" s="131"/>
      <c r="AV213" s="131"/>
      <c r="AW213" s="131"/>
      <c r="AX213" s="131"/>
    </row>
    <row r="214" spans="2:50" s="918" customFormat="1">
      <c r="B214" s="1278"/>
      <c r="C214" s="1279"/>
      <c r="D214" s="1279"/>
      <c r="E214" s="1279"/>
      <c r="F214" s="1279"/>
      <c r="G214" s="1279"/>
      <c r="H214" s="1279"/>
      <c r="I214" s="1279"/>
      <c r="J214" s="1279"/>
      <c r="K214" s="202"/>
      <c r="L214" s="202"/>
      <c r="M214" s="202"/>
      <c r="N214" s="642"/>
      <c r="O214" s="642"/>
      <c r="P214" s="642"/>
      <c r="Q214" s="642"/>
      <c r="R214" s="642"/>
      <c r="S214" s="642"/>
      <c r="T214" s="642"/>
      <c r="U214" s="642"/>
      <c r="V214" s="642"/>
      <c r="W214" s="642"/>
      <c r="X214" s="642"/>
      <c r="Y214" s="642"/>
      <c r="Z214" s="642"/>
      <c r="AA214" s="642"/>
      <c r="AB214" s="642"/>
      <c r="AC214" s="642"/>
      <c r="AD214" s="642"/>
      <c r="AE214" s="642"/>
      <c r="AF214" s="642"/>
      <c r="AG214" s="642"/>
      <c r="AH214" s="642"/>
      <c r="AI214" s="642"/>
      <c r="AJ214" s="642"/>
      <c r="AK214" s="642"/>
      <c r="AL214" s="642"/>
      <c r="AM214" s="642"/>
      <c r="AN214" s="642"/>
      <c r="AO214" s="642"/>
      <c r="AP214" s="1278"/>
      <c r="AQ214" s="3"/>
      <c r="AR214" s="3"/>
      <c r="AS214" s="131"/>
      <c r="AT214" s="131"/>
      <c r="AU214" s="131"/>
      <c r="AV214" s="131"/>
      <c r="AW214" s="131"/>
      <c r="AX214" s="131"/>
    </row>
    <row r="215" spans="2:50" s="918" customFormat="1">
      <c r="B215" s="1278"/>
      <c r="C215" s="643" t="s">
        <v>4110</v>
      </c>
      <c r="D215" s="644"/>
      <c r="E215" s="655">
        <f>+SUM(E216:E220)</f>
        <v>0</v>
      </c>
      <c r="F215" s="655">
        <f t="shared" ref="F215:H215" si="63">+SUM(F216:F220)</f>
        <v>0</v>
      </c>
      <c r="G215" s="655">
        <f t="shared" si="63"/>
        <v>0</v>
      </c>
      <c r="H215" s="655">
        <f t="shared" si="63"/>
        <v>0</v>
      </c>
      <c r="I215" s="655">
        <f>IF('11. Unit Mix'!$G$142&lt;&gt;0,+E215/'11. Unit Mix'!$G$142,0)</f>
        <v>0</v>
      </c>
      <c r="J215" s="655">
        <f t="shared" ref="J215:J220" si="64">IF(Total_Units&lt;&gt;0,+E215/Total_Units,0)</f>
        <v>0</v>
      </c>
      <c r="K215" s="202"/>
      <c r="L215" s="202"/>
      <c r="M215" s="202"/>
      <c r="N215" s="642"/>
      <c r="O215" s="642"/>
      <c r="P215" s="642"/>
      <c r="Q215" s="642"/>
      <c r="R215" s="642"/>
      <c r="S215" s="642"/>
      <c r="T215" s="642"/>
      <c r="U215" s="642"/>
      <c r="V215" s="642"/>
      <c r="W215" s="642"/>
      <c r="X215" s="642"/>
      <c r="Y215" s="642"/>
      <c r="Z215" s="642"/>
      <c r="AA215" s="642"/>
      <c r="AB215" s="642"/>
      <c r="AC215" s="642"/>
      <c r="AD215" s="642"/>
      <c r="AE215" s="642"/>
      <c r="AF215" s="642"/>
      <c r="AG215" s="642"/>
      <c r="AH215" s="642"/>
      <c r="AI215" s="642"/>
      <c r="AJ215" s="642"/>
      <c r="AK215" s="642"/>
      <c r="AL215" s="642"/>
      <c r="AM215" s="642"/>
      <c r="AN215" s="642"/>
      <c r="AO215" s="642"/>
      <c r="AP215" s="1278"/>
      <c r="AQ215" s="3"/>
      <c r="AR215" s="3"/>
      <c r="AS215" s="131"/>
      <c r="AT215" s="131"/>
      <c r="AU215" s="131"/>
      <c r="AV215" s="131"/>
      <c r="AW215" s="131"/>
      <c r="AX215" s="131"/>
    </row>
    <row r="216" spans="2:50" s="918" customFormat="1">
      <c r="B216" s="1278"/>
      <c r="C216" s="645" t="s">
        <v>4111</v>
      </c>
      <c r="D216" s="646"/>
      <c r="E216" s="1112">
        <f t="shared" ref="E216:E220" si="65">SUM(F216:H216)</f>
        <v>0</v>
      </c>
      <c r="F216" s="1111"/>
      <c r="G216" s="1111"/>
      <c r="H216" s="923"/>
      <c r="I216" s="1112">
        <f>IF('11. Unit Mix'!$G$142&lt;&gt;0,+E216/'11. Unit Mix'!$G$142,0)</f>
        <v>0</v>
      </c>
      <c r="J216" s="1112">
        <f t="shared" si="64"/>
        <v>0</v>
      </c>
      <c r="K216" s="202"/>
      <c r="L216" s="202"/>
      <c r="M216" s="202"/>
      <c r="N216" s="642"/>
      <c r="O216" s="642"/>
      <c r="P216" s="642"/>
      <c r="Q216" s="642"/>
      <c r="R216" s="642"/>
      <c r="S216" s="642"/>
      <c r="T216" s="642"/>
      <c r="U216" s="642"/>
      <c r="V216" s="642"/>
      <c r="W216" s="642"/>
      <c r="X216" s="642"/>
      <c r="Y216" s="642"/>
      <c r="Z216" s="642"/>
      <c r="AA216" s="642"/>
      <c r="AB216" s="642"/>
      <c r="AC216" s="642"/>
      <c r="AD216" s="642"/>
      <c r="AE216" s="642"/>
      <c r="AF216" s="642"/>
      <c r="AG216" s="642"/>
      <c r="AH216" s="642"/>
      <c r="AI216" s="642"/>
      <c r="AJ216" s="642"/>
      <c r="AK216" s="642"/>
      <c r="AL216" s="642"/>
      <c r="AM216" s="642"/>
      <c r="AN216" s="642"/>
      <c r="AO216" s="642"/>
      <c r="AP216" s="1278"/>
      <c r="AQ216" s="3"/>
      <c r="AR216" s="3"/>
      <c r="AS216" s="131"/>
      <c r="AT216" s="131"/>
      <c r="AU216" s="131"/>
      <c r="AV216" s="131"/>
      <c r="AW216" s="131"/>
      <c r="AX216" s="131"/>
    </row>
    <row r="217" spans="2:50" s="918" customFormat="1">
      <c r="B217" s="1278"/>
      <c r="C217" s="645" t="s">
        <v>4112</v>
      </c>
      <c r="D217" s="646"/>
      <c r="E217" s="1112">
        <f t="shared" si="65"/>
        <v>0</v>
      </c>
      <c r="F217" s="1111"/>
      <c r="G217" s="1111"/>
      <c r="H217" s="923"/>
      <c r="I217" s="1112">
        <f>IF('11. Unit Mix'!$G$142&lt;&gt;0,+E217/'11. Unit Mix'!$G$142,0)</f>
        <v>0</v>
      </c>
      <c r="J217" s="1112">
        <f t="shared" si="64"/>
        <v>0</v>
      </c>
      <c r="K217" s="202"/>
      <c r="L217" s="202"/>
      <c r="M217" s="202"/>
      <c r="N217" s="642"/>
      <c r="O217" s="642"/>
      <c r="P217" s="642"/>
      <c r="Q217" s="642"/>
      <c r="R217" s="642"/>
      <c r="S217" s="642"/>
      <c r="T217" s="642"/>
      <c r="U217" s="642"/>
      <c r="V217" s="642"/>
      <c r="W217" s="642"/>
      <c r="X217" s="642"/>
      <c r="Y217" s="642"/>
      <c r="Z217" s="642"/>
      <c r="AA217" s="642"/>
      <c r="AB217" s="642"/>
      <c r="AC217" s="642"/>
      <c r="AD217" s="642"/>
      <c r="AE217" s="642"/>
      <c r="AF217" s="642"/>
      <c r="AG217" s="642"/>
      <c r="AH217" s="642"/>
      <c r="AI217" s="642"/>
      <c r="AJ217" s="642"/>
      <c r="AK217" s="642"/>
      <c r="AL217" s="642"/>
      <c r="AM217" s="642"/>
      <c r="AN217" s="642"/>
      <c r="AO217" s="642"/>
      <c r="AP217" s="1278"/>
      <c r="AQ217" s="3"/>
      <c r="AR217" s="3"/>
      <c r="AS217" s="131"/>
      <c r="AT217" s="131"/>
      <c r="AU217" s="131"/>
      <c r="AV217" s="131"/>
      <c r="AW217" s="131"/>
      <c r="AX217" s="131"/>
    </row>
    <row r="218" spans="2:50" s="918" customFormat="1">
      <c r="B218" s="1278"/>
      <c r="C218" s="645" t="s">
        <v>4113</v>
      </c>
      <c r="D218" s="646"/>
      <c r="E218" s="1112">
        <f t="shared" si="65"/>
        <v>0</v>
      </c>
      <c r="F218" s="1111"/>
      <c r="G218" s="1111"/>
      <c r="H218" s="923"/>
      <c r="I218" s="1112">
        <f>IF('11. Unit Mix'!$G$142&lt;&gt;0,+E218/'11. Unit Mix'!$G$142,0)</f>
        <v>0</v>
      </c>
      <c r="J218" s="1112">
        <f t="shared" si="64"/>
        <v>0</v>
      </c>
      <c r="K218" s="202"/>
      <c r="L218" s="202"/>
      <c r="M218" s="202"/>
      <c r="N218" s="642"/>
      <c r="O218" s="642"/>
      <c r="P218" s="642"/>
      <c r="Q218" s="642"/>
      <c r="R218" s="642"/>
      <c r="S218" s="642"/>
      <c r="T218" s="642"/>
      <c r="U218" s="642"/>
      <c r="V218" s="642"/>
      <c r="W218" s="642"/>
      <c r="X218" s="642"/>
      <c r="Y218" s="642"/>
      <c r="Z218" s="642"/>
      <c r="AA218" s="642"/>
      <c r="AB218" s="642"/>
      <c r="AC218" s="642"/>
      <c r="AD218" s="642"/>
      <c r="AE218" s="642"/>
      <c r="AF218" s="642"/>
      <c r="AG218" s="642"/>
      <c r="AH218" s="642"/>
      <c r="AI218" s="642"/>
      <c r="AJ218" s="642"/>
      <c r="AK218" s="642"/>
      <c r="AL218" s="642"/>
      <c r="AM218" s="642"/>
      <c r="AN218" s="642"/>
      <c r="AO218" s="642"/>
      <c r="AP218" s="1278"/>
      <c r="AQ218" s="3"/>
      <c r="AR218" s="3"/>
      <c r="AS218" s="131"/>
      <c r="AT218" s="131"/>
      <c r="AU218" s="131"/>
      <c r="AV218" s="131"/>
      <c r="AW218" s="131"/>
      <c r="AX218" s="131"/>
    </row>
    <row r="219" spans="2:50" s="918" customFormat="1">
      <c r="B219" s="1278"/>
      <c r="C219" s="645" t="s">
        <v>4114</v>
      </c>
      <c r="D219" s="646"/>
      <c r="E219" s="1112">
        <f t="shared" si="65"/>
        <v>0</v>
      </c>
      <c r="F219" s="1111"/>
      <c r="G219" s="1111"/>
      <c r="H219" s="923"/>
      <c r="I219" s="1112">
        <f>IF('11. Unit Mix'!$G$142&lt;&gt;0,+E219/'11. Unit Mix'!$G$142,0)</f>
        <v>0</v>
      </c>
      <c r="J219" s="1112">
        <f t="shared" si="64"/>
        <v>0</v>
      </c>
      <c r="K219" s="202"/>
      <c r="L219" s="202"/>
      <c r="M219" s="202"/>
      <c r="N219" s="642"/>
      <c r="O219" s="642"/>
      <c r="P219" s="642"/>
      <c r="Q219" s="642"/>
      <c r="R219" s="642"/>
      <c r="S219" s="642"/>
      <c r="T219" s="642"/>
      <c r="U219" s="642"/>
      <c r="V219" s="642"/>
      <c r="W219" s="642"/>
      <c r="X219" s="642"/>
      <c r="Y219" s="642"/>
      <c r="Z219" s="642"/>
      <c r="AA219" s="642"/>
      <c r="AB219" s="642"/>
      <c r="AC219" s="642"/>
      <c r="AD219" s="642"/>
      <c r="AE219" s="642"/>
      <c r="AF219" s="642"/>
      <c r="AG219" s="642"/>
      <c r="AH219" s="642"/>
      <c r="AI219" s="642"/>
      <c r="AJ219" s="642"/>
      <c r="AK219" s="642"/>
      <c r="AL219" s="642"/>
      <c r="AM219" s="642"/>
      <c r="AN219" s="642"/>
      <c r="AO219" s="642"/>
      <c r="AP219" s="1278"/>
      <c r="AQ219" s="3"/>
      <c r="AR219" s="3"/>
      <c r="AS219" s="131"/>
      <c r="AT219" s="131"/>
      <c r="AU219" s="131"/>
      <c r="AV219" s="131"/>
      <c r="AW219" s="131"/>
      <c r="AX219" s="131"/>
    </row>
    <row r="220" spans="2:50" s="919" customFormat="1">
      <c r="B220" s="1278"/>
      <c r="C220" s="645" t="s">
        <v>4115</v>
      </c>
      <c r="D220" s="646"/>
      <c r="E220" s="1112">
        <f t="shared" si="65"/>
        <v>0</v>
      </c>
      <c r="F220" s="1111"/>
      <c r="G220" s="1111"/>
      <c r="H220" s="923"/>
      <c r="I220" s="1112">
        <f>IF('11. Unit Mix'!$G$142&lt;&gt;0,+E220/'11. Unit Mix'!$G$142,0)</f>
        <v>0</v>
      </c>
      <c r="J220" s="1112">
        <f t="shared" si="64"/>
        <v>0</v>
      </c>
      <c r="K220" s="202"/>
      <c r="L220" s="202"/>
      <c r="M220" s="202"/>
      <c r="N220" s="1081"/>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c r="AN220" s="1081"/>
      <c r="AO220" s="1081"/>
      <c r="AP220" s="1278"/>
      <c r="AQ220" s="3"/>
      <c r="AR220" s="3"/>
      <c r="AS220" s="131"/>
      <c r="AT220" s="131"/>
      <c r="AU220" s="131"/>
      <c r="AV220" s="131"/>
      <c r="AW220" s="131"/>
      <c r="AX220" s="131"/>
    </row>
    <row r="221" spans="2:50" s="918" customFormat="1">
      <c r="B221" s="1278"/>
      <c r="C221" s="1279"/>
      <c r="D221" s="1279"/>
      <c r="E221" s="1279"/>
      <c r="F221" s="1279"/>
      <c r="G221" s="1279"/>
      <c r="H221" s="1279"/>
      <c r="I221" s="1279"/>
      <c r="J221" s="1279"/>
      <c r="K221" s="202"/>
      <c r="L221" s="202"/>
      <c r="M221" s="202"/>
      <c r="N221" s="642"/>
      <c r="O221" s="642"/>
      <c r="P221" s="642"/>
      <c r="Q221" s="642"/>
      <c r="R221" s="642"/>
      <c r="S221" s="642"/>
      <c r="T221" s="642"/>
      <c r="U221" s="642"/>
      <c r="V221" s="642"/>
      <c r="W221" s="642"/>
      <c r="X221" s="642"/>
      <c r="Y221" s="642"/>
      <c r="Z221" s="642"/>
      <c r="AA221" s="642"/>
      <c r="AB221" s="642"/>
      <c r="AC221" s="642"/>
      <c r="AD221" s="642"/>
      <c r="AE221" s="642"/>
      <c r="AF221" s="642"/>
      <c r="AG221" s="642"/>
      <c r="AH221" s="642"/>
      <c r="AI221" s="642"/>
      <c r="AJ221" s="642"/>
      <c r="AK221" s="642"/>
      <c r="AL221" s="642"/>
      <c r="AM221" s="642"/>
      <c r="AN221" s="642"/>
      <c r="AO221" s="642"/>
      <c r="AP221" s="1278"/>
      <c r="AQ221" s="3"/>
      <c r="AR221" s="3"/>
      <c r="AS221" s="131"/>
      <c r="AT221" s="131"/>
      <c r="AU221" s="131"/>
      <c r="AV221" s="131"/>
      <c r="AW221" s="131"/>
      <c r="AX221" s="131"/>
    </row>
    <row r="222" spans="2:50" s="918" customFormat="1">
      <c r="B222" s="1278"/>
      <c r="C222" s="643" t="s">
        <v>4116</v>
      </c>
      <c r="D222" s="644"/>
      <c r="E222" s="655">
        <f>+SUM(E223:E230)</f>
        <v>0</v>
      </c>
      <c r="F222" s="655">
        <f t="shared" ref="F222:H222" si="66">+SUM(F223:F230)</f>
        <v>0</v>
      </c>
      <c r="G222" s="655">
        <f t="shared" si="66"/>
        <v>0</v>
      </c>
      <c r="H222" s="655">
        <f t="shared" si="66"/>
        <v>0</v>
      </c>
      <c r="I222" s="655">
        <f>IF('11. Unit Mix'!$G$142&lt;&gt;0,+E222/'11. Unit Mix'!$G$142,0)</f>
        <v>0</v>
      </c>
      <c r="J222" s="655">
        <f t="shared" ref="J222:J230" si="67">IF(Total_Units&lt;&gt;0,+E222/Total_Units,0)</f>
        <v>0</v>
      </c>
      <c r="K222" s="202"/>
      <c r="L222" s="202"/>
      <c r="M222" s="202"/>
      <c r="N222" s="642"/>
      <c r="O222" s="642"/>
      <c r="P222" s="642"/>
      <c r="Q222" s="642"/>
      <c r="R222" s="642"/>
      <c r="S222" s="642"/>
      <c r="T222" s="642"/>
      <c r="U222" s="642"/>
      <c r="V222" s="642"/>
      <c r="W222" s="642"/>
      <c r="X222" s="642"/>
      <c r="Y222" s="642"/>
      <c r="Z222" s="642"/>
      <c r="AA222" s="642"/>
      <c r="AB222" s="642"/>
      <c r="AC222" s="642"/>
      <c r="AD222" s="642"/>
      <c r="AE222" s="642"/>
      <c r="AF222" s="642"/>
      <c r="AG222" s="642"/>
      <c r="AH222" s="642"/>
      <c r="AI222" s="642"/>
      <c r="AJ222" s="642"/>
      <c r="AK222" s="642"/>
      <c r="AL222" s="642"/>
      <c r="AM222" s="642"/>
      <c r="AN222" s="642"/>
      <c r="AO222" s="642"/>
      <c r="AP222" s="1278"/>
      <c r="AQ222" s="3"/>
      <c r="AR222" s="3"/>
      <c r="AS222" s="131"/>
      <c r="AT222" s="131"/>
      <c r="AU222" s="131"/>
      <c r="AV222" s="131"/>
      <c r="AW222" s="131"/>
      <c r="AX222" s="131"/>
    </row>
    <row r="223" spans="2:50" s="918" customFormat="1">
      <c r="B223" s="1278"/>
      <c r="C223" s="645" t="s">
        <v>4117</v>
      </c>
      <c r="D223" s="646"/>
      <c r="E223" s="1112">
        <f t="shared" ref="E223:E230" si="68">SUM(F223:H223)</f>
        <v>0</v>
      </c>
      <c r="F223" s="1111"/>
      <c r="G223" s="1111"/>
      <c r="H223" s="923"/>
      <c r="I223" s="1112">
        <f>IF('11. Unit Mix'!$G$142&lt;&gt;0,+E223/'11. Unit Mix'!$G$142,0)</f>
        <v>0</v>
      </c>
      <c r="J223" s="1112">
        <f t="shared" si="67"/>
        <v>0</v>
      </c>
      <c r="K223" s="202"/>
      <c r="L223" s="202"/>
      <c r="M223" s="202"/>
      <c r="N223" s="642"/>
      <c r="O223" s="642"/>
      <c r="P223" s="642"/>
      <c r="Q223" s="642"/>
      <c r="R223" s="642"/>
      <c r="S223" s="642"/>
      <c r="T223" s="642"/>
      <c r="U223" s="642"/>
      <c r="V223" s="642"/>
      <c r="W223" s="642"/>
      <c r="X223" s="642"/>
      <c r="Y223" s="642"/>
      <c r="Z223" s="642"/>
      <c r="AA223" s="642"/>
      <c r="AB223" s="642"/>
      <c r="AC223" s="642"/>
      <c r="AD223" s="642"/>
      <c r="AE223" s="642"/>
      <c r="AF223" s="642"/>
      <c r="AG223" s="642"/>
      <c r="AH223" s="642"/>
      <c r="AI223" s="642"/>
      <c r="AJ223" s="642"/>
      <c r="AK223" s="642"/>
      <c r="AL223" s="642"/>
      <c r="AM223" s="642"/>
      <c r="AN223" s="642"/>
      <c r="AO223" s="642"/>
      <c r="AP223" s="1278"/>
      <c r="AQ223" s="3"/>
      <c r="AR223" s="3"/>
      <c r="AS223" s="131"/>
      <c r="AT223" s="131"/>
      <c r="AU223" s="131"/>
      <c r="AV223" s="131"/>
      <c r="AW223" s="131"/>
      <c r="AX223" s="131"/>
    </row>
    <row r="224" spans="2:50" s="918" customFormat="1">
      <c r="B224" s="1278"/>
      <c r="C224" s="645" t="s">
        <v>4118</v>
      </c>
      <c r="D224" s="646"/>
      <c r="E224" s="1112">
        <f t="shared" si="68"/>
        <v>0</v>
      </c>
      <c r="F224" s="1111"/>
      <c r="G224" s="1111"/>
      <c r="H224" s="923"/>
      <c r="I224" s="1112">
        <f>IF('11. Unit Mix'!$G$142&lt;&gt;0,+E224/'11. Unit Mix'!$G$142,0)</f>
        <v>0</v>
      </c>
      <c r="J224" s="1112">
        <f t="shared" si="67"/>
        <v>0</v>
      </c>
      <c r="K224" s="202"/>
      <c r="L224" s="202"/>
      <c r="M224" s="202"/>
      <c r="N224" s="642"/>
      <c r="O224" s="642"/>
      <c r="P224" s="642"/>
      <c r="Q224" s="642"/>
      <c r="R224" s="642"/>
      <c r="S224" s="642"/>
      <c r="T224" s="642"/>
      <c r="U224" s="642"/>
      <c r="V224" s="642"/>
      <c r="W224" s="642"/>
      <c r="X224" s="642"/>
      <c r="Y224" s="642"/>
      <c r="Z224" s="642"/>
      <c r="AA224" s="642"/>
      <c r="AB224" s="642"/>
      <c r="AC224" s="642"/>
      <c r="AD224" s="642"/>
      <c r="AE224" s="642"/>
      <c r="AF224" s="642"/>
      <c r="AG224" s="642"/>
      <c r="AH224" s="642"/>
      <c r="AI224" s="642"/>
      <c r="AJ224" s="642"/>
      <c r="AK224" s="642"/>
      <c r="AL224" s="642"/>
      <c r="AM224" s="642"/>
      <c r="AN224" s="642"/>
      <c r="AO224" s="642"/>
      <c r="AP224" s="1278"/>
      <c r="AQ224" s="3"/>
      <c r="AR224" s="3"/>
      <c r="AS224" s="131"/>
      <c r="AT224" s="131"/>
      <c r="AU224" s="131"/>
      <c r="AV224" s="131"/>
      <c r="AW224" s="131"/>
      <c r="AX224" s="131"/>
    </row>
    <row r="225" spans="2:50" s="918" customFormat="1">
      <c r="B225" s="1278"/>
      <c r="C225" s="645" t="s">
        <v>4119</v>
      </c>
      <c r="D225" s="646"/>
      <c r="E225" s="1112">
        <f t="shared" si="68"/>
        <v>0</v>
      </c>
      <c r="F225" s="1111"/>
      <c r="G225" s="1111"/>
      <c r="H225" s="923"/>
      <c r="I225" s="1112">
        <f>IF('11. Unit Mix'!$G$142&lt;&gt;0,+E225/'11. Unit Mix'!$G$142,0)</f>
        <v>0</v>
      </c>
      <c r="J225" s="1112">
        <f t="shared" si="67"/>
        <v>0</v>
      </c>
      <c r="K225" s="202"/>
      <c r="L225" s="202"/>
      <c r="M225" s="202"/>
      <c r="N225" s="642"/>
      <c r="O225" s="642"/>
      <c r="P225" s="642"/>
      <c r="Q225" s="642"/>
      <c r="R225" s="642"/>
      <c r="S225" s="642"/>
      <c r="T225" s="642"/>
      <c r="U225" s="642"/>
      <c r="V225" s="642"/>
      <c r="W225" s="642"/>
      <c r="X225" s="642"/>
      <c r="Y225" s="642"/>
      <c r="Z225" s="642"/>
      <c r="AA225" s="642"/>
      <c r="AB225" s="642"/>
      <c r="AC225" s="642"/>
      <c r="AD225" s="642"/>
      <c r="AE225" s="642"/>
      <c r="AF225" s="642"/>
      <c r="AG225" s="642"/>
      <c r="AH225" s="642"/>
      <c r="AI225" s="642"/>
      <c r="AJ225" s="642"/>
      <c r="AK225" s="642"/>
      <c r="AL225" s="642"/>
      <c r="AM225" s="642"/>
      <c r="AN225" s="642"/>
      <c r="AO225" s="642"/>
      <c r="AP225" s="1278"/>
      <c r="AQ225" s="3"/>
      <c r="AR225" s="3"/>
      <c r="AS225" s="131"/>
      <c r="AT225" s="131"/>
      <c r="AU225" s="131"/>
      <c r="AV225" s="131"/>
      <c r="AW225" s="131"/>
      <c r="AX225" s="131"/>
    </row>
    <row r="226" spans="2:50" s="918" customFormat="1">
      <c r="B226" s="1278"/>
      <c r="C226" s="645" t="s">
        <v>4120</v>
      </c>
      <c r="D226" s="646"/>
      <c r="E226" s="1112">
        <f t="shared" si="68"/>
        <v>0</v>
      </c>
      <c r="F226" s="1111"/>
      <c r="G226" s="1111"/>
      <c r="H226" s="923"/>
      <c r="I226" s="1112">
        <f>IF('11. Unit Mix'!$G$142&lt;&gt;0,+E226/'11. Unit Mix'!$G$142,0)</f>
        <v>0</v>
      </c>
      <c r="J226" s="1112">
        <f t="shared" si="67"/>
        <v>0</v>
      </c>
      <c r="K226" s="202"/>
      <c r="L226" s="202"/>
      <c r="M226" s="202"/>
      <c r="N226" s="642"/>
      <c r="O226" s="642"/>
      <c r="P226" s="642"/>
      <c r="Q226" s="642"/>
      <c r="R226" s="642"/>
      <c r="S226" s="642"/>
      <c r="T226" s="642"/>
      <c r="U226" s="642"/>
      <c r="V226" s="642"/>
      <c r="W226" s="642"/>
      <c r="X226" s="642"/>
      <c r="Y226" s="642"/>
      <c r="Z226" s="642"/>
      <c r="AA226" s="642"/>
      <c r="AB226" s="642"/>
      <c r="AC226" s="642"/>
      <c r="AD226" s="642"/>
      <c r="AE226" s="642"/>
      <c r="AF226" s="642"/>
      <c r="AG226" s="642"/>
      <c r="AH226" s="642"/>
      <c r="AI226" s="642"/>
      <c r="AJ226" s="642"/>
      <c r="AK226" s="642"/>
      <c r="AL226" s="642"/>
      <c r="AM226" s="642"/>
      <c r="AN226" s="642"/>
      <c r="AO226" s="642"/>
      <c r="AP226" s="1278"/>
      <c r="AQ226" s="3"/>
      <c r="AR226" s="3"/>
      <c r="AS226" s="131"/>
      <c r="AT226" s="131"/>
      <c r="AU226" s="131"/>
      <c r="AV226" s="131"/>
      <c r="AW226" s="131"/>
      <c r="AX226" s="131"/>
    </row>
    <row r="227" spans="2:50" s="918" customFormat="1">
      <c r="B227" s="1278"/>
      <c r="C227" s="645" t="s">
        <v>4121</v>
      </c>
      <c r="D227" s="646"/>
      <c r="E227" s="1112">
        <f t="shared" si="68"/>
        <v>0</v>
      </c>
      <c r="F227" s="1111"/>
      <c r="G227" s="1111"/>
      <c r="H227" s="923"/>
      <c r="I227" s="1112">
        <f>IF('11. Unit Mix'!$G$142&lt;&gt;0,+E227/'11. Unit Mix'!$G$142,0)</f>
        <v>0</v>
      </c>
      <c r="J227" s="1112">
        <f t="shared" si="67"/>
        <v>0</v>
      </c>
      <c r="K227" s="202"/>
      <c r="L227" s="202"/>
      <c r="M227" s="202"/>
      <c r="N227" s="642"/>
      <c r="O227" s="642"/>
      <c r="P227" s="642"/>
      <c r="Q227" s="642"/>
      <c r="R227" s="642"/>
      <c r="S227" s="642"/>
      <c r="T227" s="642"/>
      <c r="U227" s="642"/>
      <c r="V227" s="642"/>
      <c r="W227" s="642"/>
      <c r="X227" s="642"/>
      <c r="Y227" s="642"/>
      <c r="Z227" s="642"/>
      <c r="AA227" s="642"/>
      <c r="AB227" s="642"/>
      <c r="AC227" s="642"/>
      <c r="AD227" s="642"/>
      <c r="AE227" s="642"/>
      <c r="AF227" s="642"/>
      <c r="AG227" s="642"/>
      <c r="AH227" s="642"/>
      <c r="AI227" s="642"/>
      <c r="AJ227" s="642"/>
      <c r="AK227" s="642"/>
      <c r="AL227" s="642"/>
      <c r="AM227" s="642"/>
      <c r="AN227" s="642"/>
      <c r="AO227" s="642"/>
      <c r="AP227" s="1278"/>
      <c r="AQ227" s="3"/>
      <c r="AR227" s="3"/>
      <c r="AS227" s="131"/>
      <c r="AT227" s="131"/>
      <c r="AU227" s="131"/>
      <c r="AV227" s="131"/>
      <c r="AW227" s="131"/>
      <c r="AX227" s="131"/>
    </row>
    <row r="228" spans="2:50" s="918" customFormat="1">
      <c r="B228" s="1278"/>
      <c r="C228" s="645" t="s">
        <v>4122</v>
      </c>
      <c r="D228" s="646"/>
      <c r="E228" s="1112">
        <f t="shared" si="68"/>
        <v>0</v>
      </c>
      <c r="F228" s="1111"/>
      <c r="G228" s="1111"/>
      <c r="H228" s="923"/>
      <c r="I228" s="1112">
        <f>IF('11. Unit Mix'!$G$142&lt;&gt;0,+E228/'11. Unit Mix'!$G$142,0)</f>
        <v>0</v>
      </c>
      <c r="J228" s="1112">
        <f t="shared" si="67"/>
        <v>0</v>
      </c>
      <c r="K228" s="202"/>
      <c r="L228" s="202"/>
      <c r="M228" s="202"/>
      <c r="N228" s="642"/>
      <c r="O228" s="642"/>
      <c r="P228" s="642"/>
      <c r="Q228" s="642"/>
      <c r="R228" s="642"/>
      <c r="S228" s="642"/>
      <c r="T228" s="642"/>
      <c r="U228" s="642"/>
      <c r="V228" s="642"/>
      <c r="W228" s="642"/>
      <c r="X228" s="642"/>
      <c r="Y228" s="642"/>
      <c r="Z228" s="642"/>
      <c r="AA228" s="642"/>
      <c r="AB228" s="642"/>
      <c r="AC228" s="642"/>
      <c r="AD228" s="642"/>
      <c r="AE228" s="642"/>
      <c r="AF228" s="642"/>
      <c r="AG228" s="642"/>
      <c r="AH228" s="642"/>
      <c r="AI228" s="642"/>
      <c r="AJ228" s="642"/>
      <c r="AK228" s="642"/>
      <c r="AL228" s="642"/>
      <c r="AM228" s="642"/>
      <c r="AN228" s="642"/>
      <c r="AO228" s="642"/>
      <c r="AP228" s="1278"/>
      <c r="AQ228" s="3"/>
      <c r="AR228" s="3"/>
      <c r="AS228" s="131"/>
      <c r="AT228" s="131"/>
      <c r="AU228" s="131"/>
      <c r="AV228" s="131"/>
      <c r="AW228" s="131"/>
      <c r="AX228" s="131"/>
    </row>
    <row r="229" spans="2:50" s="918" customFormat="1">
      <c r="B229" s="1278"/>
      <c r="C229" s="645" t="s">
        <v>4123</v>
      </c>
      <c r="D229" s="646"/>
      <c r="E229" s="1112">
        <f t="shared" si="68"/>
        <v>0</v>
      </c>
      <c r="F229" s="1111"/>
      <c r="G229" s="1111"/>
      <c r="H229" s="923"/>
      <c r="I229" s="1112">
        <f>IF('11. Unit Mix'!$G$142&lt;&gt;0,+E229/'11. Unit Mix'!$G$142,0)</f>
        <v>0</v>
      </c>
      <c r="J229" s="1112">
        <f t="shared" si="67"/>
        <v>0</v>
      </c>
      <c r="K229" s="202"/>
      <c r="L229" s="202"/>
      <c r="M229" s="202"/>
      <c r="N229" s="642"/>
      <c r="O229" s="642"/>
      <c r="P229" s="642"/>
      <c r="Q229" s="642"/>
      <c r="R229" s="642"/>
      <c r="S229" s="642"/>
      <c r="T229" s="642"/>
      <c r="U229" s="642"/>
      <c r="V229" s="642"/>
      <c r="W229" s="642"/>
      <c r="X229" s="642"/>
      <c r="Y229" s="642"/>
      <c r="Z229" s="642"/>
      <c r="AA229" s="642"/>
      <c r="AB229" s="642"/>
      <c r="AC229" s="642"/>
      <c r="AD229" s="642"/>
      <c r="AE229" s="642"/>
      <c r="AF229" s="642"/>
      <c r="AG229" s="642"/>
      <c r="AH229" s="642"/>
      <c r="AI229" s="642"/>
      <c r="AJ229" s="642"/>
      <c r="AK229" s="642"/>
      <c r="AL229" s="642"/>
      <c r="AM229" s="642"/>
      <c r="AN229" s="642"/>
      <c r="AO229" s="642"/>
      <c r="AP229" s="1278"/>
      <c r="AQ229" s="3"/>
      <c r="AR229" s="3"/>
      <c r="AS229" s="131"/>
      <c r="AT229" s="131"/>
      <c r="AU229" s="131"/>
      <c r="AV229" s="131"/>
      <c r="AW229" s="131"/>
      <c r="AX229" s="131"/>
    </row>
    <row r="230" spans="2:50" s="919" customFormat="1">
      <c r="B230" s="1278"/>
      <c r="C230" s="645" t="s">
        <v>4124</v>
      </c>
      <c r="D230" s="646"/>
      <c r="E230" s="1112">
        <f t="shared" si="68"/>
        <v>0</v>
      </c>
      <c r="F230" s="1111"/>
      <c r="G230" s="1111"/>
      <c r="H230" s="923"/>
      <c r="I230" s="1112">
        <f>IF('11. Unit Mix'!$G$142&lt;&gt;0,+E230/'11. Unit Mix'!$G$142,0)</f>
        <v>0</v>
      </c>
      <c r="J230" s="1112">
        <f t="shared" si="67"/>
        <v>0</v>
      </c>
      <c r="K230" s="202"/>
      <c r="L230" s="202"/>
      <c r="M230" s="202"/>
      <c r="N230" s="1081"/>
      <c r="O230" s="1081"/>
      <c r="P230" s="1081"/>
      <c r="Q230" s="1081"/>
      <c r="R230" s="1081"/>
      <c r="S230" s="1081"/>
      <c r="T230" s="1081"/>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c r="AN230" s="1081"/>
      <c r="AO230" s="1081"/>
      <c r="AP230" s="1278"/>
      <c r="AQ230" s="3"/>
      <c r="AR230" s="3"/>
      <c r="AS230" s="131"/>
      <c r="AT230" s="131"/>
      <c r="AU230" s="131"/>
      <c r="AV230" s="131"/>
      <c r="AW230" s="131"/>
      <c r="AX230" s="131"/>
    </row>
    <row r="231" spans="2:50" s="918" customFormat="1">
      <c r="B231" s="1278"/>
      <c r="C231" s="1279"/>
      <c r="D231" s="1279"/>
      <c r="E231" s="1279"/>
      <c r="F231" s="1279"/>
      <c r="G231" s="1279"/>
      <c r="H231" s="1279"/>
      <c r="I231" s="1279"/>
      <c r="J231" s="1279"/>
      <c r="K231" s="202"/>
      <c r="L231" s="202"/>
      <c r="M231" s="202"/>
      <c r="N231" s="642"/>
      <c r="O231" s="642"/>
      <c r="P231" s="642"/>
      <c r="Q231" s="642"/>
      <c r="R231" s="642"/>
      <c r="S231" s="642"/>
      <c r="T231" s="642"/>
      <c r="U231" s="642"/>
      <c r="V231" s="642"/>
      <c r="W231" s="642"/>
      <c r="X231" s="642"/>
      <c r="Y231" s="642"/>
      <c r="Z231" s="642"/>
      <c r="AA231" s="642"/>
      <c r="AB231" s="642"/>
      <c r="AC231" s="642"/>
      <c r="AD231" s="642"/>
      <c r="AE231" s="642"/>
      <c r="AF231" s="642"/>
      <c r="AG231" s="642"/>
      <c r="AH231" s="642"/>
      <c r="AI231" s="642"/>
      <c r="AJ231" s="642"/>
      <c r="AK231" s="642"/>
      <c r="AL231" s="642"/>
      <c r="AM231" s="642"/>
      <c r="AN231" s="642"/>
      <c r="AO231" s="642"/>
      <c r="AP231" s="1278"/>
      <c r="AQ231" s="3"/>
      <c r="AR231" s="3"/>
      <c r="AS231" s="131"/>
      <c r="AT231" s="131"/>
      <c r="AU231" s="131"/>
      <c r="AV231" s="131"/>
      <c r="AW231" s="131"/>
      <c r="AX231" s="131"/>
    </row>
    <row r="232" spans="2:50" s="918" customFormat="1">
      <c r="B232" s="1278"/>
      <c r="C232" s="643" t="s">
        <v>4125</v>
      </c>
      <c r="D232" s="644"/>
      <c r="E232" s="655">
        <f>+SUM(E233:E238)</f>
        <v>0</v>
      </c>
      <c r="F232" s="655">
        <f t="shared" ref="F232:H232" si="69">+SUM(F233:F238)</f>
        <v>0</v>
      </c>
      <c r="G232" s="655">
        <f t="shared" si="69"/>
        <v>0</v>
      </c>
      <c r="H232" s="655">
        <f t="shared" si="69"/>
        <v>0</v>
      </c>
      <c r="I232" s="655">
        <f>IF('11. Unit Mix'!$G$142&lt;&gt;0,+E232/'11. Unit Mix'!$G$142,0)</f>
        <v>0</v>
      </c>
      <c r="J232" s="655">
        <f t="shared" ref="J232:J238" si="70">IF(Total_Units&lt;&gt;0,+E232/Total_Units,0)</f>
        <v>0</v>
      </c>
      <c r="K232" s="202"/>
      <c r="L232" s="202"/>
      <c r="M232" s="20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1278"/>
      <c r="AQ232" s="3"/>
      <c r="AR232" s="3"/>
      <c r="AS232" s="131"/>
      <c r="AT232" s="131"/>
      <c r="AU232" s="131"/>
      <c r="AV232" s="131"/>
      <c r="AW232" s="131"/>
      <c r="AX232" s="131"/>
    </row>
    <row r="233" spans="2:50" s="918" customFormat="1">
      <c r="B233" s="1278"/>
      <c r="C233" s="645" t="s">
        <v>4126</v>
      </c>
      <c r="D233" s="646"/>
      <c r="E233" s="1112">
        <f t="shared" ref="E233:E238" si="71">SUM(F233:H233)</f>
        <v>0</v>
      </c>
      <c r="F233" s="1111"/>
      <c r="G233" s="1111"/>
      <c r="H233" s="923"/>
      <c r="I233" s="1112">
        <f>IF('11. Unit Mix'!$G$142&lt;&gt;0,+E233/'11. Unit Mix'!$G$142,0)</f>
        <v>0</v>
      </c>
      <c r="J233" s="1112">
        <f t="shared" si="70"/>
        <v>0</v>
      </c>
      <c r="K233" s="202"/>
      <c r="L233" s="202"/>
      <c r="M233" s="202"/>
      <c r="N233" s="642"/>
      <c r="O233" s="642"/>
      <c r="P233" s="642"/>
      <c r="Q233" s="642"/>
      <c r="R233" s="642"/>
      <c r="S233" s="642"/>
      <c r="T233" s="642"/>
      <c r="U233" s="642"/>
      <c r="V233" s="642"/>
      <c r="W233" s="642"/>
      <c r="X233" s="642"/>
      <c r="Y233" s="642"/>
      <c r="Z233" s="642"/>
      <c r="AA233" s="642"/>
      <c r="AB233" s="642"/>
      <c r="AC233" s="642"/>
      <c r="AD233" s="642"/>
      <c r="AE233" s="642"/>
      <c r="AF233" s="642"/>
      <c r="AG233" s="642"/>
      <c r="AH233" s="642"/>
      <c r="AI233" s="642"/>
      <c r="AJ233" s="642"/>
      <c r="AK233" s="642"/>
      <c r="AL233" s="642"/>
      <c r="AM233" s="642"/>
      <c r="AN233" s="642"/>
      <c r="AO233" s="642"/>
      <c r="AP233" s="1278"/>
      <c r="AQ233" s="3"/>
      <c r="AR233" s="3"/>
      <c r="AS233" s="131"/>
      <c r="AT233" s="131"/>
      <c r="AU233" s="131"/>
      <c r="AV233" s="131"/>
      <c r="AW233" s="131"/>
      <c r="AX233" s="131"/>
    </row>
    <row r="234" spans="2:50" s="918" customFormat="1">
      <c r="B234" s="1278"/>
      <c r="C234" s="645" t="s">
        <v>4127</v>
      </c>
      <c r="D234" s="646"/>
      <c r="E234" s="1112">
        <f t="shared" si="71"/>
        <v>0</v>
      </c>
      <c r="F234" s="1111"/>
      <c r="G234" s="1111"/>
      <c r="H234" s="923"/>
      <c r="I234" s="1112">
        <f>IF('11. Unit Mix'!$G$142&lt;&gt;0,+E234/'11. Unit Mix'!$G$142,0)</f>
        <v>0</v>
      </c>
      <c r="J234" s="1112">
        <f t="shared" si="70"/>
        <v>0</v>
      </c>
      <c r="K234" s="202"/>
      <c r="L234" s="202"/>
      <c r="M234" s="20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1278"/>
      <c r="AQ234" s="3"/>
      <c r="AR234" s="3"/>
      <c r="AS234" s="131"/>
      <c r="AT234" s="131"/>
      <c r="AU234" s="131"/>
      <c r="AV234" s="131"/>
      <c r="AW234" s="131"/>
      <c r="AX234" s="131"/>
    </row>
    <row r="235" spans="2:50" s="918" customFormat="1">
      <c r="B235" s="1278"/>
      <c r="C235" s="645" t="s">
        <v>4128</v>
      </c>
      <c r="D235" s="646"/>
      <c r="E235" s="1112">
        <f t="shared" si="71"/>
        <v>0</v>
      </c>
      <c r="F235" s="1111"/>
      <c r="G235" s="1111"/>
      <c r="H235" s="923"/>
      <c r="I235" s="1112">
        <f>IF('11. Unit Mix'!$G$142&lt;&gt;0,+E235/'11. Unit Mix'!$G$142,0)</f>
        <v>0</v>
      </c>
      <c r="J235" s="1112">
        <f t="shared" si="70"/>
        <v>0</v>
      </c>
      <c r="K235" s="202"/>
      <c r="L235" s="202"/>
      <c r="M235" s="202"/>
      <c r="N235" s="642"/>
      <c r="O235" s="642"/>
      <c r="P235" s="642"/>
      <c r="Q235" s="642"/>
      <c r="R235" s="642"/>
      <c r="S235" s="642"/>
      <c r="T235" s="642"/>
      <c r="U235" s="642"/>
      <c r="V235" s="642"/>
      <c r="W235" s="642"/>
      <c r="X235" s="642"/>
      <c r="Y235" s="642"/>
      <c r="Z235" s="642"/>
      <c r="AA235" s="642"/>
      <c r="AB235" s="642"/>
      <c r="AC235" s="642"/>
      <c r="AD235" s="642"/>
      <c r="AE235" s="642"/>
      <c r="AF235" s="642"/>
      <c r="AG235" s="642"/>
      <c r="AH235" s="642"/>
      <c r="AI235" s="642"/>
      <c r="AJ235" s="642"/>
      <c r="AK235" s="642"/>
      <c r="AL235" s="642"/>
      <c r="AM235" s="642"/>
      <c r="AN235" s="642"/>
      <c r="AO235" s="642"/>
      <c r="AP235" s="1278"/>
      <c r="AQ235" s="3"/>
      <c r="AR235" s="3"/>
      <c r="AS235" s="131"/>
      <c r="AT235" s="131"/>
      <c r="AU235" s="131"/>
      <c r="AV235" s="131"/>
      <c r="AW235" s="131"/>
      <c r="AX235" s="131"/>
    </row>
    <row r="236" spans="2:50" s="918" customFormat="1">
      <c r="B236" s="1278"/>
      <c r="C236" s="645" t="s">
        <v>4129</v>
      </c>
      <c r="D236" s="646"/>
      <c r="E236" s="1112">
        <f t="shared" si="71"/>
        <v>0</v>
      </c>
      <c r="F236" s="1111"/>
      <c r="G236" s="1111"/>
      <c r="H236" s="923"/>
      <c r="I236" s="1112">
        <f>IF('11. Unit Mix'!$G$142&lt;&gt;0,+E236/'11. Unit Mix'!$G$142,0)</f>
        <v>0</v>
      </c>
      <c r="J236" s="1112">
        <f t="shared" si="70"/>
        <v>0</v>
      </c>
      <c r="K236" s="202"/>
      <c r="L236" s="202"/>
      <c r="M236" s="202"/>
      <c r="N236" s="642"/>
      <c r="O236" s="642"/>
      <c r="P236" s="642"/>
      <c r="Q236" s="642"/>
      <c r="R236" s="642"/>
      <c r="S236" s="642"/>
      <c r="T236" s="642"/>
      <c r="U236" s="642"/>
      <c r="V236" s="642"/>
      <c r="W236" s="642"/>
      <c r="X236" s="642"/>
      <c r="Y236" s="642"/>
      <c r="Z236" s="642"/>
      <c r="AA236" s="642"/>
      <c r="AB236" s="642"/>
      <c r="AC236" s="642"/>
      <c r="AD236" s="642"/>
      <c r="AE236" s="642"/>
      <c r="AF236" s="642"/>
      <c r="AG236" s="642"/>
      <c r="AH236" s="642"/>
      <c r="AI236" s="642"/>
      <c r="AJ236" s="642"/>
      <c r="AK236" s="642"/>
      <c r="AL236" s="642"/>
      <c r="AM236" s="642"/>
      <c r="AN236" s="642"/>
      <c r="AO236" s="642"/>
      <c r="AP236" s="1278"/>
      <c r="AQ236" s="3"/>
      <c r="AR236" s="3"/>
      <c r="AS236" s="131"/>
      <c r="AT236" s="131"/>
      <c r="AU236" s="131"/>
      <c r="AV236" s="131"/>
      <c r="AW236" s="131"/>
      <c r="AX236" s="131"/>
    </row>
    <row r="237" spans="2:50" s="918" customFormat="1">
      <c r="B237" s="1278"/>
      <c r="C237" s="645" t="s">
        <v>4130</v>
      </c>
      <c r="D237" s="646"/>
      <c r="E237" s="1112">
        <f t="shared" si="71"/>
        <v>0</v>
      </c>
      <c r="F237" s="1111"/>
      <c r="G237" s="1111"/>
      <c r="H237" s="923"/>
      <c r="I237" s="1112">
        <f>IF('11. Unit Mix'!$G$142&lt;&gt;0,+E237/'11. Unit Mix'!$G$142,0)</f>
        <v>0</v>
      </c>
      <c r="J237" s="1112">
        <f t="shared" si="70"/>
        <v>0</v>
      </c>
      <c r="K237" s="202"/>
      <c r="L237" s="202"/>
      <c r="M237" s="202"/>
      <c r="N237" s="642"/>
      <c r="O237" s="642"/>
      <c r="P237" s="642"/>
      <c r="Q237" s="642"/>
      <c r="R237" s="642"/>
      <c r="S237" s="642"/>
      <c r="T237" s="642"/>
      <c r="U237" s="642"/>
      <c r="V237" s="642"/>
      <c r="W237" s="642"/>
      <c r="X237" s="642"/>
      <c r="Y237" s="642"/>
      <c r="Z237" s="642"/>
      <c r="AA237" s="642"/>
      <c r="AB237" s="642"/>
      <c r="AC237" s="642"/>
      <c r="AD237" s="642"/>
      <c r="AE237" s="642"/>
      <c r="AF237" s="642"/>
      <c r="AG237" s="642"/>
      <c r="AH237" s="642"/>
      <c r="AI237" s="642"/>
      <c r="AJ237" s="642"/>
      <c r="AK237" s="642"/>
      <c r="AL237" s="642"/>
      <c r="AM237" s="642"/>
      <c r="AN237" s="642"/>
      <c r="AO237" s="642"/>
      <c r="AP237" s="1278"/>
      <c r="AQ237" s="3"/>
      <c r="AR237" s="3"/>
      <c r="AS237" s="131"/>
      <c r="AT237" s="131"/>
      <c r="AU237" s="131"/>
      <c r="AV237" s="131"/>
      <c r="AW237" s="131"/>
      <c r="AX237" s="131"/>
    </row>
    <row r="238" spans="2:50" s="919" customFormat="1">
      <c r="B238" s="1278"/>
      <c r="C238" s="645" t="s">
        <v>4131</v>
      </c>
      <c r="D238" s="646"/>
      <c r="E238" s="1112">
        <f t="shared" si="71"/>
        <v>0</v>
      </c>
      <c r="F238" s="1111"/>
      <c r="G238" s="1111"/>
      <c r="H238" s="923"/>
      <c r="I238" s="1112">
        <f>IF('11. Unit Mix'!$G$142&lt;&gt;0,+E238/'11. Unit Mix'!$G$142,0)</f>
        <v>0</v>
      </c>
      <c r="J238" s="1112">
        <f t="shared" si="70"/>
        <v>0</v>
      </c>
      <c r="K238" s="202"/>
      <c r="L238" s="202"/>
      <c r="M238" s="202"/>
      <c r="N238" s="1081"/>
      <c r="O238" s="1081"/>
      <c r="P238" s="1081"/>
      <c r="Q238" s="1081"/>
      <c r="R238" s="1081"/>
      <c r="S238" s="1081"/>
      <c r="T238" s="1081"/>
      <c r="U238" s="1081"/>
      <c r="V238" s="1081"/>
      <c r="W238" s="1081"/>
      <c r="X238" s="1081"/>
      <c r="Y238" s="1081"/>
      <c r="Z238" s="1081"/>
      <c r="AA238" s="1081"/>
      <c r="AB238" s="1081"/>
      <c r="AC238" s="1081"/>
      <c r="AD238" s="1081"/>
      <c r="AE238" s="1081"/>
      <c r="AF238" s="1081"/>
      <c r="AG238" s="1081"/>
      <c r="AH238" s="1081"/>
      <c r="AI238" s="1081"/>
      <c r="AJ238" s="1081"/>
      <c r="AK238" s="1081"/>
      <c r="AL238" s="1081"/>
      <c r="AM238" s="1081"/>
      <c r="AN238" s="1081"/>
      <c r="AO238" s="1081"/>
      <c r="AP238" s="1278"/>
      <c r="AQ238" s="3"/>
      <c r="AR238" s="3"/>
      <c r="AS238" s="131"/>
      <c r="AT238" s="131"/>
      <c r="AU238" s="131"/>
      <c r="AV238" s="131"/>
      <c r="AW238" s="131"/>
      <c r="AX238" s="131"/>
    </row>
    <row r="239" spans="2:50" s="918" customFormat="1">
      <c r="B239" s="1278"/>
      <c r="C239" s="1279"/>
      <c r="D239" s="1279"/>
      <c r="E239" s="1279"/>
      <c r="F239" s="1279"/>
      <c r="G239" s="1279"/>
      <c r="H239" s="1279"/>
      <c r="I239" s="1279"/>
      <c r="J239" s="1279"/>
      <c r="K239" s="202"/>
      <c r="L239" s="202"/>
      <c r="M239" s="202"/>
      <c r="N239" s="642"/>
      <c r="O239" s="642"/>
      <c r="P239" s="642"/>
      <c r="Q239" s="642"/>
      <c r="R239" s="642"/>
      <c r="S239" s="642"/>
      <c r="T239" s="642"/>
      <c r="U239" s="642"/>
      <c r="V239" s="642"/>
      <c r="W239" s="642"/>
      <c r="X239" s="642"/>
      <c r="Y239" s="642"/>
      <c r="Z239" s="642"/>
      <c r="AA239" s="642"/>
      <c r="AB239" s="642"/>
      <c r="AC239" s="642"/>
      <c r="AD239" s="642"/>
      <c r="AE239" s="642"/>
      <c r="AF239" s="642"/>
      <c r="AG239" s="642"/>
      <c r="AH239" s="642"/>
      <c r="AI239" s="642"/>
      <c r="AJ239" s="642"/>
      <c r="AK239" s="642"/>
      <c r="AL239" s="642"/>
      <c r="AM239" s="642"/>
      <c r="AN239" s="642"/>
      <c r="AO239" s="642"/>
      <c r="AP239" s="1278"/>
      <c r="AQ239" s="3"/>
      <c r="AR239" s="3"/>
      <c r="AS239" s="131"/>
      <c r="AT239" s="131"/>
      <c r="AU239" s="131"/>
      <c r="AV239" s="131"/>
      <c r="AW239" s="131"/>
      <c r="AX239" s="131"/>
    </row>
    <row r="240" spans="2:50" s="918" customFormat="1">
      <c r="B240" s="1278"/>
      <c r="C240" s="643" t="s">
        <v>4132</v>
      </c>
      <c r="D240" s="644"/>
      <c r="E240" s="655">
        <f>SUM(E241:E249)</f>
        <v>0</v>
      </c>
      <c r="F240" s="655">
        <f t="shared" ref="F240:H240" si="72">SUM(F241:F249)</f>
        <v>0</v>
      </c>
      <c r="G240" s="655">
        <f t="shared" si="72"/>
        <v>0</v>
      </c>
      <c r="H240" s="655">
        <f t="shared" si="72"/>
        <v>0</v>
      </c>
      <c r="I240" s="655">
        <f>IF('11. Unit Mix'!$G$142&lt;&gt;0,+E240/'11. Unit Mix'!$G$142,0)</f>
        <v>0</v>
      </c>
      <c r="J240" s="655">
        <f t="shared" ref="J240:J250" si="73">IF(Total_Units&lt;&gt;0,+E240/Total_Units,0)</f>
        <v>0</v>
      </c>
      <c r="K240" s="202"/>
      <c r="L240" s="202"/>
      <c r="M240" s="202"/>
      <c r="N240" s="642"/>
      <c r="O240" s="642"/>
      <c r="P240" s="642"/>
      <c r="Q240" s="642"/>
      <c r="R240" s="642"/>
      <c r="S240" s="642"/>
      <c r="T240" s="642"/>
      <c r="U240" s="642"/>
      <c r="V240" s="642"/>
      <c r="W240" s="642"/>
      <c r="X240" s="642"/>
      <c r="Y240" s="642"/>
      <c r="Z240" s="642"/>
      <c r="AA240" s="642"/>
      <c r="AB240" s="642"/>
      <c r="AC240" s="642"/>
      <c r="AD240" s="642"/>
      <c r="AE240" s="642"/>
      <c r="AF240" s="642"/>
      <c r="AG240" s="642"/>
      <c r="AH240" s="642"/>
      <c r="AI240" s="642"/>
      <c r="AJ240" s="642"/>
      <c r="AK240" s="642"/>
      <c r="AL240" s="642"/>
      <c r="AM240" s="642"/>
      <c r="AN240" s="642"/>
      <c r="AO240" s="642"/>
      <c r="AP240" s="1278"/>
      <c r="AQ240" s="3"/>
      <c r="AR240" s="3"/>
      <c r="AS240" s="131"/>
      <c r="AT240" s="131"/>
      <c r="AU240" s="131"/>
      <c r="AV240" s="131"/>
      <c r="AW240" s="131"/>
      <c r="AX240" s="131"/>
    </row>
    <row r="241" spans="2:81" s="918" customFormat="1">
      <c r="B241" s="1278"/>
      <c r="C241" s="645" t="s">
        <v>4133</v>
      </c>
      <c r="D241" s="646"/>
      <c r="E241" s="1112">
        <f t="shared" ref="E241:E249" si="74">SUM(F241:H241)</f>
        <v>0</v>
      </c>
      <c r="F241" s="1111"/>
      <c r="G241" s="1111"/>
      <c r="H241" s="923"/>
      <c r="I241" s="1112">
        <f>IF('11. Unit Mix'!$G$142&lt;&gt;0,+E241/'11. Unit Mix'!$G$142,0)</f>
        <v>0</v>
      </c>
      <c r="J241" s="1112">
        <f t="shared" si="73"/>
        <v>0</v>
      </c>
      <c r="K241" s="202"/>
      <c r="L241" s="202"/>
      <c r="M241" s="202"/>
      <c r="N241" s="642"/>
      <c r="O241" s="642"/>
      <c r="P241" s="642"/>
      <c r="Q241" s="642"/>
      <c r="R241" s="642"/>
      <c r="S241" s="642"/>
      <c r="T241" s="642"/>
      <c r="U241" s="642"/>
      <c r="V241" s="642"/>
      <c r="W241" s="642"/>
      <c r="X241" s="642"/>
      <c r="Y241" s="642"/>
      <c r="Z241" s="642"/>
      <c r="AA241" s="642"/>
      <c r="AB241" s="642"/>
      <c r="AC241" s="642"/>
      <c r="AD241" s="642"/>
      <c r="AE241" s="642"/>
      <c r="AF241" s="642"/>
      <c r="AG241" s="642"/>
      <c r="AH241" s="642"/>
      <c r="AI241" s="642"/>
      <c r="AJ241" s="642"/>
      <c r="AK241" s="642"/>
      <c r="AL241" s="642"/>
      <c r="AM241" s="642"/>
      <c r="AN241" s="642"/>
      <c r="AO241" s="642"/>
      <c r="AP241" s="1278"/>
      <c r="AQ241" s="3"/>
      <c r="AR241" s="3"/>
      <c r="AS241" s="131"/>
      <c r="AT241" s="131"/>
      <c r="AU241" s="131"/>
      <c r="AV241" s="131"/>
      <c r="AW241" s="131"/>
      <c r="AX241" s="131"/>
    </row>
    <row r="242" spans="2:81" s="918" customFormat="1">
      <c r="B242" s="1278"/>
      <c r="C242" s="645" t="s">
        <v>4134</v>
      </c>
      <c r="D242" s="646"/>
      <c r="E242" s="1112">
        <f t="shared" si="74"/>
        <v>0</v>
      </c>
      <c r="F242" s="1111"/>
      <c r="G242" s="1111"/>
      <c r="H242" s="923"/>
      <c r="I242" s="1112">
        <f>IF('11. Unit Mix'!$G$142&lt;&gt;0,+E242/'11. Unit Mix'!$G$142,0)</f>
        <v>0</v>
      </c>
      <c r="J242" s="1112">
        <f t="shared" si="73"/>
        <v>0</v>
      </c>
      <c r="K242" s="202"/>
      <c r="L242" s="202"/>
      <c r="M242" s="202"/>
      <c r="N242" s="642"/>
      <c r="O242" s="642"/>
      <c r="P242" s="642"/>
      <c r="Q242" s="642"/>
      <c r="R242" s="642"/>
      <c r="S242" s="642"/>
      <c r="T242" s="642"/>
      <c r="U242" s="642"/>
      <c r="V242" s="642"/>
      <c r="W242" s="642"/>
      <c r="X242" s="642"/>
      <c r="Y242" s="642"/>
      <c r="Z242" s="642"/>
      <c r="AA242" s="642"/>
      <c r="AB242" s="642"/>
      <c r="AC242" s="642"/>
      <c r="AD242" s="642"/>
      <c r="AE242" s="642"/>
      <c r="AF242" s="642"/>
      <c r="AG242" s="642"/>
      <c r="AH242" s="642"/>
      <c r="AI242" s="642"/>
      <c r="AJ242" s="642"/>
      <c r="AK242" s="642"/>
      <c r="AL242" s="642"/>
      <c r="AM242" s="642"/>
      <c r="AN242" s="642"/>
      <c r="AO242" s="642"/>
      <c r="AP242" s="1278"/>
      <c r="AQ242" s="3"/>
      <c r="AR242" s="3"/>
      <c r="AS242" s="131"/>
      <c r="AT242" s="131"/>
      <c r="AU242" s="131"/>
      <c r="AV242" s="131"/>
      <c r="AW242" s="131"/>
      <c r="AX242" s="131"/>
    </row>
    <row r="243" spans="2:81" s="918" customFormat="1">
      <c r="B243" s="1278"/>
      <c r="C243" s="645" t="s">
        <v>4135</v>
      </c>
      <c r="D243" s="646"/>
      <c r="E243" s="1112">
        <f t="shared" si="74"/>
        <v>0</v>
      </c>
      <c r="F243" s="1111"/>
      <c r="G243" s="1111"/>
      <c r="H243" s="923"/>
      <c r="I243" s="1112">
        <f>IF('11. Unit Mix'!$G$142&lt;&gt;0,+E243/'11. Unit Mix'!$G$142,0)</f>
        <v>0</v>
      </c>
      <c r="J243" s="1112">
        <f t="shared" si="73"/>
        <v>0</v>
      </c>
      <c r="K243" s="202"/>
      <c r="L243" s="202"/>
      <c r="M243" s="202"/>
      <c r="N243" s="642"/>
      <c r="O243" s="642"/>
      <c r="P243" s="642"/>
      <c r="Q243" s="642"/>
      <c r="R243" s="642"/>
      <c r="S243" s="642"/>
      <c r="T243" s="642"/>
      <c r="U243" s="642"/>
      <c r="V243" s="642"/>
      <c r="W243" s="642"/>
      <c r="X243" s="642"/>
      <c r="Y243" s="642"/>
      <c r="Z243" s="642"/>
      <c r="AA243" s="642"/>
      <c r="AB243" s="642"/>
      <c r="AC243" s="642"/>
      <c r="AD243" s="642"/>
      <c r="AE243" s="642"/>
      <c r="AF243" s="642"/>
      <c r="AG243" s="642"/>
      <c r="AH243" s="642"/>
      <c r="AI243" s="642"/>
      <c r="AJ243" s="642"/>
      <c r="AK243" s="642"/>
      <c r="AL243" s="642"/>
      <c r="AM243" s="642"/>
      <c r="AN243" s="642"/>
      <c r="AO243" s="642"/>
      <c r="AP243" s="1278"/>
      <c r="AQ243" s="3"/>
      <c r="AR243" s="3"/>
      <c r="AS243" s="131"/>
      <c r="AT243" s="131"/>
      <c r="AU243" s="131"/>
      <c r="AV243" s="131"/>
      <c r="AW243" s="131"/>
      <c r="AX243" s="131"/>
    </row>
    <row r="244" spans="2:81" s="918" customFormat="1">
      <c r="B244" s="1278"/>
      <c r="C244" s="645" t="s">
        <v>4136</v>
      </c>
      <c r="D244" s="646"/>
      <c r="E244" s="1112">
        <f t="shared" si="74"/>
        <v>0</v>
      </c>
      <c r="F244" s="1111"/>
      <c r="G244" s="1111"/>
      <c r="H244" s="923"/>
      <c r="I244" s="1112">
        <f>IF('11. Unit Mix'!$G$142&lt;&gt;0,+E244/'11. Unit Mix'!$G$142,0)</f>
        <v>0</v>
      </c>
      <c r="J244" s="1112">
        <f t="shared" si="73"/>
        <v>0</v>
      </c>
      <c r="K244" s="202"/>
      <c r="L244" s="202"/>
      <c r="M244" s="202"/>
      <c r="N244" s="642"/>
      <c r="O244" s="642"/>
      <c r="P244" s="642"/>
      <c r="Q244" s="642"/>
      <c r="R244" s="642"/>
      <c r="S244" s="642"/>
      <c r="T244" s="642"/>
      <c r="U244" s="642"/>
      <c r="V244" s="642"/>
      <c r="W244" s="642"/>
      <c r="X244" s="642"/>
      <c r="Y244" s="642"/>
      <c r="Z244" s="642"/>
      <c r="AA244" s="642"/>
      <c r="AB244" s="642"/>
      <c r="AC244" s="642"/>
      <c r="AD244" s="642"/>
      <c r="AE244" s="642"/>
      <c r="AF244" s="642"/>
      <c r="AG244" s="642"/>
      <c r="AH244" s="642"/>
      <c r="AI244" s="642"/>
      <c r="AJ244" s="642"/>
      <c r="AK244" s="642"/>
      <c r="AL244" s="642"/>
      <c r="AM244" s="642"/>
      <c r="AN244" s="642"/>
      <c r="AO244" s="642"/>
      <c r="AP244" s="1278"/>
      <c r="AQ244" s="3"/>
      <c r="AR244" s="3"/>
      <c r="AS244" s="131"/>
      <c r="AT244" s="131"/>
      <c r="AU244" s="131"/>
      <c r="AV244" s="131"/>
      <c r="AW244" s="131"/>
      <c r="AX244" s="131"/>
    </row>
    <row r="245" spans="2:81" s="918" customFormat="1">
      <c r="B245" s="1278"/>
      <c r="C245" s="645" t="s">
        <v>4137</v>
      </c>
      <c r="D245" s="646"/>
      <c r="E245" s="1112">
        <f t="shared" si="74"/>
        <v>0</v>
      </c>
      <c r="F245" s="1111"/>
      <c r="G245" s="1111"/>
      <c r="H245" s="923"/>
      <c r="I245" s="1112">
        <f>IF('11. Unit Mix'!$G$142&lt;&gt;0,+E245/'11. Unit Mix'!$G$142,0)</f>
        <v>0</v>
      </c>
      <c r="J245" s="1112">
        <f t="shared" si="73"/>
        <v>0</v>
      </c>
      <c r="K245" s="202"/>
      <c r="L245" s="202"/>
      <c r="M245" s="202"/>
      <c r="N245" s="642"/>
      <c r="O245" s="642"/>
      <c r="P245" s="642"/>
      <c r="Q245" s="642"/>
      <c r="R245" s="642"/>
      <c r="S245" s="642"/>
      <c r="T245" s="642"/>
      <c r="U245" s="642"/>
      <c r="V245" s="642"/>
      <c r="W245" s="642"/>
      <c r="X245" s="642"/>
      <c r="Y245" s="642"/>
      <c r="Z245" s="642"/>
      <c r="AA245" s="642"/>
      <c r="AB245" s="642"/>
      <c r="AC245" s="642"/>
      <c r="AD245" s="642"/>
      <c r="AE245" s="642"/>
      <c r="AF245" s="642"/>
      <c r="AG245" s="642"/>
      <c r="AH245" s="642"/>
      <c r="AI245" s="642"/>
      <c r="AJ245" s="642"/>
      <c r="AK245" s="642"/>
      <c r="AL245" s="642"/>
      <c r="AM245" s="642"/>
      <c r="AN245" s="642"/>
      <c r="AO245" s="642"/>
      <c r="AP245" s="1278"/>
      <c r="AQ245" s="3"/>
      <c r="AR245" s="3"/>
      <c r="AS245" s="131"/>
      <c r="AT245" s="131"/>
      <c r="AU245" s="131"/>
      <c r="AV245" s="131"/>
      <c r="AW245" s="131"/>
      <c r="AX245" s="131"/>
    </row>
    <row r="246" spans="2:81" s="918" customFormat="1">
      <c r="B246" s="1278"/>
      <c r="C246" s="645" t="s">
        <v>4138</v>
      </c>
      <c r="D246" s="646"/>
      <c r="E246" s="1112">
        <f t="shared" si="74"/>
        <v>0</v>
      </c>
      <c r="F246" s="1111"/>
      <c r="G246" s="1111"/>
      <c r="H246" s="923"/>
      <c r="I246" s="1112">
        <f>IF('11. Unit Mix'!$G$142&lt;&gt;0,+E246/'11. Unit Mix'!$G$142,0)</f>
        <v>0</v>
      </c>
      <c r="J246" s="1112">
        <f t="shared" si="73"/>
        <v>0</v>
      </c>
      <c r="K246" s="202"/>
      <c r="L246" s="202"/>
      <c r="M246" s="202"/>
      <c r="N246" s="642"/>
      <c r="O246" s="642"/>
      <c r="P246" s="642"/>
      <c r="Q246" s="642"/>
      <c r="R246" s="642"/>
      <c r="S246" s="642"/>
      <c r="T246" s="642"/>
      <c r="U246" s="642"/>
      <c r="V246" s="642"/>
      <c r="W246" s="642"/>
      <c r="X246" s="642"/>
      <c r="Y246" s="642"/>
      <c r="Z246" s="642"/>
      <c r="AA246" s="642"/>
      <c r="AB246" s="642"/>
      <c r="AC246" s="642"/>
      <c r="AD246" s="642"/>
      <c r="AE246" s="642"/>
      <c r="AF246" s="642"/>
      <c r="AG246" s="642"/>
      <c r="AH246" s="642"/>
      <c r="AI246" s="642"/>
      <c r="AJ246" s="642"/>
      <c r="AK246" s="642"/>
      <c r="AL246" s="642"/>
      <c r="AM246" s="642"/>
      <c r="AN246" s="642"/>
      <c r="AO246" s="642"/>
      <c r="AP246" s="1278"/>
      <c r="AQ246" s="3"/>
      <c r="AR246" s="3"/>
      <c r="AS246" s="131"/>
      <c r="AT246" s="131"/>
      <c r="AU246" s="131"/>
      <c r="AV246" s="131"/>
      <c r="AW246" s="131"/>
      <c r="AX246" s="131"/>
    </row>
    <row r="247" spans="2:81" s="918" customFormat="1">
      <c r="B247" s="1278"/>
      <c r="C247" s="645" t="s">
        <v>4139</v>
      </c>
      <c r="D247" s="646"/>
      <c r="E247" s="1112">
        <f t="shared" si="74"/>
        <v>0</v>
      </c>
      <c r="F247" s="1111"/>
      <c r="G247" s="1111"/>
      <c r="H247" s="923"/>
      <c r="I247" s="1112">
        <f>IF('11. Unit Mix'!$G$142&lt;&gt;0,+E247/'11. Unit Mix'!$G$142,0)</f>
        <v>0</v>
      </c>
      <c r="J247" s="1112">
        <f t="shared" si="73"/>
        <v>0</v>
      </c>
      <c r="K247" s="202"/>
      <c r="L247" s="202"/>
      <c r="M247" s="202"/>
      <c r="N247" s="642"/>
      <c r="O247" s="642"/>
      <c r="P247" s="642"/>
      <c r="Q247" s="642"/>
      <c r="R247" s="642"/>
      <c r="S247" s="642"/>
      <c r="T247" s="642"/>
      <c r="U247" s="642"/>
      <c r="V247" s="642"/>
      <c r="W247" s="642"/>
      <c r="X247" s="642"/>
      <c r="Y247" s="642"/>
      <c r="Z247" s="642"/>
      <c r="AA247" s="642"/>
      <c r="AB247" s="642"/>
      <c r="AC247" s="642"/>
      <c r="AD247" s="642"/>
      <c r="AE247" s="642"/>
      <c r="AF247" s="642"/>
      <c r="AG247" s="642"/>
      <c r="AH247" s="642"/>
      <c r="AI247" s="642"/>
      <c r="AJ247" s="642"/>
      <c r="AK247" s="642"/>
      <c r="AL247" s="642"/>
      <c r="AM247" s="642"/>
      <c r="AN247" s="642"/>
      <c r="AO247" s="642"/>
      <c r="AP247" s="1278"/>
      <c r="AQ247" s="3"/>
      <c r="AR247" s="3"/>
      <c r="AS247" s="131"/>
      <c r="AT247" s="131"/>
      <c r="AU247" s="131"/>
      <c r="AV247" s="131"/>
      <c r="AW247" s="131"/>
      <c r="AX247" s="131"/>
    </row>
    <row r="248" spans="2:81" s="918" customFormat="1">
      <c r="B248" s="1278"/>
      <c r="C248" s="645" t="s">
        <v>4140</v>
      </c>
      <c r="D248" s="646"/>
      <c r="E248" s="1112">
        <f t="shared" si="74"/>
        <v>0</v>
      </c>
      <c r="F248" s="1111"/>
      <c r="G248" s="1111"/>
      <c r="H248" s="923"/>
      <c r="I248" s="1112">
        <f>IF('11. Unit Mix'!$G$142&lt;&gt;0,+E248/'11. Unit Mix'!$G$142,0)</f>
        <v>0</v>
      </c>
      <c r="J248" s="1112">
        <f t="shared" si="73"/>
        <v>0</v>
      </c>
      <c r="K248" s="202"/>
      <c r="L248" s="202"/>
      <c r="M248" s="202"/>
      <c r="N248" s="642"/>
      <c r="O248" s="642"/>
      <c r="P248" s="642"/>
      <c r="Q248" s="642"/>
      <c r="R248" s="642"/>
      <c r="S248" s="642"/>
      <c r="T248" s="642"/>
      <c r="U248" s="642"/>
      <c r="V248" s="642"/>
      <c r="W248" s="642"/>
      <c r="X248" s="642"/>
      <c r="Y248" s="642"/>
      <c r="Z248" s="642"/>
      <c r="AA248" s="642"/>
      <c r="AB248" s="642"/>
      <c r="AC248" s="642"/>
      <c r="AD248" s="642"/>
      <c r="AE248" s="642"/>
      <c r="AF248" s="642"/>
      <c r="AG248" s="642"/>
      <c r="AH248" s="642"/>
      <c r="AI248" s="642"/>
      <c r="AJ248" s="642"/>
      <c r="AK248" s="642"/>
      <c r="AL248" s="642"/>
      <c r="AM248" s="642"/>
      <c r="AN248" s="642"/>
      <c r="AO248" s="642"/>
      <c r="AP248" s="1278"/>
      <c r="AQ248" s="3"/>
      <c r="AR248" s="3"/>
      <c r="AS248" s="131"/>
      <c r="AT248" s="131"/>
      <c r="AU248" s="131"/>
      <c r="AV248" s="131"/>
      <c r="AW248" s="131"/>
      <c r="AX248" s="131"/>
    </row>
    <row r="249" spans="2:81" s="919" customFormat="1">
      <c r="B249" s="1278"/>
      <c r="C249" s="645" t="s">
        <v>4141</v>
      </c>
      <c r="D249" s="646"/>
      <c r="E249" s="1112">
        <f t="shared" si="74"/>
        <v>0</v>
      </c>
      <c r="F249" s="1111"/>
      <c r="G249" s="1111"/>
      <c r="H249" s="923"/>
      <c r="I249" s="1112">
        <f>IF('11. Unit Mix'!$G$142&lt;&gt;0,+E249/'11. Unit Mix'!$G$142,0)</f>
        <v>0</v>
      </c>
      <c r="J249" s="1112">
        <f t="shared" si="73"/>
        <v>0</v>
      </c>
      <c r="K249" s="202"/>
      <c r="L249" s="202"/>
      <c r="M249" s="202"/>
      <c r="N249" s="1081"/>
      <c r="O249" s="1081"/>
      <c r="P249" s="1081"/>
      <c r="Q249" s="1081"/>
      <c r="R249" s="1081"/>
      <c r="S249" s="1081"/>
      <c r="T249" s="1081"/>
      <c r="U249" s="1081"/>
      <c r="V249" s="1081"/>
      <c r="W249" s="1081"/>
      <c r="X249" s="1081"/>
      <c r="Y249" s="1081"/>
      <c r="Z249" s="1081"/>
      <c r="AA249" s="1081"/>
      <c r="AB249" s="1081"/>
      <c r="AC249" s="1081"/>
      <c r="AD249" s="1081"/>
      <c r="AE249" s="1081"/>
      <c r="AF249" s="1081"/>
      <c r="AG249" s="1081"/>
      <c r="AH249" s="1081"/>
      <c r="AI249" s="1081"/>
      <c r="AJ249" s="1081"/>
      <c r="AK249" s="1081"/>
      <c r="AL249" s="1081"/>
      <c r="AM249" s="1081"/>
      <c r="AN249" s="1081"/>
      <c r="AO249" s="1081"/>
      <c r="AP249" s="1278"/>
      <c r="AQ249" s="3"/>
      <c r="AR249" s="3"/>
      <c r="AS249" s="131"/>
      <c r="AT249" s="131"/>
      <c r="AU249" s="131"/>
      <c r="AV249" s="131"/>
      <c r="AW249" s="131"/>
      <c r="AX249" s="131"/>
    </row>
    <row r="250" spans="2:81" s="918" customFormat="1">
      <c r="B250" s="1278"/>
      <c r="C250" s="643" t="s">
        <v>4142</v>
      </c>
      <c r="D250" s="650"/>
      <c r="E250" s="655">
        <f>+E240+E232+E222+E215+E207+E199+E181+E166+E156+E148+E138+E124+E114+E103+E92+E79+E69+E60+E52+E41+E31+E19+E7+E192+E173</f>
        <v>0</v>
      </c>
      <c r="F250" s="655">
        <f t="shared" ref="F250:H250" si="75">+F240+F232+F222+F215+F207+F199+F181+F166+F156+F148+F138+F124+F114+F103+F92+F79+F69+F60+F52+F41+F31+F19+F7+F192+F173</f>
        <v>0</v>
      </c>
      <c r="G250" s="655">
        <f t="shared" si="75"/>
        <v>0</v>
      </c>
      <c r="H250" s="655">
        <f t="shared" si="75"/>
        <v>0</v>
      </c>
      <c r="I250" s="655">
        <f>IF('11. Unit Mix'!$G$142&lt;&gt;0,+E250/'11. Unit Mix'!$G$142,0)</f>
        <v>0</v>
      </c>
      <c r="J250" s="655">
        <f t="shared" si="73"/>
        <v>0</v>
      </c>
      <c r="K250" s="202"/>
      <c r="L250" s="202"/>
      <c r="M250" s="202"/>
      <c r="N250" s="642"/>
      <c r="O250" s="642"/>
      <c r="P250" s="642"/>
      <c r="Q250" s="642"/>
      <c r="R250" s="642"/>
      <c r="S250" s="642"/>
      <c r="T250" s="642"/>
      <c r="U250" s="642"/>
      <c r="V250" s="642"/>
      <c r="W250" s="642"/>
      <c r="X250" s="642"/>
      <c r="Y250" s="642"/>
      <c r="Z250" s="642"/>
      <c r="AA250" s="642"/>
      <c r="AB250" s="642"/>
      <c r="AC250" s="642"/>
      <c r="AD250" s="642"/>
      <c r="AE250" s="642"/>
      <c r="AF250" s="642"/>
      <c r="AG250" s="642"/>
      <c r="AH250" s="642"/>
      <c r="AI250" s="642"/>
      <c r="AJ250" s="642"/>
      <c r="AK250" s="642"/>
      <c r="AL250" s="642"/>
      <c r="AM250" s="642"/>
      <c r="AN250" s="642"/>
      <c r="AO250" s="642"/>
      <c r="AP250" s="1278"/>
      <c r="AQ250" s="3"/>
      <c r="AR250" s="3"/>
      <c r="AS250" s="131"/>
      <c r="AT250" s="131"/>
      <c r="AU250" s="131"/>
      <c r="AV250" s="131"/>
      <c r="AW250" s="131"/>
      <c r="AX250" s="131"/>
    </row>
    <row r="251" spans="2:81" s="918" customFormat="1">
      <c r="B251" s="1278"/>
      <c r="C251" s="1279"/>
      <c r="D251" s="1279"/>
      <c r="E251" s="1279"/>
      <c r="F251" s="1279"/>
      <c r="G251" s="1279"/>
      <c r="H251" s="1279"/>
      <c r="I251" s="1279"/>
      <c r="J251" s="1279"/>
      <c r="K251" s="202"/>
      <c r="L251" s="202"/>
      <c r="M251" s="202"/>
      <c r="N251" s="642"/>
      <c r="O251" s="642"/>
      <c r="P251" s="642"/>
      <c r="Q251" s="642"/>
      <c r="R251" s="642"/>
      <c r="S251" s="642"/>
      <c r="T251" s="642"/>
      <c r="U251" s="642"/>
      <c r="V251" s="642"/>
      <c r="W251" s="642"/>
      <c r="X251" s="642"/>
      <c r="Y251" s="642"/>
      <c r="Z251" s="642"/>
      <c r="AA251" s="642"/>
      <c r="AB251" s="642"/>
      <c r="AC251" s="642"/>
      <c r="AD251" s="642"/>
      <c r="AE251" s="642"/>
      <c r="AF251" s="642"/>
      <c r="AG251" s="642"/>
      <c r="AH251" s="642"/>
      <c r="AI251" s="642"/>
      <c r="AJ251" s="642"/>
      <c r="AK251" s="642"/>
      <c r="AL251" s="642"/>
      <c r="AM251" s="642"/>
      <c r="AN251" s="642"/>
      <c r="AO251" s="642"/>
      <c r="AP251" s="1278"/>
      <c r="AQ251" s="489"/>
      <c r="AR251" s="3"/>
      <c r="AS251" s="131"/>
      <c r="AT251" s="131"/>
      <c r="AU251" s="131"/>
      <c r="AV251" s="131"/>
      <c r="AW251" s="131"/>
      <c r="AX251" s="131"/>
    </row>
    <row r="252" spans="2:81" s="918" customFormat="1" hidden="1">
      <c r="B252" s="1278"/>
      <c r="C252" s="643" t="s">
        <v>4143</v>
      </c>
      <c r="D252" s="525">
        <v>0</v>
      </c>
      <c r="E252" s="655">
        <f>+$D252*E250</f>
        <v>0</v>
      </c>
      <c r="F252" s="655">
        <f t="shared" ref="F252:H252" si="76">+$D252*F250</f>
        <v>0</v>
      </c>
      <c r="G252" s="655">
        <f t="shared" si="76"/>
        <v>0</v>
      </c>
      <c r="H252" s="655">
        <f t="shared" si="76"/>
        <v>0</v>
      </c>
      <c r="I252" s="202"/>
      <c r="J252" s="202"/>
      <c r="K252" s="202"/>
      <c r="L252" s="202"/>
      <c r="M252" s="202"/>
      <c r="N252" s="642"/>
      <c r="O252" s="642"/>
      <c r="P252" s="642"/>
      <c r="Q252" s="642"/>
      <c r="R252" s="642"/>
      <c r="S252" s="642"/>
      <c r="T252" s="642"/>
      <c r="U252" s="642"/>
      <c r="V252" s="642"/>
      <c r="W252" s="642"/>
      <c r="X252" s="642"/>
      <c r="Y252" s="642"/>
      <c r="Z252" s="642"/>
      <c r="AA252" s="642"/>
      <c r="AB252" s="642"/>
      <c r="AC252" s="642"/>
      <c r="AD252" s="642"/>
      <c r="AE252" s="642"/>
      <c r="AF252" s="642"/>
      <c r="AG252" s="642"/>
      <c r="AH252" s="642"/>
      <c r="AI252" s="642"/>
      <c r="AJ252" s="642"/>
      <c r="AK252" s="642"/>
      <c r="AL252" s="642"/>
      <c r="AM252" s="642"/>
      <c r="AN252" s="642"/>
      <c r="AO252" s="642"/>
      <c r="AP252" s="1278"/>
      <c r="AQ252" s="792"/>
      <c r="AR252" s="3"/>
      <c r="AS252" s="131"/>
      <c r="AT252" s="131"/>
      <c r="AU252" s="131"/>
      <c r="AV252" s="131"/>
      <c r="AW252" s="131"/>
      <c r="AX252" s="131"/>
    </row>
    <row r="253" spans="2:81" s="918" customFormat="1" hidden="1">
      <c r="B253" s="1278"/>
      <c r="C253" s="643" t="s">
        <v>4144</v>
      </c>
      <c r="D253" s="525">
        <v>0</v>
      </c>
      <c r="E253" s="655">
        <f>+$D253*E250</f>
        <v>0</v>
      </c>
      <c r="F253" s="655">
        <f t="shared" ref="F253:H253" si="77">+$D253*F250</f>
        <v>0</v>
      </c>
      <c r="G253" s="655">
        <f t="shared" si="77"/>
        <v>0</v>
      </c>
      <c r="H253" s="655">
        <f t="shared" si="77"/>
        <v>0</v>
      </c>
      <c r="I253" s="202"/>
      <c r="J253" s="202"/>
      <c r="K253" s="202"/>
      <c r="L253" s="202"/>
      <c r="M253" s="202"/>
      <c r="N253" s="642"/>
      <c r="O253" s="642"/>
      <c r="P253" s="642"/>
      <c r="Q253" s="642"/>
      <c r="R253" s="642"/>
      <c r="S253" s="642"/>
      <c r="T253" s="642"/>
      <c r="U253" s="642"/>
      <c r="V253" s="642"/>
      <c r="W253" s="642"/>
      <c r="X253" s="642"/>
      <c r="Y253" s="642"/>
      <c r="Z253" s="642"/>
      <c r="AA253" s="642"/>
      <c r="AB253" s="642"/>
      <c r="AC253" s="642"/>
      <c r="AD253" s="642"/>
      <c r="AE253" s="642"/>
      <c r="AF253" s="642"/>
      <c r="AG253" s="642"/>
      <c r="AH253" s="642"/>
      <c r="AI253" s="642"/>
      <c r="AJ253" s="642"/>
      <c r="AK253" s="642"/>
      <c r="AL253" s="642"/>
      <c r="AM253" s="642"/>
      <c r="AN253" s="642"/>
      <c r="AO253" s="642"/>
      <c r="AP253" s="1278"/>
      <c r="AQ253" s="792"/>
      <c r="AR253" s="3"/>
      <c r="AS253" s="131"/>
      <c r="AT253" s="131"/>
      <c r="AU253" s="131"/>
      <c r="AV253" s="131"/>
      <c r="AW253" s="131"/>
      <c r="AX253" s="131"/>
    </row>
    <row r="254" spans="2:81" s="918" customFormat="1">
      <c r="B254" s="1278"/>
      <c r="C254" s="643" t="s">
        <v>4145</v>
      </c>
      <c r="D254" s="650"/>
      <c r="E254" s="655">
        <f>+E253+E250</f>
        <v>0</v>
      </c>
      <c r="F254" s="655">
        <f t="shared" ref="F254:H254" si="78">+F253+F250</f>
        <v>0</v>
      </c>
      <c r="G254" s="655">
        <f t="shared" si="78"/>
        <v>0</v>
      </c>
      <c r="H254" s="655">
        <f t="shared" si="78"/>
        <v>0</v>
      </c>
      <c r="I254" s="1279"/>
      <c r="J254" s="1279"/>
      <c r="K254" s="202"/>
      <c r="L254" s="202"/>
      <c r="M254" s="202"/>
      <c r="N254" s="642"/>
      <c r="O254" s="642"/>
      <c r="P254" s="642"/>
      <c r="Q254" s="642"/>
      <c r="R254" s="642"/>
      <c r="S254" s="642"/>
      <c r="T254" s="642"/>
      <c r="U254" s="642"/>
      <c r="V254" s="642"/>
      <c r="W254" s="642"/>
      <c r="X254" s="642"/>
      <c r="Y254" s="642"/>
      <c r="Z254" s="642"/>
      <c r="AA254" s="642"/>
      <c r="AB254" s="642"/>
      <c r="AC254" s="642"/>
      <c r="AD254" s="642"/>
      <c r="AE254" s="642"/>
      <c r="AF254" s="642"/>
      <c r="AG254" s="642"/>
      <c r="AH254" s="642"/>
      <c r="AI254" s="642"/>
      <c r="AJ254" s="642"/>
      <c r="AK254" s="642"/>
      <c r="AL254" s="642"/>
      <c r="AM254" s="642"/>
      <c r="AN254" s="642"/>
      <c r="AO254" s="642"/>
      <c r="AP254" s="1278"/>
      <c r="AQ254" s="489"/>
      <c r="AR254" s="3"/>
      <c r="AS254" s="131"/>
      <c r="AT254" s="131"/>
      <c r="AU254" s="131"/>
      <c r="AV254" s="131"/>
      <c r="AW254" s="131"/>
      <c r="AX254" s="131"/>
    </row>
    <row r="255" spans="2:81" s="642" customFormat="1" hidden="1">
      <c r="B255" s="1278"/>
      <c r="C255" s="202"/>
      <c r="D255" s="202"/>
      <c r="E255" s="202"/>
      <c r="F255" s="202"/>
      <c r="G255" s="202"/>
      <c r="H255" s="202"/>
      <c r="I255" s="202"/>
      <c r="J255" s="202"/>
      <c r="K255" s="202"/>
      <c r="L255" s="202"/>
      <c r="M255" s="202"/>
      <c r="AP255" s="617"/>
      <c r="AQ255" s="312"/>
      <c r="AR255" s="3"/>
      <c r="AS255" s="131"/>
      <c r="AT255" s="131"/>
      <c r="AU255" s="131"/>
      <c r="AV255" s="131"/>
      <c r="AW255" s="131"/>
      <c r="AX255" s="131"/>
    </row>
    <row r="256" spans="2:81" s="489" customFormat="1" ht="15.75" hidden="1" customHeight="1">
      <c r="B256" s="1278"/>
      <c r="C256" s="21"/>
      <c r="D256" s="614"/>
      <c r="E256" s="800"/>
      <c r="F256" s="1725"/>
      <c r="G256" s="739"/>
      <c r="H256" s="615"/>
      <c r="I256" s="616"/>
      <c r="J256" s="616"/>
      <c r="K256" s="616"/>
      <c r="L256" s="616"/>
      <c r="M256" s="616"/>
      <c r="N256" s="616"/>
      <c r="O256" s="616"/>
      <c r="P256" s="616"/>
      <c r="Q256" s="616"/>
      <c r="R256" s="616"/>
      <c r="S256" s="616"/>
      <c r="T256" s="616"/>
      <c r="U256" s="616"/>
      <c r="V256" s="312"/>
      <c r="W256" s="739"/>
      <c r="X256" s="739"/>
      <c r="Y256" s="739"/>
      <c r="Z256" s="739"/>
      <c r="AA256" s="739"/>
      <c r="AB256" s="739"/>
      <c r="AC256" s="739"/>
      <c r="AD256" s="739"/>
      <c r="AE256" s="739"/>
      <c r="AF256" s="739"/>
      <c r="AG256" s="739"/>
      <c r="AH256" s="739"/>
      <c r="AI256" s="739"/>
      <c r="AJ256" s="616"/>
      <c r="AK256" s="312"/>
      <c r="AL256" s="739"/>
      <c r="AM256" s="739"/>
      <c r="AN256" s="739"/>
      <c r="AO256" s="739"/>
      <c r="AP256" s="617"/>
      <c r="AQ256" s="312"/>
      <c r="AR256" s="3"/>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3"/>
      <c r="BN256" s="3"/>
      <c r="BO256" s="3"/>
      <c r="BP256" s="3"/>
      <c r="BQ256" s="3"/>
      <c r="BR256" s="3"/>
      <c r="BS256" s="3"/>
      <c r="BT256" s="3"/>
      <c r="BU256" s="3"/>
      <c r="BV256" s="3"/>
      <c r="BW256" s="3"/>
      <c r="BX256" s="3"/>
      <c r="BY256" s="3"/>
      <c r="BZ256" s="3"/>
      <c r="CA256" s="3"/>
      <c r="CB256" s="3"/>
      <c r="CC256" s="3"/>
    </row>
    <row r="257" spans="2:80" s="492" customFormat="1" ht="30" hidden="1" customHeight="1">
      <c r="B257" s="1278"/>
      <c r="C257" s="618"/>
      <c r="D257" s="619"/>
      <c r="E257" s="620"/>
      <c r="F257" s="721"/>
      <c r="G257" s="490" t="s">
        <v>4146</v>
      </c>
      <c r="H257" s="490" t="s">
        <v>797</v>
      </c>
      <c r="I257" s="490" t="s">
        <v>4147</v>
      </c>
      <c r="J257" s="490">
        <f>Building_Address_3</f>
        <v>0</v>
      </c>
      <c r="K257" s="490">
        <f>Building_Address_4</f>
        <v>0</v>
      </c>
      <c r="L257" s="490">
        <f>Building_Address_5</f>
        <v>0</v>
      </c>
      <c r="M257" s="490">
        <f>Building_Address_6</f>
        <v>0</v>
      </c>
      <c r="N257" s="490">
        <f>Building_Address_7</f>
        <v>0</v>
      </c>
      <c r="O257" s="490">
        <f>Building_Address_8</f>
        <v>0</v>
      </c>
      <c r="P257" s="490">
        <f>Building_Address_9</f>
        <v>0</v>
      </c>
      <c r="Q257" s="490">
        <f>Building_Address_10</f>
        <v>0</v>
      </c>
      <c r="R257" s="490">
        <f>Building_Address_11</f>
        <v>0</v>
      </c>
      <c r="S257" s="490">
        <f>Building_Address_12</f>
        <v>0</v>
      </c>
      <c r="T257" s="490">
        <f>Building_Address_13</f>
        <v>0</v>
      </c>
      <c r="U257" s="490">
        <f>Building_Address_14</f>
        <v>0</v>
      </c>
      <c r="V257" s="490">
        <f>Building_Address_15</f>
        <v>0</v>
      </c>
      <c r="W257" s="490">
        <f>Building_Address_16</f>
        <v>0</v>
      </c>
      <c r="X257" s="490">
        <f>Building_Address_17</f>
        <v>0</v>
      </c>
      <c r="Y257" s="490">
        <f>Building_Address_18</f>
        <v>0</v>
      </c>
      <c r="Z257" s="490">
        <f>Building_Address_19</f>
        <v>0</v>
      </c>
      <c r="AA257" s="490">
        <f>Building_Address_20</f>
        <v>0</v>
      </c>
      <c r="AB257" s="490">
        <f>Building_Address_21</f>
        <v>0</v>
      </c>
      <c r="AC257" s="490">
        <f>Building_Address_22</f>
        <v>0</v>
      </c>
      <c r="AD257" s="490">
        <f>Building_Address_23</f>
        <v>0</v>
      </c>
      <c r="AE257" s="490">
        <f>Building_Address_24</f>
        <v>0</v>
      </c>
      <c r="AF257" s="490">
        <f>Building_Address_25</f>
        <v>0</v>
      </c>
      <c r="AG257" s="490">
        <f>Building_Address_26</f>
        <v>0</v>
      </c>
      <c r="AH257" s="490">
        <f>Building_Address_27</f>
        <v>0</v>
      </c>
      <c r="AI257" s="490">
        <f>Building_Address_28</f>
        <v>0</v>
      </c>
      <c r="AJ257" s="490">
        <f>Building_Address_29</f>
        <v>0</v>
      </c>
      <c r="AK257" s="490">
        <f>Building_Address_30</f>
        <v>0</v>
      </c>
      <c r="AL257" s="490">
        <f>Building_Address_31</f>
        <v>0</v>
      </c>
      <c r="AM257" s="490">
        <f>Building_Address_32</f>
        <v>0</v>
      </c>
      <c r="AN257" s="490">
        <f>Building_Address_33</f>
        <v>0</v>
      </c>
      <c r="AO257" s="490">
        <f>Building_Address_34</f>
        <v>0</v>
      </c>
      <c r="AP257" s="490" t="s">
        <v>4148</v>
      </c>
      <c r="AQ257" s="491" t="s">
        <v>4149</v>
      </c>
      <c r="AR257" s="920" t="s">
        <v>4150</v>
      </c>
      <c r="AS257" s="574"/>
      <c r="AT257" s="574"/>
      <c r="AU257" s="574"/>
      <c r="AV257" s="574"/>
      <c r="AW257" s="574"/>
      <c r="AX257" s="574"/>
      <c r="AY257" s="574"/>
      <c r="AZ257" s="574"/>
      <c r="BA257" s="574"/>
      <c r="BB257" s="574"/>
      <c r="BC257" s="574"/>
      <c r="BD257" s="574"/>
      <c r="BE257" s="574"/>
      <c r="BF257" s="574"/>
      <c r="BG257" s="574"/>
      <c r="BH257" s="574"/>
      <c r="BI257" s="574"/>
      <c r="BJ257" s="574"/>
      <c r="BK257" s="574"/>
      <c r="BL257" s="574"/>
      <c r="BM257" s="18"/>
      <c r="BN257" s="18"/>
      <c r="BO257" s="18"/>
      <c r="BP257" s="18"/>
      <c r="BQ257" s="18"/>
      <c r="BR257" s="18"/>
      <c r="BS257" s="18"/>
      <c r="BT257" s="18"/>
      <c r="BU257" s="18"/>
      <c r="BV257" s="18"/>
      <c r="BW257" s="18"/>
      <c r="BX257" s="18"/>
      <c r="BY257" s="18"/>
      <c r="BZ257" s="18"/>
      <c r="CA257" s="18"/>
      <c r="CB257" s="18"/>
    </row>
    <row r="258" spans="2:80" s="489" customFormat="1" ht="15" hidden="1" customHeight="1">
      <c r="B258" s="1278"/>
      <c r="C258" s="2143" t="s">
        <v>4151</v>
      </c>
      <c r="D258" s="2146" t="s">
        <v>4152</v>
      </c>
      <c r="E258" s="2147" t="s">
        <v>4153</v>
      </c>
      <c r="F258" s="2148"/>
      <c r="G258" s="519">
        <f t="shared" ref="G258:G265" si="79">+SUM(H258:AP258)</f>
        <v>0</v>
      </c>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0"/>
      <c r="AH258" s="520"/>
      <c r="AI258" s="520"/>
      <c r="AJ258" s="520"/>
      <c r="AK258" s="520"/>
      <c r="AL258" s="520"/>
      <c r="AM258" s="520"/>
      <c r="AN258" s="520"/>
      <c r="AO258" s="520"/>
      <c r="AP258" s="520"/>
      <c r="AQ258" s="521" t="e">
        <f>+G258/'11. Unit Mix'!$G$142</f>
        <v>#DIV/0!</v>
      </c>
      <c r="AR258" s="921" t="e">
        <f t="shared" ref="AR258:AR264" si="80">+G258/Total_Units</f>
        <v>#DIV/0!</v>
      </c>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3"/>
      <c r="BN258" s="3"/>
      <c r="BO258" s="3"/>
      <c r="BP258" s="3"/>
      <c r="BQ258" s="3"/>
      <c r="BR258" s="3"/>
      <c r="BS258" s="3"/>
      <c r="BT258" s="3"/>
      <c r="BU258" s="3"/>
      <c r="BV258" s="3"/>
      <c r="BW258" s="3"/>
      <c r="BX258" s="3"/>
      <c r="BY258" s="3"/>
      <c r="BZ258" s="3"/>
      <c r="CA258" s="3"/>
      <c r="CB258" s="3"/>
    </row>
    <row r="259" spans="2:80" s="489" customFormat="1" ht="15" hidden="1">
      <c r="B259" s="1278"/>
      <c r="C259" s="2144"/>
      <c r="D259" s="2146"/>
      <c r="E259" s="2147" t="s">
        <v>4154</v>
      </c>
      <c r="F259" s="2148"/>
      <c r="G259" s="519">
        <f t="shared" si="79"/>
        <v>0</v>
      </c>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c r="AJ259" s="520"/>
      <c r="AK259" s="520"/>
      <c r="AL259" s="520"/>
      <c r="AM259" s="520"/>
      <c r="AN259" s="520"/>
      <c r="AO259" s="520"/>
      <c r="AP259" s="520"/>
      <c r="AQ259" s="521" t="e">
        <f>+G259/'11. Unit Mix'!$G$142</f>
        <v>#DIV/0!</v>
      </c>
      <c r="AR259" s="921" t="e">
        <f t="shared" si="80"/>
        <v>#DIV/0!</v>
      </c>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3"/>
      <c r="BN259" s="3"/>
      <c r="BO259" s="3"/>
      <c r="BP259" s="3"/>
      <c r="BQ259" s="3"/>
      <c r="BR259" s="3"/>
      <c r="BS259" s="3"/>
      <c r="BT259" s="3"/>
      <c r="BU259" s="3"/>
      <c r="BV259" s="3"/>
      <c r="BW259" s="3"/>
      <c r="BX259" s="3"/>
      <c r="BY259" s="3"/>
      <c r="BZ259" s="3"/>
      <c r="CA259" s="3"/>
      <c r="CB259" s="3"/>
    </row>
    <row r="260" spans="2:80" s="489" customFormat="1" ht="15" hidden="1">
      <c r="B260" s="1278"/>
      <c r="C260" s="2144"/>
      <c r="D260" s="2146"/>
      <c r="E260" s="2147" t="s">
        <v>4155</v>
      </c>
      <c r="F260" s="2148"/>
      <c r="G260" s="519">
        <f t="shared" si="79"/>
        <v>0</v>
      </c>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520"/>
      <c r="AF260" s="520"/>
      <c r="AG260" s="520"/>
      <c r="AH260" s="520"/>
      <c r="AI260" s="520"/>
      <c r="AJ260" s="520"/>
      <c r="AK260" s="520"/>
      <c r="AL260" s="520"/>
      <c r="AM260" s="520"/>
      <c r="AN260" s="520"/>
      <c r="AO260" s="520"/>
      <c r="AP260" s="520"/>
      <c r="AQ260" s="521" t="e">
        <f>+G260/'11. Unit Mix'!$G$142</f>
        <v>#DIV/0!</v>
      </c>
      <c r="AR260" s="921" t="e">
        <f t="shared" si="80"/>
        <v>#DIV/0!</v>
      </c>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3"/>
      <c r="BN260" s="3"/>
      <c r="BO260" s="3"/>
      <c r="BP260" s="3"/>
      <c r="BQ260" s="3"/>
      <c r="BR260" s="3"/>
      <c r="BS260" s="3"/>
      <c r="BT260" s="3"/>
      <c r="BU260" s="3"/>
      <c r="BV260" s="3"/>
      <c r="BW260" s="3"/>
      <c r="BX260" s="3"/>
      <c r="BY260" s="3"/>
      <c r="BZ260" s="3"/>
      <c r="CA260" s="3"/>
      <c r="CB260" s="3"/>
    </row>
    <row r="261" spans="2:80" s="489" customFormat="1" ht="15" hidden="1" customHeight="1">
      <c r="B261" s="1278"/>
      <c r="C261" s="2144"/>
      <c r="D261" s="2146" t="s">
        <v>4156</v>
      </c>
      <c r="E261" s="2147" t="s">
        <v>4157</v>
      </c>
      <c r="F261" s="2148"/>
      <c r="G261" s="519">
        <f t="shared" si="79"/>
        <v>0</v>
      </c>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c r="AJ261" s="520"/>
      <c r="AK261" s="520"/>
      <c r="AL261" s="520"/>
      <c r="AM261" s="520"/>
      <c r="AN261" s="520"/>
      <c r="AO261" s="520"/>
      <c r="AP261" s="520"/>
      <c r="AQ261" s="521" t="e">
        <f>+G261/'11. Unit Mix'!$G$142</f>
        <v>#DIV/0!</v>
      </c>
      <c r="AR261" s="921" t="e">
        <f t="shared" si="80"/>
        <v>#DIV/0!</v>
      </c>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3"/>
      <c r="BN261" s="3"/>
      <c r="BO261" s="3"/>
      <c r="BP261" s="3"/>
      <c r="BQ261" s="3"/>
      <c r="BR261" s="3"/>
      <c r="BS261" s="3"/>
      <c r="BT261" s="3"/>
      <c r="BU261" s="3"/>
      <c r="BV261" s="3"/>
      <c r="BW261" s="3"/>
      <c r="BX261" s="3"/>
      <c r="BY261" s="3"/>
      <c r="BZ261" s="3"/>
      <c r="CA261" s="3"/>
      <c r="CB261" s="3"/>
    </row>
    <row r="262" spans="2:80" s="489" customFormat="1" ht="14.5" hidden="1" customHeight="1">
      <c r="B262" s="1278"/>
      <c r="C262" s="2144"/>
      <c r="D262" s="2146"/>
      <c r="E262" s="2147" t="s">
        <v>4158</v>
      </c>
      <c r="F262" s="2148"/>
      <c r="G262" s="519">
        <f t="shared" si="79"/>
        <v>0</v>
      </c>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c r="AJ262" s="520"/>
      <c r="AK262" s="520"/>
      <c r="AL262" s="520"/>
      <c r="AM262" s="520"/>
      <c r="AN262" s="520"/>
      <c r="AO262" s="520"/>
      <c r="AP262" s="520"/>
      <c r="AQ262" s="521" t="e">
        <f>+G262/'11. Unit Mix'!$G$142</f>
        <v>#DIV/0!</v>
      </c>
      <c r="AR262" s="921" t="e">
        <f t="shared" si="80"/>
        <v>#DIV/0!</v>
      </c>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3"/>
      <c r="BN262" s="3"/>
      <c r="BO262" s="3"/>
      <c r="BP262" s="3"/>
      <c r="BQ262" s="3"/>
      <c r="BR262" s="3"/>
      <c r="BS262" s="3"/>
      <c r="BT262" s="3"/>
      <c r="BU262" s="3"/>
      <c r="BV262" s="3"/>
      <c r="BW262" s="3"/>
      <c r="BX262" s="3"/>
      <c r="BY262" s="3"/>
      <c r="BZ262" s="3"/>
      <c r="CA262" s="3"/>
      <c r="CB262" s="3"/>
    </row>
    <row r="263" spans="2:80" s="489" customFormat="1" ht="15" hidden="1">
      <c r="B263" s="1278"/>
      <c r="C263" s="2144"/>
      <c r="D263" s="2146" t="s">
        <v>347</v>
      </c>
      <c r="E263" s="493" t="s">
        <v>347</v>
      </c>
      <c r="F263" s="494"/>
      <c r="G263" s="519">
        <f t="shared" si="79"/>
        <v>0</v>
      </c>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c r="AE263" s="520"/>
      <c r="AF263" s="520"/>
      <c r="AG263" s="520"/>
      <c r="AH263" s="520"/>
      <c r="AI263" s="520"/>
      <c r="AJ263" s="520"/>
      <c r="AK263" s="520"/>
      <c r="AL263" s="520"/>
      <c r="AM263" s="520"/>
      <c r="AN263" s="520"/>
      <c r="AO263" s="520"/>
      <c r="AP263" s="520"/>
      <c r="AQ263" s="521" t="e">
        <f>+G263/'11. Unit Mix'!$G$142</f>
        <v>#DIV/0!</v>
      </c>
      <c r="AR263" s="921" t="e">
        <f t="shared" si="80"/>
        <v>#DIV/0!</v>
      </c>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3"/>
      <c r="BN263" s="3"/>
      <c r="BO263" s="3"/>
      <c r="BP263" s="3"/>
      <c r="BQ263" s="3"/>
      <c r="BR263" s="3"/>
      <c r="BS263" s="3"/>
      <c r="BT263" s="3"/>
      <c r="BU263" s="3"/>
      <c r="BV263" s="3"/>
      <c r="BW263" s="3"/>
      <c r="BX263" s="3"/>
      <c r="BY263" s="3"/>
      <c r="BZ263" s="3"/>
      <c r="CA263" s="3"/>
      <c r="CB263" s="3"/>
    </row>
    <row r="264" spans="2:80" s="489" customFormat="1" ht="15" hidden="1">
      <c r="B264" s="1278"/>
      <c r="C264" s="2145"/>
      <c r="D264" s="2146"/>
      <c r="E264" s="493" t="s">
        <v>347</v>
      </c>
      <c r="F264" s="494"/>
      <c r="G264" s="519">
        <f t="shared" si="79"/>
        <v>0</v>
      </c>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c r="AE264" s="520"/>
      <c r="AF264" s="520"/>
      <c r="AG264" s="520"/>
      <c r="AH264" s="520"/>
      <c r="AI264" s="520"/>
      <c r="AJ264" s="520"/>
      <c r="AK264" s="520"/>
      <c r="AL264" s="520"/>
      <c r="AM264" s="520"/>
      <c r="AN264" s="520"/>
      <c r="AO264" s="520"/>
      <c r="AP264" s="520"/>
      <c r="AQ264" s="521" t="e">
        <f>+G264/'11. Unit Mix'!$G$142</f>
        <v>#DIV/0!</v>
      </c>
      <c r="AR264" s="921" t="e">
        <f t="shared" si="80"/>
        <v>#DIV/0!</v>
      </c>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3"/>
      <c r="BN264" s="3"/>
      <c r="BO264" s="3"/>
      <c r="BP264" s="3"/>
      <c r="BQ264" s="3"/>
      <c r="BR264" s="3"/>
      <c r="BS264" s="3"/>
      <c r="BT264" s="3"/>
      <c r="BU264" s="3"/>
      <c r="BV264" s="3"/>
      <c r="BW264" s="3"/>
      <c r="BX264" s="3"/>
      <c r="BY264" s="3"/>
      <c r="BZ264" s="3"/>
      <c r="CA264" s="3"/>
      <c r="CB264" s="3"/>
    </row>
    <row r="265" spans="2:80" s="489" customFormat="1" hidden="1">
      <c r="B265" s="1278"/>
      <c r="C265" s="618"/>
      <c r="D265" s="619"/>
      <c r="E265" s="2149" t="s">
        <v>4159</v>
      </c>
      <c r="F265" s="2150"/>
      <c r="G265" s="519">
        <f t="shared" si="79"/>
        <v>0</v>
      </c>
      <c r="H265" s="522">
        <f t="shared" ref="H265:AP265" si="81">SUM(H258:H264)</f>
        <v>0</v>
      </c>
      <c r="I265" s="522">
        <f t="shared" si="81"/>
        <v>0</v>
      </c>
      <c r="J265" s="522">
        <f t="shared" si="81"/>
        <v>0</v>
      </c>
      <c r="K265" s="522">
        <f t="shared" si="81"/>
        <v>0</v>
      </c>
      <c r="L265" s="522">
        <f t="shared" si="81"/>
        <v>0</v>
      </c>
      <c r="M265" s="522">
        <f t="shared" si="81"/>
        <v>0</v>
      </c>
      <c r="N265" s="522">
        <f t="shared" si="81"/>
        <v>0</v>
      </c>
      <c r="O265" s="522">
        <f t="shared" si="81"/>
        <v>0</v>
      </c>
      <c r="P265" s="522">
        <f t="shared" si="81"/>
        <v>0</v>
      </c>
      <c r="Q265" s="522">
        <f t="shared" si="81"/>
        <v>0</v>
      </c>
      <c r="R265" s="522">
        <f t="shared" si="81"/>
        <v>0</v>
      </c>
      <c r="S265" s="522">
        <f t="shared" si="81"/>
        <v>0</v>
      </c>
      <c r="T265" s="522">
        <f t="shared" si="81"/>
        <v>0</v>
      </c>
      <c r="U265" s="522">
        <f t="shared" si="81"/>
        <v>0</v>
      </c>
      <c r="V265" s="522">
        <f t="shared" si="81"/>
        <v>0</v>
      </c>
      <c r="W265" s="522">
        <f t="shared" si="81"/>
        <v>0</v>
      </c>
      <c r="X265" s="522">
        <f t="shared" si="81"/>
        <v>0</v>
      </c>
      <c r="Y265" s="522">
        <f t="shared" si="81"/>
        <v>0</v>
      </c>
      <c r="Z265" s="522">
        <f t="shared" si="81"/>
        <v>0</v>
      </c>
      <c r="AA265" s="522">
        <f t="shared" si="81"/>
        <v>0</v>
      </c>
      <c r="AB265" s="522">
        <f t="shared" si="81"/>
        <v>0</v>
      </c>
      <c r="AC265" s="522">
        <f t="shared" si="81"/>
        <v>0</v>
      </c>
      <c r="AD265" s="522">
        <f t="shared" si="81"/>
        <v>0</v>
      </c>
      <c r="AE265" s="522">
        <f t="shared" si="81"/>
        <v>0</v>
      </c>
      <c r="AF265" s="522">
        <f t="shared" si="81"/>
        <v>0</v>
      </c>
      <c r="AG265" s="522">
        <f t="shared" si="81"/>
        <v>0</v>
      </c>
      <c r="AH265" s="522">
        <f t="shared" si="81"/>
        <v>0</v>
      </c>
      <c r="AI265" s="522">
        <f t="shared" si="81"/>
        <v>0</v>
      </c>
      <c r="AJ265" s="522">
        <f t="shared" si="81"/>
        <v>0</v>
      </c>
      <c r="AK265" s="522">
        <f t="shared" si="81"/>
        <v>0</v>
      </c>
      <c r="AL265" s="522">
        <f t="shared" si="81"/>
        <v>0</v>
      </c>
      <c r="AM265" s="522">
        <f t="shared" si="81"/>
        <v>0</v>
      </c>
      <c r="AN265" s="522">
        <f t="shared" si="81"/>
        <v>0</v>
      </c>
      <c r="AO265" s="522">
        <f t="shared" si="81"/>
        <v>0</v>
      </c>
      <c r="AP265" s="522">
        <f t="shared" si="81"/>
        <v>0</v>
      </c>
      <c r="AQ265" s="627"/>
      <c r="AR265" s="523"/>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3"/>
      <c r="BN265" s="3"/>
      <c r="BO265" s="3"/>
      <c r="BP265" s="3"/>
      <c r="BQ265" s="3"/>
      <c r="BR265" s="3"/>
      <c r="BS265" s="3"/>
      <c r="BT265" s="3"/>
      <c r="BU265" s="3"/>
      <c r="BV265" s="3"/>
      <c r="BW265" s="3"/>
      <c r="BX265" s="3"/>
      <c r="BY265" s="3"/>
      <c r="BZ265" s="3"/>
      <c r="CA265" s="3"/>
      <c r="CB265" s="3"/>
    </row>
    <row r="266" spans="2:80" s="489" customFormat="1" hidden="1">
      <c r="B266" s="1278"/>
      <c r="C266" s="621"/>
      <c r="D266" s="622"/>
      <c r="E266" s="623"/>
      <c r="F266" s="624"/>
      <c r="G266" s="625"/>
      <c r="H266" s="625"/>
      <c r="I266" s="625"/>
      <c r="J266" s="625"/>
      <c r="K266" s="625"/>
      <c r="L266" s="625"/>
      <c r="M266" s="625"/>
      <c r="N266" s="625"/>
      <c r="O266" s="625"/>
      <c r="P266" s="625"/>
      <c r="Q266" s="625"/>
      <c r="R266" s="625"/>
      <c r="S266" s="625"/>
      <c r="T266" s="625"/>
      <c r="U266" s="625"/>
      <c r="V266" s="625"/>
      <c r="W266" s="625"/>
      <c r="X266" s="625"/>
      <c r="Y266" s="625"/>
      <c r="Z266" s="625"/>
      <c r="AA266" s="625"/>
      <c r="AB266" s="625"/>
      <c r="AC266" s="625"/>
      <c r="AD266" s="625"/>
      <c r="AE266" s="625"/>
      <c r="AF266" s="625"/>
      <c r="AG266" s="625"/>
      <c r="AH266" s="625"/>
      <c r="AI266" s="625"/>
      <c r="AJ266" s="625"/>
      <c r="AK266" s="625"/>
      <c r="AL266" s="625"/>
      <c r="AM266" s="625"/>
      <c r="AN266" s="625"/>
      <c r="AO266" s="625"/>
      <c r="AP266" s="625"/>
      <c r="AQ266" s="626"/>
      <c r="AR266" s="922"/>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3"/>
      <c r="BN266" s="3"/>
      <c r="BO266" s="3"/>
      <c r="BP266" s="3"/>
      <c r="BQ266" s="3"/>
      <c r="BR266" s="3"/>
      <c r="BS266" s="3"/>
      <c r="BT266" s="3"/>
      <c r="BU266" s="3"/>
      <c r="BV266" s="3"/>
      <c r="BW266" s="3"/>
      <c r="BX266" s="3"/>
      <c r="BY266" s="3"/>
      <c r="BZ266" s="3"/>
      <c r="CA266" s="3"/>
      <c r="CB266" s="3"/>
    </row>
    <row r="267" spans="2:80" s="489" customFormat="1" ht="14.5" hidden="1" customHeight="1">
      <c r="B267" s="1278"/>
      <c r="C267" s="2151" t="s">
        <v>4160</v>
      </c>
      <c r="D267" s="2154" t="s">
        <v>4161</v>
      </c>
      <c r="E267" s="2147" t="s">
        <v>4162</v>
      </c>
      <c r="F267" s="2148"/>
      <c r="G267" s="519">
        <f t="shared" ref="G267:G276" si="82">+SUM(H267:AP267)</f>
        <v>0</v>
      </c>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c r="AE267" s="520"/>
      <c r="AF267" s="520"/>
      <c r="AG267" s="520"/>
      <c r="AH267" s="520"/>
      <c r="AI267" s="520"/>
      <c r="AJ267" s="520"/>
      <c r="AK267" s="520"/>
      <c r="AL267" s="520"/>
      <c r="AM267" s="520"/>
      <c r="AN267" s="520"/>
      <c r="AO267" s="520"/>
      <c r="AP267" s="520"/>
      <c r="AQ267" s="521" t="e">
        <f>+G267/'11. Unit Mix'!$G$142</f>
        <v>#DIV/0!</v>
      </c>
      <c r="AR267" s="921" t="e">
        <f t="shared" ref="AR267:AR275" si="83">+G267/Total_Units</f>
        <v>#DIV/0!</v>
      </c>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3"/>
      <c r="BN267" s="3"/>
      <c r="BO267" s="3"/>
      <c r="BP267" s="3"/>
      <c r="BQ267" s="3"/>
      <c r="BR267" s="3"/>
      <c r="BS267" s="3"/>
      <c r="BT267" s="3"/>
      <c r="BU267" s="3"/>
      <c r="BV267" s="3"/>
      <c r="BW267" s="3"/>
      <c r="BX267" s="3"/>
      <c r="BY267" s="3"/>
      <c r="BZ267" s="3"/>
      <c r="CA267" s="3"/>
      <c r="CB267" s="3"/>
    </row>
    <row r="268" spans="2:80" s="489" customFormat="1" ht="15" hidden="1">
      <c r="B268" s="1278"/>
      <c r="C268" s="2152"/>
      <c r="D268" s="2155"/>
      <c r="E268" s="2147" t="s">
        <v>4163</v>
      </c>
      <c r="F268" s="2148"/>
      <c r="G268" s="519">
        <f t="shared" si="82"/>
        <v>0</v>
      </c>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c r="AE268" s="520"/>
      <c r="AF268" s="520"/>
      <c r="AG268" s="520"/>
      <c r="AH268" s="520"/>
      <c r="AI268" s="520"/>
      <c r="AJ268" s="520"/>
      <c r="AK268" s="520"/>
      <c r="AL268" s="520"/>
      <c r="AM268" s="520"/>
      <c r="AN268" s="520"/>
      <c r="AO268" s="520"/>
      <c r="AP268" s="520"/>
      <c r="AQ268" s="521" t="e">
        <f>+G268/'11. Unit Mix'!$G$142</f>
        <v>#DIV/0!</v>
      </c>
      <c r="AR268" s="921" t="e">
        <f t="shared" si="83"/>
        <v>#DIV/0!</v>
      </c>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3"/>
      <c r="BN268" s="3"/>
      <c r="BO268" s="3"/>
      <c r="BP268" s="3"/>
      <c r="BQ268" s="3"/>
      <c r="BR268" s="3"/>
      <c r="BS268" s="3"/>
      <c r="BT268" s="3"/>
      <c r="BU268" s="3"/>
      <c r="BV268" s="3"/>
      <c r="BW268" s="3"/>
      <c r="BX268" s="3"/>
      <c r="BY268" s="3"/>
      <c r="BZ268" s="3"/>
      <c r="CA268" s="3"/>
      <c r="CB268" s="3"/>
    </row>
    <row r="269" spans="2:80" s="489" customFormat="1" ht="15" hidden="1">
      <c r="B269" s="1278"/>
      <c r="C269" s="2152"/>
      <c r="D269" s="2156" t="s">
        <v>4164</v>
      </c>
      <c r="E269" s="2147" t="s">
        <v>4165</v>
      </c>
      <c r="F269" s="2148"/>
      <c r="G269" s="519">
        <f t="shared" si="82"/>
        <v>0</v>
      </c>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c r="AE269" s="520"/>
      <c r="AF269" s="520"/>
      <c r="AG269" s="520"/>
      <c r="AH269" s="520"/>
      <c r="AI269" s="520"/>
      <c r="AJ269" s="520"/>
      <c r="AK269" s="520"/>
      <c r="AL269" s="520"/>
      <c r="AM269" s="520"/>
      <c r="AN269" s="520"/>
      <c r="AO269" s="520"/>
      <c r="AP269" s="520"/>
      <c r="AQ269" s="521" t="e">
        <f>+G269/'11. Unit Mix'!$G$142</f>
        <v>#DIV/0!</v>
      </c>
      <c r="AR269" s="921" t="e">
        <f t="shared" si="83"/>
        <v>#DIV/0!</v>
      </c>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3"/>
      <c r="BN269" s="3"/>
      <c r="BO269" s="3"/>
      <c r="BP269" s="3"/>
      <c r="BQ269" s="3"/>
      <c r="BR269" s="3"/>
      <c r="BS269" s="3"/>
      <c r="BT269" s="3"/>
      <c r="BU269" s="3"/>
      <c r="BV269" s="3"/>
      <c r="BW269" s="3"/>
      <c r="BX269" s="3"/>
      <c r="BY269" s="3"/>
      <c r="BZ269" s="3"/>
      <c r="CA269" s="3"/>
      <c r="CB269" s="3"/>
    </row>
    <row r="270" spans="2:80" s="489" customFormat="1" ht="15" hidden="1">
      <c r="B270" s="1278"/>
      <c r="C270" s="2152"/>
      <c r="D270" s="2157"/>
      <c r="E270" s="2147" t="s">
        <v>4166</v>
      </c>
      <c r="F270" s="2148"/>
      <c r="G270" s="519">
        <f t="shared" si="82"/>
        <v>0</v>
      </c>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c r="AE270" s="520"/>
      <c r="AF270" s="520"/>
      <c r="AG270" s="520"/>
      <c r="AH270" s="520"/>
      <c r="AI270" s="520"/>
      <c r="AJ270" s="520"/>
      <c r="AK270" s="520"/>
      <c r="AL270" s="520"/>
      <c r="AM270" s="520"/>
      <c r="AN270" s="520"/>
      <c r="AO270" s="520"/>
      <c r="AP270" s="520"/>
      <c r="AQ270" s="521" t="e">
        <f>+G270/'11. Unit Mix'!$G$142</f>
        <v>#DIV/0!</v>
      </c>
      <c r="AR270" s="921" t="e">
        <f t="shared" si="83"/>
        <v>#DIV/0!</v>
      </c>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3"/>
      <c r="BN270" s="3"/>
      <c r="BO270" s="3"/>
      <c r="BP270" s="3"/>
      <c r="BQ270" s="3"/>
      <c r="BR270" s="3"/>
      <c r="BS270" s="3"/>
      <c r="BT270" s="3"/>
      <c r="BU270" s="3"/>
      <c r="BV270" s="3"/>
      <c r="BW270" s="3"/>
      <c r="BX270" s="3"/>
      <c r="BY270" s="3"/>
      <c r="BZ270" s="3"/>
      <c r="CA270" s="3"/>
      <c r="CB270" s="3"/>
    </row>
    <row r="271" spans="2:80" s="489" customFormat="1" ht="15" hidden="1">
      <c r="B271" s="1278"/>
      <c r="C271" s="2152"/>
      <c r="D271" s="2158"/>
      <c r="E271" s="2147" t="s">
        <v>4167</v>
      </c>
      <c r="F271" s="2148"/>
      <c r="G271" s="519">
        <f t="shared" si="82"/>
        <v>0</v>
      </c>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c r="AE271" s="520"/>
      <c r="AF271" s="520"/>
      <c r="AG271" s="520"/>
      <c r="AH271" s="520"/>
      <c r="AI271" s="520"/>
      <c r="AJ271" s="520"/>
      <c r="AK271" s="520"/>
      <c r="AL271" s="520"/>
      <c r="AM271" s="520"/>
      <c r="AN271" s="520"/>
      <c r="AO271" s="520"/>
      <c r="AP271" s="520"/>
      <c r="AQ271" s="521" t="e">
        <f>+G271/'11. Unit Mix'!$G$142</f>
        <v>#DIV/0!</v>
      </c>
      <c r="AR271" s="921" t="e">
        <f t="shared" si="83"/>
        <v>#DIV/0!</v>
      </c>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3"/>
      <c r="BN271" s="3"/>
      <c r="BO271" s="3"/>
      <c r="BP271" s="3"/>
      <c r="BQ271" s="3"/>
      <c r="BR271" s="3"/>
      <c r="BS271" s="3"/>
      <c r="BT271" s="3"/>
      <c r="BU271" s="3"/>
      <c r="BV271" s="3"/>
      <c r="BW271" s="3"/>
      <c r="BX271" s="3"/>
      <c r="BY271" s="3"/>
      <c r="BZ271" s="3"/>
      <c r="CA271" s="3"/>
      <c r="CB271" s="3"/>
    </row>
    <row r="272" spans="2:80" s="489" customFormat="1" ht="15" hidden="1">
      <c r="B272" s="1278"/>
      <c r="C272" s="2152"/>
      <c r="D272" s="2154" t="s">
        <v>4168</v>
      </c>
      <c r="E272" s="2147" t="s">
        <v>4169</v>
      </c>
      <c r="F272" s="2148"/>
      <c r="G272" s="519">
        <f t="shared" si="82"/>
        <v>0</v>
      </c>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0"/>
      <c r="AH272" s="520"/>
      <c r="AI272" s="520"/>
      <c r="AJ272" s="520"/>
      <c r="AK272" s="520"/>
      <c r="AL272" s="520"/>
      <c r="AM272" s="520"/>
      <c r="AN272" s="520"/>
      <c r="AO272" s="520"/>
      <c r="AP272" s="520"/>
      <c r="AQ272" s="521" t="e">
        <f>+G272/'11. Unit Mix'!$G$142</f>
        <v>#DIV/0!</v>
      </c>
      <c r="AR272" s="921" t="e">
        <f t="shared" si="83"/>
        <v>#DIV/0!</v>
      </c>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3"/>
      <c r="BN272" s="3"/>
      <c r="BO272" s="3"/>
      <c r="BP272" s="3"/>
      <c r="BQ272" s="3"/>
      <c r="BR272" s="3"/>
      <c r="BS272" s="3"/>
      <c r="BT272" s="3"/>
      <c r="BU272" s="3"/>
      <c r="BV272" s="3"/>
      <c r="BW272" s="3"/>
      <c r="BX272" s="3"/>
      <c r="BY272" s="3"/>
      <c r="BZ272" s="3"/>
      <c r="CA272" s="3"/>
      <c r="CB272" s="3"/>
    </row>
    <row r="273" spans="2:80" s="489" customFormat="1" ht="15" hidden="1">
      <c r="B273" s="1278"/>
      <c r="C273" s="2152"/>
      <c r="D273" s="2155"/>
      <c r="E273" s="2147" t="s">
        <v>4170</v>
      </c>
      <c r="F273" s="2148"/>
      <c r="G273" s="519">
        <f t="shared" si="82"/>
        <v>0</v>
      </c>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c r="AJ273" s="520"/>
      <c r="AK273" s="520"/>
      <c r="AL273" s="520"/>
      <c r="AM273" s="520"/>
      <c r="AN273" s="520"/>
      <c r="AO273" s="520"/>
      <c r="AP273" s="520"/>
      <c r="AQ273" s="521" t="e">
        <f>+G273/'11. Unit Mix'!$G$142</f>
        <v>#DIV/0!</v>
      </c>
      <c r="AR273" s="921" t="e">
        <f t="shared" si="83"/>
        <v>#DIV/0!</v>
      </c>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3"/>
      <c r="BN273" s="3"/>
      <c r="BO273" s="3"/>
      <c r="BP273" s="3"/>
      <c r="BQ273" s="3"/>
      <c r="BR273" s="3"/>
      <c r="BS273" s="3"/>
      <c r="BT273" s="3"/>
      <c r="BU273" s="3"/>
      <c r="BV273" s="3"/>
      <c r="BW273" s="3"/>
      <c r="BX273" s="3"/>
      <c r="BY273" s="3"/>
      <c r="BZ273" s="3"/>
      <c r="CA273" s="3"/>
      <c r="CB273" s="3"/>
    </row>
    <row r="274" spans="2:80" s="489" customFormat="1" ht="15" hidden="1">
      <c r="B274" s="1278"/>
      <c r="C274" s="2152"/>
      <c r="D274" s="2154" t="s">
        <v>347</v>
      </c>
      <c r="E274" s="493" t="s">
        <v>347</v>
      </c>
      <c r="F274" s="494"/>
      <c r="G274" s="519">
        <f t="shared" si="82"/>
        <v>0</v>
      </c>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0"/>
      <c r="AH274" s="520"/>
      <c r="AI274" s="520"/>
      <c r="AJ274" s="520"/>
      <c r="AK274" s="520"/>
      <c r="AL274" s="520"/>
      <c r="AM274" s="520"/>
      <c r="AN274" s="520"/>
      <c r="AO274" s="520"/>
      <c r="AP274" s="520"/>
      <c r="AQ274" s="521" t="e">
        <f>+G274/'11. Unit Mix'!$G$142</f>
        <v>#DIV/0!</v>
      </c>
      <c r="AR274" s="921" t="e">
        <f t="shared" si="83"/>
        <v>#DIV/0!</v>
      </c>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3"/>
      <c r="BN274" s="3"/>
      <c r="BO274" s="3"/>
      <c r="BP274" s="3"/>
      <c r="BQ274" s="3"/>
      <c r="BR274" s="3"/>
      <c r="BS274" s="3"/>
      <c r="BT274" s="3"/>
      <c r="BU274" s="3"/>
      <c r="BV274" s="3"/>
      <c r="BW274" s="3"/>
      <c r="BX274" s="3"/>
      <c r="BY274" s="3"/>
      <c r="BZ274" s="3"/>
      <c r="CA274" s="3"/>
      <c r="CB274" s="3"/>
    </row>
    <row r="275" spans="2:80" s="489" customFormat="1" ht="15" hidden="1">
      <c r="B275" s="1278"/>
      <c r="C275" s="2153"/>
      <c r="D275" s="2155"/>
      <c r="E275" s="493" t="s">
        <v>347</v>
      </c>
      <c r="F275" s="494"/>
      <c r="G275" s="519">
        <f t="shared" si="82"/>
        <v>0</v>
      </c>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c r="AJ275" s="520"/>
      <c r="AK275" s="520"/>
      <c r="AL275" s="520"/>
      <c r="AM275" s="520"/>
      <c r="AN275" s="520"/>
      <c r="AO275" s="520"/>
      <c r="AP275" s="520"/>
      <c r="AQ275" s="521" t="e">
        <f>+G275/'11. Unit Mix'!$G$142</f>
        <v>#DIV/0!</v>
      </c>
      <c r="AR275" s="921" t="e">
        <f t="shared" si="83"/>
        <v>#DIV/0!</v>
      </c>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3"/>
      <c r="BN275" s="3"/>
      <c r="BO275" s="3"/>
      <c r="BP275" s="3"/>
      <c r="BQ275" s="3"/>
      <c r="BR275" s="3"/>
      <c r="BS275" s="3"/>
      <c r="BT275" s="3"/>
      <c r="BU275" s="3"/>
      <c r="BV275" s="3"/>
      <c r="BW275" s="3"/>
      <c r="BX275" s="3"/>
      <c r="BY275" s="3"/>
      <c r="BZ275" s="3"/>
      <c r="CA275" s="3"/>
      <c r="CB275" s="3"/>
    </row>
    <row r="276" spans="2:80" s="489" customFormat="1" hidden="1">
      <c r="B276" s="1278"/>
      <c r="C276" s="618"/>
      <c r="D276" s="619"/>
      <c r="E276" s="2149" t="s">
        <v>4171</v>
      </c>
      <c r="F276" s="2150"/>
      <c r="G276" s="519">
        <f t="shared" si="82"/>
        <v>0</v>
      </c>
      <c r="H276" s="522">
        <f t="shared" ref="H276:AP276" si="84">SUM(H267:H275)</f>
        <v>0</v>
      </c>
      <c r="I276" s="522">
        <f t="shared" si="84"/>
        <v>0</v>
      </c>
      <c r="J276" s="522">
        <f t="shared" si="84"/>
        <v>0</v>
      </c>
      <c r="K276" s="522">
        <f t="shared" si="84"/>
        <v>0</v>
      </c>
      <c r="L276" s="522">
        <f t="shared" si="84"/>
        <v>0</v>
      </c>
      <c r="M276" s="522">
        <f t="shared" si="84"/>
        <v>0</v>
      </c>
      <c r="N276" s="522">
        <f t="shared" si="84"/>
        <v>0</v>
      </c>
      <c r="O276" s="522">
        <f t="shared" si="84"/>
        <v>0</v>
      </c>
      <c r="P276" s="522">
        <f t="shared" si="84"/>
        <v>0</v>
      </c>
      <c r="Q276" s="522">
        <f t="shared" si="84"/>
        <v>0</v>
      </c>
      <c r="R276" s="522">
        <f t="shared" si="84"/>
        <v>0</v>
      </c>
      <c r="S276" s="522">
        <f t="shared" si="84"/>
        <v>0</v>
      </c>
      <c r="T276" s="522">
        <f t="shared" si="84"/>
        <v>0</v>
      </c>
      <c r="U276" s="522">
        <f t="shared" si="84"/>
        <v>0</v>
      </c>
      <c r="V276" s="522">
        <f t="shared" si="84"/>
        <v>0</v>
      </c>
      <c r="W276" s="522">
        <f t="shared" si="84"/>
        <v>0</v>
      </c>
      <c r="X276" s="522">
        <f t="shared" si="84"/>
        <v>0</v>
      </c>
      <c r="Y276" s="522">
        <f t="shared" si="84"/>
        <v>0</v>
      </c>
      <c r="Z276" s="522">
        <f t="shared" si="84"/>
        <v>0</v>
      </c>
      <c r="AA276" s="522">
        <f t="shared" si="84"/>
        <v>0</v>
      </c>
      <c r="AB276" s="522">
        <f t="shared" si="84"/>
        <v>0</v>
      </c>
      <c r="AC276" s="522">
        <f t="shared" si="84"/>
        <v>0</v>
      </c>
      <c r="AD276" s="522">
        <f t="shared" si="84"/>
        <v>0</v>
      </c>
      <c r="AE276" s="522">
        <f t="shared" si="84"/>
        <v>0</v>
      </c>
      <c r="AF276" s="522">
        <f t="shared" si="84"/>
        <v>0</v>
      </c>
      <c r="AG276" s="522">
        <f t="shared" si="84"/>
        <v>0</v>
      </c>
      <c r="AH276" s="522">
        <f t="shared" si="84"/>
        <v>0</v>
      </c>
      <c r="AI276" s="522">
        <f t="shared" si="84"/>
        <v>0</v>
      </c>
      <c r="AJ276" s="522">
        <f t="shared" si="84"/>
        <v>0</v>
      </c>
      <c r="AK276" s="522">
        <f t="shared" si="84"/>
        <v>0</v>
      </c>
      <c r="AL276" s="522">
        <f t="shared" si="84"/>
        <v>0</v>
      </c>
      <c r="AM276" s="522">
        <f t="shared" si="84"/>
        <v>0</v>
      </c>
      <c r="AN276" s="522">
        <f t="shared" si="84"/>
        <v>0</v>
      </c>
      <c r="AO276" s="522">
        <f t="shared" si="84"/>
        <v>0</v>
      </c>
      <c r="AP276" s="522">
        <f t="shared" si="84"/>
        <v>0</v>
      </c>
      <c r="AQ276" s="627"/>
      <c r="AR276" s="523"/>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3"/>
      <c r="BN276" s="3"/>
      <c r="BO276" s="3"/>
      <c r="BP276" s="3"/>
      <c r="BQ276" s="3"/>
      <c r="BR276" s="3"/>
      <c r="BS276" s="3"/>
      <c r="BT276" s="3"/>
      <c r="BU276" s="3"/>
      <c r="BV276" s="3"/>
      <c r="BW276" s="3"/>
      <c r="BX276" s="3"/>
      <c r="BY276" s="3"/>
      <c r="BZ276" s="3"/>
      <c r="CA276" s="3"/>
      <c r="CB276" s="3"/>
    </row>
    <row r="277" spans="2:80" s="489" customFormat="1" hidden="1">
      <c r="B277" s="1278"/>
      <c r="C277" s="621"/>
      <c r="D277" s="622"/>
      <c r="E277" s="623"/>
      <c r="F277" s="624"/>
      <c r="G277" s="625"/>
      <c r="H277" s="625"/>
      <c r="I277" s="625"/>
      <c r="J277" s="625"/>
      <c r="K277" s="625"/>
      <c r="L277" s="625"/>
      <c r="M277" s="625"/>
      <c r="N277" s="625"/>
      <c r="O277" s="625"/>
      <c r="P277" s="625"/>
      <c r="Q277" s="625"/>
      <c r="R277" s="625"/>
      <c r="S277" s="625"/>
      <c r="T277" s="625"/>
      <c r="U277" s="625"/>
      <c r="V277" s="625"/>
      <c r="W277" s="625"/>
      <c r="X277" s="625"/>
      <c r="Y277" s="625"/>
      <c r="Z277" s="625"/>
      <c r="AA277" s="625"/>
      <c r="AB277" s="625"/>
      <c r="AC277" s="625"/>
      <c r="AD277" s="625"/>
      <c r="AE277" s="625"/>
      <c r="AF277" s="625"/>
      <c r="AG277" s="625"/>
      <c r="AH277" s="625"/>
      <c r="AI277" s="625"/>
      <c r="AJ277" s="625"/>
      <c r="AK277" s="625"/>
      <c r="AL277" s="625"/>
      <c r="AM277" s="625"/>
      <c r="AN277" s="625"/>
      <c r="AO277" s="625"/>
      <c r="AP277" s="625"/>
      <c r="AQ277" s="626"/>
      <c r="AR277" s="922"/>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3"/>
      <c r="BN277" s="3"/>
      <c r="BO277" s="3"/>
      <c r="BP277" s="3"/>
      <c r="BQ277" s="3"/>
      <c r="BR277" s="3"/>
      <c r="BS277" s="3"/>
      <c r="BT277" s="3"/>
      <c r="BU277" s="3"/>
      <c r="BV277" s="3"/>
      <c r="BW277" s="3"/>
      <c r="BX277" s="3"/>
      <c r="BY277" s="3"/>
      <c r="BZ277" s="3"/>
      <c r="CA277" s="3"/>
      <c r="CB277" s="3"/>
    </row>
    <row r="278" spans="2:80" s="489" customFormat="1" ht="14.5" hidden="1" customHeight="1">
      <c r="B278" s="1278"/>
      <c r="C278" s="2151" t="s">
        <v>4172</v>
      </c>
      <c r="D278" s="2154" t="s">
        <v>4173</v>
      </c>
      <c r="E278" s="2147" t="s">
        <v>4174</v>
      </c>
      <c r="F278" s="2148"/>
      <c r="G278" s="519">
        <f t="shared" ref="G278:G288" si="85">+SUM(H278:AP278)</f>
        <v>0</v>
      </c>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c r="AE278" s="520"/>
      <c r="AF278" s="520"/>
      <c r="AG278" s="520"/>
      <c r="AH278" s="520"/>
      <c r="AI278" s="520"/>
      <c r="AJ278" s="520"/>
      <c r="AK278" s="520"/>
      <c r="AL278" s="520"/>
      <c r="AM278" s="520"/>
      <c r="AN278" s="520"/>
      <c r="AO278" s="520"/>
      <c r="AP278" s="520"/>
      <c r="AQ278" s="521" t="e">
        <f>+G278/'11. Unit Mix'!$G$142</f>
        <v>#DIV/0!</v>
      </c>
      <c r="AR278" s="921" t="e">
        <f t="shared" ref="AR278:AR287" si="86">+G278/Total_Units</f>
        <v>#DIV/0!</v>
      </c>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3"/>
      <c r="BN278" s="3"/>
      <c r="BO278" s="3"/>
      <c r="BP278" s="3"/>
      <c r="BQ278" s="3"/>
      <c r="BR278" s="3"/>
      <c r="BS278" s="3"/>
      <c r="BT278" s="3"/>
      <c r="BU278" s="3"/>
      <c r="BV278" s="3"/>
      <c r="BW278" s="3"/>
      <c r="BX278" s="3"/>
      <c r="BY278" s="3"/>
      <c r="BZ278" s="3"/>
      <c r="CA278" s="3"/>
      <c r="CB278" s="3"/>
    </row>
    <row r="279" spans="2:80" s="489" customFormat="1" ht="15" hidden="1">
      <c r="B279" s="1278"/>
      <c r="C279" s="2152"/>
      <c r="D279" s="2159"/>
      <c r="E279" s="2147" t="s">
        <v>4175</v>
      </c>
      <c r="F279" s="2148"/>
      <c r="G279" s="519">
        <f t="shared" si="85"/>
        <v>0</v>
      </c>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0"/>
      <c r="AH279" s="520"/>
      <c r="AI279" s="520"/>
      <c r="AJ279" s="520"/>
      <c r="AK279" s="520"/>
      <c r="AL279" s="520"/>
      <c r="AM279" s="520"/>
      <c r="AN279" s="520"/>
      <c r="AO279" s="520"/>
      <c r="AP279" s="520"/>
      <c r="AQ279" s="521" t="e">
        <f>+G279/'11. Unit Mix'!$G$142</f>
        <v>#DIV/0!</v>
      </c>
      <c r="AR279" s="921" t="e">
        <f t="shared" si="86"/>
        <v>#DIV/0!</v>
      </c>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3"/>
      <c r="BN279" s="3"/>
      <c r="BO279" s="3"/>
      <c r="BP279" s="3"/>
      <c r="BQ279" s="3"/>
      <c r="BR279" s="3"/>
      <c r="BS279" s="3"/>
      <c r="BT279" s="3"/>
      <c r="BU279" s="3"/>
      <c r="BV279" s="3"/>
      <c r="BW279" s="3"/>
      <c r="BX279" s="3"/>
      <c r="BY279" s="3"/>
      <c r="BZ279" s="3"/>
      <c r="CA279" s="3"/>
      <c r="CB279" s="3"/>
    </row>
    <row r="280" spans="2:80" s="489" customFormat="1" ht="15" hidden="1">
      <c r="B280" s="1278"/>
      <c r="C280" s="2152"/>
      <c r="D280" s="2155"/>
      <c r="E280" s="2147" t="s">
        <v>4176</v>
      </c>
      <c r="F280" s="2148"/>
      <c r="G280" s="519">
        <f t="shared" si="85"/>
        <v>0</v>
      </c>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0"/>
      <c r="AH280" s="520"/>
      <c r="AI280" s="520"/>
      <c r="AJ280" s="520"/>
      <c r="AK280" s="520"/>
      <c r="AL280" s="520"/>
      <c r="AM280" s="520"/>
      <c r="AN280" s="520"/>
      <c r="AO280" s="520"/>
      <c r="AP280" s="520"/>
      <c r="AQ280" s="521" t="e">
        <f>+G280/'11. Unit Mix'!$G$142</f>
        <v>#DIV/0!</v>
      </c>
      <c r="AR280" s="921" t="e">
        <f t="shared" si="86"/>
        <v>#DIV/0!</v>
      </c>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3"/>
      <c r="BN280" s="3"/>
      <c r="BO280" s="3"/>
      <c r="BP280" s="3"/>
      <c r="BQ280" s="3"/>
      <c r="BR280" s="3"/>
      <c r="BS280" s="3"/>
      <c r="BT280" s="3"/>
      <c r="BU280" s="3"/>
      <c r="BV280" s="3"/>
      <c r="BW280" s="3"/>
      <c r="BX280" s="3"/>
      <c r="BY280" s="3"/>
      <c r="BZ280" s="3"/>
      <c r="CA280" s="3"/>
      <c r="CB280" s="3"/>
    </row>
    <row r="281" spans="2:80" s="489" customFormat="1" ht="15" hidden="1">
      <c r="B281" s="1278"/>
      <c r="C281" s="2152"/>
      <c r="D281" s="2154" t="s">
        <v>4177</v>
      </c>
      <c r="E281" s="2147" t="s">
        <v>4178</v>
      </c>
      <c r="F281" s="2148"/>
      <c r="G281" s="519">
        <f t="shared" si="85"/>
        <v>0</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1" t="e">
        <f>+G281/'11. Unit Mix'!$G$142</f>
        <v>#DIV/0!</v>
      </c>
      <c r="AR281" s="921" t="e">
        <f t="shared" si="86"/>
        <v>#DIV/0!</v>
      </c>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3"/>
      <c r="BN281" s="3"/>
      <c r="BO281" s="3"/>
      <c r="BP281" s="3"/>
      <c r="BQ281" s="3"/>
      <c r="BR281" s="3"/>
      <c r="BS281" s="3"/>
      <c r="BT281" s="3"/>
      <c r="BU281" s="3"/>
      <c r="BV281" s="3"/>
      <c r="BW281" s="3"/>
      <c r="BX281" s="3"/>
      <c r="BY281" s="3"/>
      <c r="BZ281" s="3"/>
      <c r="CA281" s="3"/>
      <c r="CB281" s="3"/>
    </row>
    <row r="282" spans="2:80" s="489" customFormat="1" ht="15" hidden="1">
      <c r="B282" s="1278"/>
      <c r="C282" s="2152"/>
      <c r="D282" s="2155"/>
      <c r="E282" s="2147" t="s">
        <v>4179</v>
      </c>
      <c r="F282" s="2148"/>
      <c r="G282" s="519">
        <f t="shared" si="85"/>
        <v>0</v>
      </c>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c r="AE282" s="520"/>
      <c r="AF282" s="520"/>
      <c r="AG282" s="520"/>
      <c r="AH282" s="520"/>
      <c r="AI282" s="520"/>
      <c r="AJ282" s="520"/>
      <c r="AK282" s="520"/>
      <c r="AL282" s="520"/>
      <c r="AM282" s="520"/>
      <c r="AN282" s="520"/>
      <c r="AO282" s="520"/>
      <c r="AP282" s="520"/>
      <c r="AQ282" s="521" t="e">
        <f>+G282/'11. Unit Mix'!$G$142</f>
        <v>#DIV/0!</v>
      </c>
      <c r="AR282" s="921" t="e">
        <f t="shared" si="86"/>
        <v>#DIV/0!</v>
      </c>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3"/>
      <c r="BN282" s="3"/>
      <c r="BO282" s="3"/>
      <c r="BP282" s="3"/>
      <c r="BQ282" s="3"/>
      <c r="BR282" s="3"/>
      <c r="BS282" s="3"/>
      <c r="BT282" s="3"/>
      <c r="BU282" s="3"/>
      <c r="BV282" s="3"/>
      <c r="BW282" s="3"/>
      <c r="BX282" s="3"/>
      <c r="BY282" s="3"/>
      <c r="BZ282" s="3"/>
      <c r="CA282" s="3"/>
      <c r="CB282" s="3"/>
    </row>
    <row r="283" spans="2:80" s="489" customFormat="1" ht="15" hidden="1">
      <c r="B283" s="1278"/>
      <c r="C283" s="2152"/>
      <c r="D283" s="2154" t="s">
        <v>4180</v>
      </c>
      <c r="E283" s="2147" t="s">
        <v>4181</v>
      </c>
      <c r="F283" s="2148"/>
      <c r="G283" s="519">
        <f t="shared" si="85"/>
        <v>0</v>
      </c>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c r="AE283" s="520"/>
      <c r="AF283" s="520"/>
      <c r="AG283" s="520"/>
      <c r="AH283" s="520"/>
      <c r="AI283" s="520"/>
      <c r="AJ283" s="520"/>
      <c r="AK283" s="520"/>
      <c r="AL283" s="520"/>
      <c r="AM283" s="520"/>
      <c r="AN283" s="520"/>
      <c r="AO283" s="520"/>
      <c r="AP283" s="520"/>
      <c r="AQ283" s="521" t="e">
        <f>+G283/'11. Unit Mix'!$G$142</f>
        <v>#DIV/0!</v>
      </c>
      <c r="AR283" s="921" t="e">
        <f t="shared" si="86"/>
        <v>#DIV/0!</v>
      </c>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3"/>
      <c r="BN283" s="3"/>
      <c r="BO283" s="3"/>
      <c r="BP283" s="3"/>
      <c r="BQ283" s="3"/>
      <c r="BR283" s="3"/>
      <c r="BS283" s="3"/>
      <c r="BT283" s="3"/>
      <c r="BU283" s="3"/>
      <c r="BV283" s="3"/>
      <c r="BW283" s="3"/>
      <c r="BX283" s="3"/>
      <c r="BY283" s="3"/>
      <c r="BZ283" s="3"/>
      <c r="CA283" s="3"/>
      <c r="CB283" s="3"/>
    </row>
    <row r="284" spans="2:80" s="489" customFormat="1" ht="15" hidden="1">
      <c r="B284" s="1278"/>
      <c r="C284" s="2152"/>
      <c r="D284" s="2159"/>
      <c r="E284" s="2147" t="s">
        <v>4182</v>
      </c>
      <c r="F284" s="2148"/>
      <c r="G284" s="519">
        <f t="shared" si="85"/>
        <v>0</v>
      </c>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0"/>
      <c r="AH284" s="520"/>
      <c r="AI284" s="520"/>
      <c r="AJ284" s="520"/>
      <c r="AK284" s="520"/>
      <c r="AL284" s="520"/>
      <c r="AM284" s="520"/>
      <c r="AN284" s="520"/>
      <c r="AO284" s="520"/>
      <c r="AP284" s="520"/>
      <c r="AQ284" s="521" t="e">
        <f>+G284/'11. Unit Mix'!$G$142</f>
        <v>#DIV/0!</v>
      </c>
      <c r="AR284" s="921" t="e">
        <f t="shared" si="86"/>
        <v>#DIV/0!</v>
      </c>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3"/>
      <c r="BN284" s="3"/>
      <c r="BO284" s="3"/>
      <c r="BP284" s="3"/>
      <c r="BQ284" s="3"/>
      <c r="BR284" s="3"/>
      <c r="BS284" s="3"/>
      <c r="BT284" s="3"/>
      <c r="BU284" s="3"/>
      <c r="BV284" s="3"/>
      <c r="BW284" s="3"/>
      <c r="BX284" s="3"/>
      <c r="BY284" s="3"/>
      <c r="BZ284" s="3"/>
      <c r="CA284" s="3"/>
      <c r="CB284" s="3"/>
    </row>
    <row r="285" spans="2:80" s="489" customFormat="1" ht="15" hidden="1">
      <c r="B285" s="1278"/>
      <c r="C285" s="2152"/>
      <c r="D285" s="2155"/>
      <c r="E285" s="2147" t="s">
        <v>4183</v>
      </c>
      <c r="F285" s="2148"/>
      <c r="G285" s="519">
        <f t="shared" si="85"/>
        <v>0</v>
      </c>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0"/>
      <c r="AH285" s="520"/>
      <c r="AI285" s="520"/>
      <c r="AJ285" s="520"/>
      <c r="AK285" s="520"/>
      <c r="AL285" s="520"/>
      <c r="AM285" s="520"/>
      <c r="AN285" s="520"/>
      <c r="AO285" s="520"/>
      <c r="AP285" s="520"/>
      <c r="AQ285" s="521" t="e">
        <f>+G285/'11. Unit Mix'!$G$142</f>
        <v>#DIV/0!</v>
      </c>
      <c r="AR285" s="921" t="e">
        <f t="shared" si="86"/>
        <v>#DIV/0!</v>
      </c>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3"/>
      <c r="BN285" s="3"/>
      <c r="BO285" s="3"/>
      <c r="BP285" s="3"/>
      <c r="BQ285" s="3"/>
      <c r="BR285" s="3"/>
      <c r="BS285" s="3"/>
      <c r="BT285" s="3"/>
      <c r="BU285" s="3"/>
      <c r="BV285" s="3"/>
      <c r="BW285" s="3"/>
      <c r="BX285" s="3"/>
      <c r="BY285" s="3"/>
      <c r="BZ285" s="3"/>
      <c r="CA285" s="3"/>
      <c r="CB285" s="3"/>
    </row>
    <row r="286" spans="2:80" s="489" customFormat="1" ht="15" hidden="1">
      <c r="B286" s="1278"/>
      <c r="C286" s="2152"/>
      <c r="D286" s="2146" t="s">
        <v>347</v>
      </c>
      <c r="E286" s="493" t="s">
        <v>347</v>
      </c>
      <c r="F286" s="494"/>
      <c r="G286" s="519">
        <f t="shared" si="85"/>
        <v>0</v>
      </c>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c r="AE286" s="520"/>
      <c r="AF286" s="520"/>
      <c r="AG286" s="520"/>
      <c r="AH286" s="520"/>
      <c r="AI286" s="520"/>
      <c r="AJ286" s="520"/>
      <c r="AK286" s="520"/>
      <c r="AL286" s="520"/>
      <c r="AM286" s="520"/>
      <c r="AN286" s="520"/>
      <c r="AO286" s="520"/>
      <c r="AP286" s="520"/>
      <c r="AQ286" s="521" t="e">
        <f>+G286/'11. Unit Mix'!$G$142</f>
        <v>#DIV/0!</v>
      </c>
      <c r="AR286" s="921" t="e">
        <f t="shared" si="86"/>
        <v>#DIV/0!</v>
      </c>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3"/>
      <c r="BN286" s="3"/>
      <c r="BO286" s="3"/>
      <c r="BP286" s="3"/>
      <c r="BQ286" s="3"/>
      <c r="BR286" s="3"/>
      <c r="BS286" s="3"/>
      <c r="BT286" s="3"/>
      <c r="BU286" s="3"/>
      <c r="BV286" s="3"/>
      <c r="BW286" s="3"/>
      <c r="BX286" s="3"/>
      <c r="BY286" s="3"/>
      <c r="BZ286" s="3"/>
      <c r="CA286" s="3"/>
      <c r="CB286" s="3"/>
    </row>
    <row r="287" spans="2:80" s="489" customFormat="1" ht="15" hidden="1">
      <c r="B287" s="1278"/>
      <c r="C287" s="2153"/>
      <c r="D287" s="2146"/>
      <c r="E287" s="493" t="s">
        <v>347</v>
      </c>
      <c r="F287" s="494"/>
      <c r="G287" s="519">
        <f t="shared" si="85"/>
        <v>0</v>
      </c>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c r="AE287" s="520"/>
      <c r="AF287" s="520"/>
      <c r="AG287" s="520"/>
      <c r="AH287" s="520"/>
      <c r="AI287" s="520"/>
      <c r="AJ287" s="520"/>
      <c r="AK287" s="520"/>
      <c r="AL287" s="520"/>
      <c r="AM287" s="520"/>
      <c r="AN287" s="520"/>
      <c r="AO287" s="520"/>
      <c r="AP287" s="520"/>
      <c r="AQ287" s="521" t="e">
        <f>+G287/'11. Unit Mix'!$G$142</f>
        <v>#DIV/0!</v>
      </c>
      <c r="AR287" s="921" t="e">
        <f t="shared" si="86"/>
        <v>#DIV/0!</v>
      </c>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3"/>
      <c r="BN287" s="3"/>
      <c r="BO287" s="3"/>
      <c r="BP287" s="3"/>
      <c r="BQ287" s="3"/>
      <c r="BR287" s="3"/>
      <c r="BS287" s="3"/>
      <c r="BT287" s="3"/>
      <c r="BU287" s="3"/>
      <c r="BV287" s="3"/>
      <c r="BW287" s="3"/>
      <c r="BX287" s="3"/>
      <c r="BY287" s="3"/>
      <c r="BZ287" s="3"/>
      <c r="CA287" s="3"/>
      <c r="CB287" s="3"/>
    </row>
    <row r="288" spans="2:80" s="489" customFormat="1" hidden="1">
      <c r="B288" s="1278"/>
      <c r="C288" s="618"/>
      <c r="D288" s="619"/>
      <c r="E288" s="2149" t="s">
        <v>4184</v>
      </c>
      <c r="F288" s="2150"/>
      <c r="G288" s="519">
        <f t="shared" si="85"/>
        <v>0</v>
      </c>
      <c r="H288" s="522">
        <f t="shared" ref="H288:AP288" si="87">SUM(H278:H287)</f>
        <v>0</v>
      </c>
      <c r="I288" s="522">
        <f t="shared" si="87"/>
        <v>0</v>
      </c>
      <c r="J288" s="522">
        <f t="shared" si="87"/>
        <v>0</v>
      </c>
      <c r="K288" s="522">
        <f t="shared" si="87"/>
        <v>0</v>
      </c>
      <c r="L288" s="522">
        <f t="shared" si="87"/>
        <v>0</v>
      </c>
      <c r="M288" s="522">
        <f t="shared" si="87"/>
        <v>0</v>
      </c>
      <c r="N288" s="522">
        <f t="shared" si="87"/>
        <v>0</v>
      </c>
      <c r="O288" s="522">
        <f t="shared" si="87"/>
        <v>0</v>
      </c>
      <c r="P288" s="522">
        <f t="shared" si="87"/>
        <v>0</v>
      </c>
      <c r="Q288" s="522">
        <f t="shared" si="87"/>
        <v>0</v>
      </c>
      <c r="R288" s="522">
        <f t="shared" si="87"/>
        <v>0</v>
      </c>
      <c r="S288" s="522">
        <f t="shared" si="87"/>
        <v>0</v>
      </c>
      <c r="T288" s="522">
        <f t="shared" si="87"/>
        <v>0</v>
      </c>
      <c r="U288" s="522">
        <f t="shared" si="87"/>
        <v>0</v>
      </c>
      <c r="V288" s="522">
        <f t="shared" si="87"/>
        <v>0</v>
      </c>
      <c r="W288" s="522">
        <f t="shared" si="87"/>
        <v>0</v>
      </c>
      <c r="X288" s="522">
        <f t="shared" si="87"/>
        <v>0</v>
      </c>
      <c r="Y288" s="522">
        <f t="shared" si="87"/>
        <v>0</v>
      </c>
      <c r="Z288" s="522">
        <f t="shared" si="87"/>
        <v>0</v>
      </c>
      <c r="AA288" s="522">
        <f t="shared" si="87"/>
        <v>0</v>
      </c>
      <c r="AB288" s="522">
        <f t="shared" si="87"/>
        <v>0</v>
      </c>
      <c r="AC288" s="522">
        <f t="shared" si="87"/>
        <v>0</v>
      </c>
      <c r="AD288" s="522">
        <f t="shared" si="87"/>
        <v>0</v>
      </c>
      <c r="AE288" s="522">
        <f t="shared" si="87"/>
        <v>0</v>
      </c>
      <c r="AF288" s="522">
        <f t="shared" si="87"/>
        <v>0</v>
      </c>
      <c r="AG288" s="522">
        <f t="shared" si="87"/>
        <v>0</v>
      </c>
      <c r="AH288" s="522">
        <f t="shared" si="87"/>
        <v>0</v>
      </c>
      <c r="AI288" s="522">
        <f t="shared" si="87"/>
        <v>0</v>
      </c>
      <c r="AJ288" s="522">
        <f t="shared" si="87"/>
        <v>0</v>
      </c>
      <c r="AK288" s="522">
        <f t="shared" si="87"/>
        <v>0</v>
      </c>
      <c r="AL288" s="522">
        <f t="shared" si="87"/>
        <v>0</v>
      </c>
      <c r="AM288" s="522">
        <f t="shared" si="87"/>
        <v>0</v>
      </c>
      <c r="AN288" s="522">
        <f t="shared" si="87"/>
        <v>0</v>
      </c>
      <c r="AO288" s="522">
        <f t="shared" si="87"/>
        <v>0</v>
      </c>
      <c r="AP288" s="522">
        <f t="shared" si="87"/>
        <v>0</v>
      </c>
      <c r="AQ288" s="627"/>
      <c r="AR288" s="523"/>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3"/>
      <c r="BN288" s="3"/>
      <c r="BO288" s="3"/>
      <c r="BP288" s="3"/>
      <c r="BQ288" s="3"/>
      <c r="BR288" s="3"/>
      <c r="BS288" s="3"/>
      <c r="BT288" s="3"/>
      <c r="BU288" s="3"/>
      <c r="BV288" s="3"/>
      <c r="BW288" s="3"/>
      <c r="BX288" s="3"/>
      <c r="BY288" s="3"/>
      <c r="BZ288" s="3"/>
      <c r="CA288" s="3"/>
      <c r="CB288" s="3"/>
    </row>
    <row r="289" spans="2:80" s="489" customFormat="1" hidden="1">
      <c r="B289" s="1278"/>
      <c r="C289" s="621"/>
      <c r="D289" s="622"/>
      <c r="E289" s="623"/>
      <c r="F289" s="624"/>
      <c r="G289" s="625"/>
      <c r="H289" s="625"/>
      <c r="I289" s="625"/>
      <c r="J289" s="625"/>
      <c r="K289" s="625"/>
      <c r="L289" s="625"/>
      <c r="M289" s="625"/>
      <c r="N289" s="625"/>
      <c r="O289" s="625"/>
      <c r="P289" s="625"/>
      <c r="Q289" s="625"/>
      <c r="R289" s="625"/>
      <c r="S289" s="625"/>
      <c r="T289" s="625"/>
      <c r="U289" s="625"/>
      <c r="V289" s="625"/>
      <c r="W289" s="625"/>
      <c r="X289" s="625"/>
      <c r="Y289" s="625"/>
      <c r="Z289" s="625"/>
      <c r="AA289" s="625"/>
      <c r="AB289" s="625"/>
      <c r="AC289" s="625"/>
      <c r="AD289" s="625"/>
      <c r="AE289" s="625"/>
      <c r="AF289" s="625"/>
      <c r="AG289" s="625"/>
      <c r="AH289" s="625"/>
      <c r="AI289" s="625"/>
      <c r="AJ289" s="625"/>
      <c r="AK289" s="625"/>
      <c r="AL289" s="625"/>
      <c r="AM289" s="625"/>
      <c r="AN289" s="625"/>
      <c r="AO289" s="625"/>
      <c r="AP289" s="625"/>
      <c r="AQ289" s="626"/>
      <c r="AR289" s="922"/>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3"/>
      <c r="BN289" s="3"/>
      <c r="BO289" s="3"/>
      <c r="BP289" s="3"/>
      <c r="BQ289" s="3"/>
      <c r="BR289" s="3"/>
      <c r="BS289" s="3"/>
      <c r="BT289" s="3"/>
      <c r="BU289" s="3"/>
      <c r="BV289" s="3"/>
      <c r="BW289" s="3"/>
      <c r="BX289" s="3"/>
      <c r="BY289" s="3"/>
      <c r="BZ289" s="3"/>
      <c r="CA289" s="3"/>
      <c r="CB289" s="3"/>
    </row>
    <row r="290" spans="2:80" s="489" customFormat="1" ht="14.5" hidden="1" customHeight="1">
      <c r="B290" s="1278"/>
      <c r="C290" s="2151" t="s">
        <v>4185</v>
      </c>
      <c r="D290" s="2154" t="s">
        <v>4186</v>
      </c>
      <c r="E290" s="2147" t="s">
        <v>4187</v>
      </c>
      <c r="F290" s="2148"/>
      <c r="G290" s="519">
        <f t="shared" ref="G290:G316" si="88">+SUM(H290:AP290)</f>
        <v>0</v>
      </c>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c r="AE290" s="520"/>
      <c r="AF290" s="520"/>
      <c r="AG290" s="520"/>
      <c r="AH290" s="520"/>
      <c r="AI290" s="520"/>
      <c r="AJ290" s="520"/>
      <c r="AK290" s="520"/>
      <c r="AL290" s="520"/>
      <c r="AM290" s="520"/>
      <c r="AN290" s="520"/>
      <c r="AO290" s="520"/>
      <c r="AP290" s="520"/>
      <c r="AQ290" s="521" t="e">
        <f>+G290/'11. Unit Mix'!$G$142</f>
        <v>#DIV/0!</v>
      </c>
      <c r="AR290" s="921" t="e">
        <f t="shared" ref="AR290:AR315" si="89">+G290/Total_Units</f>
        <v>#DIV/0!</v>
      </c>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3"/>
      <c r="BN290" s="3"/>
      <c r="BO290" s="3"/>
      <c r="BP290" s="3"/>
      <c r="BQ290" s="3"/>
      <c r="BR290" s="3"/>
      <c r="BS290" s="3"/>
      <c r="BT290" s="3"/>
      <c r="BU290" s="3"/>
      <c r="BV290" s="3"/>
      <c r="BW290" s="3"/>
      <c r="BX290" s="3"/>
      <c r="BY290" s="3"/>
      <c r="BZ290" s="3"/>
      <c r="CA290" s="3"/>
      <c r="CB290" s="3"/>
    </row>
    <row r="291" spans="2:80" s="489" customFormat="1" ht="15" hidden="1">
      <c r="B291" s="1278"/>
      <c r="C291" s="2152"/>
      <c r="D291" s="2159"/>
      <c r="E291" s="2147" t="s">
        <v>4188</v>
      </c>
      <c r="F291" s="2148"/>
      <c r="G291" s="519">
        <f t="shared" si="88"/>
        <v>0</v>
      </c>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c r="AE291" s="520"/>
      <c r="AF291" s="520"/>
      <c r="AG291" s="520"/>
      <c r="AH291" s="520"/>
      <c r="AI291" s="520"/>
      <c r="AJ291" s="520"/>
      <c r="AK291" s="520"/>
      <c r="AL291" s="520"/>
      <c r="AM291" s="520"/>
      <c r="AN291" s="520"/>
      <c r="AO291" s="520"/>
      <c r="AP291" s="520"/>
      <c r="AQ291" s="521" t="e">
        <f>+G291/'11. Unit Mix'!$G$142</f>
        <v>#DIV/0!</v>
      </c>
      <c r="AR291" s="921" t="e">
        <f t="shared" si="89"/>
        <v>#DIV/0!</v>
      </c>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3"/>
      <c r="BN291" s="3"/>
      <c r="BO291" s="3"/>
      <c r="BP291" s="3"/>
      <c r="BQ291" s="3"/>
      <c r="BR291" s="3"/>
      <c r="BS291" s="3"/>
      <c r="BT291" s="3"/>
      <c r="BU291" s="3"/>
      <c r="BV291" s="3"/>
      <c r="BW291" s="3"/>
      <c r="BX291" s="3"/>
      <c r="BY291" s="3"/>
      <c r="BZ291" s="3"/>
      <c r="CA291" s="3"/>
      <c r="CB291" s="3"/>
    </row>
    <row r="292" spans="2:80" s="489" customFormat="1" ht="15" hidden="1">
      <c r="B292" s="1278"/>
      <c r="C292" s="2152"/>
      <c r="D292" s="2155"/>
      <c r="E292" s="2147" t="s">
        <v>4189</v>
      </c>
      <c r="F292" s="2148"/>
      <c r="G292" s="519">
        <f t="shared" si="88"/>
        <v>0</v>
      </c>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0"/>
      <c r="AH292" s="520"/>
      <c r="AI292" s="520"/>
      <c r="AJ292" s="520"/>
      <c r="AK292" s="520"/>
      <c r="AL292" s="520"/>
      <c r="AM292" s="520"/>
      <c r="AN292" s="520"/>
      <c r="AO292" s="520"/>
      <c r="AP292" s="520"/>
      <c r="AQ292" s="521" t="e">
        <f>+G292/'11. Unit Mix'!$G$142</f>
        <v>#DIV/0!</v>
      </c>
      <c r="AR292" s="921" t="e">
        <f t="shared" si="89"/>
        <v>#DIV/0!</v>
      </c>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3"/>
      <c r="BN292" s="3"/>
      <c r="BO292" s="3"/>
      <c r="BP292" s="3"/>
      <c r="BQ292" s="3"/>
      <c r="BR292" s="3"/>
      <c r="BS292" s="3"/>
      <c r="BT292" s="3"/>
      <c r="BU292" s="3"/>
      <c r="BV292" s="3"/>
      <c r="BW292" s="3"/>
      <c r="BX292" s="3"/>
      <c r="BY292" s="3"/>
      <c r="BZ292" s="3"/>
      <c r="CA292" s="3"/>
      <c r="CB292" s="3"/>
    </row>
    <row r="293" spans="2:80" s="489" customFormat="1" ht="15" hidden="1">
      <c r="B293" s="1278"/>
      <c r="C293" s="2152"/>
      <c r="D293" s="2154" t="s">
        <v>4190</v>
      </c>
      <c r="E293" s="2147" t="s">
        <v>4191</v>
      </c>
      <c r="F293" s="2148"/>
      <c r="G293" s="519">
        <f t="shared" si="88"/>
        <v>0</v>
      </c>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0"/>
      <c r="AH293" s="520"/>
      <c r="AI293" s="520"/>
      <c r="AJ293" s="520"/>
      <c r="AK293" s="520"/>
      <c r="AL293" s="520"/>
      <c r="AM293" s="520"/>
      <c r="AN293" s="520"/>
      <c r="AO293" s="520"/>
      <c r="AP293" s="520"/>
      <c r="AQ293" s="521" t="e">
        <f>+G293/'11. Unit Mix'!$G$142</f>
        <v>#DIV/0!</v>
      </c>
      <c r="AR293" s="921" t="e">
        <f t="shared" si="89"/>
        <v>#DIV/0!</v>
      </c>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3"/>
      <c r="BN293" s="3"/>
      <c r="BO293" s="3"/>
      <c r="BP293" s="3"/>
      <c r="BQ293" s="3"/>
      <c r="BR293" s="3"/>
      <c r="BS293" s="3"/>
      <c r="BT293" s="3"/>
      <c r="BU293" s="3"/>
      <c r="BV293" s="3"/>
      <c r="BW293" s="3"/>
      <c r="BX293" s="3"/>
      <c r="BY293" s="3"/>
      <c r="BZ293" s="3"/>
      <c r="CA293" s="3"/>
      <c r="CB293" s="3"/>
    </row>
    <row r="294" spans="2:80" s="489" customFormat="1" ht="15" hidden="1">
      <c r="B294" s="1278"/>
      <c r="C294" s="2152"/>
      <c r="D294" s="2159"/>
      <c r="E294" s="2147" t="s">
        <v>4192</v>
      </c>
      <c r="F294" s="2148"/>
      <c r="G294" s="519">
        <f t="shared" si="88"/>
        <v>0</v>
      </c>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c r="AJ294" s="520"/>
      <c r="AK294" s="520"/>
      <c r="AL294" s="520"/>
      <c r="AM294" s="520"/>
      <c r="AN294" s="520"/>
      <c r="AO294" s="520"/>
      <c r="AP294" s="520"/>
      <c r="AQ294" s="521" t="e">
        <f>+G294/'11. Unit Mix'!$G$142</f>
        <v>#DIV/0!</v>
      </c>
      <c r="AR294" s="921" t="e">
        <f t="shared" si="89"/>
        <v>#DIV/0!</v>
      </c>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3"/>
      <c r="BN294" s="3"/>
      <c r="BO294" s="3"/>
      <c r="BP294" s="3"/>
      <c r="BQ294" s="3"/>
      <c r="BR294" s="3"/>
      <c r="BS294" s="3"/>
      <c r="BT294" s="3"/>
      <c r="BU294" s="3"/>
      <c r="BV294" s="3"/>
      <c r="BW294" s="3"/>
      <c r="BX294" s="3"/>
      <c r="BY294" s="3"/>
      <c r="BZ294" s="3"/>
      <c r="CA294" s="3"/>
      <c r="CB294" s="3"/>
    </row>
    <row r="295" spans="2:80" s="489" customFormat="1" ht="15" hidden="1">
      <c r="B295" s="1278"/>
      <c r="C295" s="2152"/>
      <c r="D295" s="2159"/>
      <c r="E295" s="2147" t="s">
        <v>4193</v>
      </c>
      <c r="F295" s="2148"/>
      <c r="G295" s="519">
        <f t="shared" si="88"/>
        <v>0</v>
      </c>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c r="AJ295" s="520"/>
      <c r="AK295" s="520"/>
      <c r="AL295" s="520"/>
      <c r="AM295" s="520"/>
      <c r="AN295" s="520"/>
      <c r="AO295" s="520"/>
      <c r="AP295" s="520"/>
      <c r="AQ295" s="521" t="e">
        <f>+G295/'11. Unit Mix'!$G$142</f>
        <v>#DIV/0!</v>
      </c>
      <c r="AR295" s="921" t="e">
        <f t="shared" si="89"/>
        <v>#DIV/0!</v>
      </c>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3"/>
      <c r="BN295" s="3"/>
      <c r="BO295" s="3"/>
      <c r="BP295" s="3"/>
      <c r="BQ295" s="3"/>
      <c r="BR295" s="3"/>
      <c r="BS295" s="3"/>
      <c r="BT295" s="3"/>
      <c r="BU295" s="3"/>
      <c r="BV295" s="3"/>
      <c r="BW295" s="3"/>
      <c r="BX295" s="3"/>
      <c r="BY295" s="3"/>
      <c r="BZ295" s="3"/>
      <c r="CA295" s="3"/>
      <c r="CB295" s="3"/>
    </row>
    <row r="296" spans="2:80" s="489" customFormat="1" ht="15" hidden="1">
      <c r="B296" s="1278"/>
      <c r="C296" s="2152"/>
      <c r="D296" s="2159"/>
      <c r="E296" s="2147" t="s">
        <v>4194</v>
      </c>
      <c r="F296" s="2148"/>
      <c r="G296" s="519">
        <f t="shared" si="88"/>
        <v>0</v>
      </c>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c r="AE296" s="520"/>
      <c r="AF296" s="520"/>
      <c r="AG296" s="520"/>
      <c r="AH296" s="520"/>
      <c r="AI296" s="520"/>
      <c r="AJ296" s="520"/>
      <c r="AK296" s="520"/>
      <c r="AL296" s="520"/>
      <c r="AM296" s="520"/>
      <c r="AN296" s="520"/>
      <c r="AO296" s="520"/>
      <c r="AP296" s="520"/>
      <c r="AQ296" s="521" t="e">
        <f>+G296/'11. Unit Mix'!$G$142</f>
        <v>#DIV/0!</v>
      </c>
      <c r="AR296" s="921" t="e">
        <f t="shared" si="89"/>
        <v>#DIV/0!</v>
      </c>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3"/>
      <c r="BN296" s="3"/>
      <c r="BO296" s="3"/>
      <c r="BP296" s="3"/>
      <c r="BQ296" s="3"/>
      <c r="BR296" s="3"/>
      <c r="BS296" s="3"/>
      <c r="BT296" s="3"/>
      <c r="BU296" s="3"/>
      <c r="BV296" s="3"/>
      <c r="BW296" s="3"/>
      <c r="BX296" s="3"/>
      <c r="BY296" s="3"/>
      <c r="BZ296" s="3"/>
      <c r="CA296" s="3"/>
      <c r="CB296" s="3"/>
    </row>
    <row r="297" spans="2:80" s="489" customFormat="1" ht="15" hidden="1">
      <c r="B297" s="1278"/>
      <c r="C297" s="2152"/>
      <c r="D297" s="2155"/>
      <c r="E297" s="2147" t="s">
        <v>4195</v>
      </c>
      <c r="F297" s="2148"/>
      <c r="G297" s="519">
        <f t="shared" si="88"/>
        <v>0</v>
      </c>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c r="AE297" s="520"/>
      <c r="AF297" s="520"/>
      <c r="AG297" s="520"/>
      <c r="AH297" s="520"/>
      <c r="AI297" s="520"/>
      <c r="AJ297" s="520"/>
      <c r="AK297" s="520"/>
      <c r="AL297" s="520"/>
      <c r="AM297" s="520"/>
      <c r="AN297" s="520"/>
      <c r="AO297" s="520"/>
      <c r="AP297" s="520"/>
      <c r="AQ297" s="521" t="e">
        <f>+G297/'11. Unit Mix'!$G$142</f>
        <v>#DIV/0!</v>
      </c>
      <c r="AR297" s="921" t="e">
        <f t="shared" si="89"/>
        <v>#DIV/0!</v>
      </c>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3"/>
      <c r="BN297" s="3"/>
      <c r="BO297" s="3"/>
      <c r="BP297" s="3"/>
      <c r="BQ297" s="3"/>
      <c r="BR297" s="3"/>
      <c r="BS297" s="3"/>
      <c r="BT297" s="3"/>
      <c r="BU297" s="3"/>
      <c r="BV297" s="3"/>
      <c r="BW297" s="3"/>
      <c r="BX297" s="3"/>
      <c r="BY297" s="3"/>
      <c r="BZ297" s="3"/>
      <c r="CA297" s="3"/>
      <c r="CB297" s="3"/>
    </row>
    <row r="298" spans="2:80" s="489" customFormat="1" ht="15" hidden="1">
      <c r="B298" s="1278"/>
      <c r="C298" s="2152"/>
      <c r="D298" s="2154" t="s">
        <v>4196</v>
      </c>
      <c r="E298" s="2147" t="s">
        <v>4197</v>
      </c>
      <c r="F298" s="2148"/>
      <c r="G298" s="519">
        <f t="shared" si="88"/>
        <v>0</v>
      </c>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c r="AE298" s="520"/>
      <c r="AF298" s="520"/>
      <c r="AG298" s="520"/>
      <c r="AH298" s="520"/>
      <c r="AI298" s="520"/>
      <c r="AJ298" s="520"/>
      <c r="AK298" s="520"/>
      <c r="AL298" s="520"/>
      <c r="AM298" s="520"/>
      <c r="AN298" s="520"/>
      <c r="AO298" s="520"/>
      <c r="AP298" s="520"/>
      <c r="AQ298" s="521" t="e">
        <f>+G298/'11. Unit Mix'!$G$142</f>
        <v>#DIV/0!</v>
      </c>
      <c r="AR298" s="921" t="e">
        <f t="shared" si="89"/>
        <v>#DIV/0!</v>
      </c>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3"/>
      <c r="BN298" s="3"/>
      <c r="BO298" s="3"/>
      <c r="BP298" s="3"/>
      <c r="BQ298" s="3"/>
      <c r="BR298" s="3"/>
      <c r="BS298" s="3"/>
      <c r="BT298" s="3"/>
      <c r="BU298" s="3"/>
      <c r="BV298" s="3"/>
      <c r="BW298" s="3"/>
      <c r="BX298" s="3"/>
      <c r="BY298" s="3"/>
      <c r="BZ298" s="3"/>
      <c r="CA298" s="3"/>
      <c r="CB298" s="3"/>
    </row>
    <row r="299" spans="2:80" s="489" customFormat="1" ht="15" hidden="1">
      <c r="B299" s="1278"/>
      <c r="C299" s="2152"/>
      <c r="D299" s="2159"/>
      <c r="E299" s="2147" t="s">
        <v>4198</v>
      </c>
      <c r="F299" s="2148"/>
      <c r="G299" s="519">
        <f t="shared" si="88"/>
        <v>0</v>
      </c>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0"/>
      <c r="AH299" s="520"/>
      <c r="AI299" s="520"/>
      <c r="AJ299" s="520"/>
      <c r="AK299" s="520"/>
      <c r="AL299" s="520"/>
      <c r="AM299" s="520"/>
      <c r="AN299" s="520"/>
      <c r="AO299" s="520"/>
      <c r="AP299" s="520"/>
      <c r="AQ299" s="521" t="e">
        <f>+G299/'11. Unit Mix'!$G$142</f>
        <v>#DIV/0!</v>
      </c>
      <c r="AR299" s="921" t="e">
        <f t="shared" si="89"/>
        <v>#DIV/0!</v>
      </c>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3"/>
      <c r="BN299" s="3"/>
      <c r="BO299" s="3"/>
      <c r="BP299" s="3"/>
      <c r="BQ299" s="3"/>
      <c r="BR299" s="3"/>
      <c r="BS299" s="3"/>
      <c r="BT299" s="3"/>
      <c r="BU299" s="3"/>
      <c r="BV299" s="3"/>
      <c r="BW299" s="3"/>
      <c r="BX299" s="3"/>
      <c r="BY299" s="3"/>
      <c r="BZ299" s="3"/>
      <c r="CA299" s="3"/>
      <c r="CB299" s="3"/>
    </row>
    <row r="300" spans="2:80" s="489" customFormat="1" ht="15" hidden="1">
      <c r="B300" s="1278"/>
      <c r="C300" s="2152"/>
      <c r="D300" s="2159"/>
      <c r="E300" s="2147" t="s">
        <v>4199</v>
      </c>
      <c r="F300" s="2148"/>
      <c r="G300" s="519">
        <f t="shared" si="88"/>
        <v>0</v>
      </c>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0"/>
      <c r="AH300" s="520"/>
      <c r="AI300" s="520"/>
      <c r="AJ300" s="520"/>
      <c r="AK300" s="520"/>
      <c r="AL300" s="520"/>
      <c r="AM300" s="520"/>
      <c r="AN300" s="520"/>
      <c r="AO300" s="520"/>
      <c r="AP300" s="520"/>
      <c r="AQ300" s="521" t="e">
        <f>+G300/'11. Unit Mix'!$G$142</f>
        <v>#DIV/0!</v>
      </c>
      <c r="AR300" s="921" t="e">
        <f t="shared" si="89"/>
        <v>#DIV/0!</v>
      </c>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3"/>
      <c r="BN300" s="3"/>
      <c r="BO300" s="3"/>
      <c r="BP300" s="3"/>
      <c r="BQ300" s="3"/>
      <c r="BR300" s="3"/>
      <c r="BS300" s="3"/>
      <c r="BT300" s="3"/>
      <c r="BU300" s="3"/>
      <c r="BV300" s="3"/>
      <c r="BW300" s="3"/>
      <c r="BX300" s="3"/>
      <c r="BY300" s="3"/>
      <c r="BZ300" s="3"/>
      <c r="CA300" s="3"/>
      <c r="CB300" s="3"/>
    </row>
    <row r="301" spans="2:80" s="489" customFormat="1" ht="15" hidden="1">
      <c r="B301" s="1278"/>
      <c r="C301" s="2152"/>
      <c r="D301" s="2159"/>
      <c r="E301" s="2147" t="s">
        <v>4200</v>
      </c>
      <c r="F301" s="2148"/>
      <c r="G301" s="519">
        <f t="shared" si="88"/>
        <v>0</v>
      </c>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c r="AE301" s="520"/>
      <c r="AF301" s="520"/>
      <c r="AG301" s="520"/>
      <c r="AH301" s="520"/>
      <c r="AI301" s="520"/>
      <c r="AJ301" s="520"/>
      <c r="AK301" s="520"/>
      <c r="AL301" s="520"/>
      <c r="AM301" s="520"/>
      <c r="AN301" s="520"/>
      <c r="AO301" s="520"/>
      <c r="AP301" s="520"/>
      <c r="AQ301" s="521" t="e">
        <f>+G301/'11. Unit Mix'!$G$142</f>
        <v>#DIV/0!</v>
      </c>
      <c r="AR301" s="921" t="e">
        <f t="shared" si="89"/>
        <v>#DIV/0!</v>
      </c>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3"/>
      <c r="BN301" s="3"/>
      <c r="BO301" s="3"/>
      <c r="BP301" s="3"/>
      <c r="BQ301" s="3"/>
      <c r="BR301" s="3"/>
      <c r="BS301" s="3"/>
      <c r="BT301" s="3"/>
      <c r="BU301" s="3"/>
      <c r="BV301" s="3"/>
      <c r="BW301" s="3"/>
      <c r="BX301" s="3"/>
      <c r="BY301" s="3"/>
      <c r="BZ301" s="3"/>
      <c r="CA301" s="3"/>
      <c r="CB301" s="3"/>
    </row>
    <row r="302" spans="2:80" s="489" customFormat="1" ht="15" hidden="1">
      <c r="B302" s="1278"/>
      <c r="C302" s="2152"/>
      <c r="D302" s="2159"/>
      <c r="E302" s="2147" t="s">
        <v>4201</v>
      </c>
      <c r="F302" s="2148"/>
      <c r="G302" s="519">
        <f t="shared" si="88"/>
        <v>0</v>
      </c>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c r="AE302" s="520"/>
      <c r="AF302" s="520"/>
      <c r="AG302" s="520"/>
      <c r="AH302" s="520"/>
      <c r="AI302" s="520"/>
      <c r="AJ302" s="520"/>
      <c r="AK302" s="520"/>
      <c r="AL302" s="520"/>
      <c r="AM302" s="520"/>
      <c r="AN302" s="520"/>
      <c r="AO302" s="520"/>
      <c r="AP302" s="520"/>
      <c r="AQ302" s="521" t="e">
        <f>+G302/'11. Unit Mix'!$G$142</f>
        <v>#DIV/0!</v>
      </c>
      <c r="AR302" s="921" t="e">
        <f t="shared" si="89"/>
        <v>#DIV/0!</v>
      </c>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3"/>
      <c r="BN302" s="3"/>
      <c r="BO302" s="3"/>
      <c r="BP302" s="3"/>
      <c r="BQ302" s="3"/>
      <c r="BR302" s="3"/>
      <c r="BS302" s="3"/>
      <c r="BT302" s="3"/>
      <c r="BU302" s="3"/>
      <c r="BV302" s="3"/>
      <c r="BW302" s="3"/>
      <c r="BX302" s="3"/>
      <c r="BY302" s="3"/>
      <c r="BZ302" s="3"/>
      <c r="CA302" s="3"/>
      <c r="CB302" s="3"/>
    </row>
    <row r="303" spans="2:80" s="489" customFormat="1" ht="15" hidden="1">
      <c r="B303" s="1278"/>
      <c r="C303" s="2152"/>
      <c r="D303" s="2159"/>
      <c r="E303" s="2147" t="s">
        <v>4202</v>
      </c>
      <c r="F303" s="2148"/>
      <c r="G303" s="519">
        <f t="shared" si="88"/>
        <v>0</v>
      </c>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c r="AJ303" s="520"/>
      <c r="AK303" s="520"/>
      <c r="AL303" s="520"/>
      <c r="AM303" s="520"/>
      <c r="AN303" s="520"/>
      <c r="AO303" s="520"/>
      <c r="AP303" s="520"/>
      <c r="AQ303" s="521" t="e">
        <f>+G303/'11. Unit Mix'!$G$142</f>
        <v>#DIV/0!</v>
      </c>
      <c r="AR303" s="921" t="e">
        <f t="shared" si="89"/>
        <v>#DIV/0!</v>
      </c>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3"/>
      <c r="BN303" s="3"/>
      <c r="BO303" s="3"/>
      <c r="BP303" s="3"/>
      <c r="BQ303" s="3"/>
      <c r="BR303" s="3"/>
      <c r="BS303" s="3"/>
      <c r="BT303" s="3"/>
      <c r="BU303" s="3"/>
      <c r="BV303" s="3"/>
      <c r="BW303" s="3"/>
      <c r="BX303" s="3"/>
      <c r="BY303" s="3"/>
      <c r="BZ303" s="3"/>
      <c r="CA303" s="3"/>
      <c r="CB303" s="3"/>
    </row>
    <row r="304" spans="2:80" s="489" customFormat="1" ht="15" hidden="1">
      <c r="B304" s="1278"/>
      <c r="C304" s="2152"/>
      <c r="D304" s="2159"/>
      <c r="E304" s="2147" t="s">
        <v>4203</v>
      </c>
      <c r="F304" s="2148"/>
      <c r="G304" s="519">
        <f t="shared" si="88"/>
        <v>0</v>
      </c>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0"/>
      <c r="AH304" s="520"/>
      <c r="AI304" s="520"/>
      <c r="AJ304" s="520"/>
      <c r="AK304" s="520"/>
      <c r="AL304" s="520"/>
      <c r="AM304" s="520"/>
      <c r="AN304" s="520"/>
      <c r="AO304" s="520"/>
      <c r="AP304" s="520"/>
      <c r="AQ304" s="521" t="e">
        <f>+G304/'11. Unit Mix'!$G$142</f>
        <v>#DIV/0!</v>
      </c>
      <c r="AR304" s="921" t="e">
        <f t="shared" si="89"/>
        <v>#DIV/0!</v>
      </c>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3"/>
      <c r="BN304" s="3"/>
      <c r="BO304" s="3"/>
      <c r="BP304" s="3"/>
      <c r="BQ304" s="3"/>
      <c r="BR304" s="3"/>
      <c r="BS304" s="3"/>
      <c r="BT304" s="3"/>
      <c r="BU304" s="3"/>
      <c r="BV304" s="3"/>
      <c r="BW304" s="3"/>
      <c r="BX304" s="3"/>
      <c r="BY304" s="3"/>
      <c r="BZ304" s="3"/>
      <c r="CA304" s="3"/>
      <c r="CB304" s="3"/>
    </row>
    <row r="305" spans="2:80" s="489" customFormat="1" ht="15" hidden="1">
      <c r="B305" s="1278"/>
      <c r="C305" s="2152"/>
      <c r="D305" s="2155"/>
      <c r="E305" s="2147" t="s">
        <v>4204</v>
      </c>
      <c r="F305" s="2148"/>
      <c r="G305" s="519">
        <f t="shared" si="88"/>
        <v>0</v>
      </c>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c r="AJ305" s="520"/>
      <c r="AK305" s="520"/>
      <c r="AL305" s="520"/>
      <c r="AM305" s="520"/>
      <c r="AN305" s="520"/>
      <c r="AO305" s="520"/>
      <c r="AP305" s="520"/>
      <c r="AQ305" s="521" t="e">
        <f>+G305/'11. Unit Mix'!$G$142</f>
        <v>#DIV/0!</v>
      </c>
      <c r="AR305" s="921" t="e">
        <f t="shared" si="89"/>
        <v>#DIV/0!</v>
      </c>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3"/>
      <c r="BN305" s="3"/>
      <c r="BO305" s="3"/>
      <c r="BP305" s="3"/>
      <c r="BQ305" s="3"/>
      <c r="BR305" s="3"/>
      <c r="BS305" s="3"/>
      <c r="BT305" s="3"/>
      <c r="BU305" s="3"/>
      <c r="BV305" s="3"/>
      <c r="BW305" s="3"/>
      <c r="BX305" s="3"/>
      <c r="BY305" s="3"/>
      <c r="BZ305" s="3"/>
      <c r="CA305" s="3"/>
      <c r="CB305" s="3"/>
    </row>
    <row r="306" spans="2:80" s="489" customFormat="1" ht="15" hidden="1">
      <c r="B306" s="1278"/>
      <c r="C306" s="2152"/>
      <c r="D306" s="2154" t="s">
        <v>4205</v>
      </c>
      <c r="E306" s="2147" t="s">
        <v>4206</v>
      </c>
      <c r="F306" s="2148"/>
      <c r="G306" s="519">
        <f t="shared" si="88"/>
        <v>0</v>
      </c>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c r="AE306" s="520"/>
      <c r="AF306" s="520"/>
      <c r="AG306" s="520"/>
      <c r="AH306" s="520"/>
      <c r="AI306" s="520"/>
      <c r="AJ306" s="520"/>
      <c r="AK306" s="520"/>
      <c r="AL306" s="520"/>
      <c r="AM306" s="520"/>
      <c r="AN306" s="520"/>
      <c r="AO306" s="520"/>
      <c r="AP306" s="520"/>
      <c r="AQ306" s="521" t="e">
        <f>+G306/'11. Unit Mix'!$G$142</f>
        <v>#DIV/0!</v>
      </c>
      <c r="AR306" s="921" t="e">
        <f t="shared" si="89"/>
        <v>#DIV/0!</v>
      </c>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3"/>
      <c r="BN306" s="3"/>
      <c r="BO306" s="3"/>
      <c r="BP306" s="3"/>
      <c r="BQ306" s="3"/>
      <c r="BR306" s="3"/>
      <c r="BS306" s="3"/>
      <c r="BT306" s="3"/>
      <c r="BU306" s="3"/>
      <c r="BV306" s="3"/>
      <c r="BW306" s="3"/>
      <c r="BX306" s="3"/>
      <c r="BY306" s="3"/>
      <c r="BZ306" s="3"/>
      <c r="CA306" s="3"/>
      <c r="CB306" s="3"/>
    </row>
    <row r="307" spans="2:80" s="489" customFormat="1" ht="15" hidden="1">
      <c r="B307" s="1278"/>
      <c r="C307" s="2152"/>
      <c r="D307" s="2159"/>
      <c r="E307" s="2147" t="s">
        <v>4207</v>
      </c>
      <c r="F307" s="2148"/>
      <c r="G307" s="519">
        <f t="shared" si="88"/>
        <v>0</v>
      </c>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c r="AJ307" s="520"/>
      <c r="AK307" s="520"/>
      <c r="AL307" s="520"/>
      <c r="AM307" s="520"/>
      <c r="AN307" s="520"/>
      <c r="AO307" s="520"/>
      <c r="AP307" s="520"/>
      <c r="AQ307" s="521" t="e">
        <f>+G307/'11. Unit Mix'!$G$142</f>
        <v>#DIV/0!</v>
      </c>
      <c r="AR307" s="921" t="e">
        <f t="shared" si="89"/>
        <v>#DIV/0!</v>
      </c>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3"/>
      <c r="BN307" s="3"/>
      <c r="BO307" s="3"/>
      <c r="BP307" s="3"/>
      <c r="BQ307" s="3"/>
      <c r="BR307" s="3"/>
      <c r="BS307" s="3"/>
      <c r="BT307" s="3"/>
      <c r="BU307" s="3"/>
      <c r="BV307" s="3"/>
      <c r="BW307" s="3"/>
      <c r="BX307" s="3"/>
      <c r="BY307" s="3"/>
      <c r="BZ307" s="3"/>
      <c r="CA307" s="3"/>
      <c r="CB307" s="3"/>
    </row>
    <row r="308" spans="2:80" s="489" customFormat="1" ht="15" hidden="1">
      <c r="B308" s="1278"/>
      <c r="C308" s="2152"/>
      <c r="D308" s="2159"/>
      <c r="E308" s="2147" t="s">
        <v>4208</v>
      </c>
      <c r="F308" s="2148"/>
      <c r="G308" s="519">
        <f t="shared" si="88"/>
        <v>0</v>
      </c>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c r="AE308" s="520"/>
      <c r="AF308" s="520"/>
      <c r="AG308" s="520"/>
      <c r="AH308" s="520"/>
      <c r="AI308" s="520"/>
      <c r="AJ308" s="520"/>
      <c r="AK308" s="520"/>
      <c r="AL308" s="520"/>
      <c r="AM308" s="520"/>
      <c r="AN308" s="520"/>
      <c r="AO308" s="520"/>
      <c r="AP308" s="520"/>
      <c r="AQ308" s="521" t="e">
        <f>+G308/'11. Unit Mix'!$G$142</f>
        <v>#DIV/0!</v>
      </c>
      <c r="AR308" s="921" t="e">
        <f t="shared" si="89"/>
        <v>#DIV/0!</v>
      </c>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3"/>
      <c r="BN308" s="3"/>
      <c r="BO308" s="3"/>
      <c r="BP308" s="3"/>
      <c r="BQ308" s="3"/>
      <c r="BR308" s="3"/>
      <c r="BS308" s="3"/>
      <c r="BT308" s="3"/>
      <c r="BU308" s="3"/>
      <c r="BV308" s="3"/>
      <c r="BW308" s="3"/>
      <c r="BX308" s="3"/>
      <c r="BY308" s="3"/>
      <c r="BZ308" s="3"/>
      <c r="CA308" s="3"/>
      <c r="CB308" s="3"/>
    </row>
    <row r="309" spans="2:80" s="489" customFormat="1" ht="15" hidden="1">
      <c r="B309" s="1278"/>
      <c r="C309" s="2152"/>
      <c r="D309" s="2155"/>
      <c r="E309" s="2147" t="s">
        <v>4209</v>
      </c>
      <c r="F309" s="2148"/>
      <c r="G309" s="519">
        <f t="shared" si="88"/>
        <v>0</v>
      </c>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c r="AE309" s="520"/>
      <c r="AF309" s="520"/>
      <c r="AG309" s="520"/>
      <c r="AH309" s="520"/>
      <c r="AI309" s="520"/>
      <c r="AJ309" s="520"/>
      <c r="AK309" s="520"/>
      <c r="AL309" s="520"/>
      <c r="AM309" s="520"/>
      <c r="AN309" s="520"/>
      <c r="AO309" s="520"/>
      <c r="AP309" s="520"/>
      <c r="AQ309" s="521" t="e">
        <f>+G309/'11. Unit Mix'!$G$142</f>
        <v>#DIV/0!</v>
      </c>
      <c r="AR309" s="921" t="e">
        <f t="shared" si="89"/>
        <v>#DIV/0!</v>
      </c>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3"/>
      <c r="BN309" s="3"/>
      <c r="BO309" s="3"/>
      <c r="BP309" s="3"/>
      <c r="BQ309" s="3"/>
      <c r="BR309" s="3"/>
      <c r="BS309" s="3"/>
      <c r="BT309" s="3"/>
      <c r="BU309" s="3"/>
      <c r="BV309" s="3"/>
      <c r="BW309" s="3"/>
      <c r="BX309" s="3"/>
      <c r="BY309" s="3"/>
      <c r="BZ309" s="3"/>
      <c r="CA309" s="3"/>
      <c r="CB309" s="3"/>
    </row>
    <row r="310" spans="2:80" s="489" customFormat="1" ht="15" hidden="1">
      <c r="B310" s="1278"/>
      <c r="C310" s="2152"/>
      <c r="D310" s="2154" t="s">
        <v>4210</v>
      </c>
      <c r="E310" s="2147" t="s">
        <v>4211</v>
      </c>
      <c r="F310" s="2148"/>
      <c r="G310" s="519">
        <f t="shared" si="88"/>
        <v>0</v>
      </c>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c r="AJ310" s="520"/>
      <c r="AK310" s="520"/>
      <c r="AL310" s="520"/>
      <c r="AM310" s="520"/>
      <c r="AN310" s="520"/>
      <c r="AO310" s="520"/>
      <c r="AP310" s="520"/>
      <c r="AQ310" s="521" t="e">
        <f>+G310/'11. Unit Mix'!$G$142</f>
        <v>#DIV/0!</v>
      </c>
      <c r="AR310" s="921" t="e">
        <f t="shared" si="89"/>
        <v>#DIV/0!</v>
      </c>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3"/>
      <c r="BN310" s="3"/>
      <c r="BO310" s="3"/>
      <c r="BP310" s="3"/>
      <c r="BQ310" s="3"/>
      <c r="BR310" s="3"/>
      <c r="BS310" s="3"/>
      <c r="BT310" s="3"/>
      <c r="BU310" s="3"/>
      <c r="BV310" s="3"/>
      <c r="BW310" s="3"/>
      <c r="BX310" s="3"/>
      <c r="BY310" s="3"/>
      <c r="BZ310" s="3"/>
      <c r="CA310" s="3"/>
      <c r="CB310" s="3"/>
    </row>
    <row r="311" spans="2:80" s="489" customFormat="1" ht="15" hidden="1">
      <c r="B311" s="1278"/>
      <c r="C311" s="2152"/>
      <c r="D311" s="2159"/>
      <c r="E311" s="2147" t="s">
        <v>4212</v>
      </c>
      <c r="F311" s="2148"/>
      <c r="G311" s="519">
        <f t="shared" si="88"/>
        <v>0</v>
      </c>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c r="AE311" s="520"/>
      <c r="AF311" s="520"/>
      <c r="AG311" s="520"/>
      <c r="AH311" s="520"/>
      <c r="AI311" s="520"/>
      <c r="AJ311" s="520"/>
      <c r="AK311" s="520"/>
      <c r="AL311" s="520"/>
      <c r="AM311" s="520"/>
      <c r="AN311" s="520"/>
      <c r="AO311" s="520"/>
      <c r="AP311" s="520"/>
      <c r="AQ311" s="521" t="e">
        <f>+G311/'11. Unit Mix'!$G$142</f>
        <v>#DIV/0!</v>
      </c>
      <c r="AR311" s="921" t="e">
        <f t="shared" si="89"/>
        <v>#DIV/0!</v>
      </c>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3"/>
      <c r="BN311" s="3"/>
      <c r="BO311" s="3"/>
      <c r="BP311" s="3"/>
      <c r="BQ311" s="3"/>
      <c r="BR311" s="3"/>
      <c r="BS311" s="3"/>
      <c r="BT311" s="3"/>
      <c r="BU311" s="3"/>
      <c r="BV311" s="3"/>
      <c r="BW311" s="3"/>
      <c r="BX311" s="3"/>
      <c r="BY311" s="3"/>
      <c r="BZ311" s="3"/>
      <c r="CA311" s="3"/>
      <c r="CB311" s="3"/>
    </row>
    <row r="312" spans="2:80" s="489" customFormat="1" ht="15" hidden="1">
      <c r="B312" s="1278"/>
      <c r="C312" s="2152"/>
      <c r="D312" s="2159"/>
      <c r="E312" s="2147" t="s">
        <v>4213</v>
      </c>
      <c r="F312" s="2148"/>
      <c r="G312" s="519">
        <f t="shared" si="88"/>
        <v>0</v>
      </c>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c r="AJ312" s="520"/>
      <c r="AK312" s="520"/>
      <c r="AL312" s="520"/>
      <c r="AM312" s="520"/>
      <c r="AN312" s="520"/>
      <c r="AO312" s="520"/>
      <c r="AP312" s="520"/>
      <c r="AQ312" s="521" t="e">
        <f>+G312/'11. Unit Mix'!$G$142</f>
        <v>#DIV/0!</v>
      </c>
      <c r="AR312" s="921" t="e">
        <f t="shared" si="89"/>
        <v>#DIV/0!</v>
      </c>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3"/>
      <c r="BN312" s="3"/>
      <c r="BO312" s="3"/>
      <c r="BP312" s="3"/>
      <c r="BQ312" s="3"/>
      <c r="BR312" s="3"/>
      <c r="BS312" s="3"/>
      <c r="BT312" s="3"/>
      <c r="BU312" s="3"/>
      <c r="BV312" s="3"/>
      <c r="BW312" s="3"/>
      <c r="BX312" s="3"/>
      <c r="BY312" s="3"/>
      <c r="BZ312" s="3"/>
      <c r="CA312" s="3"/>
      <c r="CB312" s="3"/>
    </row>
    <row r="313" spans="2:80" s="489" customFormat="1" ht="15" hidden="1">
      <c r="B313" s="1278"/>
      <c r="C313" s="2152"/>
      <c r="D313" s="2155"/>
      <c r="E313" s="2147" t="s">
        <v>4214</v>
      </c>
      <c r="F313" s="2148"/>
      <c r="G313" s="519">
        <f t="shared" si="88"/>
        <v>0</v>
      </c>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0"/>
      <c r="AH313" s="520"/>
      <c r="AI313" s="520"/>
      <c r="AJ313" s="520"/>
      <c r="AK313" s="520"/>
      <c r="AL313" s="520"/>
      <c r="AM313" s="520"/>
      <c r="AN313" s="520"/>
      <c r="AO313" s="520"/>
      <c r="AP313" s="520"/>
      <c r="AQ313" s="521" t="e">
        <f>+G313/'11. Unit Mix'!$G$142</f>
        <v>#DIV/0!</v>
      </c>
      <c r="AR313" s="921" t="e">
        <f t="shared" si="89"/>
        <v>#DIV/0!</v>
      </c>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3"/>
      <c r="BN313" s="3"/>
      <c r="BO313" s="3"/>
      <c r="BP313" s="3"/>
      <c r="BQ313" s="3"/>
      <c r="BR313" s="3"/>
      <c r="BS313" s="3"/>
      <c r="BT313" s="3"/>
      <c r="BU313" s="3"/>
      <c r="BV313" s="3"/>
      <c r="BW313" s="3"/>
      <c r="BX313" s="3"/>
      <c r="BY313" s="3"/>
      <c r="BZ313" s="3"/>
      <c r="CA313" s="3"/>
      <c r="CB313" s="3"/>
    </row>
    <row r="314" spans="2:80" s="489" customFormat="1" ht="15" hidden="1">
      <c r="B314" s="1278"/>
      <c r="C314" s="2152"/>
      <c r="D314" s="2146" t="s">
        <v>347</v>
      </c>
      <c r="E314" s="493" t="s">
        <v>347</v>
      </c>
      <c r="F314" s="494"/>
      <c r="G314" s="519">
        <f t="shared" si="88"/>
        <v>0</v>
      </c>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0"/>
      <c r="AH314" s="520"/>
      <c r="AI314" s="520"/>
      <c r="AJ314" s="520"/>
      <c r="AK314" s="520"/>
      <c r="AL314" s="520"/>
      <c r="AM314" s="520"/>
      <c r="AN314" s="520"/>
      <c r="AO314" s="520"/>
      <c r="AP314" s="520"/>
      <c r="AQ314" s="521" t="e">
        <f>+G314/'11. Unit Mix'!$G$142</f>
        <v>#DIV/0!</v>
      </c>
      <c r="AR314" s="921" t="e">
        <f t="shared" si="89"/>
        <v>#DIV/0!</v>
      </c>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3"/>
      <c r="BN314" s="3"/>
      <c r="BO314" s="3"/>
      <c r="BP314" s="3"/>
      <c r="BQ314" s="3"/>
      <c r="BR314" s="3"/>
      <c r="BS314" s="3"/>
      <c r="BT314" s="3"/>
      <c r="BU314" s="3"/>
      <c r="BV314" s="3"/>
      <c r="BW314" s="3"/>
      <c r="BX314" s="3"/>
      <c r="BY314" s="3"/>
      <c r="BZ314" s="3"/>
      <c r="CA314" s="3"/>
      <c r="CB314" s="3"/>
    </row>
    <row r="315" spans="2:80" s="489" customFormat="1" ht="15" hidden="1">
      <c r="B315" s="1278"/>
      <c r="C315" s="2153"/>
      <c r="D315" s="2146"/>
      <c r="E315" s="493" t="s">
        <v>347</v>
      </c>
      <c r="F315" s="494"/>
      <c r="G315" s="519">
        <f t="shared" si="88"/>
        <v>0</v>
      </c>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0"/>
      <c r="AH315" s="520"/>
      <c r="AI315" s="520"/>
      <c r="AJ315" s="520"/>
      <c r="AK315" s="520"/>
      <c r="AL315" s="520"/>
      <c r="AM315" s="520"/>
      <c r="AN315" s="520"/>
      <c r="AO315" s="520"/>
      <c r="AP315" s="520"/>
      <c r="AQ315" s="521" t="e">
        <f>+G315/'11. Unit Mix'!$G$142</f>
        <v>#DIV/0!</v>
      </c>
      <c r="AR315" s="921" t="e">
        <f t="shared" si="89"/>
        <v>#DIV/0!</v>
      </c>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3"/>
      <c r="BN315" s="3"/>
      <c r="BO315" s="3"/>
      <c r="BP315" s="3"/>
      <c r="BQ315" s="3"/>
      <c r="BR315" s="3"/>
      <c r="BS315" s="3"/>
      <c r="BT315" s="3"/>
      <c r="BU315" s="3"/>
      <c r="BV315" s="3"/>
      <c r="BW315" s="3"/>
      <c r="BX315" s="3"/>
      <c r="BY315" s="3"/>
      <c r="BZ315" s="3"/>
      <c r="CA315" s="3"/>
      <c r="CB315" s="3"/>
    </row>
    <row r="316" spans="2:80" s="489" customFormat="1" hidden="1">
      <c r="B316" s="1278"/>
      <c r="C316" s="618"/>
      <c r="D316" s="619"/>
      <c r="E316" s="2149" t="s">
        <v>4215</v>
      </c>
      <c r="F316" s="2150"/>
      <c r="G316" s="519">
        <f t="shared" si="88"/>
        <v>0</v>
      </c>
      <c r="H316" s="522">
        <f t="shared" ref="H316:AP316" si="90">SUM(H290:H315)</f>
        <v>0</v>
      </c>
      <c r="I316" s="522">
        <f t="shared" si="90"/>
        <v>0</v>
      </c>
      <c r="J316" s="522">
        <f t="shared" si="90"/>
        <v>0</v>
      </c>
      <c r="K316" s="522">
        <f t="shared" si="90"/>
        <v>0</v>
      </c>
      <c r="L316" s="522">
        <f t="shared" si="90"/>
        <v>0</v>
      </c>
      <c r="M316" s="522">
        <f t="shared" si="90"/>
        <v>0</v>
      </c>
      <c r="N316" s="522">
        <f t="shared" si="90"/>
        <v>0</v>
      </c>
      <c r="O316" s="522">
        <f t="shared" si="90"/>
        <v>0</v>
      </c>
      <c r="P316" s="522">
        <f t="shared" si="90"/>
        <v>0</v>
      </c>
      <c r="Q316" s="522">
        <f t="shared" si="90"/>
        <v>0</v>
      </c>
      <c r="R316" s="522">
        <f t="shared" si="90"/>
        <v>0</v>
      </c>
      <c r="S316" s="522">
        <f t="shared" si="90"/>
        <v>0</v>
      </c>
      <c r="T316" s="522">
        <f t="shared" si="90"/>
        <v>0</v>
      </c>
      <c r="U316" s="522">
        <f t="shared" si="90"/>
        <v>0</v>
      </c>
      <c r="V316" s="522">
        <f t="shared" si="90"/>
        <v>0</v>
      </c>
      <c r="W316" s="522">
        <f t="shared" si="90"/>
        <v>0</v>
      </c>
      <c r="X316" s="522">
        <f t="shared" si="90"/>
        <v>0</v>
      </c>
      <c r="Y316" s="522">
        <f t="shared" si="90"/>
        <v>0</v>
      </c>
      <c r="Z316" s="522">
        <f t="shared" si="90"/>
        <v>0</v>
      </c>
      <c r="AA316" s="522">
        <f t="shared" si="90"/>
        <v>0</v>
      </c>
      <c r="AB316" s="522">
        <f t="shared" si="90"/>
        <v>0</v>
      </c>
      <c r="AC316" s="522">
        <f t="shared" si="90"/>
        <v>0</v>
      </c>
      <c r="AD316" s="522">
        <f t="shared" si="90"/>
        <v>0</v>
      </c>
      <c r="AE316" s="522">
        <f t="shared" si="90"/>
        <v>0</v>
      </c>
      <c r="AF316" s="522">
        <f t="shared" si="90"/>
        <v>0</v>
      </c>
      <c r="AG316" s="522">
        <f t="shared" si="90"/>
        <v>0</v>
      </c>
      <c r="AH316" s="522">
        <f t="shared" si="90"/>
        <v>0</v>
      </c>
      <c r="AI316" s="522">
        <f t="shared" si="90"/>
        <v>0</v>
      </c>
      <c r="AJ316" s="522">
        <f t="shared" si="90"/>
        <v>0</v>
      </c>
      <c r="AK316" s="522">
        <f t="shared" si="90"/>
        <v>0</v>
      </c>
      <c r="AL316" s="522">
        <f t="shared" si="90"/>
        <v>0</v>
      </c>
      <c r="AM316" s="522">
        <f t="shared" si="90"/>
        <v>0</v>
      </c>
      <c r="AN316" s="522">
        <f t="shared" si="90"/>
        <v>0</v>
      </c>
      <c r="AO316" s="522">
        <f t="shared" si="90"/>
        <v>0</v>
      </c>
      <c r="AP316" s="522">
        <f t="shared" si="90"/>
        <v>0</v>
      </c>
      <c r="AQ316" s="627"/>
      <c r="AR316" s="523"/>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3"/>
      <c r="BN316" s="3"/>
      <c r="BO316" s="3"/>
      <c r="BP316" s="3"/>
      <c r="BQ316" s="3"/>
      <c r="BR316" s="3"/>
      <c r="BS316" s="3"/>
      <c r="BT316" s="3"/>
      <c r="BU316" s="3"/>
      <c r="BV316" s="3"/>
      <c r="BW316" s="3"/>
      <c r="BX316" s="3"/>
      <c r="BY316" s="3"/>
      <c r="BZ316" s="3"/>
      <c r="CA316" s="3"/>
      <c r="CB316" s="3"/>
    </row>
    <row r="317" spans="2:80" s="489" customFormat="1" hidden="1">
      <c r="B317" s="1278"/>
      <c r="C317" s="621"/>
      <c r="D317" s="622"/>
      <c r="E317" s="623"/>
      <c r="F317" s="624"/>
      <c r="G317" s="625"/>
      <c r="H317" s="625"/>
      <c r="I317" s="625"/>
      <c r="J317" s="625"/>
      <c r="K317" s="625"/>
      <c r="L317" s="625"/>
      <c r="M317" s="625"/>
      <c r="N317" s="625"/>
      <c r="O317" s="625"/>
      <c r="P317" s="625"/>
      <c r="Q317" s="625"/>
      <c r="R317" s="625"/>
      <c r="S317" s="625"/>
      <c r="T317" s="625"/>
      <c r="U317" s="625"/>
      <c r="V317" s="625"/>
      <c r="W317" s="625"/>
      <c r="X317" s="625"/>
      <c r="Y317" s="625"/>
      <c r="Z317" s="625"/>
      <c r="AA317" s="625"/>
      <c r="AB317" s="625"/>
      <c r="AC317" s="625"/>
      <c r="AD317" s="625"/>
      <c r="AE317" s="625"/>
      <c r="AF317" s="625"/>
      <c r="AG317" s="625"/>
      <c r="AH317" s="625"/>
      <c r="AI317" s="625"/>
      <c r="AJ317" s="625"/>
      <c r="AK317" s="625"/>
      <c r="AL317" s="625"/>
      <c r="AM317" s="625"/>
      <c r="AN317" s="625"/>
      <c r="AO317" s="625"/>
      <c r="AP317" s="625"/>
      <c r="AQ317" s="626"/>
      <c r="AR317" s="922"/>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3"/>
      <c r="BN317" s="3"/>
      <c r="BO317" s="3"/>
      <c r="BP317" s="3"/>
      <c r="BQ317" s="3"/>
      <c r="BR317" s="3"/>
      <c r="BS317" s="3"/>
      <c r="BT317" s="3"/>
      <c r="BU317" s="3"/>
      <c r="BV317" s="3"/>
      <c r="BW317" s="3"/>
      <c r="BX317" s="3"/>
      <c r="BY317" s="3"/>
      <c r="BZ317" s="3"/>
      <c r="CA317" s="3"/>
      <c r="CB317" s="3"/>
    </row>
    <row r="318" spans="2:80" s="489" customFormat="1" ht="14.5" hidden="1" customHeight="1">
      <c r="B318" s="1278"/>
      <c r="C318" s="2151" t="s">
        <v>4216</v>
      </c>
      <c r="D318" s="2154" t="s">
        <v>4217</v>
      </c>
      <c r="E318" s="2147" t="s">
        <v>4218</v>
      </c>
      <c r="F318" s="2148"/>
      <c r="G318" s="519">
        <f t="shared" ref="G318:G327" si="91">+SUM(H318:AP318)</f>
        <v>0</v>
      </c>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c r="AE318" s="520"/>
      <c r="AF318" s="520"/>
      <c r="AG318" s="520"/>
      <c r="AH318" s="520"/>
      <c r="AI318" s="520"/>
      <c r="AJ318" s="520"/>
      <c r="AK318" s="520"/>
      <c r="AL318" s="520"/>
      <c r="AM318" s="520"/>
      <c r="AN318" s="520"/>
      <c r="AO318" s="520"/>
      <c r="AP318" s="520"/>
      <c r="AQ318" s="521" t="e">
        <f>+G318/'11. Unit Mix'!$G$142</f>
        <v>#DIV/0!</v>
      </c>
      <c r="AR318" s="921" t="e">
        <f t="shared" ref="AR318:AR326" si="92">+G318/Total_Units</f>
        <v>#DIV/0!</v>
      </c>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3"/>
      <c r="BN318" s="3"/>
      <c r="BO318" s="3"/>
      <c r="BP318" s="3"/>
      <c r="BQ318" s="3"/>
      <c r="BR318" s="3"/>
      <c r="BS318" s="3"/>
      <c r="BT318" s="3"/>
      <c r="BU318" s="3"/>
      <c r="BV318" s="3"/>
      <c r="BW318" s="3"/>
      <c r="BX318" s="3"/>
      <c r="BY318" s="3"/>
      <c r="BZ318" s="3"/>
      <c r="CA318" s="3"/>
      <c r="CB318" s="3"/>
    </row>
    <row r="319" spans="2:80" s="489" customFormat="1" ht="15" hidden="1">
      <c r="B319" s="1278"/>
      <c r="C319" s="2152"/>
      <c r="D319" s="2159"/>
      <c r="E319" s="2147" t="s">
        <v>4219</v>
      </c>
      <c r="F319" s="2148"/>
      <c r="G319" s="519">
        <f t="shared" si="91"/>
        <v>0</v>
      </c>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c r="AJ319" s="520"/>
      <c r="AK319" s="520"/>
      <c r="AL319" s="520"/>
      <c r="AM319" s="520"/>
      <c r="AN319" s="520"/>
      <c r="AO319" s="520"/>
      <c r="AP319" s="520"/>
      <c r="AQ319" s="521" t="e">
        <f>+G319/'11. Unit Mix'!$G$142</f>
        <v>#DIV/0!</v>
      </c>
      <c r="AR319" s="921" t="e">
        <f t="shared" si="92"/>
        <v>#DIV/0!</v>
      </c>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3"/>
      <c r="BN319" s="3"/>
      <c r="BO319" s="3"/>
      <c r="BP319" s="3"/>
      <c r="BQ319" s="3"/>
      <c r="BR319" s="3"/>
      <c r="BS319" s="3"/>
      <c r="BT319" s="3"/>
      <c r="BU319" s="3"/>
      <c r="BV319" s="3"/>
      <c r="BW319" s="3"/>
      <c r="BX319" s="3"/>
      <c r="BY319" s="3"/>
      <c r="BZ319" s="3"/>
      <c r="CA319" s="3"/>
      <c r="CB319" s="3"/>
    </row>
    <row r="320" spans="2:80" s="489" customFormat="1" ht="15" hidden="1">
      <c r="B320" s="1278"/>
      <c r="C320" s="2152"/>
      <c r="D320" s="2159"/>
      <c r="E320" s="2147" t="s">
        <v>4220</v>
      </c>
      <c r="F320" s="2148"/>
      <c r="G320" s="519">
        <f t="shared" si="91"/>
        <v>0</v>
      </c>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0"/>
      <c r="AH320" s="520"/>
      <c r="AI320" s="520"/>
      <c r="AJ320" s="520"/>
      <c r="AK320" s="520"/>
      <c r="AL320" s="520"/>
      <c r="AM320" s="520"/>
      <c r="AN320" s="520"/>
      <c r="AO320" s="520"/>
      <c r="AP320" s="520"/>
      <c r="AQ320" s="521" t="e">
        <f>+G320/'11. Unit Mix'!$G$142</f>
        <v>#DIV/0!</v>
      </c>
      <c r="AR320" s="921" t="e">
        <f t="shared" si="92"/>
        <v>#DIV/0!</v>
      </c>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3"/>
      <c r="BN320" s="3"/>
      <c r="BO320" s="3"/>
      <c r="BP320" s="3"/>
      <c r="BQ320" s="3"/>
      <c r="BR320" s="3"/>
      <c r="BS320" s="3"/>
      <c r="BT320" s="3"/>
      <c r="BU320" s="3"/>
      <c r="BV320" s="3"/>
      <c r="BW320" s="3"/>
      <c r="BX320" s="3"/>
      <c r="BY320" s="3"/>
      <c r="BZ320" s="3"/>
      <c r="CA320" s="3"/>
      <c r="CB320" s="3"/>
    </row>
    <row r="321" spans="2:80" s="489" customFormat="1" ht="15" hidden="1">
      <c r="B321" s="1278"/>
      <c r="C321" s="2152"/>
      <c r="D321" s="2159"/>
      <c r="E321" s="1695" t="s">
        <v>4221</v>
      </c>
      <c r="F321" s="1696"/>
      <c r="G321" s="519">
        <f t="shared" si="91"/>
        <v>0</v>
      </c>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520"/>
      <c r="AG321" s="520"/>
      <c r="AH321" s="520"/>
      <c r="AI321" s="520"/>
      <c r="AJ321" s="520"/>
      <c r="AK321" s="520"/>
      <c r="AL321" s="520"/>
      <c r="AM321" s="520"/>
      <c r="AN321" s="520"/>
      <c r="AO321" s="520"/>
      <c r="AP321" s="520"/>
      <c r="AQ321" s="521" t="e">
        <f>+G321/'11. Unit Mix'!$G$142</f>
        <v>#DIV/0!</v>
      </c>
      <c r="AR321" s="921" t="e">
        <f t="shared" si="92"/>
        <v>#DIV/0!</v>
      </c>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3"/>
      <c r="BN321" s="3"/>
      <c r="BO321" s="3"/>
      <c r="BP321" s="3"/>
      <c r="BQ321" s="3"/>
      <c r="BR321" s="3"/>
      <c r="BS321" s="3"/>
      <c r="BT321" s="3"/>
      <c r="BU321" s="3"/>
      <c r="BV321" s="3"/>
      <c r="BW321" s="3"/>
      <c r="BX321" s="3"/>
      <c r="BY321" s="3"/>
      <c r="BZ321" s="3"/>
      <c r="CA321" s="3"/>
      <c r="CB321" s="3"/>
    </row>
    <row r="322" spans="2:80" s="489" customFormat="1" ht="15" hidden="1">
      <c r="B322" s="1278"/>
      <c r="C322" s="2152"/>
      <c r="D322" s="2155"/>
      <c r="E322" s="2147" t="s">
        <v>4222</v>
      </c>
      <c r="F322" s="2148"/>
      <c r="G322" s="519">
        <f t="shared" si="91"/>
        <v>0</v>
      </c>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c r="AE322" s="520"/>
      <c r="AF322" s="520"/>
      <c r="AG322" s="520"/>
      <c r="AH322" s="520"/>
      <c r="AI322" s="520"/>
      <c r="AJ322" s="520"/>
      <c r="AK322" s="520"/>
      <c r="AL322" s="520"/>
      <c r="AM322" s="520"/>
      <c r="AN322" s="520"/>
      <c r="AO322" s="520"/>
      <c r="AP322" s="520"/>
      <c r="AQ322" s="521" t="e">
        <f>+G322/'11. Unit Mix'!$G$142</f>
        <v>#DIV/0!</v>
      </c>
      <c r="AR322" s="921" t="e">
        <f t="shared" si="92"/>
        <v>#DIV/0!</v>
      </c>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3"/>
      <c r="BN322" s="3"/>
      <c r="BO322" s="3"/>
      <c r="BP322" s="3"/>
      <c r="BQ322" s="3"/>
      <c r="BR322" s="3"/>
      <c r="BS322" s="3"/>
      <c r="BT322" s="3"/>
      <c r="BU322" s="3"/>
      <c r="BV322" s="3"/>
      <c r="BW322" s="3"/>
      <c r="BX322" s="3"/>
      <c r="BY322" s="3"/>
      <c r="BZ322" s="3"/>
      <c r="CA322" s="3"/>
      <c r="CB322" s="3"/>
    </row>
    <row r="323" spans="2:80" s="489" customFormat="1" ht="15" hidden="1">
      <c r="B323" s="1278"/>
      <c r="C323" s="2152"/>
      <c r="D323" s="2154" t="s">
        <v>4223</v>
      </c>
      <c r="E323" s="2147" t="s">
        <v>4224</v>
      </c>
      <c r="F323" s="2148"/>
      <c r="G323" s="519">
        <f t="shared" si="91"/>
        <v>0</v>
      </c>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520"/>
      <c r="AG323" s="520"/>
      <c r="AH323" s="520"/>
      <c r="AI323" s="520"/>
      <c r="AJ323" s="520"/>
      <c r="AK323" s="520"/>
      <c r="AL323" s="520"/>
      <c r="AM323" s="520"/>
      <c r="AN323" s="520"/>
      <c r="AO323" s="520"/>
      <c r="AP323" s="520"/>
      <c r="AQ323" s="521" t="e">
        <f>+G323/'11. Unit Mix'!$G$142</f>
        <v>#DIV/0!</v>
      </c>
      <c r="AR323" s="921" t="e">
        <f t="shared" si="92"/>
        <v>#DIV/0!</v>
      </c>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3"/>
      <c r="BN323" s="3"/>
      <c r="BO323" s="3"/>
      <c r="BP323" s="3"/>
      <c r="BQ323" s="3"/>
      <c r="BR323" s="3"/>
      <c r="BS323" s="3"/>
      <c r="BT323" s="3"/>
      <c r="BU323" s="3"/>
      <c r="BV323" s="3"/>
      <c r="BW323" s="3"/>
      <c r="BX323" s="3"/>
      <c r="BY323" s="3"/>
      <c r="BZ323" s="3"/>
      <c r="CA323" s="3"/>
      <c r="CB323" s="3"/>
    </row>
    <row r="324" spans="2:80" s="489" customFormat="1" ht="15" hidden="1">
      <c r="B324" s="1278"/>
      <c r="C324" s="2152"/>
      <c r="D324" s="2155"/>
      <c r="E324" s="2147" t="s">
        <v>4225</v>
      </c>
      <c r="F324" s="2148"/>
      <c r="G324" s="519">
        <f t="shared" si="91"/>
        <v>0</v>
      </c>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0"/>
      <c r="AH324" s="520"/>
      <c r="AI324" s="520"/>
      <c r="AJ324" s="520"/>
      <c r="AK324" s="520"/>
      <c r="AL324" s="520"/>
      <c r="AM324" s="520"/>
      <c r="AN324" s="520"/>
      <c r="AO324" s="520"/>
      <c r="AP324" s="520"/>
      <c r="AQ324" s="521" t="e">
        <f>+G324/'11. Unit Mix'!$G$142</f>
        <v>#DIV/0!</v>
      </c>
      <c r="AR324" s="921" t="e">
        <f t="shared" si="92"/>
        <v>#DIV/0!</v>
      </c>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3"/>
      <c r="BN324" s="3"/>
      <c r="BO324" s="3"/>
      <c r="BP324" s="3"/>
      <c r="BQ324" s="3"/>
      <c r="BR324" s="3"/>
      <c r="BS324" s="3"/>
      <c r="BT324" s="3"/>
      <c r="BU324" s="3"/>
      <c r="BV324" s="3"/>
      <c r="BW324" s="3"/>
      <c r="BX324" s="3"/>
      <c r="BY324" s="3"/>
      <c r="BZ324" s="3"/>
      <c r="CA324" s="3"/>
      <c r="CB324" s="3"/>
    </row>
    <row r="325" spans="2:80" s="489" customFormat="1" ht="15" hidden="1">
      <c r="B325" s="1278"/>
      <c r="C325" s="2152"/>
      <c r="D325" s="2146" t="s">
        <v>347</v>
      </c>
      <c r="E325" s="493" t="s">
        <v>347</v>
      </c>
      <c r="F325" s="496"/>
      <c r="G325" s="519">
        <f t="shared" si="91"/>
        <v>0</v>
      </c>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0"/>
      <c r="AH325" s="520"/>
      <c r="AI325" s="520"/>
      <c r="AJ325" s="520"/>
      <c r="AK325" s="520"/>
      <c r="AL325" s="520"/>
      <c r="AM325" s="520"/>
      <c r="AN325" s="520"/>
      <c r="AO325" s="520"/>
      <c r="AP325" s="520"/>
      <c r="AQ325" s="521" t="e">
        <f>+G325/'11. Unit Mix'!$G$142</f>
        <v>#DIV/0!</v>
      </c>
      <c r="AR325" s="921" t="e">
        <f t="shared" si="92"/>
        <v>#DIV/0!</v>
      </c>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3"/>
      <c r="BN325" s="3"/>
      <c r="BO325" s="3"/>
      <c r="BP325" s="3"/>
      <c r="BQ325" s="3"/>
      <c r="BR325" s="3"/>
      <c r="BS325" s="3"/>
      <c r="BT325" s="3"/>
      <c r="BU325" s="3"/>
      <c r="BV325" s="3"/>
      <c r="BW325" s="3"/>
      <c r="BX325" s="3"/>
      <c r="BY325" s="3"/>
      <c r="BZ325" s="3"/>
      <c r="CA325" s="3"/>
      <c r="CB325" s="3"/>
    </row>
    <row r="326" spans="2:80" s="489" customFormat="1" ht="15" hidden="1">
      <c r="B326" s="1278"/>
      <c r="C326" s="2153"/>
      <c r="D326" s="2146"/>
      <c r="E326" s="493" t="s">
        <v>347</v>
      </c>
      <c r="F326" s="496"/>
      <c r="G326" s="519">
        <f t="shared" si="91"/>
        <v>0</v>
      </c>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520"/>
      <c r="AG326" s="520"/>
      <c r="AH326" s="520"/>
      <c r="AI326" s="520"/>
      <c r="AJ326" s="520"/>
      <c r="AK326" s="520"/>
      <c r="AL326" s="520"/>
      <c r="AM326" s="520"/>
      <c r="AN326" s="520"/>
      <c r="AO326" s="520"/>
      <c r="AP326" s="520"/>
      <c r="AQ326" s="521" t="e">
        <f>+G326/'11. Unit Mix'!$G$142</f>
        <v>#DIV/0!</v>
      </c>
      <c r="AR326" s="921" t="e">
        <f t="shared" si="92"/>
        <v>#DIV/0!</v>
      </c>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3"/>
      <c r="BN326" s="3"/>
      <c r="BO326" s="3"/>
      <c r="BP326" s="3"/>
      <c r="BQ326" s="3"/>
      <c r="BR326" s="3"/>
      <c r="BS326" s="3"/>
      <c r="BT326" s="3"/>
      <c r="BU326" s="3"/>
      <c r="BV326" s="3"/>
      <c r="BW326" s="3"/>
      <c r="BX326" s="3"/>
      <c r="BY326" s="3"/>
      <c r="BZ326" s="3"/>
      <c r="CA326" s="3"/>
      <c r="CB326" s="3"/>
    </row>
    <row r="327" spans="2:80" s="489" customFormat="1" hidden="1">
      <c r="B327" s="1278"/>
      <c r="C327" s="618"/>
      <c r="D327" s="619"/>
      <c r="E327" s="2149" t="s">
        <v>4226</v>
      </c>
      <c r="F327" s="2150"/>
      <c r="G327" s="519">
        <f t="shared" si="91"/>
        <v>0</v>
      </c>
      <c r="H327" s="522">
        <f t="shared" ref="H327:AP327" si="93">SUM(H318:H326)</f>
        <v>0</v>
      </c>
      <c r="I327" s="522">
        <f t="shared" si="93"/>
        <v>0</v>
      </c>
      <c r="J327" s="522">
        <f t="shared" si="93"/>
        <v>0</v>
      </c>
      <c r="K327" s="522">
        <f t="shared" si="93"/>
        <v>0</v>
      </c>
      <c r="L327" s="522">
        <f t="shared" si="93"/>
        <v>0</v>
      </c>
      <c r="M327" s="522">
        <f t="shared" si="93"/>
        <v>0</v>
      </c>
      <c r="N327" s="522">
        <f t="shared" si="93"/>
        <v>0</v>
      </c>
      <c r="O327" s="522">
        <f t="shared" si="93"/>
        <v>0</v>
      </c>
      <c r="P327" s="522">
        <f t="shared" si="93"/>
        <v>0</v>
      </c>
      <c r="Q327" s="522">
        <f t="shared" si="93"/>
        <v>0</v>
      </c>
      <c r="R327" s="522">
        <f t="shared" si="93"/>
        <v>0</v>
      </c>
      <c r="S327" s="522">
        <f t="shared" si="93"/>
        <v>0</v>
      </c>
      <c r="T327" s="522">
        <f t="shared" si="93"/>
        <v>0</v>
      </c>
      <c r="U327" s="522">
        <f t="shared" si="93"/>
        <v>0</v>
      </c>
      <c r="V327" s="522">
        <f t="shared" si="93"/>
        <v>0</v>
      </c>
      <c r="W327" s="522">
        <f t="shared" si="93"/>
        <v>0</v>
      </c>
      <c r="X327" s="522">
        <f t="shared" si="93"/>
        <v>0</v>
      </c>
      <c r="Y327" s="522">
        <f t="shared" si="93"/>
        <v>0</v>
      </c>
      <c r="Z327" s="522">
        <f t="shared" si="93"/>
        <v>0</v>
      </c>
      <c r="AA327" s="522">
        <f t="shared" si="93"/>
        <v>0</v>
      </c>
      <c r="AB327" s="522">
        <f t="shared" si="93"/>
        <v>0</v>
      </c>
      <c r="AC327" s="522">
        <f t="shared" si="93"/>
        <v>0</v>
      </c>
      <c r="AD327" s="522">
        <f t="shared" si="93"/>
        <v>0</v>
      </c>
      <c r="AE327" s="522">
        <f t="shared" si="93"/>
        <v>0</v>
      </c>
      <c r="AF327" s="522">
        <f t="shared" si="93"/>
        <v>0</v>
      </c>
      <c r="AG327" s="522">
        <f t="shared" si="93"/>
        <v>0</v>
      </c>
      <c r="AH327" s="522">
        <f t="shared" si="93"/>
        <v>0</v>
      </c>
      <c r="AI327" s="522">
        <f t="shared" si="93"/>
        <v>0</v>
      </c>
      <c r="AJ327" s="522">
        <f t="shared" si="93"/>
        <v>0</v>
      </c>
      <c r="AK327" s="522">
        <f t="shared" si="93"/>
        <v>0</v>
      </c>
      <c r="AL327" s="522">
        <f t="shared" si="93"/>
        <v>0</v>
      </c>
      <c r="AM327" s="522">
        <f t="shared" si="93"/>
        <v>0</v>
      </c>
      <c r="AN327" s="522">
        <f t="shared" si="93"/>
        <v>0</v>
      </c>
      <c r="AO327" s="522">
        <f t="shared" si="93"/>
        <v>0</v>
      </c>
      <c r="AP327" s="522">
        <f t="shared" si="93"/>
        <v>0</v>
      </c>
      <c r="AQ327" s="627"/>
      <c r="AR327" s="523"/>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3"/>
      <c r="BN327" s="3"/>
      <c r="BO327" s="3"/>
      <c r="BP327" s="3"/>
      <c r="BQ327" s="3"/>
      <c r="BR327" s="3"/>
      <c r="BS327" s="3"/>
      <c r="BT327" s="3"/>
      <c r="BU327" s="3"/>
      <c r="BV327" s="3"/>
      <c r="BW327" s="3"/>
      <c r="BX327" s="3"/>
      <c r="BY327" s="3"/>
      <c r="BZ327" s="3"/>
      <c r="CA327" s="3"/>
      <c r="CB327" s="3"/>
    </row>
    <row r="328" spans="2:80" hidden="1">
      <c r="B328" s="1278"/>
      <c r="C328" s="21"/>
      <c r="D328" s="614"/>
      <c r="E328" s="800"/>
      <c r="F328" s="1725"/>
      <c r="G328" s="739"/>
      <c r="H328" s="739"/>
      <c r="I328" s="739"/>
      <c r="J328" s="739"/>
      <c r="K328" s="739"/>
      <c r="L328" s="739"/>
      <c r="M328" s="739"/>
      <c r="N328" s="739"/>
      <c r="O328" s="739"/>
      <c r="P328" s="739"/>
      <c r="Q328" s="739"/>
      <c r="R328" s="739"/>
      <c r="S328" s="739"/>
      <c r="T328" s="739"/>
      <c r="U328" s="739"/>
      <c r="V328" s="739"/>
      <c r="W328" s="739"/>
      <c r="X328" s="739"/>
      <c r="Y328" s="739"/>
      <c r="Z328" s="739"/>
      <c r="AA328" s="739"/>
      <c r="AB328" s="739"/>
      <c r="AC328" s="739"/>
      <c r="AD328" s="739"/>
      <c r="AE328" s="739"/>
      <c r="AF328" s="739"/>
      <c r="AG328" s="739"/>
      <c r="AH328" s="739"/>
      <c r="AI328" s="739"/>
      <c r="AJ328" s="739"/>
      <c r="AK328" s="739"/>
      <c r="AL328" s="739"/>
      <c r="AM328" s="739"/>
      <c r="AN328" s="739"/>
      <c r="AO328" s="739"/>
      <c r="AP328" s="739"/>
      <c r="AQ328" s="739"/>
    </row>
    <row r="329" spans="2:80" s="489" customFormat="1" ht="15" hidden="1" customHeight="1">
      <c r="B329" s="1278"/>
      <c r="C329" s="2151" t="s">
        <v>4227</v>
      </c>
      <c r="D329" s="2154" t="s">
        <v>4228</v>
      </c>
      <c r="E329" s="2147" t="s">
        <v>4229</v>
      </c>
      <c r="F329" s="2148"/>
      <c r="G329" s="519">
        <f t="shared" ref="G329:G338" si="94">+SUM(H329:AP329)</f>
        <v>0</v>
      </c>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c r="AJ329" s="520"/>
      <c r="AK329" s="520"/>
      <c r="AL329" s="520"/>
      <c r="AM329" s="520"/>
      <c r="AN329" s="520"/>
      <c r="AO329" s="520"/>
      <c r="AP329" s="520"/>
      <c r="AQ329" s="521" t="e">
        <f>+G329/'11. Unit Mix'!$G$142</f>
        <v>#DIV/0!</v>
      </c>
      <c r="AR329" s="921" t="e">
        <f t="shared" ref="AR329:AR337" si="95">+G329/Total_Units</f>
        <v>#DIV/0!</v>
      </c>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3"/>
      <c r="BN329" s="3"/>
      <c r="BO329" s="3"/>
      <c r="BP329" s="3"/>
      <c r="BQ329" s="3"/>
      <c r="BR329" s="3"/>
      <c r="BS329" s="3"/>
      <c r="BT329" s="3"/>
      <c r="BU329" s="3"/>
      <c r="BV329" s="3"/>
      <c r="BW329" s="3"/>
      <c r="BX329" s="3"/>
      <c r="BY329" s="3"/>
      <c r="BZ329" s="3"/>
      <c r="CA329" s="3"/>
      <c r="CB329" s="3"/>
    </row>
    <row r="330" spans="2:80" s="489" customFormat="1" ht="15" hidden="1">
      <c r="B330" s="1278"/>
      <c r="C330" s="2152"/>
      <c r="D330" s="2159"/>
      <c r="E330" s="2147" t="s">
        <v>4230</v>
      </c>
      <c r="F330" s="2148"/>
      <c r="G330" s="519">
        <f t="shared" si="94"/>
        <v>0</v>
      </c>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c r="AE330" s="520"/>
      <c r="AF330" s="520"/>
      <c r="AG330" s="520"/>
      <c r="AH330" s="520"/>
      <c r="AI330" s="520"/>
      <c r="AJ330" s="520"/>
      <c r="AK330" s="520"/>
      <c r="AL330" s="520"/>
      <c r="AM330" s="520"/>
      <c r="AN330" s="520"/>
      <c r="AO330" s="520"/>
      <c r="AP330" s="520"/>
      <c r="AQ330" s="521" t="e">
        <f>+G330/'11. Unit Mix'!$G$142</f>
        <v>#DIV/0!</v>
      </c>
      <c r="AR330" s="921" t="e">
        <f t="shared" si="95"/>
        <v>#DIV/0!</v>
      </c>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3"/>
      <c r="BN330" s="3"/>
      <c r="BO330" s="3"/>
      <c r="BP330" s="3"/>
      <c r="BQ330" s="3"/>
      <c r="BR330" s="3"/>
      <c r="BS330" s="3"/>
      <c r="BT330" s="3"/>
      <c r="BU330" s="3"/>
      <c r="BV330" s="3"/>
      <c r="BW330" s="3"/>
      <c r="BX330" s="3"/>
      <c r="BY330" s="3"/>
      <c r="BZ330" s="3"/>
      <c r="CA330" s="3"/>
      <c r="CB330" s="3"/>
    </row>
    <row r="331" spans="2:80" s="489" customFormat="1" ht="15" hidden="1">
      <c r="B331" s="1278"/>
      <c r="C331" s="2152"/>
      <c r="D331" s="2159"/>
      <c r="E331" s="2147" t="s">
        <v>4231</v>
      </c>
      <c r="F331" s="2148"/>
      <c r="G331" s="519">
        <f t="shared" si="94"/>
        <v>0</v>
      </c>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c r="AE331" s="520"/>
      <c r="AF331" s="520"/>
      <c r="AG331" s="520"/>
      <c r="AH331" s="520"/>
      <c r="AI331" s="520"/>
      <c r="AJ331" s="520"/>
      <c r="AK331" s="520"/>
      <c r="AL331" s="520"/>
      <c r="AM331" s="520"/>
      <c r="AN331" s="520"/>
      <c r="AO331" s="520"/>
      <c r="AP331" s="520"/>
      <c r="AQ331" s="521" t="e">
        <f>+G331/'11. Unit Mix'!$G$142</f>
        <v>#DIV/0!</v>
      </c>
      <c r="AR331" s="921" t="e">
        <f t="shared" si="95"/>
        <v>#DIV/0!</v>
      </c>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3"/>
      <c r="BN331" s="3"/>
      <c r="BO331" s="3"/>
      <c r="BP331" s="3"/>
      <c r="BQ331" s="3"/>
      <c r="BR331" s="3"/>
      <c r="BS331" s="3"/>
      <c r="BT331" s="3"/>
      <c r="BU331" s="3"/>
      <c r="BV331" s="3"/>
      <c r="BW331" s="3"/>
      <c r="BX331" s="3"/>
      <c r="BY331" s="3"/>
      <c r="BZ331" s="3"/>
      <c r="CA331" s="3"/>
      <c r="CB331" s="3"/>
    </row>
    <row r="332" spans="2:80" s="489" customFormat="1" ht="15" hidden="1">
      <c r="B332" s="1278"/>
      <c r="C332" s="2152"/>
      <c r="D332" s="2159"/>
      <c r="E332" s="2147" t="s">
        <v>4232</v>
      </c>
      <c r="F332" s="2148"/>
      <c r="G332" s="519">
        <f t="shared" si="94"/>
        <v>0</v>
      </c>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0"/>
      <c r="AH332" s="520"/>
      <c r="AI332" s="520"/>
      <c r="AJ332" s="520"/>
      <c r="AK332" s="520"/>
      <c r="AL332" s="520"/>
      <c r="AM332" s="520"/>
      <c r="AN332" s="520"/>
      <c r="AO332" s="520"/>
      <c r="AP332" s="520"/>
      <c r="AQ332" s="521" t="e">
        <f>+G332/'11. Unit Mix'!$G$142</f>
        <v>#DIV/0!</v>
      </c>
      <c r="AR332" s="921" t="e">
        <f t="shared" si="95"/>
        <v>#DIV/0!</v>
      </c>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3"/>
      <c r="BN332" s="3"/>
      <c r="BO332" s="3"/>
      <c r="BP332" s="3"/>
      <c r="BQ332" s="3"/>
      <c r="BR332" s="3"/>
      <c r="BS332" s="3"/>
      <c r="BT332" s="3"/>
      <c r="BU332" s="3"/>
      <c r="BV332" s="3"/>
      <c r="BW332" s="3"/>
      <c r="BX332" s="3"/>
      <c r="BY332" s="3"/>
      <c r="BZ332" s="3"/>
      <c r="CA332" s="3"/>
      <c r="CB332" s="3"/>
    </row>
    <row r="333" spans="2:80" s="489" customFormat="1" ht="15" hidden="1">
      <c r="B333" s="1278"/>
      <c r="C333" s="2152"/>
      <c r="D333" s="2155"/>
      <c r="E333" s="2147" t="s">
        <v>4233</v>
      </c>
      <c r="F333" s="2148"/>
      <c r="G333" s="519">
        <f t="shared" si="94"/>
        <v>0</v>
      </c>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0"/>
      <c r="AH333" s="520"/>
      <c r="AI333" s="520"/>
      <c r="AJ333" s="520"/>
      <c r="AK333" s="520"/>
      <c r="AL333" s="520"/>
      <c r="AM333" s="520"/>
      <c r="AN333" s="520"/>
      <c r="AO333" s="520"/>
      <c r="AP333" s="520"/>
      <c r="AQ333" s="521" t="e">
        <f>+G333/'11. Unit Mix'!$G$142</f>
        <v>#DIV/0!</v>
      </c>
      <c r="AR333" s="921" t="e">
        <f t="shared" si="95"/>
        <v>#DIV/0!</v>
      </c>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3"/>
      <c r="BN333" s="3"/>
      <c r="BO333" s="3"/>
      <c r="BP333" s="3"/>
      <c r="BQ333" s="3"/>
      <c r="BR333" s="3"/>
      <c r="BS333" s="3"/>
      <c r="BT333" s="3"/>
      <c r="BU333" s="3"/>
      <c r="BV333" s="3"/>
      <c r="BW333" s="3"/>
      <c r="BX333" s="3"/>
      <c r="BY333" s="3"/>
      <c r="BZ333" s="3"/>
      <c r="CA333" s="3"/>
      <c r="CB333" s="3"/>
    </row>
    <row r="334" spans="2:80" s="489" customFormat="1" ht="14.5" hidden="1" customHeight="1">
      <c r="B334" s="1278"/>
      <c r="C334" s="2152"/>
      <c r="D334" s="2154" t="s">
        <v>4234</v>
      </c>
      <c r="E334" s="2147" t="s">
        <v>4235</v>
      </c>
      <c r="F334" s="2148"/>
      <c r="G334" s="519">
        <f t="shared" si="94"/>
        <v>0</v>
      </c>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0"/>
      <c r="AH334" s="520"/>
      <c r="AI334" s="520"/>
      <c r="AJ334" s="520"/>
      <c r="AK334" s="520"/>
      <c r="AL334" s="520"/>
      <c r="AM334" s="520"/>
      <c r="AN334" s="520"/>
      <c r="AO334" s="520"/>
      <c r="AP334" s="520"/>
      <c r="AQ334" s="521" t="e">
        <f>+G334/'11. Unit Mix'!$G$142</f>
        <v>#DIV/0!</v>
      </c>
      <c r="AR334" s="921" t="e">
        <f t="shared" si="95"/>
        <v>#DIV/0!</v>
      </c>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3"/>
      <c r="BN334" s="3"/>
      <c r="BO334" s="3"/>
      <c r="BP334" s="3"/>
      <c r="BQ334" s="3"/>
      <c r="BR334" s="3"/>
      <c r="BS334" s="3"/>
      <c r="BT334" s="3"/>
      <c r="BU334" s="3"/>
      <c r="BV334" s="3"/>
      <c r="BW334" s="3"/>
      <c r="BX334" s="3"/>
      <c r="BY334" s="3"/>
      <c r="BZ334" s="3"/>
      <c r="CA334" s="3"/>
      <c r="CB334" s="3"/>
    </row>
    <row r="335" spans="2:80" s="489" customFormat="1" ht="15" hidden="1">
      <c r="B335" s="1278"/>
      <c r="C335" s="2152"/>
      <c r="D335" s="2155"/>
      <c r="E335" s="2147" t="s">
        <v>4236</v>
      </c>
      <c r="F335" s="2148"/>
      <c r="G335" s="519">
        <f t="shared" si="94"/>
        <v>0</v>
      </c>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0"/>
      <c r="AH335" s="520"/>
      <c r="AI335" s="520"/>
      <c r="AJ335" s="520"/>
      <c r="AK335" s="520"/>
      <c r="AL335" s="520"/>
      <c r="AM335" s="520"/>
      <c r="AN335" s="520"/>
      <c r="AO335" s="520"/>
      <c r="AP335" s="520"/>
      <c r="AQ335" s="521" t="e">
        <f>+G335/'11. Unit Mix'!$G$142</f>
        <v>#DIV/0!</v>
      </c>
      <c r="AR335" s="921" t="e">
        <f t="shared" si="95"/>
        <v>#DIV/0!</v>
      </c>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3"/>
      <c r="BN335" s="3"/>
      <c r="BO335" s="3"/>
      <c r="BP335" s="3"/>
      <c r="BQ335" s="3"/>
      <c r="BR335" s="3"/>
      <c r="BS335" s="3"/>
      <c r="BT335" s="3"/>
      <c r="BU335" s="3"/>
      <c r="BV335" s="3"/>
      <c r="BW335" s="3"/>
      <c r="BX335" s="3"/>
      <c r="BY335" s="3"/>
      <c r="BZ335" s="3"/>
      <c r="CA335" s="3"/>
      <c r="CB335" s="3"/>
    </row>
    <row r="336" spans="2:80" s="489" customFormat="1" ht="15" hidden="1">
      <c r="B336" s="1278"/>
      <c r="C336" s="2152"/>
      <c r="D336" s="2146" t="s">
        <v>347</v>
      </c>
      <c r="E336" s="493" t="s">
        <v>347</v>
      </c>
      <c r="F336" s="494"/>
      <c r="G336" s="519">
        <f t="shared" si="94"/>
        <v>0</v>
      </c>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c r="AJ336" s="520"/>
      <c r="AK336" s="520"/>
      <c r="AL336" s="520"/>
      <c r="AM336" s="520"/>
      <c r="AN336" s="520"/>
      <c r="AO336" s="520"/>
      <c r="AP336" s="520"/>
      <c r="AQ336" s="521" t="e">
        <f>+G336/'11. Unit Mix'!$G$142</f>
        <v>#DIV/0!</v>
      </c>
      <c r="AR336" s="921" t="e">
        <f t="shared" si="95"/>
        <v>#DIV/0!</v>
      </c>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3"/>
      <c r="BN336" s="3"/>
      <c r="BO336" s="3"/>
      <c r="BP336" s="3"/>
      <c r="BQ336" s="3"/>
      <c r="BR336" s="3"/>
      <c r="BS336" s="3"/>
      <c r="BT336" s="3"/>
      <c r="BU336" s="3"/>
      <c r="BV336" s="3"/>
      <c r="BW336" s="3"/>
      <c r="BX336" s="3"/>
      <c r="BY336" s="3"/>
      <c r="BZ336" s="3"/>
      <c r="CA336" s="3"/>
      <c r="CB336" s="3"/>
    </row>
    <row r="337" spans="2:80" s="489" customFormat="1" ht="15" hidden="1">
      <c r="B337" s="1278"/>
      <c r="C337" s="2153"/>
      <c r="D337" s="2146"/>
      <c r="E337" s="493" t="s">
        <v>347</v>
      </c>
      <c r="F337" s="494"/>
      <c r="G337" s="519">
        <f t="shared" si="94"/>
        <v>0</v>
      </c>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c r="AE337" s="520"/>
      <c r="AF337" s="520"/>
      <c r="AG337" s="520"/>
      <c r="AH337" s="520"/>
      <c r="AI337" s="520"/>
      <c r="AJ337" s="520"/>
      <c r="AK337" s="520"/>
      <c r="AL337" s="520"/>
      <c r="AM337" s="520"/>
      <c r="AN337" s="520"/>
      <c r="AO337" s="520"/>
      <c r="AP337" s="520"/>
      <c r="AQ337" s="521" t="e">
        <f>+G337/'11. Unit Mix'!$G$142</f>
        <v>#DIV/0!</v>
      </c>
      <c r="AR337" s="921" t="e">
        <f t="shared" si="95"/>
        <v>#DIV/0!</v>
      </c>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3"/>
      <c r="BN337" s="3"/>
      <c r="BO337" s="3"/>
      <c r="BP337" s="3"/>
      <c r="BQ337" s="3"/>
      <c r="BR337" s="3"/>
      <c r="BS337" s="3"/>
      <c r="BT337" s="3"/>
      <c r="BU337" s="3"/>
      <c r="BV337" s="3"/>
      <c r="BW337" s="3"/>
      <c r="BX337" s="3"/>
      <c r="BY337" s="3"/>
      <c r="BZ337" s="3"/>
      <c r="CA337" s="3"/>
      <c r="CB337" s="3"/>
    </row>
    <row r="338" spans="2:80" s="489" customFormat="1" hidden="1">
      <c r="B338" s="1278"/>
      <c r="C338" s="618"/>
      <c r="D338" s="619"/>
      <c r="E338" s="2149" t="s">
        <v>4237</v>
      </c>
      <c r="F338" s="2150"/>
      <c r="G338" s="519">
        <f t="shared" si="94"/>
        <v>0</v>
      </c>
      <c r="H338" s="522">
        <f t="shared" ref="H338:AP338" si="96">SUM(H329:H337)</f>
        <v>0</v>
      </c>
      <c r="I338" s="522">
        <f t="shared" si="96"/>
        <v>0</v>
      </c>
      <c r="J338" s="522">
        <f t="shared" si="96"/>
        <v>0</v>
      </c>
      <c r="K338" s="522">
        <f t="shared" si="96"/>
        <v>0</v>
      </c>
      <c r="L338" s="522">
        <f t="shared" si="96"/>
        <v>0</v>
      </c>
      <c r="M338" s="522">
        <f t="shared" si="96"/>
        <v>0</v>
      </c>
      <c r="N338" s="522">
        <f t="shared" si="96"/>
        <v>0</v>
      </c>
      <c r="O338" s="522">
        <f t="shared" si="96"/>
        <v>0</v>
      </c>
      <c r="P338" s="522">
        <f t="shared" si="96"/>
        <v>0</v>
      </c>
      <c r="Q338" s="522">
        <f t="shared" si="96"/>
        <v>0</v>
      </c>
      <c r="R338" s="522">
        <f t="shared" si="96"/>
        <v>0</v>
      </c>
      <c r="S338" s="522">
        <f t="shared" si="96"/>
        <v>0</v>
      </c>
      <c r="T338" s="522">
        <f t="shared" si="96"/>
        <v>0</v>
      </c>
      <c r="U338" s="522">
        <f t="shared" si="96"/>
        <v>0</v>
      </c>
      <c r="V338" s="522">
        <f t="shared" si="96"/>
        <v>0</v>
      </c>
      <c r="W338" s="522">
        <f t="shared" si="96"/>
        <v>0</v>
      </c>
      <c r="X338" s="522">
        <f t="shared" si="96"/>
        <v>0</v>
      </c>
      <c r="Y338" s="522">
        <f t="shared" si="96"/>
        <v>0</v>
      </c>
      <c r="Z338" s="522">
        <f t="shared" si="96"/>
        <v>0</v>
      </c>
      <c r="AA338" s="522">
        <f t="shared" si="96"/>
        <v>0</v>
      </c>
      <c r="AB338" s="522">
        <f t="shared" si="96"/>
        <v>0</v>
      </c>
      <c r="AC338" s="522">
        <f t="shared" si="96"/>
        <v>0</v>
      </c>
      <c r="AD338" s="522">
        <f t="shared" si="96"/>
        <v>0</v>
      </c>
      <c r="AE338" s="522">
        <f t="shared" si="96"/>
        <v>0</v>
      </c>
      <c r="AF338" s="522">
        <f t="shared" si="96"/>
        <v>0</v>
      </c>
      <c r="AG338" s="522">
        <f t="shared" si="96"/>
        <v>0</v>
      </c>
      <c r="AH338" s="522">
        <f t="shared" si="96"/>
        <v>0</v>
      </c>
      <c r="AI338" s="522">
        <f t="shared" si="96"/>
        <v>0</v>
      </c>
      <c r="AJ338" s="522">
        <f t="shared" si="96"/>
        <v>0</v>
      </c>
      <c r="AK338" s="522">
        <f t="shared" si="96"/>
        <v>0</v>
      </c>
      <c r="AL338" s="522">
        <f t="shared" si="96"/>
        <v>0</v>
      </c>
      <c r="AM338" s="522">
        <f t="shared" si="96"/>
        <v>0</v>
      </c>
      <c r="AN338" s="522">
        <f t="shared" si="96"/>
        <v>0</v>
      </c>
      <c r="AO338" s="522">
        <f t="shared" si="96"/>
        <v>0</v>
      </c>
      <c r="AP338" s="522">
        <f t="shared" si="96"/>
        <v>0</v>
      </c>
      <c r="AQ338" s="627"/>
      <c r="AR338" s="523"/>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3"/>
      <c r="BN338" s="3"/>
      <c r="BO338" s="3"/>
      <c r="BP338" s="3"/>
      <c r="BQ338" s="3"/>
      <c r="BR338" s="3"/>
      <c r="BS338" s="3"/>
      <c r="BT338" s="3"/>
      <c r="BU338" s="3"/>
      <c r="BV338" s="3"/>
      <c r="BW338" s="3"/>
      <c r="BX338" s="3"/>
      <c r="BY338" s="3"/>
      <c r="BZ338" s="3"/>
      <c r="CA338" s="3"/>
      <c r="CB338" s="3"/>
    </row>
    <row r="339" spans="2:80" hidden="1">
      <c r="B339" s="1278"/>
      <c r="C339" s="21"/>
      <c r="D339" s="614"/>
      <c r="E339" s="800"/>
      <c r="F339" s="1725"/>
      <c r="G339" s="739"/>
      <c r="H339" s="739"/>
      <c r="I339" s="739"/>
      <c r="J339" s="739"/>
      <c r="K339" s="739"/>
      <c r="L339" s="739"/>
      <c r="M339" s="739"/>
      <c r="N339" s="739"/>
      <c r="O339" s="739"/>
      <c r="P339" s="739"/>
      <c r="Q339" s="739"/>
      <c r="R339" s="739"/>
      <c r="S339" s="739"/>
      <c r="T339" s="739"/>
      <c r="U339" s="739"/>
      <c r="V339" s="739"/>
      <c r="W339" s="739"/>
      <c r="X339" s="739"/>
      <c r="Y339" s="739"/>
      <c r="Z339" s="739"/>
      <c r="AA339" s="739"/>
      <c r="AB339" s="739"/>
      <c r="AC339" s="739"/>
      <c r="AD339" s="739"/>
      <c r="AE339" s="739"/>
      <c r="AF339" s="739"/>
      <c r="AG339" s="739"/>
      <c r="AH339" s="739"/>
      <c r="AI339" s="739"/>
      <c r="AJ339" s="739"/>
      <c r="AK339" s="739"/>
      <c r="AL339" s="739"/>
      <c r="AM339" s="739"/>
      <c r="AN339" s="739"/>
      <c r="AO339" s="739"/>
      <c r="AP339" s="739"/>
      <c r="AQ339" s="739"/>
    </row>
    <row r="340" spans="2:80" s="489" customFormat="1" ht="14.5" hidden="1" customHeight="1">
      <c r="B340" s="1278"/>
      <c r="C340" s="2151" t="s">
        <v>4238</v>
      </c>
      <c r="D340" s="2154" t="s">
        <v>4239</v>
      </c>
      <c r="E340" s="2147" t="s">
        <v>4240</v>
      </c>
      <c r="F340" s="2148"/>
      <c r="G340" s="519">
        <f t="shared" ref="G340:G364" si="97">+SUM(H340:AP340)</f>
        <v>0</v>
      </c>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0"/>
      <c r="AH340" s="520"/>
      <c r="AI340" s="520"/>
      <c r="AJ340" s="520"/>
      <c r="AK340" s="520"/>
      <c r="AL340" s="520"/>
      <c r="AM340" s="520"/>
      <c r="AN340" s="520"/>
      <c r="AO340" s="520"/>
      <c r="AP340" s="520"/>
      <c r="AQ340" s="521" t="e">
        <f>+G340/'11. Unit Mix'!$G$142</f>
        <v>#DIV/0!</v>
      </c>
      <c r="AR340" s="921" t="e">
        <f t="shared" ref="AR340:AR363" si="98">+G340/Total_Units</f>
        <v>#DIV/0!</v>
      </c>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3"/>
      <c r="BN340" s="3"/>
      <c r="BO340" s="3"/>
      <c r="BP340" s="3"/>
      <c r="BQ340" s="3"/>
      <c r="BR340" s="3"/>
      <c r="BS340" s="3"/>
      <c r="BT340" s="3"/>
      <c r="BU340" s="3"/>
      <c r="BV340" s="3"/>
      <c r="BW340" s="3"/>
      <c r="BX340" s="3"/>
      <c r="BY340" s="3"/>
      <c r="BZ340" s="3"/>
      <c r="CA340" s="3"/>
      <c r="CB340" s="3"/>
    </row>
    <row r="341" spans="2:80" s="489" customFormat="1" ht="15" hidden="1">
      <c r="B341" s="1278"/>
      <c r="C341" s="2152"/>
      <c r="D341" s="2159"/>
      <c r="E341" s="2147" t="s">
        <v>4241</v>
      </c>
      <c r="F341" s="2148"/>
      <c r="G341" s="519">
        <f t="shared" si="97"/>
        <v>0</v>
      </c>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c r="AE341" s="520"/>
      <c r="AF341" s="520"/>
      <c r="AG341" s="520"/>
      <c r="AH341" s="520"/>
      <c r="AI341" s="520"/>
      <c r="AJ341" s="520"/>
      <c r="AK341" s="520"/>
      <c r="AL341" s="520"/>
      <c r="AM341" s="520"/>
      <c r="AN341" s="520"/>
      <c r="AO341" s="520"/>
      <c r="AP341" s="520"/>
      <c r="AQ341" s="521" t="e">
        <f>+G341/'11. Unit Mix'!$G$142</f>
        <v>#DIV/0!</v>
      </c>
      <c r="AR341" s="921" t="e">
        <f t="shared" si="98"/>
        <v>#DIV/0!</v>
      </c>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3"/>
      <c r="BN341" s="3"/>
      <c r="BO341" s="3"/>
      <c r="BP341" s="3"/>
      <c r="BQ341" s="3"/>
      <c r="BR341" s="3"/>
      <c r="BS341" s="3"/>
      <c r="BT341" s="3"/>
      <c r="BU341" s="3"/>
      <c r="BV341" s="3"/>
      <c r="BW341" s="3"/>
      <c r="BX341" s="3"/>
      <c r="BY341" s="3"/>
      <c r="BZ341" s="3"/>
      <c r="CA341" s="3"/>
      <c r="CB341" s="3"/>
    </row>
    <row r="342" spans="2:80" s="489" customFormat="1" ht="15" hidden="1">
      <c r="B342" s="1278"/>
      <c r="C342" s="2152"/>
      <c r="D342" s="2159"/>
      <c r="E342" s="2147" t="s">
        <v>4242</v>
      </c>
      <c r="F342" s="2148"/>
      <c r="G342" s="519">
        <f t="shared" si="97"/>
        <v>0</v>
      </c>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c r="AE342" s="520"/>
      <c r="AF342" s="520"/>
      <c r="AG342" s="520"/>
      <c r="AH342" s="520"/>
      <c r="AI342" s="520"/>
      <c r="AJ342" s="520"/>
      <c r="AK342" s="520"/>
      <c r="AL342" s="520"/>
      <c r="AM342" s="520"/>
      <c r="AN342" s="520"/>
      <c r="AO342" s="520"/>
      <c r="AP342" s="520"/>
      <c r="AQ342" s="521" t="e">
        <f>+G342/'11. Unit Mix'!$G$142</f>
        <v>#DIV/0!</v>
      </c>
      <c r="AR342" s="921" t="e">
        <f t="shared" si="98"/>
        <v>#DIV/0!</v>
      </c>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3"/>
      <c r="BN342" s="3"/>
      <c r="BO342" s="3"/>
      <c r="BP342" s="3"/>
      <c r="BQ342" s="3"/>
      <c r="BR342" s="3"/>
      <c r="BS342" s="3"/>
      <c r="BT342" s="3"/>
      <c r="BU342" s="3"/>
      <c r="BV342" s="3"/>
      <c r="BW342" s="3"/>
      <c r="BX342" s="3"/>
      <c r="BY342" s="3"/>
      <c r="BZ342" s="3"/>
      <c r="CA342" s="3"/>
      <c r="CB342" s="3"/>
    </row>
    <row r="343" spans="2:80" s="489" customFormat="1" ht="15" hidden="1">
      <c r="B343" s="1278"/>
      <c r="C343" s="2152"/>
      <c r="D343" s="2155"/>
      <c r="E343" s="2147" t="s">
        <v>4243</v>
      </c>
      <c r="F343" s="2148"/>
      <c r="G343" s="519">
        <f t="shared" si="97"/>
        <v>0</v>
      </c>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c r="AE343" s="520"/>
      <c r="AF343" s="520"/>
      <c r="AG343" s="520"/>
      <c r="AH343" s="520"/>
      <c r="AI343" s="520"/>
      <c r="AJ343" s="520"/>
      <c r="AK343" s="520"/>
      <c r="AL343" s="520"/>
      <c r="AM343" s="520"/>
      <c r="AN343" s="520"/>
      <c r="AO343" s="520"/>
      <c r="AP343" s="520"/>
      <c r="AQ343" s="521" t="e">
        <f>+G343/'11. Unit Mix'!$G$142</f>
        <v>#DIV/0!</v>
      </c>
      <c r="AR343" s="921" t="e">
        <f t="shared" si="98"/>
        <v>#DIV/0!</v>
      </c>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3"/>
      <c r="BN343" s="3"/>
      <c r="BO343" s="3"/>
      <c r="BP343" s="3"/>
      <c r="BQ343" s="3"/>
      <c r="BR343" s="3"/>
      <c r="BS343" s="3"/>
      <c r="BT343" s="3"/>
      <c r="BU343" s="3"/>
      <c r="BV343" s="3"/>
      <c r="BW343" s="3"/>
      <c r="BX343" s="3"/>
      <c r="BY343" s="3"/>
      <c r="BZ343" s="3"/>
      <c r="CA343" s="3"/>
      <c r="CB343" s="3"/>
    </row>
    <row r="344" spans="2:80" s="489" customFormat="1" ht="15" hidden="1">
      <c r="B344" s="1278"/>
      <c r="C344" s="2152"/>
      <c r="D344" s="2156" t="s">
        <v>4244</v>
      </c>
      <c r="E344" s="2147" t="s">
        <v>4245</v>
      </c>
      <c r="F344" s="2148"/>
      <c r="G344" s="519">
        <f t="shared" si="97"/>
        <v>0</v>
      </c>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0"/>
      <c r="AH344" s="520"/>
      <c r="AI344" s="520"/>
      <c r="AJ344" s="520"/>
      <c r="AK344" s="520"/>
      <c r="AL344" s="520"/>
      <c r="AM344" s="520"/>
      <c r="AN344" s="520"/>
      <c r="AO344" s="520"/>
      <c r="AP344" s="520"/>
      <c r="AQ344" s="521" t="e">
        <f>+G344/'11. Unit Mix'!$G$142</f>
        <v>#DIV/0!</v>
      </c>
      <c r="AR344" s="921" t="e">
        <f t="shared" si="98"/>
        <v>#DIV/0!</v>
      </c>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3"/>
      <c r="BN344" s="3"/>
      <c r="BO344" s="3"/>
      <c r="BP344" s="3"/>
      <c r="BQ344" s="3"/>
      <c r="BR344" s="3"/>
      <c r="BS344" s="3"/>
      <c r="BT344" s="3"/>
      <c r="BU344" s="3"/>
      <c r="BV344" s="3"/>
      <c r="BW344" s="3"/>
      <c r="BX344" s="3"/>
      <c r="BY344" s="3"/>
      <c r="BZ344" s="3"/>
      <c r="CA344" s="3"/>
      <c r="CB344" s="3"/>
    </row>
    <row r="345" spans="2:80" s="489" customFormat="1" ht="15" hidden="1">
      <c r="B345" s="1278"/>
      <c r="C345" s="2152"/>
      <c r="D345" s="2157"/>
      <c r="E345" s="2147" t="s">
        <v>4246</v>
      </c>
      <c r="F345" s="2148"/>
      <c r="G345" s="519">
        <f t="shared" si="97"/>
        <v>0</v>
      </c>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0"/>
      <c r="AH345" s="520"/>
      <c r="AI345" s="520"/>
      <c r="AJ345" s="520"/>
      <c r="AK345" s="520"/>
      <c r="AL345" s="520"/>
      <c r="AM345" s="520"/>
      <c r="AN345" s="520"/>
      <c r="AO345" s="520"/>
      <c r="AP345" s="520"/>
      <c r="AQ345" s="521" t="e">
        <f>+G345/'11. Unit Mix'!$G$142</f>
        <v>#DIV/0!</v>
      </c>
      <c r="AR345" s="921" t="e">
        <f t="shared" si="98"/>
        <v>#DIV/0!</v>
      </c>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3"/>
      <c r="BN345" s="3"/>
      <c r="BO345" s="3"/>
      <c r="BP345" s="3"/>
      <c r="BQ345" s="3"/>
      <c r="BR345" s="3"/>
      <c r="BS345" s="3"/>
      <c r="BT345" s="3"/>
      <c r="BU345" s="3"/>
      <c r="BV345" s="3"/>
      <c r="BW345" s="3"/>
      <c r="BX345" s="3"/>
      <c r="BY345" s="3"/>
      <c r="BZ345" s="3"/>
      <c r="CA345" s="3"/>
      <c r="CB345" s="3"/>
    </row>
    <row r="346" spans="2:80" s="489" customFormat="1" ht="15" hidden="1">
      <c r="B346" s="1278"/>
      <c r="C346" s="2152"/>
      <c r="D346" s="2157"/>
      <c r="E346" s="2147" t="s">
        <v>4247</v>
      </c>
      <c r="F346" s="2148"/>
      <c r="G346" s="519">
        <f t="shared" si="97"/>
        <v>0</v>
      </c>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c r="AE346" s="520"/>
      <c r="AF346" s="520"/>
      <c r="AG346" s="520"/>
      <c r="AH346" s="520"/>
      <c r="AI346" s="520"/>
      <c r="AJ346" s="520"/>
      <c r="AK346" s="520"/>
      <c r="AL346" s="520"/>
      <c r="AM346" s="520"/>
      <c r="AN346" s="520"/>
      <c r="AO346" s="520"/>
      <c r="AP346" s="520"/>
      <c r="AQ346" s="521" t="e">
        <f>+G346/'11. Unit Mix'!$G$142</f>
        <v>#DIV/0!</v>
      </c>
      <c r="AR346" s="921" t="e">
        <f t="shared" si="98"/>
        <v>#DIV/0!</v>
      </c>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3"/>
      <c r="BN346" s="3"/>
      <c r="BO346" s="3"/>
      <c r="BP346" s="3"/>
      <c r="BQ346" s="3"/>
      <c r="BR346" s="3"/>
      <c r="BS346" s="3"/>
      <c r="BT346" s="3"/>
      <c r="BU346" s="3"/>
      <c r="BV346" s="3"/>
      <c r="BW346" s="3"/>
      <c r="BX346" s="3"/>
      <c r="BY346" s="3"/>
      <c r="BZ346" s="3"/>
      <c r="CA346" s="3"/>
      <c r="CB346" s="3"/>
    </row>
    <row r="347" spans="2:80" s="489" customFormat="1" ht="15" hidden="1">
      <c r="B347" s="1278"/>
      <c r="C347" s="2152"/>
      <c r="D347" s="2157"/>
      <c r="E347" s="2147" t="s">
        <v>4248</v>
      </c>
      <c r="F347" s="2148"/>
      <c r="G347" s="519">
        <f t="shared" si="97"/>
        <v>0</v>
      </c>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520"/>
      <c r="AF347" s="520"/>
      <c r="AG347" s="520"/>
      <c r="AH347" s="520"/>
      <c r="AI347" s="520"/>
      <c r="AJ347" s="520"/>
      <c r="AK347" s="520"/>
      <c r="AL347" s="520"/>
      <c r="AM347" s="520"/>
      <c r="AN347" s="520"/>
      <c r="AO347" s="520"/>
      <c r="AP347" s="520"/>
      <c r="AQ347" s="521" t="e">
        <f>+G347/'11. Unit Mix'!$G$142</f>
        <v>#DIV/0!</v>
      </c>
      <c r="AR347" s="921" t="e">
        <f t="shared" si="98"/>
        <v>#DIV/0!</v>
      </c>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3"/>
      <c r="BN347" s="3"/>
      <c r="BO347" s="3"/>
      <c r="BP347" s="3"/>
      <c r="BQ347" s="3"/>
      <c r="BR347" s="3"/>
      <c r="BS347" s="3"/>
      <c r="BT347" s="3"/>
      <c r="BU347" s="3"/>
      <c r="BV347" s="3"/>
      <c r="BW347" s="3"/>
      <c r="BX347" s="3"/>
      <c r="BY347" s="3"/>
      <c r="BZ347" s="3"/>
      <c r="CA347" s="3"/>
      <c r="CB347" s="3"/>
    </row>
    <row r="348" spans="2:80" s="489" customFormat="1" ht="15" hidden="1">
      <c r="B348" s="1278"/>
      <c r="C348" s="2152"/>
      <c r="D348" s="2158"/>
      <c r="E348" s="2147" t="s">
        <v>4249</v>
      </c>
      <c r="F348" s="2148"/>
      <c r="G348" s="519">
        <f t="shared" si="97"/>
        <v>0</v>
      </c>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c r="AE348" s="520"/>
      <c r="AF348" s="520"/>
      <c r="AG348" s="520"/>
      <c r="AH348" s="520"/>
      <c r="AI348" s="520"/>
      <c r="AJ348" s="520"/>
      <c r="AK348" s="520"/>
      <c r="AL348" s="520"/>
      <c r="AM348" s="520"/>
      <c r="AN348" s="520"/>
      <c r="AO348" s="520"/>
      <c r="AP348" s="520"/>
      <c r="AQ348" s="521" t="e">
        <f>+G348/'11. Unit Mix'!$G$142</f>
        <v>#DIV/0!</v>
      </c>
      <c r="AR348" s="921" t="e">
        <f t="shared" si="98"/>
        <v>#DIV/0!</v>
      </c>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3"/>
      <c r="BN348" s="3"/>
      <c r="BO348" s="3"/>
      <c r="BP348" s="3"/>
      <c r="BQ348" s="3"/>
      <c r="BR348" s="3"/>
      <c r="BS348" s="3"/>
      <c r="BT348" s="3"/>
      <c r="BU348" s="3"/>
      <c r="BV348" s="3"/>
      <c r="BW348" s="3"/>
      <c r="BX348" s="3"/>
      <c r="BY348" s="3"/>
      <c r="BZ348" s="3"/>
      <c r="CA348" s="3"/>
      <c r="CB348" s="3"/>
    </row>
    <row r="349" spans="2:80" s="489" customFormat="1" ht="14.5" hidden="1" customHeight="1">
      <c r="B349" s="1278"/>
      <c r="C349" s="2152"/>
      <c r="D349" s="2154" t="s">
        <v>4250</v>
      </c>
      <c r="E349" s="2147" t="s">
        <v>4251</v>
      </c>
      <c r="F349" s="2148"/>
      <c r="G349" s="519">
        <f t="shared" si="97"/>
        <v>0</v>
      </c>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520"/>
      <c r="AF349" s="520"/>
      <c r="AG349" s="520"/>
      <c r="AH349" s="520"/>
      <c r="AI349" s="520"/>
      <c r="AJ349" s="520"/>
      <c r="AK349" s="520"/>
      <c r="AL349" s="520"/>
      <c r="AM349" s="520"/>
      <c r="AN349" s="520"/>
      <c r="AO349" s="520"/>
      <c r="AP349" s="520"/>
      <c r="AQ349" s="521" t="e">
        <f>+G349/'11. Unit Mix'!$G$142</f>
        <v>#DIV/0!</v>
      </c>
      <c r="AR349" s="921" t="e">
        <f t="shared" si="98"/>
        <v>#DIV/0!</v>
      </c>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3"/>
      <c r="BN349" s="3"/>
      <c r="BO349" s="3"/>
      <c r="BP349" s="3"/>
      <c r="BQ349" s="3"/>
      <c r="BR349" s="3"/>
      <c r="BS349" s="3"/>
      <c r="BT349" s="3"/>
      <c r="BU349" s="3"/>
      <c r="BV349" s="3"/>
      <c r="BW349" s="3"/>
      <c r="BX349" s="3"/>
      <c r="BY349" s="3"/>
      <c r="BZ349" s="3"/>
      <c r="CA349" s="3"/>
      <c r="CB349" s="3"/>
    </row>
    <row r="350" spans="2:80" s="489" customFormat="1" ht="15" hidden="1">
      <c r="B350" s="1278"/>
      <c r="C350" s="2152"/>
      <c r="D350" s="2159"/>
      <c r="E350" s="2147" t="s">
        <v>4252</v>
      </c>
      <c r="F350" s="2148"/>
      <c r="G350" s="519">
        <f t="shared" si="97"/>
        <v>0</v>
      </c>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c r="AJ350" s="520"/>
      <c r="AK350" s="520"/>
      <c r="AL350" s="520"/>
      <c r="AM350" s="520"/>
      <c r="AN350" s="520"/>
      <c r="AO350" s="520"/>
      <c r="AP350" s="520"/>
      <c r="AQ350" s="521" t="e">
        <f>+G350/'11. Unit Mix'!$G$142</f>
        <v>#DIV/0!</v>
      </c>
      <c r="AR350" s="921" t="e">
        <f t="shared" si="98"/>
        <v>#DIV/0!</v>
      </c>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3"/>
      <c r="BN350" s="3"/>
      <c r="BO350" s="3"/>
      <c r="BP350" s="3"/>
      <c r="BQ350" s="3"/>
      <c r="BR350" s="3"/>
      <c r="BS350" s="3"/>
      <c r="BT350" s="3"/>
      <c r="BU350" s="3"/>
      <c r="BV350" s="3"/>
      <c r="BW350" s="3"/>
      <c r="BX350" s="3"/>
      <c r="BY350" s="3"/>
      <c r="BZ350" s="3"/>
      <c r="CA350" s="3"/>
      <c r="CB350" s="3"/>
    </row>
    <row r="351" spans="2:80" s="489" customFormat="1" ht="15" hidden="1">
      <c r="B351" s="1278"/>
      <c r="C351" s="2152"/>
      <c r="D351" s="2159"/>
      <c r="E351" s="2147" t="s">
        <v>4253</v>
      </c>
      <c r="F351" s="2148"/>
      <c r="G351" s="519">
        <f t="shared" si="97"/>
        <v>0</v>
      </c>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c r="AE351" s="520"/>
      <c r="AF351" s="520"/>
      <c r="AG351" s="520"/>
      <c r="AH351" s="520"/>
      <c r="AI351" s="520"/>
      <c r="AJ351" s="520"/>
      <c r="AK351" s="520"/>
      <c r="AL351" s="520"/>
      <c r="AM351" s="520"/>
      <c r="AN351" s="520"/>
      <c r="AO351" s="520"/>
      <c r="AP351" s="520"/>
      <c r="AQ351" s="521" t="e">
        <f>+G351/'11. Unit Mix'!$G$142</f>
        <v>#DIV/0!</v>
      </c>
      <c r="AR351" s="921" t="e">
        <f t="shared" si="98"/>
        <v>#DIV/0!</v>
      </c>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3"/>
      <c r="BN351" s="3"/>
      <c r="BO351" s="3"/>
      <c r="BP351" s="3"/>
      <c r="BQ351" s="3"/>
      <c r="BR351" s="3"/>
      <c r="BS351" s="3"/>
      <c r="BT351" s="3"/>
      <c r="BU351" s="3"/>
      <c r="BV351" s="3"/>
      <c r="BW351" s="3"/>
      <c r="BX351" s="3"/>
      <c r="BY351" s="3"/>
      <c r="BZ351" s="3"/>
      <c r="CA351" s="3"/>
      <c r="CB351" s="3"/>
    </row>
    <row r="352" spans="2:80" s="489" customFormat="1" ht="15" hidden="1">
      <c r="B352" s="1278"/>
      <c r="C352" s="2152"/>
      <c r="D352" s="2159"/>
      <c r="E352" s="2147" t="s">
        <v>4254</v>
      </c>
      <c r="F352" s="2148"/>
      <c r="G352" s="519">
        <f t="shared" si="97"/>
        <v>0</v>
      </c>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c r="AE352" s="520"/>
      <c r="AF352" s="520"/>
      <c r="AG352" s="520"/>
      <c r="AH352" s="520"/>
      <c r="AI352" s="520"/>
      <c r="AJ352" s="520"/>
      <c r="AK352" s="520"/>
      <c r="AL352" s="520"/>
      <c r="AM352" s="520"/>
      <c r="AN352" s="520"/>
      <c r="AO352" s="520"/>
      <c r="AP352" s="520"/>
      <c r="AQ352" s="521" t="e">
        <f>+G352/'11. Unit Mix'!$G$142</f>
        <v>#DIV/0!</v>
      </c>
      <c r="AR352" s="921" t="e">
        <f t="shared" si="98"/>
        <v>#DIV/0!</v>
      </c>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3"/>
      <c r="BN352" s="3"/>
      <c r="BO352" s="3"/>
      <c r="BP352" s="3"/>
      <c r="BQ352" s="3"/>
      <c r="BR352" s="3"/>
      <c r="BS352" s="3"/>
      <c r="BT352" s="3"/>
      <c r="BU352" s="3"/>
      <c r="BV352" s="3"/>
      <c r="BW352" s="3"/>
      <c r="BX352" s="3"/>
      <c r="BY352" s="3"/>
      <c r="BZ352" s="3"/>
      <c r="CA352" s="3"/>
      <c r="CB352" s="3"/>
    </row>
    <row r="353" spans="2:80" s="489" customFormat="1" ht="15" hidden="1">
      <c r="B353" s="1278"/>
      <c r="C353" s="2152"/>
      <c r="D353" s="2159"/>
      <c r="E353" s="2147" t="s">
        <v>4255</v>
      </c>
      <c r="F353" s="2148"/>
      <c r="G353" s="519">
        <f t="shared" si="97"/>
        <v>0</v>
      </c>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c r="AE353" s="520"/>
      <c r="AF353" s="520"/>
      <c r="AG353" s="520"/>
      <c r="AH353" s="520"/>
      <c r="AI353" s="520"/>
      <c r="AJ353" s="520"/>
      <c r="AK353" s="520"/>
      <c r="AL353" s="520"/>
      <c r="AM353" s="520"/>
      <c r="AN353" s="520"/>
      <c r="AO353" s="520"/>
      <c r="AP353" s="520"/>
      <c r="AQ353" s="521" t="e">
        <f>+G353/'11. Unit Mix'!$G$142</f>
        <v>#DIV/0!</v>
      </c>
      <c r="AR353" s="921" t="e">
        <f t="shared" si="98"/>
        <v>#DIV/0!</v>
      </c>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3"/>
      <c r="BN353" s="3"/>
      <c r="BO353" s="3"/>
      <c r="BP353" s="3"/>
      <c r="BQ353" s="3"/>
      <c r="BR353" s="3"/>
      <c r="BS353" s="3"/>
      <c r="BT353" s="3"/>
      <c r="BU353" s="3"/>
      <c r="BV353" s="3"/>
      <c r="BW353" s="3"/>
      <c r="BX353" s="3"/>
      <c r="BY353" s="3"/>
      <c r="BZ353" s="3"/>
      <c r="CA353" s="3"/>
      <c r="CB353" s="3"/>
    </row>
    <row r="354" spans="2:80" s="489" customFormat="1" ht="15" hidden="1">
      <c r="B354" s="1278"/>
      <c r="C354" s="2152"/>
      <c r="D354" s="2159"/>
      <c r="E354" s="2147" t="s">
        <v>4256</v>
      </c>
      <c r="F354" s="2148"/>
      <c r="G354" s="519">
        <f t="shared" si="97"/>
        <v>0</v>
      </c>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c r="AJ354" s="520"/>
      <c r="AK354" s="520"/>
      <c r="AL354" s="520"/>
      <c r="AM354" s="520"/>
      <c r="AN354" s="520"/>
      <c r="AO354" s="520"/>
      <c r="AP354" s="520"/>
      <c r="AQ354" s="521" t="e">
        <f>+G354/'11. Unit Mix'!$G$142</f>
        <v>#DIV/0!</v>
      </c>
      <c r="AR354" s="921" t="e">
        <f t="shared" si="98"/>
        <v>#DIV/0!</v>
      </c>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3"/>
      <c r="BN354" s="3"/>
      <c r="BO354" s="3"/>
      <c r="BP354" s="3"/>
      <c r="BQ354" s="3"/>
      <c r="BR354" s="3"/>
      <c r="BS354" s="3"/>
      <c r="BT354" s="3"/>
      <c r="BU354" s="3"/>
      <c r="BV354" s="3"/>
      <c r="BW354" s="3"/>
      <c r="BX354" s="3"/>
      <c r="BY354" s="3"/>
      <c r="BZ354" s="3"/>
      <c r="CA354" s="3"/>
      <c r="CB354" s="3"/>
    </row>
    <row r="355" spans="2:80" s="489" customFormat="1" ht="15" hidden="1">
      <c r="B355" s="1278"/>
      <c r="C355" s="2152"/>
      <c r="D355" s="2155"/>
      <c r="E355" s="2147" t="s">
        <v>4257</v>
      </c>
      <c r="F355" s="2148"/>
      <c r="G355" s="519">
        <f t="shared" si="97"/>
        <v>0</v>
      </c>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c r="AE355" s="520"/>
      <c r="AF355" s="520"/>
      <c r="AG355" s="520"/>
      <c r="AH355" s="520"/>
      <c r="AI355" s="520"/>
      <c r="AJ355" s="520"/>
      <c r="AK355" s="520"/>
      <c r="AL355" s="520"/>
      <c r="AM355" s="520"/>
      <c r="AN355" s="520"/>
      <c r="AO355" s="520"/>
      <c r="AP355" s="520"/>
      <c r="AQ355" s="521" t="e">
        <f>+G355/'11. Unit Mix'!$G$142</f>
        <v>#DIV/0!</v>
      </c>
      <c r="AR355" s="921" t="e">
        <f t="shared" si="98"/>
        <v>#DIV/0!</v>
      </c>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3"/>
      <c r="BN355" s="3"/>
      <c r="BO355" s="3"/>
      <c r="BP355" s="3"/>
      <c r="BQ355" s="3"/>
      <c r="BR355" s="3"/>
      <c r="BS355" s="3"/>
      <c r="BT355" s="3"/>
      <c r="BU355" s="3"/>
      <c r="BV355" s="3"/>
      <c r="BW355" s="3"/>
      <c r="BX355" s="3"/>
      <c r="BY355" s="3"/>
      <c r="BZ355" s="3"/>
      <c r="CA355" s="3"/>
      <c r="CB355" s="3"/>
    </row>
    <row r="356" spans="2:80" s="489" customFormat="1" ht="15" hidden="1">
      <c r="B356" s="1278"/>
      <c r="C356" s="2152"/>
      <c r="D356" s="2154" t="s">
        <v>4258</v>
      </c>
      <c r="E356" s="2147" t="s">
        <v>4259</v>
      </c>
      <c r="F356" s="2148"/>
      <c r="G356" s="519">
        <f t="shared" si="97"/>
        <v>0</v>
      </c>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c r="AE356" s="520"/>
      <c r="AF356" s="520"/>
      <c r="AG356" s="520"/>
      <c r="AH356" s="520"/>
      <c r="AI356" s="520"/>
      <c r="AJ356" s="520"/>
      <c r="AK356" s="520"/>
      <c r="AL356" s="520"/>
      <c r="AM356" s="520"/>
      <c r="AN356" s="520"/>
      <c r="AO356" s="520"/>
      <c r="AP356" s="520"/>
      <c r="AQ356" s="521" t="e">
        <f>+G356/'11. Unit Mix'!$G$142</f>
        <v>#DIV/0!</v>
      </c>
      <c r="AR356" s="921" t="e">
        <f t="shared" si="98"/>
        <v>#DIV/0!</v>
      </c>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3"/>
      <c r="BN356" s="3"/>
      <c r="BO356" s="3"/>
      <c r="BP356" s="3"/>
      <c r="BQ356" s="3"/>
      <c r="BR356" s="3"/>
      <c r="BS356" s="3"/>
      <c r="BT356" s="3"/>
      <c r="BU356" s="3"/>
      <c r="BV356" s="3"/>
      <c r="BW356" s="3"/>
      <c r="BX356" s="3"/>
      <c r="BY356" s="3"/>
      <c r="BZ356" s="3"/>
      <c r="CA356" s="3"/>
      <c r="CB356" s="3"/>
    </row>
    <row r="357" spans="2:80" s="489" customFormat="1" ht="15" hidden="1">
      <c r="B357" s="1278"/>
      <c r="C357" s="2152"/>
      <c r="D357" s="2159"/>
      <c r="E357" s="2147" t="s">
        <v>4260</v>
      </c>
      <c r="F357" s="2148"/>
      <c r="G357" s="519">
        <f t="shared" si="97"/>
        <v>0</v>
      </c>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c r="AE357" s="520"/>
      <c r="AF357" s="520"/>
      <c r="AG357" s="520"/>
      <c r="AH357" s="520"/>
      <c r="AI357" s="520"/>
      <c r="AJ357" s="520"/>
      <c r="AK357" s="520"/>
      <c r="AL357" s="520"/>
      <c r="AM357" s="520"/>
      <c r="AN357" s="520"/>
      <c r="AO357" s="520"/>
      <c r="AP357" s="520"/>
      <c r="AQ357" s="521" t="e">
        <f>+G357/'11. Unit Mix'!$G$142</f>
        <v>#DIV/0!</v>
      </c>
      <c r="AR357" s="921" t="e">
        <f t="shared" si="98"/>
        <v>#DIV/0!</v>
      </c>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3"/>
      <c r="BN357" s="3"/>
      <c r="BO357" s="3"/>
      <c r="BP357" s="3"/>
      <c r="BQ357" s="3"/>
      <c r="BR357" s="3"/>
      <c r="BS357" s="3"/>
      <c r="BT357" s="3"/>
      <c r="BU357" s="3"/>
      <c r="BV357" s="3"/>
      <c r="BW357" s="3"/>
      <c r="BX357" s="3"/>
      <c r="BY357" s="3"/>
      <c r="BZ357" s="3"/>
      <c r="CA357" s="3"/>
      <c r="CB357" s="3"/>
    </row>
    <row r="358" spans="2:80" s="489" customFormat="1" ht="15" hidden="1">
      <c r="B358" s="1278"/>
      <c r="C358" s="2152"/>
      <c r="D358" s="2159"/>
      <c r="E358" s="2147" t="s">
        <v>4261</v>
      </c>
      <c r="F358" s="2148"/>
      <c r="G358" s="519">
        <f t="shared" si="97"/>
        <v>0</v>
      </c>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0"/>
      <c r="AH358" s="520"/>
      <c r="AI358" s="520"/>
      <c r="AJ358" s="520"/>
      <c r="AK358" s="520"/>
      <c r="AL358" s="520"/>
      <c r="AM358" s="520"/>
      <c r="AN358" s="520"/>
      <c r="AO358" s="520"/>
      <c r="AP358" s="520"/>
      <c r="AQ358" s="521" t="e">
        <f>+G358/'11. Unit Mix'!$G$142</f>
        <v>#DIV/0!</v>
      </c>
      <c r="AR358" s="921" t="e">
        <f t="shared" si="98"/>
        <v>#DIV/0!</v>
      </c>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3"/>
      <c r="BN358" s="3"/>
      <c r="BO358" s="3"/>
      <c r="BP358" s="3"/>
      <c r="BQ358" s="3"/>
      <c r="BR358" s="3"/>
      <c r="BS358" s="3"/>
      <c r="BT358" s="3"/>
      <c r="BU358" s="3"/>
      <c r="BV358" s="3"/>
      <c r="BW358" s="3"/>
      <c r="BX358" s="3"/>
      <c r="BY358" s="3"/>
      <c r="BZ358" s="3"/>
      <c r="CA358" s="3"/>
      <c r="CB358" s="3"/>
    </row>
    <row r="359" spans="2:80" s="489" customFormat="1" ht="15" hidden="1">
      <c r="B359" s="1278"/>
      <c r="C359" s="2152"/>
      <c r="D359" s="2155"/>
      <c r="E359" s="2147" t="s">
        <v>4262</v>
      </c>
      <c r="F359" s="2148"/>
      <c r="G359" s="519">
        <f t="shared" si="97"/>
        <v>0</v>
      </c>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c r="AJ359" s="520"/>
      <c r="AK359" s="520"/>
      <c r="AL359" s="520"/>
      <c r="AM359" s="520"/>
      <c r="AN359" s="520"/>
      <c r="AO359" s="520"/>
      <c r="AP359" s="520"/>
      <c r="AQ359" s="521" t="e">
        <f>+G359/'11. Unit Mix'!$G$142</f>
        <v>#DIV/0!</v>
      </c>
      <c r="AR359" s="921" t="e">
        <f t="shared" si="98"/>
        <v>#DIV/0!</v>
      </c>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3"/>
      <c r="BN359" s="3"/>
      <c r="BO359" s="3"/>
      <c r="BP359" s="3"/>
      <c r="BQ359" s="3"/>
      <c r="BR359" s="3"/>
      <c r="BS359" s="3"/>
      <c r="BT359" s="3"/>
      <c r="BU359" s="3"/>
      <c r="BV359" s="3"/>
      <c r="BW359" s="3"/>
      <c r="BX359" s="3"/>
      <c r="BY359" s="3"/>
      <c r="BZ359" s="3"/>
      <c r="CA359" s="3"/>
      <c r="CB359" s="3"/>
    </row>
    <row r="360" spans="2:80" s="489" customFormat="1" ht="15" hidden="1" customHeight="1">
      <c r="B360" s="1278"/>
      <c r="C360" s="2152"/>
      <c r="D360" s="2154" t="s">
        <v>4263</v>
      </c>
      <c r="E360" s="2147" t="s">
        <v>4264</v>
      </c>
      <c r="F360" s="2148"/>
      <c r="G360" s="519">
        <f t="shared" si="97"/>
        <v>0</v>
      </c>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0"/>
      <c r="AH360" s="520"/>
      <c r="AI360" s="520"/>
      <c r="AJ360" s="520"/>
      <c r="AK360" s="520"/>
      <c r="AL360" s="520"/>
      <c r="AM360" s="520"/>
      <c r="AN360" s="520"/>
      <c r="AO360" s="520"/>
      <c r="AP360" s="520"/>
      <c r="AQ360" s="521" t="e">
        <f>+G360/'11. Unit Mix'!$G$142</f>
        <v>#DIV/0!</v>
      </c>
      <c r="AR360" s="921" t="e">
        <f t="shared" si="98"/>
        <v>#DIV/0!</v>
      </c>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3"/>
      <c r="BN360" s="3"/>
      <c r="BO360" s="3"/>
      <c r="BP360" s="3"/>
      <c r="BQ360" s="3"/>
      <c r="BR360" s="3"/>
      <c r="BS360" s="3"/>
      <c r="BT360" s="3"/>
      <c r="BU360" s="3"/>
      <c r="BV360" s="3"/>
      <c r="BW360" s="3"/>
      <c r="BX360" s="3"/>
      <c r="BY360" s="3"/>
      <c r="BZ360" s="3"/>
      <c r="CA360" s="3"/>
      <c r="CB360" s="3"/>
    </row>
    <row r="361" spans="2:80" s="489" customFormat="1" ht="15" hidden="1">
      <c r="B361" s="1278"/>
      <c r="C361" s="2152"/>
      <c r="D361" s="2155"/>
      <c r="E361" s="2147" t="s">
        <v>4265</v>
      </c>
      <c r="F361" s="2148"/>
      <c r="G361" s="519">
        <f t="shared" si="97"/>
        <v>0</v>
      </c>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0"/>
      <c r="AH361" s="520"/>
      <c r="AI361" s="520"/>
      <c r="AJ361" s="520"/>
      <c r="AK361" s="520"/>
      <c r="AL361" s="520"/>
      <c r="AM361" s="520"/>
      <c r="AN361" s="520"/>
      <c r="AO361" s="520"/>
      <c r="AP361" s="520"/>
      <c r="AQ361" s="521" t="e">
        <f>+G361/'11. Unit Mix'!$G$142</f>
        <v>#DIV/0!</v>
      </c>
      <c r="AR361" s="921" t="e">
        <f t="shared" si="98"/>
        <v>#DIV/0!</v>
      </c>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3"/>
      <c r="BN361" s="3"/>
      <c r="BO361" s="3"/>
      <c r="BP361" s="3"/>
      <c r="BQ361" s="3"/>
      <c r="BR361" s="3"/>
      <c r="BS361" s="3"/>
      <c r="BT361" s="3"/>
      <c r="BU361" s="3"/>
      <c r="BV361" s="3"/>
      <c r="BW361" s="3"/>
      <c r="BX361" s="3"/>
      <c r="BY361" s="3"/>
      <c r="BZ361" s="3"/>
      <c r="CA361" s="3"/>
      <c r="CB361" s="3"/>
    </row>
    <row r="362" spans="2:80" s="489" customFormat="1" ht="15" hidden="1">
      <c r="B362" s="1278"/>
      <c r="C362" s="2152"/>
      <c r="D362" s="2160" t="s">
        <v>347</v>
      </c>
      <c r="E362" s="493" t="s">
        <v>347</v>
      </c>
      <c r="F362" s="497"/>
      <c r="G362" s="519">
        <f t="shared" si="97"/>
        <v>0</v>
      </c>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c r="AJ362" s="520"/>
      <c r="AK362" s="520"/>
      <c r="AL362" s="520"/>
      <c r="AM362" s="520"/>
      <c r="AN362" s="520"/>
      <c r="AO362" s="520"/>
      <c r="AP362" s="520"/>
      <c r="AQ362" s="521" t="e">
        <f>+G362/'11. Unit Mix'!$G$142</f>
        <v>#DIV/0!</v>
      </c>
      <c r="AR362" s="921" t="e">
        <f t="shared" si="98"/>
        <v>#DIV/0!</v>
      </c>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3"/>
      <c r="BN362" s="3"/>
      <c r="BO362" s="3"/>
      <c r="BP362" s="3"/>
      <c r="BQ362" s="3"/>
      <c r="BR362" s="3"/>
      <c r="BS362" s="3"/>
      <c r="BT362" s="3"/>
      <c r="BU362" s="3"/>
      <c r="BV362" s="3"/>
      <c r="BW362" s="3"/>
      <c r="BX362" s="3"/>
      <c r="BY362" s="3"/>
      <c r="BZ362" s="3"/>
      <c r="CA362" s="3"/>
      <c r="CB362" s="3"/>
    </row>
    <row r="363" spans="2:80" s="489" customFormat="1" ht="15" hidden="1">
      <c r="B363" s="1278"/>
      <c r="C363" s="2153"/>
      <c r="D363" s="2160"/>
      <c r="E363" s="498" t="s">
        <v>347</v>
      </c>
      <c r="F363" s="499"/>
      <c r="G363" s="519">
        <f t="shared" si="97"/>
        <v>0</v>
      </c>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c r="AE363" s="520"/>
      <c r="AF363" s="520"/>
      <c r="AG363" s="520"/>
      <c r="AH363" s="520"/>
      <c r="AI363" s="520"/>
      <c r="AJ363" s="520"/>
      <c r="AK363" s="520"/>
      <c r="AL363" s="520"/>
      <c r="AM363" s="520"/>
      <c r="AN363" s="520"/>
      <c r="AO363" s="520"/>
      <c r="AP363" s="520"/>
      <c r="AQ363" s="521" t="e">
        <f>+G363/'11. Unit Mix'!$G$142</f>
        <v>#DIV/0!</v>
      </c>
      <c r="AR363" s="921" t="e">
        <f t="shared" si="98"/>
        <v>#DIV/0!</v>
      </c>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3"/>
      <c r="BN363" s="3"/>
      <c r="BO363" s="3"/>
      <c r="BP363" s="3"/>
      <c r="BQ363" s="3"/>
      <c r="BR363" s="3"/>
      <c r="BS363" s="3"/>
      <c r="BT363" s="3"/>
      <c r="BU363" s="3"/>
      <c r="BV363" s="3"/>
      <c r="BW363" s="3"/>
      <c r="BX363" s="3"/>
      <c r="BY363" s="3"/>
      <c r="BZ363" s="3"/>
      <c r="CA363" s="3"/>
      <c r="CB363" s="3"/>
    </row>
    <row r="364" spans="2:80" s="489" customFormat="1" hidden="1">
      <c r="B364" s="1278"/>
      <c r="C364" s="618"/>
      <c r="D364" s="619"/>
      <c r="E364" s="2149" t="s">
        <v>4266</v>
      </c>
      <c r="F364" s="2150"/>
      <c r="G364" s="519">
        <f t="shared" si="97"/>
        <v>0</v>
      </c>
      <c r="H364" s="522">
        <f t="shared" ref="H364:AP364" si="99">SUM(H340:H363)</f>
        <v>0</v>
      </c>
      <c r="I364" s="522">
        <f t="shared" si="99"/>
        <v>0</v>
      </c>
      <c r="J364" s="522">
        <f t="shared" si="99"/>
        <v>0</v>
      </c>
      <c r="K364" s="522">
        <f t="shared" si="99"/>
        <v>0</v>
      </c>
      <c r="L364" s="522">
        <f t="shared" si="99"/>
        <v>0</v>
      </c>
      <c r="M364" s="522">
        <f t="shared" si="99"/>
        <v>0</v>
      </c>
      <c r="N364" s="522">
        <f t="shared" si="99"/>
        <v>0</v>
      </c>
      <c r="O364" s="522">
        <f t="shared" si="99"/>
        <v>0</v>
      </c>
      <c r="P364" s="522">
        <f t="shared" si="99"/>
        <v>0</v>
      </c>
      <c r="Q364" s="522">
        <f t="shared" si="99"/>
        <v>0</v>
      </c>
      <c r="R364" s="522">
        <f t="shared" si="99"/>
        <v>0</v>
      </c>
      <c r="S364" s="522">
        <f t="shared" si="99"/>
        <v>0</v>
      </c>
      <c r="T364" s="522">
        <f t="shared" si="99"/>
        <v>0</v>
      </c>
      <c r="U364" s="522">
        <f t="shared" si="99"/>
        <v>0</v>
      </c>
      <c r="V364" s="522">
        <f t="shared" si="99"/>
        <v>0</v>
      </c>
      <c r="W364" s="522">
        <f t="shared" si="99"/>
        <v>0</v>
      </c>
      <c r="X364" s="522">
        <f t="shared" si="99"/>
        <v>0</v>
      </c>
      <c r="Y364" s="522">
        <f t="shared" si="99"/>
        <v>0</v>
      </c>
      <c r="Z364" s="522">
        <f t="shared" si="99"/>
        <v>0</v>
      </c>
      <c r="AA364" s="522">
        <f t="shared" si="99"/>
        <v>0</v>
      </c>
      <c r="AB364" s="522">
        <f t="shared" si="99"/>
        <v>0</v>
      </c>
      <c r="AC364" s="522">
        <f t="shared" si="99"/>
        <v>0</v>
      </c>
      <c r="AD364" s="522">
        <f t="shared" si="99"/>
        <v>0</v>
      </c>
      <c r="AE364" s="522">
        <f t="shared" si="99"/>
        <v>0</v>
      </c>
      <c r="AF364" s="522">
        <f t="shared" si="99"/>
        <v>0</v>
      </c>
      <c r="AG364" s="522">
        <f t="shared" si="99"/>
        <v>0</v>
      </c>
      <c r="AH364" s="522">
        <f t="shared" si="99"/>
        <v>0</v>
      </c>
      <c r="AI364" s="522">
        <f t="shared" si="99"/>
        <v>0</v>
      </c>
      <c r="AJ364" s="522">
        <f t="shared" si="99"/>
        <v>0</v>
      </c>
      <c r="AK364" s="522">
        <f t="shared" si="99"/>
        <v>0</v>
      </c>
      <c r="AL364" s="522">
        <f t="shared" si="99"/>
        <v>0</v>
      </c>
      <c r="AM364" s="522">
        <f t="shared" si="99"/>
        <v>0</v>
      </c>
      <c r="AN364" s="522">
        <f t="shared" si="99"/>
        <v>0</v>
      </c>
      <c r="AO364" s="522">
        <f t="shared" si="99"/>
        <v>0</v>
      </c>
      <c r="AP364" s="522">
        <f t="shared" si="99"/>
        <v>0</v>
      </c>
      <c r="AQ364" s="627"/>
      <c r="AR364" s="523"/>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3"/>
      <c r="BN364" s="3"/>
      <c r="BO364" s="3"/>
      <c r="BP364" s="3"/>
      <c r="BQ364" s="3"/>
      <c r="BR364" s="3"/>
      <c r="BS364" s="3"/>
      <c r="BT364" s="3"/>
      <c r="BU364" s="3"/>
      <c r="BV364" s="3"/>
      <c r="BW364" s="3"/>
      <c r="BX364" s="3"/>
      <c r="BY364" s="3"/>
      <c r="BZ364" s="3"/>
      <c r="CA364" s="3"/>
      <c r="CB364" s="3"/>
    </row>
    <row r="365" spans="2:80" hidden="1">
      <c r="B365" s="1278"/>
      <c r="C365" s="21"/>
      <c r="D365" s="614"/>
      <c r="E365" s="800"/>
      <c r="F365" s="1725"/>
      <c r="G365" s="739"/>
      <c r="H365" s="739"/>
      <c r="I365" s="739"/>
      <c r="J365" s="739"/>
      <c r="K365" s="739"/>
      <c r="L365" s="739"/>
      <c r="M365" s="739"/>
      <c r="N365" s="739"/>
      <c r="O365" s="739"/>
      <c r="P365" s="739"/>
      <c r="Q365" s="739"/>
      <c r="R365" s="739"/>
      <c r="S365" s="739"/>
      <c r="T365" s="739"/>
      <c r="U365" s="739"/>
      <c r="V365" s="739"/>
      <c r="W365" s="739"/>
      <c r="X365" s="739"/>
      <c r="Y365" s="739"/>
      <c r="Z365" s="739"/>
      <c r="AA365" s="739"/>
      <c r="AB365" s="739"/>
      <c r="AC365" s="739"/>
      <c r="AD365" s="739"/>
      <c r="AE365" s="739"/>
      <c r="AF365" s="739"/>
      <c r="AG365" s="739"/>
      <c r="AH365" s="739"/>
      <c r="AI365" s="739"/>
      <c r="AJ365" s="739"/>
      <c r="AK365" s="739"/>
      <c r="AL365" s="739"/>
      <c r="AM365" s="739"/>
      <c r="AN365" s="739"/>
      <c r="AO365" s="739"/>
      <c r="AP365" s="739"/>
      <c r="AQ365" s="739"/>
    </row>
    <row r="366" spans="2:80" s="489" customFormat="1" ht="14.5" hidden="1" customHeight="1">
      <c r="B366" s="1278"/>
      <c r="C366" s="2151" t="s">
        <v>4267</v>
      </c>
      <c r="D366" s="2154" t="s">
        <v>4268</v>
      </c>
      <c r="E366" s="2147" t="s">
        <v>4240</v>
      </c>
      <c r="F366" s="2148"/>
      <c r="G366" s="519">
        <f t="shared" ref="G366:G390" si="100">+SUM(H366:AP366)</f>
        <v>0</v>
      </c>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c r="AJ366" s="520"/>
      <c r="AK366" s="520"/>
      <c r="AL366" s="520"/>
      <c r="AM366" s="520"/>
      <c r="AN366" s="520"/>
      <c r="AO366" s="520"/>
      <c r="AP366" s="520"/>
      <c r="AQ366" s="521" t="e">
        <f>+G366/'11. Unit Mix'!$G$142</f>
        <v>#DIV/0!</v>
      </c>
      <c r="AR366" s="921" t="e">
        <f t="shared" ref="AR366:AR389" si="101">+G366/Total_Units</f>
        <v>#DIV/0!</v>
      </c>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3"/>
      <c r="BN366" s="3"/>
      <c r="BO366" s="3"/>
      <c r="BP366" s="3"/>
      <c r="BQ366" s="3"/>
      <c r="BR366" s="3"/>
      <c r="BS366" s="3"/>
      <c r="BT366" s="3"/>
      <c r="BU366" s="3"/>
      <c r="BV366" s="3"/>
      <c r="BW366" s="3"/>
      <c r="BX366" s="3"/>
      <c r="BY366" s="3"/>
      <c r="BZ366" s="3"/>
      <c r="CA366" s="3"/>
      <c r="CB366" s="3"/>
    </row>
    <row r="367" spans="2:80" s="489" customFormat="1" ht="15" hidden="1">
      <c r="B367" s="1278"/>
      <c r="C367" s="2152"/>
      <c r="D367" s="2159"/>
      <c r="E367" s="2147" t="s">
        <v>4241</v>
      </c>
      <c r="F367" s="2148"/>
      <c r="G367" s="519">
        <f t="shared" si="100"/>
        <v>0</v>
      </c>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c r="AJ367" s="520"/>
      <c r="AK367" s="520"/>
      <c r="AL367" s="520"/>
      <c r="AM367" s="520"/>
      <c r="AN367" s="520"/>
      <c r="AO367" s="520"/>
      <c r="AP367" s="520"/>
      <c r="AQ367" s="521" t="e">
        <f>+G367/'11. Unit Mix'!$G$142</f>
        <v>#DIV/0!</v>
      </c>
      <c r="AR367" s="921" t="e">
        <f t="shared" si="101"/>
        <v>#DIV/0!</v>
      </c>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3"/>
      <c r="BN367" s="3"/>
      <c r="BO367" s="3"/>
      <c r="BP367" s="3"/>
      <c r="BQ367" s="3"/>
      <c r="BR367" s="3"/>
      <c r="BS367" s="3"/>
      <c r="BT367" s="3"/>
      <c r="BU367" s="3"/>
      <c r="BV367" s="3"/>
      <c r="BW367" s="3"/>
      <c r="BX367" s="3"/>
      <c r="BY367" s="3"/>
      <c r="BZ367" s="3"/>
      <c r="CA367" s="3"/>
      <c r="CB367" s="3"/>
    </row>
    <row r="368" spans="2:80" s="489" customFormat="1" ht="15" hidden="1">
      <c r="B368" s="1278"/>
      <c r="C368" s="2152"/>
      <c r="D368" s="2159"/>
      <c r="E368" s="2147" t="s">
        <v>4242</v>
      </c>
      <c r="F368" s="2148"/>
      <c r="G368" s="519">
        <f t="shared" si="100"/>
        <v>0</v>
      </c>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c r="AE368" s="520"/>
      <c r="AF368" s="520"/>
      <c r="AG368" s="520"/>
      <c r="AH368" s="520"/>
      <c r="AI368" s="520"/>
      <c r="AJ368" s="520"/>
      <c r="AK368" s="520"/>
      <c r="AL368" s="520"/>
      <c r="AM368" s="520"/>
      <c r="AN368" s="520"/>
      <c r="AO368" s="520"/>
      <c r="AP368" s="520"/>
      <c r="AQ368" s="521" t="e">
        <f>+G368/'11. Unit Mix'!$G$142</f>
        <v>#DIV/0!</v>
      </c>
      <c r="AR368" s="921" t="e">
        <f t="shared" si="101"/>
        <v>#DIV/0!</v>
      </c>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3"/>
      <c r="BN368" s="3"/>
      <c r="BO368" s="3"/>
      <c r="BP368" s="3"/>
      <c r="BQ368" s="3"/>
      <c r="BR368" s="3"/>
      <c r="BS368" s="3"/>
      <c r="BT368" s="3"/>
      <c r="BU368" s="3"/>
      <c r="BV368" s="3"/>
      <c r="BW368" s="3"/>
      <c r="BX368" s="3"/>
      <c r="BY368" s="3"/>
      <c r="BZ368" s="3"/>
      <c r="CA368" s="3"/>
      <c r="CB368" s="3"/>
    </row>
    <row r="369" spans="2:80" s="489" customFormat="1" ht="15" hidden="1">
      <c r="B369" s="1278"/>
      <c r="C369" s="2152"/>
      <c r="D369" s="2155"/>
      <c r="E369" s="2147" t="s">
        <v>4243</v>
      </c>
      <c r="F369" s="2148"/>
      <c r="G369" s="519">
        <f t="shared" si="100"/>
        <v>0</v>
      </c>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c r="AE369" s="520"/>
      <c r="AF369" s="520"/>
      <c r="AG369" s="520"/>
      <c r="AH369" s="520"/>
      <c r="AI369" s="520"/>
      <c r="AJ369" s="520"/>
      <c r="AK369" s="520"/>
      <c r="AL369" s="520"/>
      <c r="AM369" s="520"/>
      <c r="AN369" s="520"/>
      <c r="AO369" s="520"/>
      <c r="AP369" s="520"/>
      <c r="AQ369" s="521" t="e">
        <f>+G369/'11. Unit Mix'!$G$142</f>
        <v>#DIV/0!</v>
      </c>
      <c r="AR369" s="921" t="e">
        <f t="shared" si="101"/>
        <v>#DIV/0!</v>
      </c>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3"/>
      <c r="BN369" s="3"/>
      <c r="BO369" s="3"/>
      <c r="BP369" s="3"/>
      <c r="BQ369" s="3"/>
      <c r="BR369" s="3"/>
      <c r="BS369" s="3"/>
      <c r="BT369" s="3"/>
      <c r="BU369" s="3"/>
      <c r="BV369" s="3"/>
      <c r="BW369" s="3"/>
      <c r="BX369" s="3"/>
      <c r="BY369" s="3"/>
      <c r="BZ369" s="3"/>
      <c r="CA369" s="3"/>
      <c r="CB369" s="3"/>
    </row>
    <row r="370" spans="2:80" s="489" customFormat="1" ht="15" hidden="1">
      <c r="B370" s="1278"/>
      <c r="C370" s="2152"/>
      <c r="D370" s="2156" t="s">
        <v>4269</v>
      </c>
      <c r="E370" s="2147" t="s">
        <v>4245</v>
      </c>
      <c r="F370" s="2148"/>
      <c r="G370" s="519">
        <f t="shared" si="100"/>
        <v>0</v>
      </c>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c r="AJ370" s="520"/>
      <c r="AK370" s="520"/>
      <c r="AL370" s="520"/>
      <c r="AM370" s="520"/>
      <c r="AN370" s="520"/>
      <c r="AO370" s="520"/>
      <c r="AP370" s="520"/>
      <c r="AQ370" s="521" t="e">
        <f>+G370/'11. Unit Mix'!$G$142</f>
        <v>#DIV/0!</v>
      </c>
      <c r="AR370" s="921" t="e">
        <f t="shared" si="101"/>
        <v>#DIV/0!</v>
      </c>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3"/>
      <c r="BN370" s="3"/>
      <c r="BO370" s="3"/>
      <c r="BP370" s="3"/>
      <c r="BQ370" s="3"/>
      <c r="BR370" s="3"/>
      <c r="BS370" s="3"/>
      <c r="BT370" s="3"/>
      <c r="BU370" s="3"/>
      <c r="BV370" s="3"/>
      <c r="BW370" s="3"/>
      <c r="BX370" s="3"/>
      <c r="BY370" s="3"/>
      <c r="BZ370" s="3"/>
      <c r="CA370" s="3"/>
      <c r="CB370" s="3"/>
    </row>
    <row r="371" spans="2:80" s="489" customFormat="1" ht="15" hidden="1">
      <c r="B371" s="1278"/>
      <c r="C371" s="2152"/>
      <c r="D371" s="2157"/>
      <c r="E371" s="2147" t="s">
        <v>4246</v>
      </c>
      <c r="F371" s="2148"/>
      <c r="G371" s="519">
        <f t="shared" si="100"/>
        <v>0</v>
      </c>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0"/>
      <c r="AH371" s="520"/>
      <c r="AI371" s="520"/>
      <c r="AJ371" s="520"/>
      <c r="AK371" s="520"/>
      <c r="AL371" s="520"/>
      <c r="AM371" s="520"/>
      <c r="AN371" s="520"/>
      <c r="AO371" s="520"/>
      <c r="AP371" s="520"/>
      <c r="AQ371" s="521" t="e">
        <f>+G371/'11. Unit Mix'!$G$142</f>
        <v>#DIV/0!</v>
      </c>
      <c r="AR371" s="921" t="e">
        <f t="shared" si="101"/>
        <v>#DIV/0!</v>
      </c>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3"/>
      <c r="BN371" s="3"/>
      <c r="BO371" s="3"/>
      <c r="BP371" s="3"/>
      <c r="BQ371" s="3"/>
      <c r="BR371" s="3"/>
      <c r="BS371" s="3"/>
      <c r="BT371" s="3"/>
      <c r="BU371" s="3"/>
      <c r="BV371" s="3"/>
      <c r="BW371" s="3"/>
      <c r="BX371" s="3"/>
      <c r="BY371" s="3"/>
      <c r="BZ371" s="3"/>
      <c r="CA371" s="3"/>
      <c r="CB371" s="3"/>
    </row>
    <row r="372" spans="2:80" s="489" customFormat="1" ht="15" hidden="1">
      <c r="B372" s="1278"/>
      <c r="C372" s="2152"/>
      <c r="D372" s="2157"/>
      <c r="E372" s="2147" t="s">
        <v>4247</v>
      </c>
      <c r="F372" s="2148"/>
      <c r="G372" s="519">
        <f t="shared" si="100"/>
        <v>0</v>
      </c>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c r="AE372" s="520"/>
      <c r="AF372" s="520"/>
      <c r="AG372" s="520"/>
      <c r="AH372" s="520"/>
      <c r="AI372" s="520"/>
      <c r="AJ372" s="520"/>
      <c r="AK372" s="520"/>
      <c r="AL372" s="520"/>
      <c r="AM372" s="520"/>
      <c r="AN372" s="520"/>
      <c r="AO372" s="520"/>
      <c r="AP372" s="520"/>
      <c r="AQ372" s="521" t="e">
        <f>+G372/'11. Unit Mix'!$G$142</f>
        <v>#DIV/0!</v>
      </c>
      <c r="AR372" s="921" t="e">
        <f t="shared" si="101"/>
        <v>#DIV/0!</v>
      </c>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3"/>
      <c r="BN372" s="3"/>
      <c r="BO372" s="3"/>
      <c r="BP372" s="3"/>
      <c r="BQ372" s="3"/>
      <c r="BR372" s="3"/>
      <c r="BS372" s="3"/>
      <c r="BT372" s="3"/>
      <c r="BU372" s="3"/>
      <c r="BV372" s="3"/>
      <c r="BW372" s="3"/>
      <c r="BX372" s="3"/>
      <c r="BY372" s="3"/>
      <c r="BZ372" s="3"/>
      <c r="CA372" s="3"/>
      <c r="CB372" s="3"/>
    </row>
    <row r="373" spans="2:80" s="489" customFormat="1" ht="15" hidden="1">
      <c r="B373" s="1278"/>
      <c r="C373" s="2152"/>
      <c r="D373" s="2157"/>
      <c r="E373" s="2147" t="s">
        <v>4248</v>
      </c>
      <c r="F373" s="2148"/>
      <c r="G373" s="519">
        <f t="shared" si="100"/>
        <v>0</v>
      </c>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c r="AE373" s="520"/>
      <c r="AF373" s="520"/>
      <c r="AG373" s="520"/>
      <c r="AH373" s="520"/>
      <c r="AI373" s="520"/>
      <c r="AJ373" s="520"/>
      <c r="AK373" s="520"/>
      <c r="AL373" s="520"/>
      <c r="AM373" s="520"/>
      <c r="AN373" s="520"/>
      <c r="AO373" s="520"/>
      <c r="AP373" s="520"/>
      <c r="AQ373" s="521" t="e">
        <f>+G373/'11. Unit Mix'!$G$142</f>
        <v>#DIV/0!</v>
      </c>
      <c r="AR373" s="921" t="e">
        <f t="shared" si="101"/>
        <v>#DIV/0!</v>
      </c>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3"/>
      <c r="BN373" s="3"/>
      <c r="BO373" s="3"/>
      <c r="BP373" s="3"/>
      <c r="BQ373" s="3"/>
      <c r="BR373" s="3"/>
      <c r="BS373" s="3"/>
      <c r="BT373" s="3"/>
      <c r="BU373" s="3"/>
      <c r="BV373" s="3"/>
      <c r="BW373" s="3"/>
      <c r="BX373" s="3"/>
      <c r="BY373" s="3"/>
      <c r="BZ373" s="3"/>
      <c r="CA373" s="3"/>
      <c r="CB373" s="3"/>
    </row>
    <row r="374" spans="2:80" s="489" customFormat="1" ht="15" hidden="1">
      <c r="B374" s="1278"/>
      <c r="C374" s="2152"/>
      <c r="D374" s="2158"/>
      <c r="E374" s="2147" t="s">
        <v>4249</v>
      </c>
      <c r="F374" s="2148"/>
      <c r="G374" s="519">
        <f t="shared" si="100"/>
        <v>0</v>
      </c>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c r="AE374" s="520"/>
      <c r="AF374" s="520"/>
      <c r="AG374" s="520"/>
      <c r="AH374" s="520"/>
      <c r="AI374" s="520"/>
      <c r="AJ374" s="520"/>
      <c r="AK374" s="520"/>
      <c r="AL374" s="520"/>
      <c r="AM374" s="520"/>
      <c r="AN374" s="520"/>
      <c r="AO374" s="520"/>
      <c r="AP374" s="520"/>
      <c r="AQ374" s="521" t="e">
        <f>+G374/'11. Unit Mix'!$G$142</f>
        <v>#DIV/0!</v>
      </c>
      <c r="AR374" s="921" t="e">
        <f t="shared" si="101"/>
        <v>#DIV/0!</v>
      </c>
      <c r="AS374" s="131"/>
      <c r="AT374" s="131" t="s">
        <v>4270</v>
      </c>
      <c r="AU374" s="131"/>
      <c r="AV374" s="131"/>
      <c r="AW374" s="131"/>
      <c r="AX374" s="131"/>
      <c r="AY374" s="131"/>
      <c r="AZ374" s="131"/>
      <c r="BA374" s="131"/>
      <c r="BB374" s="131"/>
      <c r="BC374" s="131"/>
      <c r="BD374" s="131"/>
      <c r="BE374" s="131"/>
      <c r="BF374" s="131"/>
      <c r="BG374" s="131"/>
      <c r="BH374" s="131"/>
      <c r="BI374" s="131"/>
      <c r="BJ374" s="131"/>
      <c r="BK374" s="131"/>
      <c r="BL374" s="131"/>
      <c r="BM374" s="3"/>
      <c r="BN374" s="3"/>
      <c r="BO374" s="3"/>
      <c r="BP374" s="3"/>
      <c r="BQ374" s="3"/>
      <c r="BR374" s="3"/>
      <c r="BS374" s="3"/>
      <c r="BT374" s="3"/>
      <c r="BU374" s="3"/>
      <c r="BV374" s="3"/>
      <c r="BW374" s="3"/>
      <c r="BX374" s="3"/>
      <c r="BY374" s="3"/>
      <c r="BZ374" s="3"/>
      <c r="CA374" s="3"/>
      <c r="CB374" s="3"/>
    </row>
    <row r="375" spans="2:80" s="489" customFormat="1" ht="14.5" hidden="1" customHeight="1">
      <c r="B375" s="1278"/>
      <c r="C375" s="2152"/>
      <c r="D375" s="2154" t="s">
        <v>4271</v>
      </c>
      <c r="E375" s="2147" t="s">
        <v>4251</v>
      </c>
      <c r="F375" s="2148"/>
      <c r="G375" s="519">
        <f t="shared" si="100"/>
        <v>0</v>
      </c>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c r="AE375" s="520"/>
      <c r="AF375" s="520"/>
      <c r="AG375" s="520"/>
      <c r="AH375" s="520"/>
      <c r="AI375" s="520"/>
      <c r="AJ375" s="520"/>
      <c r="AK375" s="520"/>
      <c r="AL375" s="520"/>
      <c r="AM375" s="520"/>
      <c r="AN375" s="520"/>
      <c r="AO375" s="520"/>
      <c r="AP375" s="520"/>
      <c r="AQ375" s="521" t="e">
        <f>+G375/'11. Unit Mix'!$G$142</f>
        <v>#DIV/0!</v>
      </c>
      <c r="AR375" s="921" t="e">
        <f t="shared" si="101"/>
        <v>#DIV/0!</v>
      </c>
      <c r="AS375" s="131"/>
      <c r="AT375" s="131" t="s">
        <v>4272</v>
      </c>
      <c r="AU375" s="131"/>
      <c r="AV375" s="131"/>
      <c r="AW375" s="131"/>
      <c r="AX375" s="131"/>
      <c r="AY375" s="131"/>
      <c r="AZ375" s="131"/>
      <c r="BA375" s="131"/>
      <c r="BB375" s="131"/>
      <c r="BC375" s="131"/>
      <c r="BD375" s="131"/>
      <c r="BE375" s="131"/>
      <c r="BF375" s="131"/>
      <c r="BG375" s="131"/>
      <c r="BH375" s="131"/>
      <c r="BI375" s="131"/>
      <c r="BJ375" s="131"/>
      <c r="BK375" s="131"/>
      <c r="BL375" s="131"/>
      <c r="BM375" s="3"/>
      <c r="BN375" s="3"/>
      <c r="BO375" s="3"/>
      <c r="BP375" s="3"/>
      <c r="BQ375" s="3"/>
      <c r="BR375" s="3"/>
      <c r="BS375" s="3"/>
      <c r="BT375" s="3"/>
      <c r="BU375" s="3"/>
      <c r="BV375" s="3"/>
      <c r="BW375" s="3"/>
      <c r="BX375" s="3"/>
      <c r="BY375" s="3"/>
      <c r="BZ375" s="3"/>
      <c r="CA375" s="3"/>
      <c r="CB375" s="3"/>
    </row>
    <row r="376" spans="2:80" s="489" customFormat="1" ht="15" hidden="1">
      <c r="B376" s="1278"/>
      <c r="C376" s="2152"/>
      <c r="D376" s="2159"/>
      <c r="E376" s="2147" t="s">
        <v>4252</v>
      </c>
      <c r="F376" s="2148"/>
      <c r="G376" s="519">
        <f t="shared" si="100"/>
        <v>0</v>
      </c>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c r="AE376" s="520"/>
      <c r="AF376" s="520"/>
      <c r="AG376" s="520"/>
      <c r="AH376" s="520"/>
      <c r="AI376" s="520"/>
      <c r="AJ376" s="520"/>
      <c r="AK376" s="520"/>
      <c r="AL376" s="520"/>
      <c r="AM376" s="520"/>
      <c r="AN376" s="520"/>
      <c r="AO376" s="520"/>
      <c r="AP376" s="520"/>
      <c r="AQ376" s="521" t="e">
        <f>+G376/'11. Unit Mix'!$G$142</f>
        <v>#DIV/0!</v>
      </c>
      <c r="AR376" s="921" t="e">
        <f t="shared" si="101"/>
        <v>#DIV/0!</v>
      </c>
      <c r="AS376" s="131"/>
      <c r="AT376" s="131" t="s">
        <v>4273</v>
      </c>
      <c r="AU376" s="131"/>
      <c r="AV376" s="131"/>
      <c r="AW376" s="131"/>
      <c r="AX376" s="131"/>
      <c r="AY376" s="131"/>
      <c r="AZ376" s="131"/>
      <c r="BA376" s="131"/>
      <c r="BB376" s="131"/>
      <c r="BC376" s="131"/>
      <c r="BD376" s="131"/>
      <c r="BE376" s="131"/>
      <c r="BF376" s="131"/>
      <c r="BG376" s="131"/>
      <c r="BH376" s="131"/>
      <c r="BI376" s="131"/>
      <c r="BJ376" s="131"/>
      <c r="BK376" s="131"/>
      <c r="BL376" s="131"/>
      <c r="BM376" s="3"/>
      <c r="BN376" s="3"/>
      <c r="BO376" s="3"/>
      <c r="BP376" s="3"/>
      <c r="BQ376" s="3"/>
      <c r="BR376" s="3"/>
      <c r="BS376" s="3"/>
      <c r="BT376" s="3"/>
      <c r="BU376" s="3"/>
      <c r="BV376" s="3"/>
      <c r="BW376" s="3"/>
      <c r="BX376" s="3"/>
      <c r="BY376" s="3"/>
      <c r="BZ376" s="3"/>
      <c r="CA376" s="3"/>
      <c r="CB376" s="3"/>
    </row>
    <row r="377" spans="2:80" s="489" customFormat="1" ht="15" hidden="1">
      <c r="B377" s="1278"/>
      <c r="C377" s="2152"/>
      <c r="D377" s="2159"/>
      <c r="E377" s="2147" t="s">
        <v>4253</v>
      </c>
      <c r="F377" s="2148"/>
      <c r="G377" s="519">
        <f t="shared" si="100"/>
        <v>0</v>
      </c>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c r="AJ377" s="520"/>
      <c r="AK377" s="520"/>
      <c r="AL377" s="520"/>
      <c r="AM377" s="520"/>
      <c r="AN377" s="520"/>
      <c r="AO377" s="520"/>
      <c r="AP377" s="520"/>
      <c r="AQ377" s="521" t="e">
        <f>+G377/'11. Unit Mix'!$G$142</f>
        <v>#DIV/0!</v>
      </c>
      <c r="AR377" s="921" t="e">
        <f t="shared" si="101"/>
        <v>#DIV/0!</v>
      </c>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3"/>
      <c r="BN377" s="3"/>
      <c r="BO377" s="3"/>
      <c r="BP377" s="3"/>
      <c r="BQ377" s="3"/>
      <c r="BR377" s="3"/>
      <c r="BS377" s="3"/>
      <c r="BT377" s="3"/>
      <c r="BU377" s="3"/>
      <c r="BV377" s="3"/>
      <c r="BW377" s="3"/>
      <c r="BX377" s="3"/>
      <c r="BY377" s="3"/>
      <c r="BZ377" s="3"/>
      <c r="CA377" s="3"/>
      <c r="CB377" s="3"/>
    </row>
    <row r="378" spans="2:80" s="489" customFormat="1" ht="15" hidden="1">
      <c r="B378" s="1278"/>
      <c r="C378" s="2152"/>
      <c r="D378" s="2159"/>
      <c r="E378" s="2147" t="s">
        <v>4254</v>
      </c>
      <c r="F378" s="2148"/>
      <c r="G378" s="519">
        <f t="shared" si="100"/>
        <v>0</v>
      </c>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0"/>
      <c r="AH378" s="520"/>
      <c r="AI378" s="520"/>
      <c r="AJ378" s="520"/>
      <c r="AK378" s="520"/>
      <c r="AL378" s="520"/>
      <c r="AM378" s="520"/>
      <c r="AN378" s="520"/>
      <c r="AO378" s="520"/>
      <c r="AP378" s="520"/>
      <c r="AQ378" s="521" t="e">
        <f>+G378/'11. Unit Mix'!$G$142</f>
        <v>#DIV/0!</v>
      </c>
      <c r="AR378" s="921" t="e">
        <f t="shared" si="101"/>
        <v>#DIV/0!</v>
      </c>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3"/>
      <c r="BN378" s="3"/>
      <c r="BO378" s="3"/>
      <c r="BP378" s="3"/>
      <c r="BQ378" s="3"/>
      <c r="BR378" s="3"/>
      <c r="BS378" s="3"/>
      <c r="BT378" s="3"/>
      <c r="BU378" s="3"/>
      <c r="BV378" s="3"/>
      <c r="BW378" s="3"/>
      <c r="BX378" s="3"/>
      <c r="BY378" s="3"/>
      <c r="BZ378" s="3"/>
      <c r="CA378" s="3"/>
      <c r="CB378" s="3"/>
    </row>
    <row r="379" spans="2:80" s="489" customFormat="1" ht="15" hidden="1">
      <c r="B379" s="1278"/>
      <c r="C379" s="2152"/>
      <c r="D379" s="2159"/>
      <c r="E379" s="2147" t="s">
        <v>4255</v>
      </c>
      <c r="F379" s="2148"/>
      <c r="G379" s="519">
        <f t="shared" si="100"/>
        <v>0</v>
      </c>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0"/>
      <c r="AH379" s="520"/>
      <c r="AI379" s="520"/>
      <c r="AJ379" s="520"/>
      <c r="AK379" s="520"/>
      <c r="AL379" s="520"/>
      <c r="AM379" s="520"/>
      <c r="AN379" s="520"/>
      <c r="AO379" s="520"/>
      <c r="AP379" s="520"/>
      <c r="AQ379" s="521" t="e">
        <f>+G379/'11. Unit Mix'!$G$142</f>
        <v>#DIV/0!</v>
      </c>
      <c r="AR379" s="921" t="e">
        <f t="shared" si="101"/>
        <v>#DIV/0!</v>
      </c>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3"/>
      <c r="BN379" s="3"/>
      <c r="BO379" s="3"/>
      <c r="BP379" s="3"/>
      <c r="BQ379" s="3"/>
      <c r="BR379" s="3"/>
      <c r="BS379" s="3"/>
      <c r="BT379" s="3"/>
      <c r="BU379" s="3"/>
      <c r="BV379" s="3"/>
      <c r="BW379" s="3"/>
      <c r="BX379" s="3"/>
      <c r="BY379" s="3"/>
      <c r="BZ379" s="3"/>
      <c r="CA379" s="3"/>
      <c r="CB379" s="3"/>
    </row>
    <row r="380" spans="2:80" s="489" customFormat="1" ht="15" hidden="1">
      <c r="B380" s="1278"/>
      <c r="C380" s="2152"/>
      <c r="D380" s="2159"/>
      <c r="E380" s="2147" t="s">
        <v>4256</v>
      </c>
      <c r="F380" s="2148"/>
      <c r="G380" s="519">
        <f t="shared" si="100"/>
        <v>0</v>
      </c>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0"/>
      <c r="AH380" s="520"/>
      <c r="AI380" s="520"/>
      <c r="AJ380" s="520"/>
      <c r="AK380" s="520"/>
      <c r="AL380" s="520"/>
      <c r="AM380" s="520"/>
      <c r="AN380" s="520"/>
      <c r="AO380" s="520"/>
      <c r="AP380" s="520"/>
      <c r="AQ380" s="521" t="e">
        <f>+G380/'11. Unit Mix'!$G$142</f>
        <v>#DIV/0!</v>
      </c>
      <c r="AR380" s="921" t="e">
        <f t="shared" si="101"/>
        <v>#DIV/0!</v>
      </c>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3"/>
      <c r="BN380" s="3"/>
      <c r="BO380" s="3"/>
      <c r="BP380" s="3"/>
      <c r="BQ380" s="3"/>
      <c r="BR380" s="3"/>
      <c r="BS380" s="3"/>
      <c r="BT380" s="3"/>
      <c r="BU380" s="3"/>
      <c r="BV380" s="3"/>
      <c r="BW380" s="3"/>
      <c r="BX380" s="3"/>
      <c r="BY380" s="3"/>
      <c r="BZ380" s="3"/>
      <c r="CA380" s="3"/>
      <c r="CB380" s="3"/>
    </row>
    <row r="381" spans="2:80" s="489" customFormat="1" ht="15" hidden="1">
      <c r="B381" s="1278"/>
      <c r="C381" s="2152"/>
      <c r="D381" s="2155"/>
      <c r="E381" s="2147" t="s">
        <v>4257</v>
      </c>
      <c r="F381" s="2148"/>
      <c r="G381" s="519">
        <f t="shared" si="100"/>
        <v>0</v>
      </c>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20"/>
      <c r="AI381" s="520"/>
      <c r="AJ381" s="520"/>
      <c r="AK381" s="520"/>
      <c r="AL381" s="520"/>
      <c r="AM381" s="520"/>
      <c r="AN381" s="520"/>
      <c r="AO381" s="520"/>
      <c r="AP381" s="520"/>
      <c r="AQ381" s="521" t="e">
        <f>+G381/'11. Unit Mix'!$G$142</f>
        <v>#DIV/0!</v>
      </c>
      <c r="AR381" s="921" t="e">
        <f t="shared" si="101"/>
        <v>#DIV/0!</v>
      </c>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3"/>
      <c r="BN381" s="3"/>
      <c r="BO381" s="3"/>
      <c r="BP381" s="3"/>
      <c r="BQ381" s="3"/>
      <c r="BR381" s="3"/>
      <c r="BS381" s="3"/>
      <c r="BT381" s="3"/>
      <c r="BU381" s="3"/>
      <c r="BV381" s="3"/>
      <c r="BW381" s="3"/>
      <c r="BX381" s="3"/>
      <c r="BY381" s="3"/>
      <c r="BZ381" s="3"/>
      <c r="CA381" s="3"/>
      <c r="CB381" s="3"/>
    </row>
    <row r="382" spans="2:80" s="489" customFormat="1" ht="15" hidden="1">
      <c r="B382" s="1278"/>
      <c r="C382" s="2152"/>
      <c r="D382" s="2154" t="s">
        <v>4274</v>
      </c>
      <c r="E382" s="2147" t="s">
        <v>4259</v>
      </c>
      <c r="F382" s="2148"/>
      <c r="G382" s="519">
        <f t="shared" si="100"/>
        <v>0</v>
      </c>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c r="AE382" s="520"/>
      <c r="AF382" s="520"/>
      <c r="AG382" s="520"/>
      <c r="AH382" s="520"/>
      <c r="AI382" s="520"/>
      <c r="AJ382" s="520"/>
      <c r="AK382" s="520"/>
      <c r="AL382" s="520"/>
      <c r="AM382" s="520"/>
      <c r="AN382" s="520"/>
      <c r="AO382" s="520"/>
      <c r="AP382" s="520"/>
      <c r="AQ382" s="521" t="e">
        <f>+G382/'11. Unit Mix'!$G$142</f>
        <v>#DIV/0!</v>
      </c>
      <c r="AR382" s="921" t="e">
        <f t="shared" si="101"/>
        <v>#DIV/0!</v>
      </c>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3"/>
      <c r="BN382" s="3"/>
      <c r="BO382" s="3"/>
      <c r="BP382" s="3"/>
      <c r="BQ382" s="3"/>
      <c r="BR382" s="3"/>
      <c r="BS382" s="3"/>
      <c r="BT382" s="3"/>
      <c r="BU382" s="3"/>
      <c r="BV382" s="3"/>
      <c r="BW382" s="3"/>
      <c r="BX382" s="3"/>
      <c r="BY382" s="3"/>
      <c r="BZ382" s="3"/>
      <c r="CA382" s="3"/>
      <c r="CB382" s="3"/>
    </row>
    <row r="383" spans="2:80" s="489" customFormat="1" ht="15" hidden="1">
      <c r="B383" s="1278"/>
      <c r="C383" s="2152"/>
      <c r="D383" s="2159"/>
      <c r="E383" s="2147" t="s">
        <v>4260</v>
      </c>
      <c r="F383" s="2148"/>
      <c r="G383" s="519">
        <f t="shared" si="100"/>
        <v>0</v>
      </c>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c r="AE383" s="520"/>
      <c r="AF383" s="520"/>
      <c r="AG383" s="520"/>
      <c r="AH383" s="520"/>
      <c r="AI383" s="520"/>
      <c r="AJ383" s="520"/>
      <c r="AK383" s="520"/>
      <c r="AL383" s="520"/>
      <c r="AM383" s="520"/>
      <c r="AN383" s="520"/>
      <c r="AO383" s="520"/>
      <c r="AP383" s="520"/>
      <c r="AQ383" s="521" t="e">
        <f>+G383/'11. Unit Mix'!$G$142</f>
        <v>#DIV/0!</v>
      </c>
      <c r="AR383" s="921" t="e">
        <f t="shared" si="101"/>
        <v>#DIV/0!</v>
      </c>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3"/>
      <c r="BN383" s="3"/>
      <c r="BO383" s="3"/>
      <c r="BP383" s="3"/>
      <c r="BQ383" s="3"/>
      <c r="BR383" s="3"/>
      <c r="BS383" s="3"/>
      <c r="BT383" s="3"/>
      <c r="BU383" s="3"/>
      <c r="BV383" s="3"/>
      <c r="BW383" s="3"/>
      <c r="BX383" s="3"/>
      <c r="BY383" s="3"/>
      <c r="BZ383" s="3"/>
      <c r="CA383" s="3"/>
      <c r="CB383" s="3"/>
    </row>
    <row r="384" spans="2:80" s="489" customFormat="1" ht="15" hidden="1">
      <c r="B384" s="1278"/>
      <c r="C384" s="2152"/>
      <c r="D384" s="2159"/>
      <c r="E384" s="2147" t="s">
        <v>4261</v>
      </c>
      <c r="F384" s="2148"/>
      <c r="G384" s="519">
        <f t="shared" si="100"/>
        <v>0</v>
      </c>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c r="AE384" s="520"/>
      <c r="AF384" s="520"/>
      <c r="AG384" s="520"/>
      <c r="AH384" s="520"/>
      <c r="AI384" s="520"/>
      <c r="AJ384" s="520"/>
      <c r="AK384" s="520"/>
      <c r="AL384" s="520"/>
      <c r="AM384" s="520"/>
      <c r="AN384" s="520"/>
      <c r="AO384" s="520"/>
      <c r="AP384" s="520"/>
      <c r="AQ384" s="521" t="e">
        <f>+G384/'11. Unit Mix'!$G$142</f>
        <v>#DIV/0!</v>
      </c>
      <c r="AR384" s="921" t="e">
        <f t="shared" si="101"/>
        <v>#DIV/0!</v>
      </c>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3"/>
      <c r="BN384" s="3"/>
      <c r="BO384" s="3"/>
      <c r="BP384" s="3"/>
      <c r="BQ384" s="3"/>
      <c r="BR384" s="3"/>
      <c r="BS384" s="3"/>
      <c r="BT384" s="3"/>
      <c r="BU384" s="3"/>
      <c r="BV384" s="3"/>
      <c r="BW384" s="3"/>
      <c r="BX384" s="3"/>
      <c r="BY384" s="3"/>
      <c r="BZ384" s="3"/>
      <c r="CA384" s="3"/>
      <c r="CB384" s="3"/>
    </row>
    <row r="385" spans="2:80" s="489" customFormat="1" ht="15" hidden="1">
      <c r="B385" s="1278"/>
      <c r="C385" s="2152"/>
      <c r="D385" s="2155"/>
      <c r="E385" s="2147" t="s">
        <v>4262</v>
      </c>
      <c r="F385" s="2148"/>
      <c r="G385" s="519">
        <f t="shared" si="100"/>
        <v>0</v>
      </c>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c r="AJ385" s="520"/>
      <c r="AK385" s="520"/>
      <c r="AL385" s="520"/>
      <c r="AM385" s="520"/>
      <c r="AN385" s="520"/>
      <c r="AO385" s="520"/>
      <c r="AP385" s="520"/>
      <c r="AQ385" s="521" t="e">
        <f>+G385/'11. Unit Mix'!$G$142</f>
        <v>#DIV/0!</v>
      </c>
      <c r="AR385" s="921" t="e">
        <f t="shared" si="101"/>
        <v>#DIV/0!</v>
      </c>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3"/>
      <c r="BN385" s="3"/>
      <c r="BO385" s="3"/>
      <c r="BP385" s="3"/>
      <c r="BQ385" s="3"/>
      <c r="BR385" s="3"/>
      <c r="BS385" s="3"/>
      <c r="BT385" s="3"/>
      <c r="BU385" s="3"/>
      <c r="BV385" s="3"/>
      <c r="BW385" s="3"/>
      <c r="BX385" s="3"/>
      <c r="BY385" s="3"/>
      <c r="BZ385" s="3"/>
      <c r="CA385" s="3"/>
      <c r="CB385" s="3"/>
    </row>
    <row r="386" spans="2:80" s="489" customFormat="1" ht="15" hidden="1" customHeight="1">
      <c r="B386" s="1278"/>
      <c r="C386" s="2152"/>
      <c r="D386" s="2154" t="s">
        <v>4275</v>
      </c>
      <c r="E386" s="2147" t="s">
        <v>4264</v>
      </c>
      <c r="F386" s="2148"/>
      <c r="G386" s="519">
        <f t="shared" si="100"/>
        <v>0</v>
      </c>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0"/>
      <c r="AH386" s="520"/>
      <c r="AI386" s="520"/>
      <c r="AJ386" s="520"/>
      <c r="AK386" s="520"/>
      <c r="AL386" s="520"/>
      <c r="AM386" s="520"/>
      <c r="AN386" s="520"/>
      <c r="AO386" s="520"/>
      <c r="AP386" s="520"/>
      <c r="AQ386" s="521" t="e">
        <f>+G386/'11. Unit Mix'!$G$142</f>
        <v>#DIV/0!</v>
      </c>
      <c r="AR386" s="921" t="e">
        <f t="shared" si="101"/>
        <v>#DIV/0!</v>
      </c>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3"/>
      <c r="BN386" s="3"/>
      <c r="BO386" s="3"/>
      <c r="BP386" s="3"/>
      <c r="BQ386" s="3"/>
      <c r="BR386" s="3"/>
      <c r="BS386" s="3"/>
      <c r="BT386" s="3"/>
      <c r="BU386" s="3"/>
      <c r="BV386" s="3"/>
      <c r="BW386" s="3"/>
      <c r="BX386" s="3"/>
      <c r="BY386" s="3"/>
      <c r="BZ386" s="3"/>
      <c r="CA386" s="3"/>
      <c r="CB386" s="3"/>
    </row>
    <row r="387" spans="2:80" s="489" customFormat="1" ht="15" hidden="1">
      <c r="B387" s="1278"/>
      <c r="C387" s="2152"/>
      <c r="D387" s="2155"/>
      <c r="E387" s="2147" t="s">
        <v>4265</v>
      </c>
      <c r="F387" s="2148"/>
      <c r="G387" s="519">
        <f t="shared" si="100"/>
        <v>0</v>
      </c>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c r="AE387" s="520"/>
      <c r="AF387" s="520"/>
      <c r="AG387" s="520"/>
      <c r="AH387" s="520"/>
      <c r="AI387" s="520"/>
      <c r="AJ387" s="520"/>
      <c r="AK387" s="520"/>
      <c r="AL387" s="520"/>
      <c r="AM387" s="520"/>
      <c r="AN387" s="520"/>
      <c r="AO387" s="520"/>
      <c r="AP387" s="520"/>
      <c r="AQ387" s="521" t="e">
        <f>+G387/'11. Unit Mix'!$G$142</f>
        <v>#DIV/0!</v>
      </c>
      <c r="AR387" s="921" t="e">
        <f t="shared" si="101"/>
        <v>#DIV/0!</v>
      </c>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3"/>
      <c r="BN387" s="3"/>
      <c r="BO387" s="3"/>
      <c r="BP387" s="3"/>
      <c r="BQ387" s="3"/>
      <c r="BR387" s="3"/>
      <c r="BS387" s="3"/>
      <c r="BT387" s="3"/>
      <c r="BU387" s="3"/>
      <c r="BV387" s="3"/>
      <c r="BW387" s="3"/>
      <c r="BX387" s="3"/>
      <c r="BY387" s="3"/>
      <c r="BZ387" s="3"/>
      <c r="CA387" s="3"/>
      <c r="CB387" s="3"/>
    </row>
    <row r="388" spans="2:80" s="489" customFormat="1" ht="15" hidden="1">
      <c r="B388" s="1278"/>
      <c r="C388" s="2152"/>
      <c r="D388" s="2160" t="s">
        <v>347</v>
      </c>
      <c r="E388" s="493" t="s">
        <v>347</v>
      </c>
      <c r="F388" s="497"/>
      <c r="G388" s="519">
        <f t="shared" si="100"/>
        <v>0</v>
      </c>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c r="AJ388" s="520"/>
      <c r="AK388" s="520"/>
      <c r="AL388" s="520"/>
      <c r="AM388" s="520"/>
      <c r="AN388" s="520"/>
      <c r="AO388" s="520"/>
      <c r="AP388" s="520"/>
      <c r="AQ388" s="521" t="e">
        <f>+G388/'11. Unit Mix'!$G$142</f>
        <v>#DIV/0!</v>
      </c>
      <c r="AR388" s="921" t="e">
        <f t="shared" si="101"/>
        <v>#DIV/0!</v>
      </c>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3"/>
      <c r="BN388" s="3"/>
      <c r="BO388" s="3"/>
      <c r="BP388" s="3"/>
      <c r="BQ388" s="3"/>
      <c r="BR388" s="3"/>
      <c r="BS388" s="3"/>
      <c r="BT388" s="3"/>
      <c r="BU388" s="3"/>
      <c r="BV388" s="3"/>
      <c r="BW388" s="3"/>
      <c r="BX388" s="3"/>
      <c r="BY388" s="3"/>
      <c r="BZ388" s="3"/>
      <c r="CA388" s="3"/>
      <c r="CB388" s="3"/>
    </row>
    <row r="389" spans="2:80" s="489" customFormat="1" ht="15" hidden="1">
      <c r="B389" s="1278"/>
      <c r="C389" s="2153"/>
      <c r="D389" s="2160"/>
      <c r="E389" s="498" t="s">
        <v>347</v>
      </c>
      <c r="F389" s="499"/>
      <c r="G389" s="519">
        <f t="shared" si="100"/>
        <v>0</v>
      </c>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c r="AE389" s="520"/>
      <c r="AF389" s="520"/>
      <c r="AG389" s="520"/>
      <c r="AH389" s="520"/>
      <c r="AI389" s="520"/>
      <c r="AJ389" s="520"/>
      <c r="AK389" s="520"/>
      <c r="AL389" s="520"/>
      <c r="AM389" s="520"/>
      <c r="AN389" s="520"/>
      <c r="AO389" s="520"/>
      <c r="AP389" s="520"/>
      <c r="AQ389" s="521" t="e">
        <f>+G389/'11. Unit Mix'!$G$142</f>
        <v>#DIV/0!</v>
      </c>
      <c r="AR389" s="921" t="e">
        <f t="shared" si="101"/>
        <v>#DIV/0!</v>
      </c>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3"/>
      <c r="BN389" s="3"/>
      <c r="BO389" s="3"/>
      <c r="BP389" s="3"/>
      <c r="BQ389" s="3"/>
      <c r="BR389" s="3"/>
      <c r="BS389" s="3"/>
      <c r="BT389" s="3"/>
      <c r="BU389" s="3"/>
      <c r="BV389" s="3"/>
      <c r="BW389" s="3"/>
      <c r="BX389" s="3"/>
      <c r="BY389" s="3"/>
      <c r="BZ389" s="3"/>
      <c r="CA389" s="3"/>
      <c r="CB389" s="3"/>
    </row>
    <row r="390" spans="2:80" s="489" customFormat="1" hidden="1">
      <c r="B390" s="1278"/>
      <c r="C390" s="618"/>
      <c r="D390" s="619"/>
      <c r="E390" s="2149" t="s">
        <v>4276</v>
      </c>
      <c r="F390" s="2150"/>
      <c r="G390" s="519">
        <f t="shared" si="100"/>
        <v>0</v>
      </c>
      <c r="H390" s="522">
        <f t="shared" ref="H390:AP390" si="102">SUM(H366:H389)</f>
        <v>0</v>
      </c>
      <c r="I390" s="522">
        <f t="shared" si="102"/>
        <v>0</v>
      </c>
      <c r="J390" s="522">
        <f t="shared" si="102"/>
        <v>0</v>
      </c>
      <c r="K390" s="522">
        <f t="shared" si="102"/>
        <v>0</v>
      </c>
      <c r="L390" s="522">
        <f t="shared" si="102"/>
        <v>0</v>
      </c>
      <c r="M390" s="522">
        <f t="shared" si="102"/>
        <v>0</v>
      </c>
      <c r="N390" s="522">
        <f t="shared" si="102"/>
        <v>0</v>
      </c>
      <c r="O390" s="522">
        <f t="shared" si="102"/>
        <v>0</v>
      </c>
      <c r="P390" s="522">
        <f t="shared" si="102"/>
        <v>0</v>
      </c>
      <c r="Q390" s="522">
        <f t="shared" si="102"/>
        <v>0</v>
      </c>
      <c r="R390" s="522">
        <f t="shared" si="102"/>
        <v>0</v>
      </c>
      <c r="S390" s="522">
        <f t="shared" si="102"/>
        <v>0</v>
      </c>
      <c r="T390" s="522">
        <f t="shared" si="102"/>
        <v>0</v>
      </c>
      <c r="U390" s="522">
        <f t="shared" si="102"/>
        <v>0</v>
      </c>
      <c r="V390" s="522">
        <f t="shared" si="102"/>
        <v>0</v>
      </c>
      <c r="W390" s="522">
        <f t="shared" si="102"/>
        <v>0</v>
      </c>
      <c r="X390" s="522">
        <f t="shared" si="102"/>
        <v>0</v>
      </c>
      <c r="Y390" s="522">
        <f t="shared" si="102"/>
        <v>0</v>
      </c>
      <c r="Z390" s="522">
        <f t="shared" si="102"/>
        <v>0</v>
      </c>
      <c r="AA390" s="522">
        <f t="shared" si="102"/>
        <v>0</v>
      </c>
      <c r="AB390" s="522">
        <f t="shared" si="102"/>
        <v>0</v>
      </c>
      <c r="AC390" s="522">
        <f t="shared" si="102"/>
        <v>0</v>
      </c>
      <c r="AD390" s="522">
        <f t="shared" si="102"/>
        <v>0</v>
      </c>
      <c r="AE390" s="522">
        <f t="shared" si="102"/>
        <v>0</v>
      </c>
      <c r="AF390" s="522">
        <f t="shared" si="102"/>
        <v>0</v>
      </c>
      <c r="AG390" s="522">
        <f t="shared" si="102"/>
        <v>0</v>
      </c>
      <c r="AH390" s="522">
        <f t="shared" si="102"/>
        <v>0</v>
      </c>
      <c r="AI390" s="522">
        <f t="shared" si="102"/>
        <v>0</v>
      </c>
      <c r="AJ390" s="522">
        <f t="shared" si="102"/>
        <v>0</v>
      </c>
      <c r="AK390" s="522">
        <f t="shared" si="102"/>
        <v>0</v>
      </c>
      <c r="AL390" s="522">
        <f t="shared" si="102"/>
        <v>0</v>
      </c>
      <c r="AM390" s="522">
        <f t="shared" si="102"/>
        <v>0</v>
      </c>
      <c r="AN390" s="522">
        <f t="shared" si="102"/>
        <v>0</v>
      </c>
      <c r="AO390" s="522">
        <f t="shared" si="102"/>
        <v>0</v>
      </c>
      <c r="AP390" s="522">
        <f t="shared" si="102"/>
        <v>0</v>
      </c>
      <c r="AQ390" s="627"/>
      <c r="AR390" s="523"/>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3"/>
      <c r="BN390" s="3"/>
      <c r="BO390" s="3"/>
      <c r="BP390" s="3"/>
      <c r="BQ390" s="3"/>
      <c r="BR390" s="3"/>
      <c r="BS390" s="3"/>
      <c r="BT390" s="3"/>
      <c r="BU390" s="3"/>
      <c r="BV390" s="3"/>
      <c r="BW390" s="3"/>
      <c r="BX390" s="3"/>
      <c r="BY390" s="3"/>
      <c r="BZ390" s="3"/>
      <c r="CA390" s="3"/>
      <c r="CB390" s="3"/>
    </row>
    <row r="391" spans="2:80" hidden="1">
      <c r="B391" s="1278"/>
      <c r="C391" s="21"/>
      <c r="D391" s="614"/>
      <c r="E391" s="800"/>
      <c r="F391" s="1725"/>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39"/>
      <c r="AM391" s="739"/>
      <c r="AN391" s="739"/>
      <c r="AO391" s="739"/>
      <c r="AP391" s="739"/>
      <c r="AQ391" s="739"/>
    </row>
    <row r="392" spans="2:80" s="489" customFormat="1" ht="15" hidden="1" customHeight="1">
      <c r="B392" s="1278"/>
      <c r="C392" s="2178" t="s">
        <v>4277</v>
      </c>
      <c r="D392" s="2154" t="s">
        <v>4278</v>
      </c>
      <c r="E392" s="2147" t="s">
        <v>4279</v>
      </c>
      <c r="F392" s="2148"/>
      <c r="G392" s="519">
        <f t="shared" ref="G392:G411" si="103">+SUM(H392:AP392)</f>
        <v>0</v>
      </c>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c r="AE392" s="520"/>
      <c r="AF392" s="520"/>
      <c r="AG392" s="520"/>
      <c r="AH392" s="520"/>
      <c r="AI392" s="520"/>
      <c r="AJ392" s="520"/>
      <c r="AK392" s="520"/>
      <c r="AL392" s="520"/>
      <c r="AM392" s="520"/>
      <c r="AN392" s="520"/>
      <c r="AO392" s="520"/>
      <c r="AP392" s="520"/>
      <c r="AQ392" s="521" t="e">
        <f>+G392/'11. Unit Mix'!$G$142</f>
        <v>#DIV/0!</v>
      </c>
      <c r="AR392" s="921" t="e">
        <f t="shared" ref="AR392:AR410" si="104">+G392/Total_Units</f>
        <v>#DIV/0!</v>
      </c>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3"/>
      <c r="BN392" s="3"/>
      <c r="BO392" s="3"/>
      <c r="BP392" s="3"/>
      <c r="BQ392" s="3"/>
      <c r="BR392" s="3"/>
      <c r="BS392" s="3"/>
      <c r="BT392" s="3"/>
      <c r="BU392" s="3"/>
      <c r="BV392" s="3"/>
      <c r="BW392" s="3"/>
      <c r="BX392" s="3"/>
      <c r="BY392" s="3"/>
      <c r="BZ392" s="3"/>
      <c r="CA392" s="3"/>
      <c r="CB392" s="3"/>
    </row>
    <row r="393" spans="2:80" s="489" customFormat="1" ht="15" hidden="1" customHeight="1">
      <c r="B393" s="1278"/>
      <c r="C393" s="2179"/>
      <c r="D393" s="2159"/>
      <c r="E393" s="2147" t="s">
        <v>4280</v>
      </c>
      <c r="F393" s="2148"/>
      <c r="G393" s="519">
        <f t="shared" si="103"/>
        <v>0</v>
      </c>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c r="AE393" s="520"/>
      <c r="AF393" s="520"/>
      <c r="AG393" s="520"/>
      <c r="AH393" s="520"/>
      <c r="AI393" s="520"/>
      <c r="AJ393" s="520"/>
      <c r="AK393" s="520"/>
      <c r="AL393" s="520"/>
      <c r="AM393" s="520"/>
      <c r="AN393" s="520"/>
      <c r="AO393" s="520"/>
      <c r="AP393" s="520"/>
      <c r="AQ393" s="521" t="e">
        <f>+G393/'11. Unit Mix'!$G$142</f>
        <v>#DIV/0!</v>
      </c>
      <c r="AR393" s="921" t="e">
        <f t="shared" si="104"/>
        <v>#DIV/0!</v>
      </c>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3"/>
      <c r="BN393" s="3"/>
      <c r="BO393" s="3"/>
      <c r="BP393" s="3"/>
      <c r="BQ393" s="3"/>
      <c r="BR393" s="3"/>
      <c r="BS393" s="3"/>
      <c r="BT393" s="3"/>
      <c r="BU393" s="3"/>
      <c r="BV393" s="3"/>
      <c r="BW393" s="3"/>
      <c r="BX393" s="3"/>
      <c r="BY393" s="3"/>
      <c r="BZ393" s="3"/>
      <c r="CA393" s="3"/>
      <c r="CB393" s="3"/>
    </row>
    <row r="394" spans="2:80" s="489" customFormat="1" ht="15" hidden="1" customHeight="1">
      <c r="B394" s="1278"/>
      <c r="C394" s="2179"/>
      <c r="D394" s="2159"/>
      <c r="E394" s="2147" t="s">
        <v>4281</v>
      </c>
      <c r="F394" s="2148"/>
      <c r="G394" s="519">
        <f t="shared" si="103"/>
        <v>0</v>
      </c>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c r="AE394" s="520"/>
      <c r="AF394" s="520"/>
      <c r="AG394" s="520"/>
      <c r="AH394" s="520"/>
      <c r="AI394" s="520"/>
      <c r="AJ394" s="520"/>
      <c r="AK394" s="520"/>
      <c r="AL394" s="520"/>
      <c r="AM394" s="520"/>
      <c r="AN394" s="520"/>
      <c r="AO394" s="520"/>
      <c r="AP394" s="520"/>
      <c r="AQ394" s="521" t="e">
        <f>+G394/'11. Unit Mix'!$G$142</f>
        <v>#DIV/0!</v>
      </c>
      <c r="AR394" s="921" t="e">
        <f t="shared" si="104"/>
        <v>#DIV/0!</v>
      </c>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3"/>
      <c r="BN394" s="3"/>
      <c r="BO394" s="3"/>
      <c r="BP394" s="3"/>
      <c r="BQ394" s="3"/>
      <c r="BR394" s="3"/>
      <c r="BS394" s="3"/>
      <c r="BT394" s="3"/>
      <c r="BU394" s="3"/>
      <c r="BV394" s="3"/>
      <c r="BW394" s="3"/>
      <c r="BX394" s="3"/>
      <c r="BY394" s="3"/>
      <c r="BZ394" s="3"/>
      <c r="CA394" s="3"/>
      <c r="CB394" s="3"/>
    </row>
    <row r="395" spans="2:80" s="489" customFormat="1" ht="15" hidden="1" customHeight="1">
      <c r="B395" s="1278"/>
      <c r="C395" s="2179"/>
      <c r="D395" s="2159"/>
      <c r="E395" s="2147" t="s">
        <v>4282</v>
      </c>
      <c r="F395" s="2148"/>
      <c r="G395" s="519">
        <f t="shared" si="103"/>
        <v>0</v>
      </c>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c r="AE395" s="520"/>
      <c r="AF395" s="520"/>
      <c r="AG395" s="520"/>
      <c r="AH395" s="520"/>
      <c r="AI395" s="520"/>
      <c r="AJ395" s="520"/>
      <c r="AK395" s="520"/>
      <c r="AL395" s="520"/>
      <c r="AM395" s="520"/>
      <c r="AN395" s="520"/>
      <c r="AO395" s="520"/>
      <c r="AP395" s="520"/>
      <c r="AQ395" s="521" t="e">
        <f>+G395/'11. Unit Mix'!$G$142</f>
        <v>#DIV/0!</v>
      </c>
      <c r="AR395" s="921" t="e">
        <f t="shared" si="104"/>
        <v>#DIV/0!</v>
      </c>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3"/>
      <c r="BN395" s="3"/>
      <c r="BO395" s="3"/>
      <c r="BP395" s="3"/>
      <c r="BQ395" s="3"/>
      <c r="BR395" s="3"/>
      <c r="BS395" s="3"/>
      <c r="BT395" s="3"/>
      <c r="BU395" s="3"/>
      <c r="BV395" s="3"/>
      <c r="BW395" s="3"/>
      <c r="BX395" s="3"/>
      <c r="BY395" s="3"/>
      <c r="BZ395" s="3"/>
      <c r="CA395" s="3"/>
      <c r="CB395" s="3"/>
    </row>
    <row r="396" spans="2:80" s="489" customFormat="1" ht="15" hidden="1">
      <c r="B396" s="1278"/>
      <c r="C396" s="2179"/>
      <c r="D396" s="2159"/>
      <c r="E396" s="2147" t="s">
        <v>4283</v>
      </c>
      <c r="F396" s="2148"/>
      <c r="G396" s="519">
        <f t="shared" si="103"/>
        <v>0</v>
      </c>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E396" s="520"/>
      <c r="AF396" s="520"/>
      <c r="AG396" s="520"/>
      <c r="AH396" s="520"/>
      <c r="AI396" s="520"/>
      <c r="AJ396" s="520"/>
      <c r="AK396" s="520"/>
      <c r="AL396" s="520"/>
      <c r="AM396" s="520"/>
      <c r="AN396" s="520"/>
      <c r="AO396" s="520"/>
      <c r="AP396" s="520"/>
      <c r="AQ396" s="521" t="e">
        <f>+G396/'11. Unit Mix'!$G$142</f>
        <v>#DIV/0!</v>
      </c>
      <c r="AR396" s="921" t="e">
        <f t="shared" si="104"/>
        <v>#DIV/0!</v>
      </c>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3"/>
      <c r="BN396" s="3"/>
      <c r="BO396" s="3"/>
      <c r="BP396" s="3"/>
      <c r="BQ396" s="3"/>
      <c r="BR396" s="3"/>
      <c r="BS396" s="3"/>
      <c r="BT396" s="3"/>
      <c r="BU396" s="3"/>
      <c r="BV396" s="3"/>
      <c r="BW396" s="3"/>
      <c r="BX396" s="3"/>
      <c r="BY396" s="3"/>
      <c r="BZ396" s="3"/>
      <c r="CA396" s="3"/>
      <c r="CB396" s="3"/>
    </row>
    <row r="397" spans="2:80" s="489" customFormat="1" ht="15" hidden="1">
      <c r="B397" s="1278"/>
      <c r="C397" s="2179"/>
      <c r="D397" s="2159"/>
      <c r="E397" s="2147" t="s">
        <v>4284</v>
      </c>
      <c r="F397" s="2148"/>
      <c r="G397" s="519">
        <f t="shared" si="103"/>
        <v>0</v>
      </c>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E397" s="520"/>
      <c r="AF397" s="520"/>
      <c r="AG397" s="520"/>
      <c r="AH397" s="520"/>
      <c r="AI397" s="520"/>
      <c r="AJ397" s="520"/>
      <c r="AK397" s="520"/>
      <c r="AL397" s="520"/>
      <c r="AM397" s="520"/>
      <c r="AN397" s="520"/>
      <c r="AO397" s="520"/>
      <c r="AP397" s="520"/>
      <c r="AQ397" s="521" t="e">
        <f>+G397/'11. Unit Mix'!$G$142</f>
        <v>#DIV/0!</v>
      </c>
      <c r="AR397" s="921" t="e">
        <f t="shared" si="104"/>
        <v>#DIV/0!</v>
      </c>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3"/>
      <c r="BN397" s="3"/>
      <c r="BO397" s="3"/>
      <c r="BP397" s="3"/>
      <c r="BQ397" s="3"/>
      <c r="BR397" s="3"/>
      <c r="BS397" s="3"/>
      <c r="BT397" s="3"/>
      <c r="BU397" s="3"/>
      <c r="BV397" s="3"/>
      <c r="BW397" s="3"/>
      <c r="BX397" s="3"/>
      <c r="BY397" s="3"/>
      <c r="BZ397" s="3"/>
      <c r="CA397" s="3"/>
      <c r="CB397" s="3"/>
    </row>
    <row r="398" spans="2:80" s="489" customFormat="1" ht="15" hidden="1">
      <c r="B398" s="1278"/>
      <c r="C398" s="2179"/>
      <c r="D398" s="2159"/>
      <c r="E398" s="2147" t="s">
        <v>4285</v>
      </c>
      <c r="F398" s="2148"/>
      <c r="G398" s="519">
        <f t="shared" si="103"/>
        <v>0</v>
      </c>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0"/>
      <c r="AH398" s="520"/>
      <c r="AI398" s="520"/>
      <c r="AJ398" s="520"/>
      <c r="AK398" s="520"/>
      <c r="AL398" s="520"/>
      <c r="AM398" s="520"/>
      <c r="AN398" s="520"/>
      <c r="AO398" s="520"/>
      <c r="AP398" s="520"/>
      <c r="AQ398" s="521" t="e">
        <f>+G398/'11. Unit Mix'!$G$142</f>
        <v>#DIV/0!</v>
      </c>
      <c r="AR398" s="921" t="e">
        <f t="shared" si="104"/>
        <v>#DIV/0!</v>
      </c>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3"/>
      <c r="BN398" s="3"/>
      <c r="BO398" s="3"/>
      <c r="BP398" s="3"/>
      <c r="BQ398" s="3"/>
      <c r="BR398" s="3"/>
      <c r="BS398" s="3"/>
      <c r="BT398" s="3"/>
      <c r="BU398" s="3"/>
      <c r="BV398" s="3"/>
      <c r="BW398" s="3"/>
      <c r="BX398" s="3"/>
      <c r="BY398" s="3"/>
      <c r="BZ398" s="3"/>
      <c r="CA398" s="3"/>
      <c r="CB398" s="3"/>
    </row>
    <row r="399" spans="2:80" s="489" customFormat="1" ht="14.5" hidden="1" customHeight="1">
      <c r="B399" s="1278"/>
      <c r="C399" s="2179"/>
      <c r="D399" s="2181" t="s">
        <v>4286</v>
      </c>
      <c r="E399" s="2147" t="s">
        <v>4287</v>
      </c>
      <c r="F399" s="2148"/>
      <c r="G399" s="519">
        <f t="shared" si="103"/>
        <v>0</v>
      </c>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0"/>
      <c r="AH399" s="520"/>
      <c r="AI399" s="520"/>
      <c r="AJ399" s="520"/>
      <c r="AK399" s="520"/>
      <c r="AL399" s="520"/>
      <c r="AM399" s="520"/>
      <c r="AN399" s="520"/>
      <c r="AO399" s="520"/>
      <c r="AP399" s="520"/>
      <c r="AQ399" s="521" t="e">
        <f>+G399/'11. Unit Mix'!$G$142</f>
        <v>#DIV/0!</v>
      </c>
      <c r="AR399" s="921" t="e">
        <f t="shared" si="104"/>
        <v>#DIV/0!</v>
      </c>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3"/>
      <c r="BN399" s="3"/>
      <c r="BO399" s="3"/>
      <c r="BP399" s="3"/>
      <c r="BQ399" s="3"/>
      <c r="BR399" s="3"/>
      <c r="BS399" s="3"/>
      <c r="BT399" s="3"/>
      <c r="BU399" s="3"/>
      <c r="BV399" s="3"/>
      <c r="BW399" s="3"/>
      <c r="BX399" s="3"/>
      <c r="BY399" s="3"/>
      <c r="BZ399" s="3"/>
      <c r="CA399" s="3"/>
      <c r="CB399" s="3"/>
    </row>
    <row r="400" spans="2:80" s="489" customFormat="1" ht="14.5" hidden="1" customHeight="1">
      <c r="B400" s="1278"/>
      <c r="C400" s="2179"/>
      <c r="D400" s="2182"/>
      <c r="E400" s="2147" t="s">
        <v>4288</v>
      </c>
      <c r="F400" s="2148"/>
      <c r="G400" s="519">
        <f t="shared" si="103"/>
        <v>0</v>
      </c>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c r="AJ400" s="520"/>
      <c r="AK400" s="520"/>
      <c r="AL400" s="520"/>
      <c r="AM400" s="520"/>
      <c r="AN400" s="520"/>
      <c r="AO400" s="520"/>
      <c r="AP400" s="520"/>
      <c r="AQ400" s="521" t="e">
        <f>+G400/'11. Unit Mix'!$G$142</f>
        <v>#DIV/0!</v>
      </c>
      <c r="AR400" s="921" t="e">
        <f t="shared" si="104"/>
        <v>#DIV/0!</v>
      </c>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3"/>
      <c r="BN400" s="3"/>
      <c r="BO400" s="3"/>
      <c r="BP400" s="3"/>
      <c r="BQ400" s="3"/>
      <c r="BR400" s="3"/>
      <c r="BS400" s="3"/>
      <c r="BT400" s="3"/>
      <c r="BU400" s="3"/>
      <c r="BV400" s="3"/>
      <c r="BW400" s="3"/>
      <c r="BX400" s="3"/>
      <c r="BY400" s="3"/>
      <c r="BZ400" s="3"/>
      <c r="CA400" s="3"/>
      <c r="CB400" s="3"/>
    </row>
    <row r="401" spans="2:80" s="489" customFormat="1" ht="14.5" hidden="1" customHeight="1">
      <c r="B401" s="1278"/>
      <c r="C401" s="2179"/>
      <c r="D401" s="2182"/>
      <c r="E401" s="2147" t="s">
        <v>4289</v>
      </c>
      <c r="F401" s="2148"/>
      <c r="G401" s="519">
        <f t="shared" si="103"/>
        <v>0</v>
      </c>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0"/>
      <c r="AH401" s="520"/>
      <c r="AI401" s="520"/>
      <c r="AJ401" s="520"/>
      <c r="AK401" s="520"/>
      <c r="AL401" s="520"/>
      <c r="AM401" s="520"/>
      <c r="AN401" s="520"/>
      <c r="AO401" s="520"/>
      <c r="AP401" s="520"/>
      <c r="AQ401" s="521" t="e">
        <f>+G401/'11. Unit Mix'!$G$142</f>
        <v>#DIV/0!</v>
      </c>
      <c r="AR401" s="921" t="e">
        <f t="shared" si="104"/>
        <v>#DIV/0!</v>
      </c>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3"/>
      <c r="BN401" s="3"/>
      <c r="BO401" s="3"/>
      <c r="BP401" s="3"/>
      <c r="BQ401" s="3"/>
      <c r="BR401" s="3"/>
      <c r="BS401" s="3"/>
      <c r="BT401" s="3"/>
      <c r="BU401" s="3"/>
      <c r="BV401" s="3"/>
      <c r="BW401" s="3"/>
      <c r="BX401" s="3"/>
      <c r="BY401" s="3"/>
      <c r="BZ401" s="3"/>
      <c r="CA401" s="3"/>
      <c r="CB401" s="3"/>
    </row>
    <row r="402" spans="2:80" s="489" customFormat="1" ht="14.5" hidden="1" customHeight="1">
      <c r="B402" s="1278"/>
      <c r="C402" s="2179"/>
      <c r="D402" s="2182"/>
      <c r="E402" s="1695" t="s">
        <v>4290</v>
      </c>
      <c r="F402" s="1696"/>
      <c r="G402" s="519">
        <f t="shared" si="103"/>
        <v>0</v>
      </c>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c r="AE402" s="520"/>
      <c r="AF402" s="520"/>
      <c r="AG402" s="520"/>
      <c r="AH402" s="520"/>
      <c r="AI402" s="520"/>
      <c r="AJ402" s="520"/>
      <c r="AK402" s="520"/>
      <c r="AL402" s="520"/>
      <c r="AM402" s="520"/>
      <c r="AN402" s="520"/>
      <c r="AO402" s="520"/>
      <c r="AP402" s="520"/>
      <c r="AQ402" s="521" t="e">
        <f>+G402/'11. Unit Mix'!$G$142</f>
        <v>#DIV/0!</v>
      </c>
      <c r="AR402" s="921" t="e">
        <f t="shared" si="104"/>
        <v>#DIV/0!</v>
      </c>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3"/>
      <c r="BN402" s="3"/>
      <c r="BO402" s="3"/>
      <c r="BP402" s="3"/>
      <c r="BQ402" s="3"/>
      <c r="BR402" s="3"/>
      <c r="BS402" s="3"/>
      <c r="BT402" s="3"/>
      <c r="BU402" s="3"/>
      <c r="BV402" s="3"/>
      <c r="BW402" s="3"/>
      <c r="BX402" s="3"/>
      <c r="BY402" s="3"/>
      <c r="BZ402" s="3"/>
      <c r="CA402" s="3"/>
      <c r="CB402" s="3"/>
    </row>
    <row r="403" spans="2:80" s="489" customFormat="1" ht="14.5" hidden="1" customHeight="1">
      <c r="B403" s="1278"/>
      <c r="C403" s="2179"/>
      <c r="D403" s="2183"/>
      <c r="E403" s="2147" t="s">
        <v>4291</v>
      </c>
      <c r="F403" s="2148"/>
      <c r="G403" s="519">
        <f t="shared" si="103"/>
        <v>0</v>
      </c>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c r="AE403" s="520"/>
      <c r="AF403" s="520"/>
      <c r="AG403" s="520"/>
      <c r="AH403" s="520"/>
      <c r="AI403" s="520"/>
      <c r="AJ403" s="520"/>
      <c r="AK403" s="520"/>
      <c r="AL403" s="520"/>
      <c r="AM403" s="520"/>
      <c r="AN403" s="520"/>
      <c r="AO403" s="520"/>
      <c r="AP403" s="520"/>
      <c r="AQ403" s="521" t="e">
        <f>+G403/'11. Unit Mix'!$G$142</f>
        <v>#DIV/0!</v>
      </c>
      <c r="AR403" s="921" t="e">
        <f t="shared" si="104"/>
        <v>#DIV/0!</v>
      </c>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3"/>
      <c r="BN403" s="3"/>
      <c r="BO403" s="3"/>
      <c r="BP403" s="3"/>
      <c r="BQ403" s="3"/>
      <c r="BR403" s="3"/>
      <c r="BS403" s="3"/>
      <c r="BT403" s="3"/>
      <c r="BU403" s="3"/>
      <c r="BV403" s="3"/>
      <c r="BW403" s="3"/>
      <c r="BX403" s="3"/>
      <c r="BY403" s="3"/>
      <c r="BZ403" s="3"/>
      <c r="CA403" s="3"/>
      <c r="CB403" s="3"/>
    </row>
    <row r="404" spans="2:80" s="489" customFormat="1" ht="14.5" hidden="1" customHeight="1">
      <c r="B404" s="1278"/>
      <c r="C404" s="2179"/>
      <c r="D404" s="2159" t="s">
        <v>4292</v>
      </c>
      <c r="E404" s="2147" t="s">
        <v>4293</v>
      </c>
      <c r="F404" s="2148"/>
      <c r="G404" s="519">
        <f t="shared" si="103"/>
        <v>0</v>
      </c>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c r="AE404" s="520"/>
      <c r="AF404" s="520"/>
      <c r="AG404" s="520"/>
      <c r="AH404" s="520"/>
      <c r="AI404" s="520"/>
      <c r="AJ404" s="520"/>
      <c r="AK404" s="520"/>
      <c r="AL404" s="520"/>
      <c r="AM404" s="520"/>
      <c r="AN404" s="520"/>
      <c r="AO404" s="520"/>
      <c r="AP404" s="520"/>
      <c r="AQ404" s="521" t="e">
        <f>+G404/'11. Unit Mix'!$G$142</f>
        <v>#DIV/0!</v>
      </c>
      <c r="AR404" s="921" t="e">
        <f t="shared" si="104"/>
        <v>#DIV/0!</v>
      </c>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3"/>
      <c r="BN404" s="3"/>
      <c r="BO404" s="3"/>
      <c r="BP404" s="3"/>
      <c r="BQ404" s="3"/>
      <c r="BR404" s="3"/>
      <c r="BS404" s="3"/>
      <c r="BT404" s="3"/>
      <c r="BU404" s="3"/>
      <c r="BV404" s="3"/>
      <c r="BW404" s="3"/>
      <c r="BX404" s="3"/>
      <c r="BY404" s="3"/>
      <c r="BZ404" s="3"/>
      <c r="CA404" s="3"/>
      <c r="CB404" s="3"/>
    </row>
    <row r="405" spans="2:80" s="489" customFormat="1" ht="14.5" hidden="1" customHeight="1">
      <c r="B405" s="1278"/>
      <c r="C405" s="2179"/>
      <c r="D405" s="2159"/>
      <c r="E405" s="2147" t="s">
        <v>4294</v>
      </c>
      <c r="F405" s="2148"/>
      <c r="G405" s="519">
        <f t="shared" si="103"/>
        <v>0</v>
      </c>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0"/>
      <c r="AH405" s="520"/>
      <c r="AI405" s="520"/>
      <c r="AJ405" s="520"/>
      <c r="AK405" s="520"/>
      <c r="AL405" s="520"/>
      <c r="AM405" s="520"/>
      <c r="AN405" s="520"/>
      <c r="AO405" s="520"/>
      <c r="AP405" s="520"/>
      <c r="AQ405" s="521" t="e">
        <f>+G405/'11. Unit Mix'!$G$142</f>
        <v>#DIV/0!</v>
      </c>
      <c r="AR405" s="921" t="e">
        <f t="shared" si="104"/>
        <v>#DIV/0!</v>
      </c>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3"/>
      <c r="BN405" s="3"/>
      <c r="BO405" s="3"/>
      <c r="BP405" s="3"/>
      <c r="BQ405" s="3"/>
      <c r="BR405" s="3"/>
      <c r="BS405" s="3"/>
      <c r="BT405" s="3"/>
      <c r="BU405" s="3"/>
      <c r="BV405" s="3"/>
      <c r="BW405" s="3"/>
      <c r="BX405" s="3"/>
      <c r="BY405" s="3"/>
      <c r="BZ405" s="3"/>
      <c r="CA405" s="3"/>
      <c r="CB405" s="3"/>
    </row>
    <row r="406" spans="2:80" s="489" customFormat="1" ht="14.5" hidden="1" customHeight="1">
      <c r="B406" s="1278"/>
      <c r="C406" s="2179"/>
      <c r="D406" s="2159"/>
      <c r="E406" s="2147" t="s">
        <v>4295</v>
      </c>
      <c r="F406" s="2148"/>
      <c r="G406" s="519">
        <f t="shared" si="103"/>
        <v>0</v>
      </c>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0"/>
      <c r="AH406" s="520"/>
      <c r="AI406" s="520"/>
      <c r="AJ406" s="520"/>
      <c r="AK406" s="520"/>
      <c r="AL406" s="520"/>
      <c r="AM406" s="520"/>
      <c r="AN406" s="520"/>
      <c r="AO406" s="520"/>
      <c r="AP406" s="520"/>
      <c r="AQ406" s="521" t="e">
        <f>+G406/'11. Unit Mix'!$G$142</f>
        <v>#DIV/0!</v>
      </c>
      <c r="AR406" s="921" t="e">
        <f t="shared" si="104"/>
        <v>#DIV/0!</v>
      </c>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3"/>
      <c r="BN406" s="3"/>
      <c r="BO406" s="3"/>
      <c r="BP406" s="3"/>
      <c r="BQ406" s="3"/>
      <c r="BR406" s="3"/>
      <c r="BS406" s="3"/>
      <c r="BT406" s="3"/>
      <c r="BU406" s="3"/>
      <c r="BV406" s="3"/>
      <c r="BW406" s="3"/>
      <c r="BX406" s="3"/>
      <c r="BY406" s="3"/>
      <c r="BZ406" s="3"/>
      <c r="CA406" s="3"/>
      <c r="CB406" s="3"/>
    </row>
    <row r="407" spans="2:80" s="489" customFormat="1" ht="14.5" hidden="1" customHeight="1">
      <c r="B407" s="1278"/>
      <c r="C407" s="2179"/>
      <c r="D407" s="2159"/>
      <c r="E407" s="1695" t="s">
        <v>4296</v>
      </c>
      <c r="F407" s="1696"/>
      <c r="G407" s="519">
        <f t="shared" si="103"/>
        <v>0</v>
      </c>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c r="AE407" s="520"/>
      <c r="AF407" s="520"/>
      <c r="AG407" s="520"/>
      <c r="AH407" s="520"/>
      <c r="AI407" s="520"/>
      <c r="AJ407" s="520"/>
      <c r="AK407" s="520"/>
      <c r="AL407" s="520"/>
      <c r="AM407" s="520"/>
      <c r="AN407" s="520"/>
      <c r="AO407" s="520"/>
      <c r="AP407" s="520"/>
      <c r="AQ407" s="521" t="e">
        <f>+G407/'11. Unit Mix'!$G$142</f>
        <v>#DIV/0!</v>
      </c>
      <c r="AR407" s="921" t="e">
        <f t="shared" si="104"/>
        <v>#DIV/0!</v>
      </c>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3"/>
      <c r="BN407" s="3"/>
      <c r="BO407" s="3"/>
      <c r="BP407" s="3"/>
      <c r="BQ407" s="3"/>
      <c r="BR407" s="3"/>
      <c r="BS407" s="3"/>
      <c r="BT407" s="3"/>
      <c r="BU407" s="3"/>
      <c r="BV407" s="3"/>
      <c r="BW407" s="3"/>
      <c r="BX407" s="3"/>
      <c r="BY407" s="3"/>
      <c r="BZ407" s="3"/>
      <c r="CA407" s="3"/>
      <c r="CB407" s="3"/>
    </row>
    <row r="408" spans="2:80" s="489" customFormat="1" ht="15" hidden="1">
      <c r="B408" s="1278"/>
      <c r="C408" s="2179"/>
      <c r="D408" s="2155"/>
      <c r="E408" s="2147" t="s">
        <v>4297</v>
      </c>
      <c r="F408" s="2148"/>
      <c r="G408" s="519">
        <f t="shared" si="103"/>
        <v>0</v>
      </c>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c r="AE408" s="520"/>
      <c r="AF408" s="520"/>
      <c r="AG408" s="520"/>
      <c r="AH408" s="520"/>
      <c r="AI408" s="520"/>
      <c r="AJ408" s="520"/>
      <c r="AK408" s="520"/>
      <c r="AL408" s="520"/>
      <c r="AM408" s="520"/>
      <c r="AN408" s="520"/>
      <c r="AO408" s="520"/>
      <c r="AP408" s="520"/>
      <c r="AQ408" s="521" t="e">
        <f>+G408/'11. Unit Mix'!$G$142</f>
        <v>#DIV/0!</v>
      </c>
      <c r="AR408" s="921" t="e">
        <f t="shared" si="104"/>
        <v>#DIV/0!</v>
      </c>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3"/>
      <c r="BN408" s="3"/>
      <c r="BO408" s="3"/>
      <c r="BP408" s="3"/>
      <c r="BQ408" s="3"/>
      <c r="BR408" s="3"/>
      <c r="BS408" s="3"/>
      <c r="BT408" s="3"/>
      <c r="BU408" s="3"/>
      <c r="BV408" s="3"/>
      <c r="BW408" s="3"/>
      <c r="BX408" s="3"/>
      <c r="BY408" s="3"/>
      <c r="BZ408" s="3"/>
      <c r="CA408" s="3"/>
      <c r="CB408" s="3"/>
    </row>
    <row r="409" spans="2:80" s="489" customFormat="1" ht="15" hidden="1">
      <c r="B409" s="1278"/>
      <c r="C409" s="2179"/>
      <c r="D409" s="2154" t="s">
        <v>347</v>
      </c>
      <c r="E409" s="493" t="s">
        <v>347</v>
      </c>
      <c r="F409" s="497"/>
      <c r="G409" s="519">
        <f t="shared" si="103"/>
        <v>0</v>
      </c>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c r="AE409" s="520"/>
      <c r="AF409" s="520"/>
      <c r="AG409" s="520"/>
      <c r="AH409" s="520"/>
      <c r="AI409" s="520"/>
      <c r="AJ409" s="520"/>
      <c r="AK409" s="520"/>
      <c r="AL409" s="520"/>
      <c r="AM409" s="520"/>
      <c r="AN409" s="520"/>
      <c r="AO409" s="520"/>
      <c r="AP409" s="520"/>
      <c r="AQ409" s="521" t="e">
        <f>+G409/'11. Unit Mix'!$G$142</f>
        <v>#DIV/0!</v>
      </c>
      <c r="AR409" s="921" t="e">
        <f t="shared" si="104"/>
        <v>#DIV/0!</v>
      </c>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3"/>
      <c r="BN409" s="3"/>
      <c r="BO409" s="3"/>
      <c r="BP409" s="3"/>
      <c r="BQ409" s="3"/>
      <c r="BR409" s="3"/>
      <c r="BS409" s="3"/>
      <c r="BT409" s="3"/>
      <c r="BU409" s="3"/>
      <c r="BV409" s="3"/>
      <c r="BW409" s="3"/>
      <c r="BX409" s="3"/>
      <c r="BY409" s="3"/>
      <c r="BZ409" s="3"/>
      <c r="CA409" s="3"/>
      <c r="CB409" s="3"/>
    </row>
    <row r="410" spans="2:80" s="489" customFormat="1" ht="15" hidden="1">
      <c r="B410" s="1278"/>
      <c r="C410" s="2180"/>
      <c r="D410" s="2155"/>
      <c r="E410" s="493" t="s">
        <v>347</v>
      </c>
      <c r="F410" s="497"/>
      <c r="G410" s="519">
        <f t="shared" si="103"/>
        <v>0</v>
      </c>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0"/>
      <c r="AH410" s="520"/>
      <c r="AI410" s="520"/>
      <c r="AJ410" s="520"/>
      <c r="AK410" s="520"/>
      <c r="AL410" s="520"/>
      <c r="AM410" s="520"/>
      <c r="AN410" s="520"/>
      <c r="AO410" s="520"/>
      <c r="AP410" s="520"/>
      <c r="AQ410" s="521" t="e">
        <f>+G410/'11. Unit Mix'!$G$142</f>
        <v>#DIV/0!</v>
      </c>
      <c r="AR410" s="921" t="e">
        <f t="shared" si="104"/>
        <v>#DIV/0!</v>
      </c>
      <c r="AS410" s="1084"/>
      <c r="AT410" s="1084"/>
      <c r="AU410" s="1084"/>
      <c r="AV410" s="1084"/>
      <c r="AW410" s="1084"/>
      <c r="AX410" s="1084"/>
      <c r="AY410" s="1084"/>
      <c r="AZ410" s="1084"/>
      <c r="BA410" s="1084"/>
      <c r="BB410" s="1084"/>
      <c r="BC410" s="1084"/>
      <c r="BD410" s="1084"/>
      <c r="BE410" s="1084"/>
      <c r="BF410" s="1084"/>
      <c r="BG410" s="1084"/>
      <c r="BH410" s="131"/>
      <c r="BI410" s="131"/>
      <c r="BJ410" s="131"/>
      <c r="BK410" s="131"/>
      <c r="BL410" s="131"/>
      <c r="BM410" s="3"/>
      <c r="BN410" s="3"/>
      <c r="BO410" s="3"/>
      <c r="BP410" s="3"/>
      <c r="BQ410" s="3"/>
      <c r="BR410" s="3"/>
      <c r="BS410" s="3"/>
      <c r="BT410" s="3"/>
      <c r="BU410" s="3"/>
      <c r="BV410" s="3"/>
      <c r="BW410" s="3"/>
      <c r="BX410" s="3"/>
      <c r="BY410" s="3"/>
      <c r="BZ410" s="3"/>
      <c r="CA410" s="3"/>
      <c r="CB410" s="3"/>
    </row>
    <row r="411" spans="2:80" s="489" customFormat="1" hidden="1">
      <c r="B411" s="1278"/>
      <c r="C411" s="618"/>
      <c r="D411" s="619"/>
      <c r="E411" s="2163" t="s">
        <v>4298</v>
      </c>
      <c r="F411" s="2164"/>
      <c r="G411" s="519">
        <f t="shared" si="103"/>
        <v>0</v>
      </c>
      <c r="H411" s="522">
        <f t="shared" ref="H411:AP411" si="105">SUM(H392:H410)</f>
        <v>0</v>
      </c>
      <c r="I411" s="522">
        <f t="shared" si="105"/>
        <v>0</v>
      </c>
      <c r="J411" s="522">
        <f t="shared" si="105"/>
        <v>0</v>
      </c>
      <c r="K411" s="522">
        <f t="shared" si="105"/>
        <v>0</v>
      </c>
      <c r="L411" s="522">
        <f t="shared" si="105"/>
        <v>0</v>
      </c>
      <c r="M411" s="522">
        <f t="shared" si="105"/>
        <v>0</v>
      </c>
      <c r="N411" s="522">
        <f t="shared" si="105"/>
        <v>0</v>
      </c>
      <c r="O411" s="522">
        <f t="shared" si="105"/>
        <v>0</v>
      </c>
      <c r="P411" s="522">
        <f t="shared" si="105"/>
        <v>0</v>
      </c>
      <c r="Q411" s="522">
        <f t="shared" si="105"/>
        <v>0</v>
      </c>
      <c r="R411" s="522">
        <f t="shared" si="105"/>
        <v>0</v>
      </c>
      <c r="S411" s="522">
        <f t="shared" si="105"/>
        <v>0</v>
      </c>
      <c r="T411" s="522">
        <f t="shared" si="105"/>
        <v>0</v>
      </c>
      <c r="U411" s="522">
        <f t="shared" si="105"/>
        <v>0</v>
      </c>
      <c r="V411" s="522">
        <f t="shared" si="105"/>
        <v>0</v>
      </c>
      <c r="W411" s="522">
        <f t="shared" si="105"/>
        <v>0</v>
      </c>
      <c r="X411" s="522">
        <f t="shared" si="105"/>
        <v>0</v>
      </c>
      <c r="Y411" s="522">
        <f t="shared" si="105"/>
        <v>0</v>
      </c>
      <c r="Z411" s="522">
        <f t="shared" si="105"/>
        <v>0</v>
      </c>
      <c r="AA411" s="522">
        <f t="shared" si="105"/>
        <v>0</v>
      </c>
      <c r="AB411" s="522">
        <f t="shared" si="105"/>
        <v>0</v>
      </c>
      <c r="AC411" s="522">
        <f t="shared" si="105"/>
        <v>0</v>
      </c>
      <c r="AD411" s="522">
        <f t="shared" si="105"/>
        <v>0</v>
      </c>
      <c r="AE411" s="522">
        <f t="shared" si="105"/>
        <v>0</v>
      </c>
      <c r="AF411" s="522">
        <f t="shared" si="105"/>
        <v>0</v>
      </c>
      <c r="AG411" s="522">
        <f t="shared" si="105"/>
        <v>0</v>
      </c>
      <c r="AH411" s="522">
        <f t="shared" si="105"/>
        <v>0</v>
      </c>
      <c r="AI411" s="522">
        <f t="shared" si="105"/>
        <v>0</v>
      </c>
      <c r="AJ411" s="522">
        <f t="shared" si="105"/>
        <v>0</v>
      </c>
      <c r="AK411" s="522">
        <f t="shared" si="105"/>
        <v>0</v>
      </c>
      <c r="AL411" s="522">
        <f t="shared" si="105"/>
        <v>0</v>
      </c>
      <c r="AM411" s="522">
        <f t="shared" si="105"/>
        <v>0</v>
      </c>
      <c r="AN411" s="522">
        <f t="shared" si="105"/>
        <v>0</v>
      </c>
      <c r="AO411" s="522">
        <f t="shared" si="105"/>
        <v>0</v>
      </c>
      <c r="AP411" s="522">
        <f t="shared" si="105"/>
        <v>0</v>
      </c>
      <c r="AQ411" s="627"/>
      <c r="AR411" s="523"/>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3"/>
      <c r="BN411" s="3"/>
      <c r="BO411" s="3"/>
      <c r="BP411" s="3"/>
      <c r="BQ411" s="3"/>
      <c r="BR411" s="3"/>
      <c r="BS411" s="3"/>
      <c r="BT411" s="3"/>
      <c r="BU411" s="3"/>
      <c r="BV411" s="3"/>
      <c r="BW411" s="3"/>
      <c r="BX411" s="3"/>
      <c r="BY411" s="3"/>
      <c r="BZ411" s="3"/>
      <c r="CA411" s="3"/>
      <c r="CB411" s="3"/>
    </row>
    <row r="412" spans="2:80" s="489" customFormat="1" hidden="1">
      <c r="B412" s="1278"/>
      <c r="C412" s="618"/>
      <c r="D412" s="619"/>
      <c r="E412" s="500" t="s">
        <v>4142</v>
      </c>
      <c r="F412" s="501"/>
      <c r="G412" s="524">
        <v>0</v>
      </c>
      <c r="H412" s="25"/>
      <c r="I412" s="25"/>
      <c r="J412" s="25"/>
      <c r="K412" s="25"/>
      <c r="L412" s="25"/>
      <c r="M412" s="25"/>
      <c r="N412" s="25"/>
      <c r="O412" s="25"/>
      <c r="P412" s="25"/>
      <c r="Q412" s="25"/>
      <c r="R412" s="25"/>
      <c r="S412" s="25"/>
      <c r="T412" s="25"/>
      <c r="U412" s="25"/>
      <c r="V412" s="627"/>
      <c r="W412" s="627"/>
      <c r="X412" s="627"/>
      <c r="Y412" s="627"/>
      <c r="Z412" s="627"/>
      <c r="AA412" s="627"/>
      <c r="AB412" s="627"/>
      <c r="AC412" s="627"/>
      <c r="AD412" s="627"/>
      <c r="AE412" s="627"/>
      <c r="AF412" s="627"/>
      <c r="AG412" s="627"/>
      <c r="AH412" s="627"/>
      <c r="AI412" s="627"/>
      <c r="AJ412" s="25"/>
      <c r="AK412" s="627"/>
      <c r="AL412" s="627"/>
      <c r="AM412" s="627"/>
      <c r="AN412" s="627"/>
      <c r="AO412" s="627"/>
      <c r="AP412" s="627"/>
      <c r="AQ412" s="627"/>
      <c r="AR412" s="523"/>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3"/>
      <c r="BN412" s="3"/>
      <c r="BO412" s="3"/>
      <c r="BP412" s="3"/>
      <c r="BQ412" s="3"/>
      <c r="BR412" s="3"/>
      <c r="BS412" s="3"/>
      <c r="BT412" s="3"/>
      <c r="BU412" s="3"/>
      <c r="BV412" s="3"/>
      <c r="BW412" s="3"/>
      <c r="BX412" s="3"/>
      <c r="BY412" s="3"/>
      <c r="BZ412" s="3"/>
      <c r="CA412" s="3"/>
      <c r="CB412" s="3"/>
    </row>
    <row r="413" spans="2:80" ht="15.5" hidden="1" customHeight="1">
      <c r="B413" s="1278"/>
      <c r="C413" s="21"/>
      <c r="D413" s="614"/>
      <c r="E413" s="800"/>
      <c r="F413" s="1725"/>
      <c r="G413" s="739"/>
      <c r="H413" s="739"/>
      <c r="I413" s="739"/>
      <c r="J413" s="739"/>
      <c r="K413" s="739"/>
      <c r="L413" s="739"/>
      <c r="M413" s="739"/>
      <c r="N413" s="739"/>
      <c r="O413" s="739"/>
      <c r="P413" s="739"/>
      <c r="Q413" s="739"/>
      <c r="R413" s="739"/>
      <c r="S413" s="739"/>
      <c r="T413" s="739"/>
      <c r="U413" s="739"/>
      <c r="V413" s="739"/>
      <c r="W413" s="739"/>
      <c r="X413" s="739"/>
      <c r="Y413" s="739"/>
      <c r="Z413" s="739"/>
      <c r="AA413" s="739"/>
      <c r="AB413" s="739"/>
      <c r="AC413" s="739"/>
      <c r="AD413" s="739"/>
      <c r="AE413" s="739"/>
      <c r="AF413" s="739"/>
      <c r="AG413" s="739"/>
      <c r="AH413" s="739"/>
      <c r="AI413" s="739"/>
      <c r="AJ413" s="739"/>
      <c r="AK413" s="739"/>
      <c r="AL413" s="739"/>
      <c r="AM413" s="739"/>
      <c r="AN413" s="739"/>
      <c r="AO413" s="739"/>
      <c r="AP413" s="739"/>
      <c r="AQ413" s="739"/>
    </row>
    <row r="414" spans="2:80" s="489" customFormat="1" ht="15.5" hidden="1" customHeight="1">
      <c r="B414" s="1278"/>
      <c r="C414" s="618"/>
      <c r="D414" s="2165" t="s">
        <v>4299</v>
      </c>
      <c r="E414" s="502" t="s">
        <v>4143</v>
      </c>
      <c r="F414" s="525">
        <v>0</v>
      </c>
      <c r="G414" s="522">
        <f>(G265+G276+G288+G316+G327+G338+G364+G390+G411)*F414</f>
        <v>0</v>
      </c>
      <c r="H414" s="630"/>
      <c r="I414" s="630"/>
      <c r="J414" s="630"/>
      <c r="K414" s="630"/>
      <c r="L414" s="630"/>
      <c r="M414" s="630"/>
      <c r="N414" s="630"/>
      <c r="O414" s="630"/>
      <c r="P414" s="630"/>
      <c r="Q414" s="630"/>
      <c r="R414" s="630"/>
      <c r="S414" s="630"/>
      <c r="T414" s="630"/>
      <c r="U414" s="630"/>
      <c r="V414" s="628"/>
      <c r="W414" s="628"/>
      <c r="X414" s="628"/>
      <c r="Y414" s="628"/>
      <c r="Z414" s="628"/>
      <c r="AA414" s="628"/>
      <c r="AB414" s="628"/>
      <c r="AC414" s="628"/>
      <c r="AD414" s="628"/>
      <c r="AE414" s="628"/>
      <c r="AF414" s="628"/>
      <c r="AG414" s="628"/>
      <c r="AH414" s="628"/>
      <c r="AI414" s="628"/>
      <c r="AJ414" s="630"/>
      <c r="AK414" s="628"/>
      <c r="AL414" s="628"/>
      <c r="AM414" s="628"/>
      <c r="AN414" s="628"/>
      <c r="AO414" s="628"/>
      <c r="AP414" s="628"/>
      <c r="AQ414" s="627"/>
      <c r="AR414" s="523"/>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3"/>
      <c r="BN414" s="3"/>
      <c r="BO414" s="3"/>
      <c r="BP414" s="3"/>
      <c r="BQ414" s="3"/>
      <c r="BR414" s="3"/>
      <c r="BS414" s="3"/>
      <c r="BT414" s="3"/>
      <c r="BU414" s="3"/>
      <c r="BV414" s="3"/>
      <c r="BW414" s="3"/>
      <c r="BX414" s="3"/>
      <c r="BY414" s="3"/>
      <c r="BZ414" s="3"/>
      <c r="CA414" s="3"/>
      <c r="CB414" s="3"/>
    </row>
    <row r="415" spans="2:80" hidden="1">
      <c r="B415" s="1278"/>
      <c r="C415" s="21"/>
      <c r="D415" s="2165"/>
      <c r="E415" s="502" t="s">
        <v>4300</v>
      </c>
      <c r="F415" s="525">
        <v>0</v>
      </c>
      <c r="G415" s="522">
        <f>(G265+G276+G288+G316+G327+G338+G364+G390+G411)*F415</f>
        <v>0</v>
      </c>
      <c r="H415" s="631"/>
      <c r="I415" s="631"/>
      <c r="J415" s="631"/>
      <c r="K415" s="631"/>
      <c r="L415" s="631"/>
      <c r="M415" s="631"/>
      <c r="N415" s="631"/>
      <c r="O415" s="631"/>
      <c r="P415" s="631"/>
      <c r="Q415" s="631"/>
      <c r="R415" s="631"/>
      <c r="S415" s="631"/>
      <c r="T415" s="631"/>
      <c r="U415" s="631"/>
      <c r="V415" s="739"/>
      <c r="W415" s="739"/>
      <c r="X415" s="739"/>
      <c r="Y415" s="739"/>
      <c r="Z415" s="739"/>
      <c r="AA415" s="739"/>
      <c r="AB415" s="739"/>
      <c r="AC415" s="739"/>
      <c r="AD415" s="739"/>
      <c r="AE415" s="739"/>
      <c r="AF415" s="739"/>
      <c r="AG415" s="739"/>
      <c r="AH415" s="739"/>
      <c r="AI415" s="739"/>
      <c r="AJ415" s="631"/>
      <c r="AK415" s="739"/>
      <c r="AL415" s="739"/>
      <c r="AM415" s="739"/>
      <c r="AN415" s="739"/>
      <c r="AO415" s="739"/>
      <c r="AP415" s="739"/>
      <c r="AQ415" s="739"/>
    </row>
    <row r="416" spans="2:80" hidden="1">
      <c r="B416" s="1278"/>
      <c r="C416" s="21"/>
      <c r="D416" s="2165"/>
      <c r="E416" s="500" t="s">
        <v>4301</v>
      </c>
      <c r="F416" s="501"/>
      <c r="G416" s="524">
        <f>G412+G415</f>
        <v>0</v>
      </c>
      <c r="H416" s="631"/>
      <c r="I416" s="631"/>
      <c r="J416" s="631"/>
      <c r="K416" s="631"/>
      <c r="L416" s="631"/>
      <c r="M416" s="631"/>
      <c r="N416" s="631"/>
      <c r="O416" s="631"/>
      <c r="P416" s="631"/>
      <c r="Q416" s="631"/>
      <c r="R416" s="631"/>
      <c r="S416" s="631"/>
      <c r="T416" s="631"/>
      <c r="U416" s="631"/>
      <c r="V416" s="739"/>
      <c r="W416" s="739"/>
      <c r="X416" s="739"/>
      <c r="Y416" s="739"/>
      <c r="Z416" s="739"/>
      <c r="AA416" s="739"/>
      <c r="AB416" s="739"/>
      <c r="AC416" s="739"/>
      <c r="AD416" s="739"/>
      <c r="AE416" s="739"/>
      <c r="AF416" s="739"/>
      <c r="AG416" s="739"/>
      <c r="AH416" s="739"/>
      <c r="AI416" s="739"/>
      <c r="AJ416" s="631"/>
      <c r="AK416" s="739"/>
      <c r="AL416" s="739"/>
      <c r="AM416" s="739"/>
      <c r="AN416" s="739"/>
      <c r="AO416" s="739"/>
      <c r="AP416" s="739"/>
      <c r="AQ416" s="739"/>
    </row>
    <row r="417" spans="2:50" hidden="1">
      <c r="B417" s="1278"/>
      <c r="C417" s="21"/>
      <c r="D417" s="2165"/>
      <c r="E417" s="800"/>
      <c r="F417" s="1725"/>
      <c r="G417" s="739"/>
      <c r="H417" s="739"/>
      <c r="I417" s="739"/>
      <c r="J417" s="739"/>
      <c r="K417" s="739"/>
      <c r="L417" s="739"/>
      <c r="M417" s="739"/>
      <c r="N417" s="739"/>
      <c r="O417" s="739"/>
      <c r="P417" s="739"/>
      <c r="Q417" s="739"/>
      <c r="R417" s="739"/>
      <c r="S417" s="739"/>
      <c r="T417" s="739"/>
      <c r="U417" s="739"/>
      <c r="V417" s="739"/>
      <c r="W417" s="739"/>
      <c r="X417" s="739"/>
      <c r="Y417" s="739"/>
      <c r="Z417" s="739"/>
      <c r="AA417" s="739"/>
      <c r="AB417" s="739"/>
      <c r="AC417" s="739"/>
      <c r="AD417" s="739"/>
      <c r="AE417" s="739"/>
      <c r="AF417" s="739"/>
      <c r="AG417" s="739"/>
      <c r="AH417" s="739"/>
      <c r="AI417" s="739"/>
      <c r="AJ417" s="739"/>
      <c r="AK417" s="739"/>
      <c r="AL417" s="739"/>
      <c r="AM417" s="739"/>
      <c r="AN417" s="739"/>
      <c r="AO417" s="739"/>
      <c r="AP417" s="739"/>
      <c r="AQ417" s="739"/>
    </row>
    <row r="418" spans="2:50" hidden="1">
      <c r="B418" s="1278"/>
      <c r="C418" s="21"/>
      <c r="D418" s="629"/>
      <c r="E418" s="632"/>
      <c r="F418" s="633"/>
      <c r="G418" s="739"/>
      <c r="H418" s="739"/>
      <c r="I418" s="739"/>
      <c r="J418" s="739"/>
      <c r="K418" s="739"/>
      <c r="L418" s="739"/>
      <c r="M418" s="739"/>
      <c r="N418" s="739"/>
      <c r="O418" s="739"/>
      <c r="P418" s="739"/>
      <c r="Q418" s="739"/>
      <c r="R418" s="739"/>
      <c r="S418" s="739"/>
      <c r="T418" s="739"/>
      <c r="U418" s="739"/>
      <c r="V418" s="739"/>
      <c r="W418" s="739"/>
      <c r="X418" s="739"/>
      <c r="Y418" s="739"/>
      <c r="Z418" s="739"/>
      <c r="AA418" s="739"/>
      <c r="AB418" s="739"/>
      <c r="AC418" s="739"/>
      <c r="AD418" s="739"/>
      <c r="AE418" s="739"/>
      <c r="AF418" s="739"/>
      <c r="AG418" s="739"/>
      <c r="AH418" s="739"/>
      <c r="AI418" s="739"/>
      <c r="AJ418" s="739"/>
      <c r="AK418" s="739"/>
      <c r="AL418" s="739"/>
      <c r="AM418" s="739"/>
      <c r="AN418" s="739"/>
      <c r="AO418" s="739"/>
      <c r="AP418" s="739"/>
      <c r="AQ418" s="739"/>
    </row>
    <row r="419" spans="2:50" ht="15.5" hidden="1" customHeight="1">
      <c r="B419" s="1278"/>
      <c r="C419" s="21"/>
      <c r="D419" s="629"/>
      <c r="E419" s="2166" t="s">
        <v>4302</v>
      </c>
      <c r="F419" s="2167"/>
      <c r="G419" s="2167"/>
      <c r="H419" s="2167"/>
      <c r="I419" s="2167"/>
      <c r="J419" s="2167"/>
      <c r="K419" s="2167"/>
      <c r="L419" s="2167"/>
      <c r="M419" s="2167"/>
      <c r="N419" s="2167"/>
      <c r="O419" s="2167"/>
      <c r="P419" s="2167"/>
      <c r="Q419" s="2167"/>
      <c r="R419" s="2167"/>
      <c r="S419" s="2167"/>
      <c r="T419" s="2167"/>
      <c r="U419" s="2167"/>
      <c r="V419" s="2167"/>
      <c r="W419" s="2167"/>
      <c r="X419" s="2167"/>
      <c r="Y419" s="2167"/>
      <c r="Z419" s="2167"/>
      <c r="AA419" s="2167"/>
      <c r="AB419" s="2167"/>
      <c r="AC419" s="2167"/>
      <c r="AD419" s="2167"/>
      <c r="AE419" s="2167"/>
      <c r="AF419" s="2167"/>
      <c r="AG419" s="2167"/>
      <c r="AH419" s="2167"/>
      <c r="AI419" s="2167"/>
      <c r="AJ419" s="2167"/>
      <c r="AK419" s="2167"/>
      <c r="AL419" s="2167"/>
      <c r="AM419" s="2167"/>
      <c r="AN419" s="2167"/>
      <c r="AO419" s="2167"/>
      <c r="AP419" s="2167"/>
      <c r="AQ419" s="2168"/>
    </row>
    <row r="420" spans="2:50" hidden="1">
      <c r="B420" s="1278"/>
      <c r="C420" s="21"/>
      <c r="D420" s="629"/>
      <c r="E420" s="2169"/>
      <c r="F420" s="2170"/>
      <c r="G420" s="2170"/>
      <c r="H420" s="2170"/>
      <c r="I420" s="2170"/>
      <c r="J420" s="2170"/>
      <c r="K420" s="2170"/>
      <c r="L420" s="2170"/>
      <c r="M420" s="2170"/>
      <c r="N420" s="2170"/>
      <c r="O420" s="2170"/>
      <c r="P420" s="2170"/>
      <c r="Q420" s="2170"/>
      <c r="R420" s="2170"/>
      <c r="S420" s="2170"/>
      <c r="T420" s="2170"/>
      <c r="U420" s="2170"/>
      <c r="V420" s="2170"/>
      <c r="W420" s="2170"/>
      <c r="X420" s="2170"/>
      <c r="Y420" s="2170"/>
      <c r="Z420" s="2170"/>
      <c r="AA420" s="2170"/>
      <c r="AB420" s="2170"/>
      <c r="AC420" s="2170"/>
      <c r="AD420" s="2170"/>
      <c r="AE420" s="2170"/>
      <c r="AF420" s="2170"/>
      <c r="AG420" s="2170"/>
      <c r="AH420" s="2170"/>
      <c r="AI420" s="2170"/>
      <c r="AJ420" s="2170"/>
      <c r="AK420" s="2170"/>
      <c r="AL420" s="2170"/>
      <c r="AM420" s="2170"/>
      <c r="AN420" s="2170"/>
      <c r="AO420" s="2170"/>
      <c r="AP420" s="2170"/>
      <c r="AQ420" s="2171"/>
    </row>
    <row r="421" spans="2:50" hidden="1">
      <c r="B421" s="1278"/>
      <c r="C421" s="21"/>
      <c r="D421" s="629"/>
      <c r="E421" s="2172"/>
      <c r="F421" s="2173"/>
      <c r="G421" s="2173"/>
      <c r="H421" s="2173"/>
      <c r="I421" s="2173"/>
      <c r="J421" s="2173"/>
      <c r="K421" s="2173"/>
      <c r="L421" s="2173"/>
      <c r="M421" s="2173"/>
      <c r="N421" s="2173"/>
      <c r="O421" s="2173"/>
      <c r="P421" s="2173"/>
      <c r="Q421" s="2173"/>
      <c r="R421" s="2173"/>
      <c r="S421" s="2173"/>
      <c r="T421" s="2173"/>
      <c r="U421" s="2173"/>
      <c r="V421" s="2173"/>
      <c r="W421" s="2173"/>
      <c r="X421" s="2173"/>
      <c r="Y421" s="2173"/>
      <c r="Z421" s="2173"/>
      <c r="AA421" s="2173"/>
      <c r="AB421" s="2173"/>
      <c r="AC421" s="2173"/>
      <c r="AD421" s="2173"/>
      <c r="AE421" s="2173"/>
      <c r="AF421" s="2173"/>
      <c r="AG421" s="2173"/>
      <c r="AH421" s="2173"/>
      <c r="AI421" s="2173"/>
      <c r="AJ421" s="2173"/>
      <c r="AK421" s="2173"/>
      <c r="AL421" s="2173"/>
      <c r="AM421" s="2173"/>
      <c r="AN421" s="2173"/>
      <c r="AO421" s="2173"/>
      <c r="AP421" s="2173"/>
      <c r="AQ421" s="2174"/>
    </row>
    <row r="422" spans="2:50" hidden="1">
      <c r="B422" s="1278"/>
      <c r="C422" s="21"/>
      <c r="D422" s="629"/>
      <c r="E422" s="2172"/>
      <c r="F422" s="2173"/>
      <c r="G422" s="2173"/>
      <c r="H422" s="2173"/>
      <c r="I422" s="2173"/>
      <c r="J422" s="2173"/>
      <c r="K422" s="2173"/>
      <c r="L422" s="2173"/>
      <c r="M422" s="2173"/>
      <c r="N422" s="2173"/>
      <c r="O422" s="2173"/>
      <c r="P422" s="2173"/>
      <c r="Q422" s="2173"/>
      <c r="R422" s="2173"/>
      <c r="S422" s="2173"/>
      <c r="T422" s="2173"/>
      <c r="U422" s="2173"/>
      <c r="V422" s="2173"/>
      <c r="W422" s="2173"/>
      <c r="X422" s="2173"/>
      <c r="Y422" s="2173"/>
      <c r="Z422" s="2173"/>
      <c r="AA422" s="2173"/>
      <c r="AB422" s="2173"/>
      <c r="AC422" s="2173"/>
      <c r="AD422" s="2173"/>
      <c r="AE422" s="2173"/>
      <c r="AF422" s="2173"/>
      <c r="AG422" s="2173"/>
      <c r="AH422" s="2173"/>
      <c r="AI422" s="2173"/>
      <c r="AJ422" s="2173"/>
      <c r="AK422" s="2173"/>
      <c r="AL422" s="2173"/>
      <c r="AM422" s="2173"/>
      <c r="AN422" s="2173"/>
      <c r="AO422" s="2173"/>
      <c r="AP422" s="2173"/>
      <c r="AQ422" s="2174"/>
    </row>
    <row r="423" spans="2:50" hidden="1">
      <c r="B423" s="1278"/>
      <c r="C423" s="21"/>
      <c r="D423" s="629"/>
      <c r="E423" s="2172"/>
      <c r="F423" s="2173"/>
      <c r="G423" s="2173"/>
      <c r="H423" s="2173"/>
      <c r="I423" s="2173"/>
      <c r="J423" s="2173"/>
      <c r="K423" s="2173"/>
      <c r="L423" s="2173"/>
      <c r="M423" s="2173"/>
      <c r="N423" s="2173"/>
      <c r="O423" s="2173"/>
      <c r="P423" s="2173"/>
      <c r="Q423" s="2173"/>
      <c r="R423" s="2173"/>
      <c r="S423" s="2173"/>
      <c r="T423" s="2173"/>
      <c r="U423" s="2173"/>
      <c r="V423" s="2173"/>
      <c r="W423" s="2173"/>
      <c r="X423" s="2173"/>
      <c r="Y423" s="2173"/>
      <c r="Z423" s="2173"/>
      <c r="AA423" s="2173"/>
      <c r="AB423" s="2173"/>
      <c r="AC423" s="2173"/>
      <c r="AD423" s="2173"/>
      <c r="AE423" s="2173"/>
      <c r="AF423" s="2173"/>
      <c r="AG423" s="2173"/>
      <c r="AH423" s="2173"/>
      <c r="AI423" s="2173"/>
      <c r="AJ423" s="2173"/>
      <c r="AK423" s="2173"/>
      <c r="AL423" s="2173"/>
      <c r="AM423" s="2173"/>
      <c r="AN423" s="2173"/>
      <c r="AO423" s="2173"/>
      <c r="AP423" s="2173"/>
      <c r="AQ423" s="2174"/>
    </row>
    <row r="424" spans="2:50" hidden="1">
      <c r="B424" s="1278"/>
      <c r="C424" s="21"/>
      <c r="D424" s="629"/>
      <c r="E424" s="2172"/>
      <c r="F424" s="2173"/>
      <c r="G424" s="2173"/>
      <c r="H424" s="2173"/>
      <c r="I424" s="2173"/>
      <c r="J424" s="2173"/>
      <c r="K424" s="2173"/>
      <c r="L424" s="2173"/>
      <c r="M424" s="2173"/>
      <c r="N424" s="2173"/>
      <c r="O424" s="2173"/>
      <c r="P424" s="2173"/>
      <c r="Q424" s="2173"/>
      <c r="R424" s="2173"/>
      <c r="S424" s="2173"/>
      <c r="T424" s="2173"/>
      <c r="U424" s="2173"/>
      <c r="V424" s="2173"/>
      <c r="W424" s="2173"/>
      <c r="X424" s="2173"/>
      <c r="Y424" s="2173"/>
      <c r="Z424" s="2173"/>
      <c r="AA424" s="2173"/>
      <c r="AB424" s="2173"/>
      <c r="AC424" s="2173"/>
      <c r="AD424" s="2173"/>
      <c r="AE424" s="2173"/>
      <c r="AF424" s="2173"/>
      <c r="AG424" s="2173"/>
      <c r="AH424" s="2173"/>
      <c r="AI424" s="2173"/>
      <c r="AJ424" s="2173"/>
      <c r="AK424" s="2173"/>
      <c r="AL424" s="2173"/>
      <c r="AM424" s="2173"/>
      <c r="AN424" s="2173"/>
      <c r="AO424" s="2173"/>
      <c r="AP424" s="2173"/>
      <c r="AQ424" s="2174"/>
    </row>
    <row r="425" spans="2:50" hidden="1">
      <c r="B425" s="1278"/>
      <c r="C425" s="21"/>
      <c r="D425" s="629"/>
      <c r="E425" s="2175"/>
      <c r="F425" s="2176"/>
      <c r="G425" s="2176"/>
      <c r="H425" s="2176"/>
      <c r="I425" s="2176"/>
      <c r="J425" s="2176"/>
      <c r="K425" s="2176"/>
      <c r="L425" s="2176"/>
      <c r="M425" s="2176"/>
      <c r="N425" s="2176"/>
      <c r="O425" s="2176"/>
      <c r="P425" s="2176"/>
      <c r="Q425" s="2176"/>
      <c r="R425" s="2176"/>
      <c r="S425" s="2176"/>
      <c r="T425" s="2176"/>
      <c r="U425" s="2176"/>
      <c r="V425" s="2176"/>
      <c r="W425" s="2176"/>
      <c r="X425" s="2176"/>
      <c r="Y425" s="2176"/>
      <c r="Z425" s="2176"/>
      <c r="AA425" s="2176"/>
      <c r="AB425" s="2176"/>
      <c r="AC425" s="2176"/>
      <c r="AD425" s="2176"/>
      <c r="AE425" s="2176"/>
      <c r="AF425" s="2176"/>
      <c r="AG425" s="2176"/>
      <c r="AH425" s="2176"/>
      <c r="AI425" s="2176"/>
      <c r="AJ425" s="2176"/>
      <c r="AK425" s="2176"/>
      <c r="AL425" s="2176"/>
      <c r="AM425" s="2176"/>
      <c r="AN425" s="2176"/>
      <c r="AO425" s="2176"/>
      <c r="AP425" s="2176"/>
      <c r="AQ425" s="2177"/>
    </row>
    <row r="426" spans="2:50" hidden="1">
      <c r="B426" s="1278"/>
      <c r="C426" s="21"/>
      <c r="D426" s="614"/>
      <c r="E426" s="800"/>
      <c r="F426" s="1725"/>
      <c r="G426" s="739"/>
      <c r="H426" s="739"/>
      <c r="I426" s="739"/>
      <c r="J426" s="739"/>
      <c r="K426" s="739"/>
      <c r="L426" s="739"/>
      <c r="M426" s="739"/>
      <c r="N426" s="739"/>
      <c r="O426" s="739"/>
      <c r="P426" s="739"/>
      <c r="Q426" s="739"/>
      <c r="R426" s="739"/>
      <c r="S426" s="739"/>
      <c r="T426" s="739"/>
      <c r="U426" s="739"/>
      <c r="V426" s="739"/>
      <c r="W426" s="739"/>
      <c r="X426" s="739"/>
      <c r="Y426" s="739"/>
      <c r="Z426" s="739"/>
      <c r="AA426" s="739"/>
      <c r="AB426" s="739"/>
      <c r="AC426" s="739"/>
      <c r="AD426" s="739"/>
      <c r="AE426" s="739"/>
      <c r="AF426" s="739"/>
      <c r="AG426" s="739"/>
      <c r="AH426" s="739"/>
      <c r="AI426" s="739"/>
      <c r="AJ426" s="739"/>
      <c r="AK426" s="739"/>
      <c r="AL426" s="739"/>
      <c r="AM426" s="739"/>
      <c r="AN426" s="739"/>
      <c r="AO426" s="739"/>
      <c r="AP426" s="739"/>
      <c r="AQ426" s="739"/>
    </row>
    <row r="427" spans="2:50" hidden="1">
      <c r="B427" s="1278"/>
      <c r="C427" s="21"/>
      <c r="D427" s="614"/>
      <c r="E427" s="800"/>
      <c r="F427" s="1725"/>
      <c r="G427" s="739"/>
      <c r="H427" s="739"/>
      <c r="I427" s="739"/>
      <c r="J427" s="739"/>
      <c r="K427" s="739"/>
      <c r="L427" s="739"/>
      <c r="M427" s="739"/>
      <c r="N427" s="739"/>
      <c r="O427" s="739"/>
      <c r="P427" s="739"/>
      <c r="Q427" s="739"/>
      <c r="R427" s="739"/>
      <c r="S427" s="739"/>
      <c r="T427" s="739"/>
      <c r="U427" s="739"/>
      <c r="V427" s="739"/>
      <c r="W427" s="739"/>
      <c r="X427" s="739"/>
      <c r="Y427" s="739"/>
      <c r="Z427" s="739"/>
      <c r="AA427" s="739"/>
      <c r="AB427" s="739"/>
      <c r="AC427" s="739"/>
      <c r="AD427" s="739"/>
      <c r="AE427" s="739"/>
      <c r="AF427" s="739"/>
      <c r="AG427" s="739"/>
      <c r="AH427" s="739"/>
      <c r="AI427" s="739"/>
      <c r="AJ427" s="739"/>
      <c r="AK427" s="739"/>
      <c r="AL427" s="739"/>
      <c r="AM427" s="739"/>
      <c r="AN427" s="739"/>
      <c r="AO427" s="739"/>
      <c r="AP427" s="739"/>
      <c r="AQ427" s="739"/>
    </row>
    <row r="428" spans="2:50">
      <c r="B428" s="1278"/>
      <c r="C428" s="1279"/>
      <c r="D428" s="1279"/>
      <c r="E428" s="1279"/>
      <c r="F428" s="1279"/>
      <c r="G428" s="1279"/>
      <c r="H428" s="1279"/>
      <c r="I428" s="1279"/>
      <c r="J428" s="1279"/>
      <c r="K428" s="1646"/>
      <c r="L428" s="1646"/>
      <c r="M428" s="1646"/>
      <c r="N428" s="1646"/>
      <c r="O428" s="1646"/>
      <c r="P428" s="1646"/>
      <c r="Q428" s="1646"/>
      <c r="R428" s="1646"/>
      <c r="S428" s="1646"/>
      <c r="T428" s="1646"/>
      <c r="U428" s="1646"/>
      <c r="V428" s="1646"/>
      <c r="W428" s="1646"/>
      <c r="X428" s="1646"/>
      <c r="Y428" s="1646"/>
      <c r="Z428" s="1646"/>
      <c r="AA428" s="1646"/>
      <c r="AB428" s="1646"/>
      <c r="AC428" s="1646"/>
      <c r="AD428" s="1646"/>
      <c r="AE428" s="1646"/>
      <c r="AF428" s="1646"/>
      <c r="AG428" s="1646"/>
      <c r="AH428" s="1646"/>
      <c r="AI428" s="1646"/>
      <c r="AJ428" s="1646"/>
      <c r="AK428" s="1646"/>
      <c r="AL428" s="1646"/>
      <c r="AM428" s="1646"/>
      <c r="AN428" s="1646"/>
      <c r="AO428" s="1646"/>
      <c r="AP428" s="1279"/>
      <c r="AQ428" s="891"/>
      <c r="AR428" s="891"/>
      <c r="AS428" s="891"/>
      <c r="AT428" s="891"/>
      <c r="AU428" s="891"/>
      <c r="AV428" s="891"/>
      <c r="AW428" s="891"/>
      <c r="AX428" s="891"/>
    </row>
  </sheetData>
  <sheetProtection algorithmName="SHA-512" hashValue="mOI8z4iC4ZtAblfIh1G51ijGHSyWvBOPPFW/B7MGzB/0Y1gDb8ifTqa5A6U+RCKOxF6FoBtteAums5WkW3OLPA==" saltValue="NeMStcGjdAOPj5lVvSMt2w==" spinCount="100000" sheet="1" objects="1" scenarios="1" selectLockedCells="1"/>
  <mergeCells count="177">
    <mergeCell ref="C6:D6"/>
    <mergeCell ref="E411:F411"/>
    <mergeCell ref="D414:D417"/>
    <mergeCell ref="E419:AQ419"/>
    <mergeCell ref="E420:AQ425"/>
    <mergeCell ref="D404:D408"/>
    <mergeCell ref="E404:F404"/>
    <mergeCell ref="E405:F405"/>
    <mergeCell ref="E406:F406"/>
    <mergeCell ref="E408:F408"/>
    <mergeCell ref="D409:D410"/>
    <mergeCell ref="C392:C410"/>
    <mergeCell ref="D392:D398"/>
    <mergeCell ref="E392:F392"/>
    <mergeCell ref="E393:F393"/>
    <mergeCell ref="E394:F394"/>
    <mergeCell ref="E395:F395"/>
    <mergeCell ref="E396:F396"/>
    <mergeCell ref="E397:F397"/>
    <mergeCell ref="E398:F398"/>
    <mergeCell ref="D399:D403"/>
    <mergeCell ref="E399:F399"/>
    <mergeCell ref="E400:F400"/>
    <mergeCell ref="E401:F401"/>
    <mergeCell ref="E403:F403"/>
    <mergeCell ref="E376:F376"/>
    <mergeCell ref="E377:F377"/>
    <mergeCell ref="E378:F378"/>
    <mergeCell ref="E379:F379"/>
    <mergeCell ref="D386:D387"/>
    <mergeCell ref="E386:F386"/>
    <mergeCell ref="E387:F387"/>
    <mergeCell ref="D388:D389"/>
    <mergeCell ref="E390:F390"/>
    <mergeCell ref="D362:D363"/>
    <mergeCell ref="E364:F364"/>
    <mergeCell ref="C366:C389"/>
    <mergeCell ref="D366:D369"/>
    <mergeCell ref="E366:F366"/>
    <mergeCell ref="E367:F367"/>
    <mergeCell ref="E368:F368"/>
    <mergeCell ref="E369:F369"/>
    <mergeCell ref="D370:D374"/>
    <mergeCell ref="E370:F370"/>
    <mergeCell ref="C340:C363"/>
    <mergeCell ref="E380:F380"/>
    <mergeCell ref="E381:F381"/>
    <mergeCell ref="D382:D385"/>
    <mergeCell ref="E382:F382"/>
    <mergeCell ref="E383:F383"/>
    <mergeCell ref="E384:F384"/>
    <mergeCell ref="E385:F385"/>
    <mergeCell ref="E371:F371"/>
    <mergeCell ref="E372:F372"/>
    <mergeCell ref="E373:F373"/>
    <mergeCell ref="E374:F374"/>
    <mergeCell ref="D375:D381"/>
    <mergeCell ref="E375:F375"/>
    <mergeCell ref="D356:D359"/>
    <mergeCell ref="E356:F356"/>
    <mergeCell ref="E357:F357"/>
    <mergeCell ref="E358:F358"/>
    <mergeCell ref="E359:F359"/>
    <mergeCell ref="D360:D361"/>
    <mergeCell ref="E360:F360"/>
    <mergeCell ref="E361:F361"/>
    <mergeCell ref="D349:D355"/>
    <mergeCell ref="E349:F349"/>
    <mergeCell ref="E350:F350"/>
    <mergeCell ref="E351:F351"/>
    <mergeCell ref="E352:F352"/>
    <mergeCell ref="E353:F353"/>
    <mergeCell ref="E354:F354"/>
    <mergeCell ref="E355:F355"/>
    <mergeCell ref="D344:D348"/>
    <mergeCell ref="E344:F344"/>
    <mergeCell ref="E345:F345"/>
    <mergeCell ref="E346:F346"/>
    <mergeCell ref="E347:F347"/>
    <mergeCell ref="E348:F348"/>
    <mergeCell ref="E334:F334"/>
    <mergeCell ref="E335:F335"/>
    <mergeCell ref="D336:D337"/>
    <mergeCell ref="E338:F338"/>
    <mergeCell ref="D340:D343"/>
    <mergeCell ref="E340:F340"/>
    <mergeCell ref="E341:F341"/>
    <mergeCell ref="E342:F342"/>
    <mergeCell ref="E343:F343"/>
    <mergeCell ref="E327:F327"/>
    <mergeCell ref="C329:C337"/>
    <mergeCell ref="D329:D333"/>
    <mergeCell ref="E329:F329"/>
    <mergeCell ref="E330:F330"/>
    <mergeCell ref="E331:F331"/>
    <mergeCell ref="E332:F332"/>
    <mergeCell ref="E333:F333"/>
    <mergeCell ref="D334:D335"/>
    <mergeCell ref="E316:F316"/>
    <mergeCell ref="C318:C326"/>
    <mergeCell ref="D318:D322"/>
    <mergeCell ref="E318:F318"/>
    <mergeCell ref="E319:F319"/>
    <mergeCell ref="E320:F320"/>
    <mergeCell ref="E322:F322"/>
    <mergeCell ref="D323:D324"/>
    <mergeCell ref="E323:F323"/>
    <mergeCell ref="E324:F324"/>
    <mergeCell ref="D325:D326"/>
    <mergeCell ref="E312:F312"/>
    <mergeCell ref="E313:F313"/>
    <mergeCell ref="D314:D315"/>
    <mergeCell ref="E304:F304"/>
    <mergeCell ref="E305:F305"/>
    <mergeCell ref="D306:D309"/>
    <mergeCell ref="E306:F306"/>
    <mergeCell ref="E307:F307"/>
    <mergeCell ref="E308:F308"/>
    <mergeCell ref="E309:F309"/>
    <mergeCell ref="D286:D287"/>
    <mergeCell ref="E288:F288"/>
    <mergeCell ref="C290:C315"/>
    <mergeCell ref="D290:D292"/>
    <mergeCell ref="E290:F290"/>
    <mergeCell ref="E291:F291"/>
    <mergeCell ref="E292:F292"/>
    <mergeCell ref="D293:D297"/>
    <mergeCell ref="E293:F293"/>
    <mergeCell ref="E294:F294"/>
    <mergeCell ref="C278:C287"/>
    <mergeCell ref="E295:F295"/>
    <mergeCell ref="E296:F296"/>
    <mergeCell ref="E297:F297"/>
    <mergeCell ref="D298:D305"/>
    <mergeCell ref="E298:F298"/>
    <mergeCell ref="E299:F299"/>
    <mergeCell ref="E300:F300"/>
    <mergeCell ref="E301:F301"/>
    <mergeCell ref="E302:F302"/>
    <mergeCell ref="E303:F303"/>
    <mergeCell ref="D310:D313"/>
    <mergeCell ref="E310:F310"/>
    <mergeCell ref="E311:F311"/>
    <mergeCell ref="E281:F281"/>
    <mergeCell ref="E282:F282"/>
    <mergeCell ref="D283:D285"/>
    <mergeCell ref="E283:F283"/>
    <mergeCell ref="E284:F284"/>
    <mergeCell ref="E285:F285"/>
    <mergeCell ref="E272:F272"/>
    <mergeCell ref="E273:F273"/>
    <mergeCell ref="D274:D275"/>
    <mergeCell ref="E276:F276"/>
    <mergeCell ref="D278:D280"/>
    <mergeCell ref="E278:F278"/>
    <mergeCell ref="E279:F279"/>
    <mergeCell ref="E280:F280"/>
    <mergeCell ref="D281:D282"/>
    <mergeCell ref="E265:F265"/>
    <mergeCell ref="C267:C275"/>
    <mergeCell ref="D267:D268"/>
    <mergeCell ref="E267:F267"/>
    <mergeCell ref="E268:F268"/>
    <mergeCell ref="D269:D271"/>
    <mergeCell ref="E269:F269"/>
    <mergeCell ref="E270:F270"/>
    <mergeCell ref="E271:F271"/>
    <mergeCell ref="D272:D273"/>
    <mergeCell ref="C258:C264"/>
    <mergeCell ref="D258:D260"/>
    <mergeCell ref="E258:F258"/>
    <mergeCell ref="E259:F259"/>
    <mergeCell ref="E260:F260"/>
    <mergeCell ref="D261:D262"/>
    <mergeCell ref="E261:F261"/>
    <mergeCell ref="E262:F262"/>
    <mergeCell ref="D263:D264"/>
  </mergeCells>
  <conditionalFormatting sqref="C51:J51">
    <cfRule type="cellIs" dxfId="283" priority="4" operator="equal">
      <formula>"In Progress"</formula>
    </cfRule>
    <cfRule type="cellIs" dxfId="282" priority="5" operator="equal">
      <formula>"Not Started"</formula>
    </cfRule>
    <cfRule type="cellIs" dxfId="281" priority="6" operator="equal">
      <formula>"Completed"</formula>
    </cfRule>
  </conditionalFormatting>
  <conditionalFormatting sqref="C428:AX428">
    <cfRule type="cellIs" dxfId="280" priority="19" operator="equal">
      <formula>"In Progress"</formula>
    </cfRule>
    <cfRule type="cellIs" dxfId="279" priority="20" operator="equal">
      <formula>"Not Started"</formula>
    </cfRule>
    <cfRule type="cellIs" dxfId="278" priority="21" operator="equal">
      <formula>"Completed"</formula>
    </cfRule>
  </conditionalFormatting>
  <conditionalFormatting sqref="F252:M254">
    <cfRule type="cellIs" dxfId="277" priority="10" operator="equal">
      <formula>"In Progress"</formula>
    </cfRule>
    <cfRule type="cellIs" dxfId="276" priority="11" operator="equal">
      <formula>"Not Started"</formula>
    </cfRule>
    <cfRule type="cellIs" dxfId="275" priority="12" operator="equal">
      <formula>"Completed"</formula>
    </cfRule>
  </conditionalFormatting>
  <conditionalFormatting sqref="K6:M17 C18:M18 K19:M250 C30:J30 C40:J40 C59:J59 C68:J68 C78:J78 C91:J91 C102:J102 C113:J113 C123:J123 C137:J137 C147:J147 C155:J155 C165:J165 C172:J172 C180:J180 C191:J191 C198:J198 C206:J206 C214:J214 C221:J221 C231:J231 C239:J239 C251:M251 C255:M255">
    <cfRule type="cellIs" dxfId="274" priority="16" operator="equal">
      <formula>"In Progress"</formula>
    </cfRule>
    <cfRule type="cellIs" dxfId="273" priority="17" operator="equal">
      <formula>"Not Started"</formula>
    </cfRule>
    <cfRule type="cellIs" dxfId="272" priority="18" operator="equal">
      <formula>"Completed"</formula>
    </cfRule>
  </conditionalFormatting>
  <dataValidations count="2">
    <dataValidation type="whole" allowBlank="1" showErrorMessage="1" errorTitle="Whole Numbers" error="Only enter whole numbers." sqref="H411:AP411" xr:uid="{0E14B9CF-7DB8-4C43-909C-5B0256E1EF1B}">
      <formula1>0</formula1>
      <formula2>9.99999999999999E+46</formula2>
    </dataValidation>
    <dataValidation type="custom" allowBlank="1" showInputMessage="1" showErrorMessage="1" sqref="I1" xr:uid="{9C392109-F34A-4D66-86B1-300E8D60D5E9}">
      <formula1>"&lt;0&gt;0"</formula1>
    </dataValidation>
  </dataValidations>
  <pageMargins left="0.7" right="0.7" top="0.75" bottom="0.75" header="0.3" footer="0.3"/>
  <pageSetup scale="30" fitToHeight="2" orientation="portrait" r:id="rId1"/>
  <headerFooter>
    <oddHeader>&amp;L&amp;G</oddHeader>
    <oddFooter>&amp;LVersion - 2023.0.01&amp;CWHEDA MULTIFAMILY APPLICATION&amp;R&amp;P of &amp;N</oddFooter>
  </headerFooter>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CF1-C63D-4F74-9D67-049A05C6B4AB}">
  <sheetPr codeName="Sheet13"/>
  <dimension ref="A1:BR244"/>
  <sheetViews>
    <sheetView zoomScaleNormal="100" workbookViewId="0">
      <selection activeCell="G67" sqref="G67"/>
    </sheetView>
  </sheetViews>
  <sheetFormatPr baseColWidth="10" defaultColWidth="9.1640625" defaultRowHeight="15"/>
  <cols>
    <col min="1" max="2" width="4.83203125" style="3" customWidth="1"/>
    <col min="3" max="3" width="60" style="3" customWidth="1"/>
    <col min="4" max="4" width="19" style="3" customWidth="1"/>
    <col min="5" max="5" width="17.83203125" style="3" bestFit="1" customWidth="1"/>
    <col min="6" max="6" width="23.5" style="3" customWidth="1"/>
    <col min="7" max="8" width="19" style="3" customWidth="1"/>
    <col min="9" max="9" width="14.83203125" style="3" hidden="1" customWidth="1"/>
    <col min="10" max="10" width="16.6640625" style="149" hidden="1" customWidth="1"/>
    <col min="11" max="11" width="19.1640625" style="149" bestFit="1" customWidth="1"/>
    <col min="12" max="12" width="16.5" style="149" hidden="1" customWidth="1"/>
    <col min="13" max="13" width="19.5" style="149" bestFit="1" customWidth="1"/>
    <col min="14" max="14" width="20.5" style="149" bestFit="1" customWidth="1"/>
    <col min="15" max="15" width="5.6640625" style="149" customWidth="1"/>
    <col min="16" max="16" width="25.5" style="149" customWidth="1"/>
    <col min="17" max="18" width="9.1640625" style="149"/>
    <col min="19" max="19" width="36.5" style="131" customWidth="1"/>
    <col min="20" max="20" width="14.83203125" style="131" customWidth="1"/>
    <col min="21" max="21" width="17.5" style="131" customWidth="1"/>
    <col min="22" max="22" width="37.6640625" style="131" bestFit="1" customWidth="1"/>
    <col min="23" max="23" width="9.1640625" style="131"/>
    <col min="24" max="24" width="9.33203125" style="131" bestFit="1" customWidth="1"/>
    <col min="25" max="25" width="17" style="131" customWidth="1"/>
    <col min="26" max="26" width="9.1640625" style="131"/>
    <col min="27" max="27" width="9.1640625" style="131" customWidth="1"/>
    <col min="28" max="30" width="9.1640625" style="131"/>
    <col min="31" max="31" width="25.5" style="131" bestFit="1" customWidth="1"/>
    <col min="32" max="32" width="9.5" style="131" bestFit="1" customWidth="1"/>
    <col min="33" max="46" width="9.1640625" style="131"/>
    <col min="47" max="16383" width="9.1640625" style="3"/>
    <col min="16384" max="16384" width="9.1640625" style="3" bestFit="1" customWidth="1"/>
  </cols>
  <sheetData>
    <row r="1" spans="1:70" customFormat="1" ht="29">
      <c r="A1" s="3"/>
      <c r="B1" s="4" t="str">
        <f>'1. TOC'!B1</f>
        <v>WHEDA 2025 Multifamily Application</v>
      </c>
      <c r="C1" s="3"/>
      <c r="E1" s="352" t="str">
        <f>'1. TOC'!L1</f>
        <v>v25.1.9</v>
      </c>
      <c r="F1" s="1086" t="str">
        <f>HYPERLINK("#Table_of_Contents", Table_of_Contents)</f>
        <v>Table of Contents</v>
      </c>
      <c r="G1" s="3"/>
      <c r="H1" s="3"/>
      <c r="I1" s="3"/>
      <c r="J1" s="149"/>
      <c r="K1" s="149"/>
      <c r="L1" s="149"/>
      <c r="M1" s="149"/>
      <c r="N1" s="149"/>
      <c r="O1" s="149"/>
      <c r="P1" s="149"/>
      <c r="Q1" s="149"/>
      <c r="R1" s="149"/>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3"/>
      <c r="AV1" s="3"/>
      <c r="AW1" s="3"/>
      <c r="AX1" s="3"/>
      <c r="AY1" s="3"/>
      <c r="AZ1" s="3"/>
      <c r="BA1" s="3"/>
      <c r="BB1" s="3"/>
      <c r="BC1" s="3"/>
      <c r="BD1" s="3"/>
      <c r="BE1" s="3"/>
      <c r="BF1" s="3"/>
      <c r="BG1" s="3"/>
      <c r="BH1" s="3"/>
      <c r="BI1" s="3"/>
      <c r="BJ1" s="3"/>
      <c r="BK1" s="3"/>
      <c r="BL1" s="3"/>
      <c r="BM1" s="3"/>
      <c r="BN1" s="3"/>
      <c r="BO1" s="3"/>
      <c r="BP1" s="3"/>
      <c r="BQ1" s="3"/>
      <c r="BR1" s="3"/>
    </row>
    <row r="2" spans="1:70" customFormat="1" ht="21">
      <c r="A2" s="3"/>
      <c r="B2" s="966" t="str">
        <f>_xlfn.CONCAT(IF(ISBLANK(WHEDA_Project_Number),"",_xlfn.CONCAT(WHEDA_Project_Number,"-")), Project_Name, IF(ISBLANK(Credit_percentage_applied_for),"",_xlfn.CONCAT(" (", Credit_percentage_applied_for," HTC)")))</f>
        <v/>
      </c>
      <c r="C2" s="3"/>
      <c r="D2" s="5"/>
      <c r="E2" s="3"/>
      <c r="F2" s="3"/>
      <c r="G2" s="3"/>
      <c r="H2" s="3"/>
      <c r="I2" s="3"/>
      <c r="J2" s="149"/>
      <c r="K2" s="149"/>
      <c r="L2" s="149"/>
      <c r="M2" s="149"/>
      <c r="N2" s="149"/>
      <c r="O2" s="149"/>
      <c r="P2" s="149"/>
      <c r="Q2" s="149"/>
      <c r="R2" s="149"/>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3"/>
      <c r="AV2" s="3"/>
      <c r="AW2" s="3"/>
      <c r="AX2" s="3"/>
      <c r="AY2" s="3"/>
      <c r="AZ2" s="3"/>
      <c r="BA2" s="3"/>
      <c r="BB2" s="3"/>
      <c r="BC2" s="3"/>
      <c r="BD2" s="3"/>
      <c r="BE2" s="3"/>
      <c r="BF2" s="3"/>
      <c r="BG2" s="3"/>
      <c r="BH2" s="3"/>
      <c r="BI2" s="3"/>
      <c r="BJ2" s="3"/>
      <c r="BK2" s="3"/>
      <c r="BL2" s="3"/>
      <c r="BM2" s="3"/>
      <c r="BN2" s="3"/>
      <c r="BO2" s="3"/>
      <c r="BP2" s="3"/>
      <c r="BQ2" s="3"/>
      <c r="BR2" s="3"/>
    </row>
    <row r="3" spans="1:70" s="226" customFormat="1" ht="16">
      <c r="A3" s="1017"/>
      <c r="B3" s="1018"/>
      <c r="C3" s="1019"/>
      <c r="D3" s="1019"/>
      <c r="E3" s="1019"/>
      <c r="F3" s="1019"/>
      <c r="G3" s="1019"/>
      <c r="H3" s="1019"/>
      <c r="I3" s="1019"/>
      <c r="J3" s="1020"/>
      <c r="K3" s="1020"/>
      <c r="L3" s="1020"/>
      <c r="M3" s="1020"/>
      <c r="N3" s="1020"/>
      <c r="O3" s="1020"/>
      <c r="P3" s="973"/>
      <c r="Q3" s="973"/>
      <c r="R3" s="973"/>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row>
    <row r="4" spans="1:70" ht="29">
      <c r="B4" s="4" t="s">
        <v>194</v>
      </c>
    </row>
    <row r="5" spans="1:70" ht="19">
      <c r="B5" s="8" t="s">
        <v>4303</v>
      </c>
      <c r="D5" s="8"/>
      <c r="E5" s="8"/>
      <c r="F5" s="8"/>
      <c r="G5" s="8"/>
      <c r="H5" s="8"/>
      <c r="I5" s="8"/>
      <c r="J5" s="8"/>
      <c r="K5" s="8"/>
      <c r="L5" s="8"/>
      <c r="M5" s="8"/>
      <c r="N5" s="8"/>
      <c r="O5" s="8"/>
      <c r="R5" s="9"/>
    </row>
    <row r="6" spans="1:70" ht="15" customHeight="1">
      <c r="B6" s="1273"/>
      <c r="C6" s="1273"/>
      <c r="D6" s="1273"/>
      <c r="E6" s="2205"/>
      <c r="F6" s="2205"/>
      <c r="G6" s="2205"/>
      <c r="H6" s="2205"/>
      <c r="I6" s="2205"/>
      <c r="J6" s="2205"/>
      <c r="K6" s="2205"/>
      <c r="L6" s="2205"/>
      <c r="M6" s="1280"/>
      <c r="N6" s="1281"/>
      <c r="O6" s="1281"/>
      <c r="R6" s="9"/>
    </row>
    <row r="7" spans="1:70">
      <c r="B7" s="1273"/>
      <c r="C7" s="1282"/>
      <c r="D7" s="1282" t="s">
        <v>4304</v>
      </c>
      <c r="E7" s="2205"/>
      <c r="F7" s="2205"/>
      <c r="G7" s="2205"/>
      <c r="H7" s="2205"/>
      <c r="I7" s="2205"/>
      <c r="J7" s="2205"/>
      <c r="K7" s="2205"/>
      <c r="L7" s="2205"/>
      <c r="M7" s="1280"/>
      <c r="N7" s="1281"/>
      <c r="O7" s="1281"/>
      <c r="R7" s="9"/>
    </row>
    <row r="8" spans="1:70" ht="15" customHeight="1">
      <c r="B8" s="1273"/>
      <c r="C8" s="1283" t="s">
        <v>4305</v>
      </c>
      <c r="D8" s="946">
        <v>0</v>
      </c>
      <c r="E8" s="1286"/>
      <c r="F8" s="2188" t="s">
        <v>4306</v>
      </c>
      <c r="G8" s="2188" t="s">
        <v>4307</v>
      </c>
      <c r="H8" s="2202" t="s">
        <v>4308</v>
      </c>
      <c r="I8" s="2188" t="s">
        <v>4309</v>
      </c>
      <c r="J8" s="947"/>
      <c r="K8" s="2202" t="s">
        <v>4310</v>
      </c>
      <c r="L8" s="948"/>
      <c r="M8" s="2188" t="s">
        <v>4311</v>
      </c>
      <c r="N8" s="2188" t="s">
        <v>4312</v>
      </c>
      <c r="O8" s="1287"/>
      <c r="P8" s="638"/>
      <c r="Q8" s="638"/>
      <c r="R8" s="9"/>
      <c r="AU8" s="149"/>
      <c r="AV8" s="149"/>
      <c r="AW8" s="149"/>
      <c r="AX8" s="149"/>
      <c r="AY8" s="149"/>
      <c r="AZ8" s="149"/>
    </row>
    <row r="9" spans="1:70">
      <c r="B9" s="1273"/>
      <c r="C9" s="1283" t="s">
        <v>4313</v>
      </c>
      <c r="D9" s="612">
        <f>1-D8</f>
        <v>1</v>
      </c>
      <c r="E9" s="1286"/>
      <c r="F9" s="2188"/>
      <c r="G9" s="2188"/>
      <c r="H9" s="2188"/>
      <c r="I9" s="2188"/>
      <c r="J9" s="2212"/>
      <c r="K9" s="2188"/>
      <c r="L9" s="2210"/>
      <c r="M9" s="2188"/>
      <c r="N9" s="2188"/>
      <c r="O9" s="1287"/>
      <c r="P9" s="638"/>
      <c r="Q9" s="638"/>
      <c r="R9" s="9" t="s">
        <v>4314</v>
      </c>
      <c r="AU9" s="149"/>
      <c r="AV9" s="149"/>
      <c r="AW9" s="149"/>
      <c r="AX9" s="149"/>
      <c r="AY9" s="149"/>
    </row>
    <row r="10" spans="1:70" ht="25.5" customHeight="1">
      <c r="B10" s="1273"/>
      <c r="C10" s="1284"/>
      <c r="D10" s="1285"/>
      <c r="E10" s="1285"/>
      <c r="F10" s="2189"/>
      <c r="G10" s="2189"/>
      <c r="H10" s="2189"/>
      <c r="I10" s="2189"/>
      <c r="J10" s="2213"/>
      <c r="K10" s="2189"/>
      <c r="L10" s="2211"/>
      <c r="M10" s="2189"/>
      <c r="N10" s="2189"/>
      <c r="O10" s="1287"/>
      <c r="P10" s="638"/>
      <c r="Q10" s="638"/>
      <c r="R10" s="9"/>
      <c r="AU10" s="149"/>
      <c r="AV10" s="149"/>
      <c r="AW10" s="149"/>
      <c r="AX10" s="149"/>
      <c r="AY10" s="149"/>
    </row>
    <row r="11" spans="1:70" ht="16">
      <c r="B11" s="1273"/>
      <c r="C11" s="2192" t="s">
        <v>4315</v>
      </c>
      <c r="D11" s="2192"/>
      <c r="E11" s="1707"/>
      <c r="F11" s="954"/>
      <c r="G11" s="954"/>
      <c r="H11" s="954"/>
      <c r="I11" s="954"/>
      <c r="J11" s="1700"/>
      <c r="K11" s="954"/>
      <c r="L11" s="954"/>
      <c r="M11" s="954"/>
      <c r="N11" s="954"/>
      <c r="O11" s="1288"/>
      <c r="P11" s="638"/>
      <c r="Q11" s="638"/>
      <c r="R11" s="9"/>
      <c r="AU11" s="149"/>
      <c r="AV11" s="149"/>
      <c r="AW11" s="149"/>
      <c r="AX11" s="149"/>
      <c r="AY11" s="149"/>
    </row>
    <row r="12" spans="1:70">
      <c r="B12" s="1273"/>
      <c r="C12" s="2193" t="s">
        <v>2709</v>
      </c>
      <c r="D12" s="2193"/>
      <c r="E12" s="949"/>
      <c r="F12" s="950">
        <f>+SUM(G12:J12)</f>
        <v>0</v>
      </c>
      <c r="G12" s="951"/>
      <c r="H12" s="951"/>
      <c r="I12" s="951"/>
      <c r="K12" s="952" t="s">
        <v>3565</v>
      </c>
      <c r="L12" s="952" t="s">
        <v>3565</v>
      </c>
      <c r="M12" s="953">
        <f>IF('11. Unit Mix'!$G$142&lt;&gt;0,+F12/'11. Unit Mix'!$G$142,0)</f>
        <v>0</v>
      </c>
      <c r="N12" s="950">
        <f>IF(Total_Units&lt;&gt;0,+F12/Total_Units,0)</f>
        <v>0</v>
      </c>
      <c r="O12" s="1288"/>
      <c r="P12" s="638"/>
      <c r="Q12" s="638"/>
      <c r="R12" s="9"/>
      <c r="AU12" s="149"/>
      <c r="AV12" s="149"/>
      <c r="AW12" s="149"/>
      <c r="AX12" s="149"/>
      <c r="AY12" s="149"/>
    </row>
    <row r="13" spans="1:70">
      <c r="B13" s="1273"/>
      <c r="C13" s="2194" t="s">
        <v>2713</v>
      </c>
      <c r="D13" s="2194"/>
      <c r="E13" s="802"/>
      <c r="F13" s="503">
        <f>+SUM(G13:J13)</f>
        <v>0</v>
      </c>
      <c r="G13" s="280"/>
      <c r="H13" s="280"/>
      <c r="I13" s="280"/>
      <c r="K13" s="280"/>
      <c r="L13" s="297">
        <f>IF(Credit_percentage_applied_for="State + Fed 4%", PC_ACQ_Building_Acq, 0)</f>
        <v>0</v>
      </c>
      <c r="M13" s="678">
        <f>IF('11. Unit Mix'!$G$142&lt;&gt;0,+F13/'11. Unit Mix'!$G$142,0)</f>
        <v>0</v>
      </c>
      <c r="N13" s="503">
        <f>IF(Total_Units&lt;&gt;0,+F13/Total_Units,0)</f>
        <v>0</v>
      </c>
      <c r="O13" s="1288"/>
      <c r="P13" s="638"/>
      <c r="Q13" s="638"/>
      <c r="R13" s="9"/>
      <c r="AU13" s="149"/>
      <c r="AV13" s="149"/>
      <c r="AW13" s="149"/>
      <c r="AX13" s="149"/>
      <c r="AY13" s="149"/>
    </row>
    <row r="14" spans="1:70" ht="14.25" customHeight="1">
      <c r="B14" s="1273"/>
      <c r="C14" s="2194" t="s">
        <v>2718</v>
      </c>
      <c r="D14" s="2194"/>
      <c r="E14" s="802"/>
      <c r="F14" s="503">
        <f>+SUM(G14:J14)</f>
        <v>0</v>
      </c>
      <c r="G14" s="280"/>
      <c r="H14" s="280"/>
      <c r="I14" s="280"/>
      <c r="K14" s="280"/>
      <c r="L14" s="297">
        <f>IF(Credit_percentage_applied_for="State + Fed 4%", PC_ACQ_Other_Purchase, 0)</f>
        <v>0</v>
      </c>
      <c r="M14" s="678">
        <f>IF('11. Unit Mix'!$G$142&lt;&gt;0,+F14/'11. Unit Mix'!$G$142,0)</f>
        <v>0</v>
      </c>
      <c r="N14" s="503">
        <f>IF(Total_Units&lt;&gt;0,+F14/Total_Units,0)</f>
        <v>0</v>
      </c>
      <c r="O14" s="1288"/>
      <c r="P14" s="638"/>
      <c r="Q14" s="638"/>
      <c r="R14" s="9" t="s">
        <v>4316</v>
      </c>
      <c r="AU14" s="149"/>
      <c r="AV14" s="149"/>
      <c r="AW14" s="149"/>
      <c r="AX14" s="149"/>
      <c r="AY14" s="149"/>
    </row>
    <row r="15" spans="1:70" hidden="1">
      <c r="B15" s="1273"/>
      <c r="C15" s="2195" t="s">
        <v>2722</v>
      </c>
      <c r="D15" s="2195"/>
      <c r="E15" s="803"/>
      <c r="F15" s="804">
        <f>+SUM(I15:J15)</f>
        <v>0</v>
      </c>
      <c r="G15" s="804"/>
      <c r="H15" s="804"/>
      <c r="I15" s="804"/>
      <c r="J15" s="751"/>
      <c r="K15" s="804"/>
      <c r="L15" s="805"/>
      <c r="M15" s="806" t="e">
        <f>+F15/'11. Unit Mix'!$G$142</f>
        <v>#DIV/0!</v>
      </c>
      <c r="N15" s="807" t="e">
        <f>+F15/Total_Units</f>
        <v>#DIV/0!</v>
      </c>
      <c r="O15" s="1288"/>
      <c r="P15" s="638"/>
      <c r="Q15" s="638"/>
      <c r="R15" s="9"/>
      <c r="AU15" s="149"/>
      <c r="AV15" s="149"/>
      <c r="AW15" s="149"/>
      <c r="AX15" s="149"/>
      <c r="AY15" s="149"/>
    </row>
    <row r="16" spans="1:70">
      <c r="A16" s="17"/>
      <c r="B16" s="1273"/>
      <c r="C16" s="2206" t="s">
        <v>2724</v>
      </c>
      <c r="D16" s="2206"/>
      <c r="E16" s="474"/>
      <c r="F16" s="283">
        <f>SUM(F12:F14)</f>
        <v>0</v>
      </c>
      <c r="G16" s="283">
        <f>SUM(G11:G15)</f>
        <v>0</v>
      </c>
      <c r="H16" s="283">
        <f>SUM(H11:H15)</f>
        <v>0</v>
      </c>
      <c r="I16" s="283">
        <f t="shared" ref="I16:J16" si="0">SUM(I12:I15)</f>
        <v>0</v>
      </c>
      <c r="J16" s="283">
        <f t="shared" si="0"/>
        <v>0</v>
      </c>
      <c r="K16" s="283">
        <f>SUM(K11:K15)</f>
        <v>0</v>
      </c>
      <c r="L16" s="284">
        <f>SUM(L12:L15)</f>
        <v>0</v>
      </c>
      <c r="M16" s="684">
        <f>IF('11. Unit Mix'!$G$142&lt;&gt;0,+F16/'11. Unit Mix'!$G$142,0)</f>
        <v>0</v>
      </c>
      <c r="N16" s="610">
        <f>IF(Total_Units&lt;&gt;0,+F16/Total_Units,0)</f>
        <v>0</v>
      </c>
      <c r="O16" s="1288"/>
      <c r="P16" s="638"/>
      <c r="Q16" s="638"/>
      <c r="R16" s="9"/>
      <c r="AU16" s="149"/>
      <c r="AV16" s="149"/>
      <c r="AW16" s="149"/>
      <c r="AX16" s="149"/>
      <c r="AY16" s="149"/>
    </row>
    <row r="17" spans="2:51" ht="16">
      <c r="B17" s="1273"/>
      <c r="C17" s="2191" t="s">
        <v>2727</v>
      </c>
      <c r="D17" s="2191"/>
      <c r="E17" s="475"/>
      <c r="F17" s="134"/>
      <c r="G17" s="134"/>
      <c r="H17" s="134"/>
      <c r="I17" s="134"/>
      <c r="K17" s="135"/>
      <c r="L17" s="136"/>
      <c r="M17" s="656"/>
      <c r="N17" s="134"/>
      <c r="O17" s="1288"/>
      <c r="P17" s="638"/>
      <c r="Q17" s="638"/>
      <c r="R17" s="9"/>
      <c r="T17" s="561"/>
      <c r="U17" s="561"/>
      <c r="V17" s="562"/>
      <c r="AU17" s="149"/>
      <c r="AV17" s="149"/>
      <c r="AW17" s="149"/>
      <c r="AX17" s="149"/>
      <c r="AY17" s="149"/>
    </row>
    <row r="18" spans="2:51">
      <c r="B18" s="1273"/>
      <c r="C18" s="137" t="s">
        <v>2729</v>
      </c>
      <c r="D18" s="480"/>
      <c r="E18" s="211"/>
      <c r="F18" s="288"/>
      <c r="G18" s="288"/>
      <c r="H18" s="288"/>
      <c r="I18" s="288"/>
      <c r="K18" s="288"/>
      <c r="L18" s="293"/>
      <c r="M18" s="657"/>
      <c r="N18" s="685"/>
      <c r="O18" s="1289"/>
      <c r="P18" s="925"/>
      <c r="Q18" s="925"/>
      <c r="R18" s="9"/>
      <c r="AU18" s="149"/>
      <c r="AV18" s="149"/>
      <c r="AW18" s="149"/>
      <c r="AX18" s="149"/>
      <c r="AY18" s="149"/>
    </row>
    <row r="19" spans="2:51">
      <c r="B19" s="1273"/>
      <c r="C19" s="2187" t="s">
        <v>4317</v>
      </c>
      <c r="D19" s="2187"/>
      <c r="E19" s="1706"/>
      <c r="F19" s="505">
        <f>+SUM(G19:H19)</f>
        <v>0</v>
      </c>
      <c r="G19" s="505">
        <f>+'13. Construction Cost SOV'!F250-SUM(G24:G26,G41:G42)</f>
        <v>0</v>
      </c>
      <c r="H19" s="505">
        <f>+'13. Construction Cost SOV'!G250-SUM(H24:H26,H41:H42)</f>
        <v>0</v>
      </c>
      <c r="I19" s="505">
        <f>+'13. Construction Cost SOV'!H250-SUM(I24:I26,I42)</f>
        <v>0</v>
      </c>
      <c r="K19" s="280"/>
      <c r="L19" s="297">
        <f>IF(Credit_percentage_applied_for="State + Fed 4%", PC_CST_Building, 0)</f>
        <v>0</v>
      </c>
      <c r="M19" s="678">
        <f>IF('11. Unit Mix'!$G$142&lt;&gt;0,+F19/'11. Unit Mix'!$G$142,0)</f>
        <v>0</v>
      </c>
      <c r="N19" s="503">
        <f t="shared" ref="N19:N39" si="1">IF(Total_Units&lt;&gt;0,+F19/Total_Units,0)</f>
        <v>0</v>
      </c>
      <c r="O19" s="1289"/>
      <c r="P19" s="925"/>
      <c r="Q19" s="925"/>
      <c r="R19" s="9"/>
      <c r="AU19" s="149"/>
      <c r="AV19" s="149"/>
      <c r="AW19" s="149"/>
      <c r="AX19" s="149"/>
      <c r="AY19" s="149"/>
    </row>
    <row r="20" spans="2:51" hidden="1">
      <c r="B20" s="1273"/>
      <c r="C20" s="2190" t="s">
        <v>4151</v>
      </c>
      <c r="D20" s="2190"/>
      <c r="E20" s="1706"/>
      <c r="F20" s="505">
        <f t="shared" ref="F20:F23" si="2">+SUM(G20:J20)</f>
        <v>0</v>
      </c>
      <c r="G20" s="505">
        <v>0</v>
      </c>
      <c r="H20" s="505">
        <v>0</v>
      </c>
      <c r="I20" s="505">
        <v>0</v>
      </c>
      <c r="K20" s="280"/>
      <c r="L20" s="297"/>
      <c r="M20" s="678">
        <f>IF('11. Unit Mix'!$G$142&lt;&gt;0,+F20/'11. Unit Mix'!$G$142,0)</f>
        <v>0</v>
      </c>
      <c r="N20" s="503">
        <f t="shared" si="1"/>
        <v>0</v>
      </c>
      <c r="O20" s="1289"/>
      <c r="P20" s="925"/>
      <c r="Q20" s="925"/>
      <c r="R20" s="9"/>
      <c r="AU20" s="149"/>
      <c r="AV20" s="149"/>
      <c r="AW20" s="149"/>
      <c r="AX20" s="149"/>
      <c r="AY20" s="149"/>
    </row>
    <row r="21" spans="2:51" hidden="1">
      <c r="B21" s="1273"/>
      <c r="C21" s="2190" t="s">
        <v>4160</v>
      </c>
      <c r="D21" s="2190"/>
      <c r="E21" s="1706"/>
      <c r="F21" s="505">
        <f t="shared" si="2"/>
        <v>0</v>
      </c>
      <c r="G21" s="505">
        <v>0</v>
      </c>
      <c r="H21" s="505">
        <v>0</v>
      </c>
      <c r="I21" s="505">
        <v>0</v>
      </c>
      <c r="K21" s="280"/>
      <c r="L21" s="297"/>
      <c r="M21" s="678">
        <f>IF('11. Unit Mix'!$G$142&lt;&gt;0,+F21/'11. Unit Mix'!$G$142,0)</f>
        <v>0</v>
      </c>
      <c r="N21" s="503">
        <f t="shared" si="1"/>
        <v>0</v>
      </c>
      <c r="O21" s="1289"/>
      <c r="P21" s="925"/>
      <c r="Q21" s="925"/>
      <c r="R21" s="9"/>
      <c r="AU21" s="149"/>
      <c r="AV21" s="149"/>
      <c r="AW21" s="149"/>
      <c r="AX21" s="149"/>
      <c r="AY21" s="149"/>
    </row>
    <row r="22" spans="2:51" hidden="1">
      <c r="B22" s="1273"/>
      <c r="C22" s="2190" t="s">
        <v>4172</v>
      </c>
      <c r="D22" s="2190"/>
      <c r="E22" s="1706"/>
      <c r="F22" s="505">
        <f t="shared" si="2"/>
        <v>0</v>
      </c>
      <c r="G22" s="505">
        <v>0</v>
      </c>
      <c r="H22" s="505">
        <v>0</v>
      </c>
      <c r="I22" s="505">
        <v>0</v>
      </c>
      <c r="K22" s="280"/>
      <c r="L22" s="297"/>
      <c r="M22" s="678">
        <f>IF('11. Unit Mix'!$G$142&lt;&gt;0,+F22/'11. Unit Mix'!$G$142,0)</f>
        <v>0</v>
      </c>
      <c r="N22" s="503">
        <f t="shared" si="1"/>
        <v>0</v>
      </c>
      <c r="O22" s="1289"/>
      <c r="P22" s="925"/>
      <c r="Q22" s="925"/>
      <c r="R22" s="9"/>
      <c r="AU22" s="149"/>
      <c r="AV22" s="149"/>
      <c r="AW22" s="149"/>
      <c r="AX22" s="149"/>
      <c r="AY22" s="149"/>
    </row>
    <row r="23" spans="2:51" hidden="1">
      <c r="B23" s="1273"/>
      <c r="C23" s="2190" t="s">
        <v>4185</v>
      </c>
      <c r="D23" s="2190"/>
      <c r="E23" s="1706"/>
      <c r="F23" s="505">
        <f t="shared" si="2"/>
        <v>0</v>
      </c>
      <c r="G23" s="505">
        <v>0</v>
      </c>
      <c r="H23" s="505">
        <v>0</v>
      </c>
      <c r="I23" s="505">
        <v>0</v>
      </c>
      <c r="K23" s="280"/>
      <c r="L23" s="297"/>
      <c r="M23" s="678">
        <f>IF('11. Unit Mix'!$G$142&lt;&gt;0,+F23/'11. Unit Mix'!$G$142,0)</f>
        <v>0</v>
      </c>
      <c r="N23" s="503">
        <f t="shared" si="1"/>
        <v>0</v>
      </c>
      <c r="O23" s="1289"/>
      <c r="P23" s="925"/>
      <c r="Q23" s="925"/>
      <c r="R23" s="9"/>
      <c r="AU23" s="149"/>
      <c r="AV23" s="149"/>
      <c r="AW23" s="149"/>
      <c r="AX23" s="149"/>
      <c r="AY23" s="149"/>
    </row>
    <row r="24" spans="2:51">
      <c r="B24" s="1273"/>
      <c r="C24" s="2190" t="s">
        <v>4216</v>
      </c>
      <c r="D24" s="2190"/>
      <c r="E24" s="1706"/>
      <c r="F24" s="505">
        <f>+SUM(G24:H24)</f>
        <v>0</v>
      </c>
      <c r="G24" s="505">
        <f>+'13. Construction Cost SOV'!F138+'13. Construction Cost SOV'!F124</f>
        <v>0</v>
      </c>
      <c r="H24" s="505">
        <f>+'13. Construction Cost SOV'!G138+'13. Construction Cost SOV'!G124</f>
        <v>0</v>
      </c>
      <c r="I24" s="505"/>
      <c r="K24" s="280"/>
      <c r="L24" s="297"/>
      <c r="M24" s="678">
        <f>IF('11. Unit Mix'!$G$142&lt;&gt;0,+F24/'11. Unit Mix'!$G$142,0)</f>
        <v>0</v>
      </c>
      <c r="N24" s="503">
        <f t="shared" si="1"/>
        <v>0</v>
      </c>
      <c r="O24" s="1289"/>
      <c r="P24" s="925"/>
      <c r="Q24" s="925"/>
      <c r="R24" s="9"/>
      <c r="AU24" s="149"/>
      <c r="AV24" s="149"/>
      <c r="AW24" s="149"/>
      <c r="AX24" s="149"/>
      <c r="AY24" s="149"/>
    </row>
    <row r="25" spans="2:51" ht="14.5" customHeight="1">
      <c r="B25" s="1273"/>
      <c r="C25" s="2190" t="s">
        <v>4318</v>
      </c>
      <c r="D25" s="2190"/>
      <c r="E25" s="1706"/>
      <c r="F25" s="505">
        <f>+SUM(G25:H25)</f>
        <v>0</v>
      </c>
      <c r="G25" s="505">
        <f>+'13. Construction Cost SOV'!F148+'13. Construction Cost SOV'!F114+'13. Construction Cost SOV'!F31</f>
        <v>0</v>
      </c>
      <c r="H25" s="505">
        <f>+'13. Construction Cost SOV'!G148+'13. Construction Cost SOV'!G114+'13. Construction Cost SOV'!G31</f>
        <v>0</v>
      </c>
      <c r="I25" s="505"/>
      <c r="K25" s="280"/>
      <c r="L25" s="297"/>
      <c r="M25" s="678">
        <f>IF('11. Unit Mix'!$G$142&lt;&gt;0,+F25/'11. Unit Mix'!$G$142,0)</f>
        <v>0</v>
      </c>
      <c r="N25" s="503">
        <f t="shared" si="1"/>
        <v>0</v>
      </c>
      <c r="O25" s="1289"/>
      <c r="P25" s="925"/>
      <c r="Q25" s="925"/>
      <c r="R25" s="9"/>
      <c r="AU25" s="149"/>
      <c r="AV25" s="149"/>
      <c r="AW25" s="149"/>
      <c r="AX25" s="149"/>
      <c r="AY25" s="149"/>
    </row>
    <row r="26" spans="2:51" hidden="1">
      <c r="B26" s="1273"/>
      <c r="C26" s="2190" t="s">
        <v>4319</v>
      </c>
      <c r="D26" s="2190"/>
      <c r="E26" s="1706"/>
      <c r="F26" s="505">
        <f t="shared" ref="F26:F30" si="3">+SUM(G26:H26)</f>
        <v>0</v>
      </c>
      <c r="G26" s="505">
        <v>0</v>
      </c>
      <c r="H26" s="505">
        <v>0</v>
      </c>
      <c r="I26" s="505">
        <v>0</v>
      </c>
      <c r="K26" s="280"/>
      <c r="L26" s="297"/>
      <c r="M26" s="678">
        <f>IF('11. Unit Mix'!$G$142&lt;&gt;0,+F26/'11. Unit Mix'!$G$142,0)</f>
        <v>0</v>
      </c>
      <c r="N26" s="503">
        <f t="shared" si="1"/>
        <v>0</v>
      </c>
      <c r="O26" s="1289"/>
      <c r="P26" s="925"/>
      <c r="Q26" s="925"/>
      <c r="R26" s="9"/>
      <c r="AU26" s="149"/>
      <c r="AV26" s="149"/>
      <c r="AW26" s="149"/>
      <c r="AX26" s="149"/>
      <c r="AY26" s="149"/>
    </row>
    <row r="27" spans="2:51" ht="24" hidden="1" customHeight="1">
      <c r="B27" s="1273"/>
      <c r="C27" s="2187" t="s">
        <v>4320</v>
      </c>
      <c r="D27" s="2187"/>
      <c r="E27" s="1706"/>
      <c r="F27" s="505">
        <f t="shared" si="3"/>
        <v>0</v>
      </c>
      <c r="G27" s="505">
        <f>+'13. Construction Cost SOV'!F252</f>
        <v>0</v>
      </c>
      <c r="H27" s="505">
        <f>+'13. Construction Cost SOV'!G252</f>
        <v>0</v>
      </c>
      <c r="I27" s="505"/>
      <c r="K27" s="280"/>
      <c r="L27" s="297"/>
      <c r="M27" s="678">
        <f>IF('11. Unit Mix'!$G$142&lt;&gt;0,+F27/'11. Unit Mix'!$G$142,0)</f>
        <v>0</v>
      </c>
      <c r="N27" s="503">
        <f t="shared" si="1"/>
        <v>0</v>
      </c>
      <c r="O27" s="1289"/>
      <c r="P27" s="925"/>
      <c r="Q27" s="925"/>
      <c r="R27" s="9"/>
      <c r="AU27" s="149"/>
      <c r="AV27" s="149"/>
      <c r="AW27" s="149"/>
      <c r="AX27" s="149"/>
      <c r="AY27" s="149"/>
    </row>
    <row r="28" spans="2:51">
      <c r="B28" s="1273"/>
      <c r="C28" s="1701" t="s">
        <v>4321</v>
      </c>
      <c r="D28" s="1706"/>
      <c r="E28" s="802"/>
      <c r="F28" s="503">
        <f t="shared" si="3"/>
        <v>0</v>
      </c>
      <c r="G28" s="280"/>
      <c r="H28" s="280"/>
      <c r="I28" s="280"/>
      <c r="K28" s="280"/>
      <c r="L28" s="297">
        <f>IF(Credit_percentage_applied_for="State + Fed 4%", PC_CST_Accessory_Building,0)</f>
        <v>0</v>
      </c>
      <c r="M28" s="678">
        <f>IF('11. Unit Mix'!$G$142&lt;&gt;0,+F28/'11. Unit Mix'!$G$142,0)</f>
        <v>0</v>
      </c>
      <c r="N28" s="503">
        <f t="shared" si="1"/>
        <v>0</v>
      </c>
      <c r="O28" s="1289"/>
      <c r="P28" s="925"/>
      <c r="Q28" s="925"/>
      <c r="R28" s="9"/>
      <c r="AU28" s="149"/>
      <c r="AV28" s="149"/>
      <c r="AW28" s="149"/>
      <c r="AX28" s="149"/>
      <c r="AY28" s="149"/>
    </row>
    <row r="29" spans="2:51">
      <c r="B29" s="1273"/>
      <c r="C29" s="2187" t="s">
        <v>4322</v>
      </c>
      <c r="D29" s="2187"/>
      <c r="E29" s="1706"/>
      <c r="F29" s="503">
        <f t="shared" si="3"/>
        <v>0</v>
      </c>
      <c r="G29" s="280"/>
      <c r="H29" s="280"/>
      <c r="I29" s="280"/>
      <c r="K29" s="280"/>
      <c r="L29" s="297">
        <f>IF(Credit_percentage_applied_for="State + Fed 4%", PC_CST_Personal_Property,0)</f>
        <v>0</v>
      </c>
      <c r="M29" s="678">
        <f>IF('11. Unit Mix'!$G$142&lt;&gt;0,+F29/'11. Unit Mix'!$G$142,0)</f>
        <v>0</v>
      </c>
      <c r="N29" s="503">
        <f t="shared" si="1"/>
        <v>0</v>
      </c>
      <c r="O29" s="1289"/>
      <c r="P29" s="925"/>
      <c r="Q29" s="925"/>
      <c r="R29" s="9"/>
      <c r="AU29" s="149"/>
      <c r="AV29" s="149"/>
      <c r="AW29" s="149"/>
      <c r="AX29" s="149"/>
      <c r="AY29" s="149"/>
    </row>
    <row r="30" spans="2:51">
      <c r="B30" s="1273"/>
      <c r="C30" s="1701" t="s">
        <v>2749</v>
      </c>
      <c r="D30" s="1706"/>
      <c r="E30" s="802"/>
      <c r="F30" s="503">
        <f t="shared" si="3"/>
        <v>0</v>
      </c>
      <c r="G30" s="280"/>
      <c r="H30" s="280"/>
      <c r="I30" s="280"/>
      <c r="K30" s="280"/>
      <c r="L30" s="297">
        <f>IF(Credit_percentage_applied_for="State + Fed 4%", PC_CST_Other_New_Construction, 0)</f>
        <v>0</v>
      </c>
      <c r="M30" s="678">
        <f>IF('11. Unit Mix'!$G$142&lt;&gt;0,+F30/'11. Unit Mix'!$G$142,0)</f>
        <v>0</v>
      </c>
      <c r="N30" s="503">
        <f t="shared" si="1"/>
        <v>0</v>
      </c>
      <c r="O30" s="1289"/>
      <c r="P30" s="925"/>
      <c r="Q30" s="925"/>
      <c r="R30" s="9"/>
      <c r="AU30" s="149"/>
      <c r="AV30" s="149"/>
      <c r="AW30" s="149"/>
      <c r="AX30" s="149"/>
      <c r="AY30" s="149"/>
    </row>
    <row r="31" spans="2:51">
      <c r="B31" s="1273"/>
      <c r="C31" s="2186" t="s">
        <v>2755</v>
      </c>
      <c r="D31" s="2186"/>
      <c r="E31" s="476"/>
      <c r="F31" s="534">
        <f>SUM(F19:F30)</f>
        <v>0</v>
      </c>
      <c r="G31" s="534">
        <f>SUM(G19:G30)</f>
        <v>0</v>
      </c>
      <c r="H31" s="534">
        <f>SUM(H19:H30)</f>
        <v>0</v>
      </c>
      <c r="I31" s="291">
        <f>SUM(I28:I30,I19)</f>
        <v>0</v>
      </c>
      <c r="J31" s="291">
        <f>SUM(J28:J30,PC_CST_Building)</f>
        <v>0</v>
      </c>
      <c r="K31" s="291">
        <f>SUM(K18:K30)</f>
        <v>0</v>
      </c>
      <c r="L31" s="292">
        <f>SUM(L28:L30,PC_CST_Building_State)</f>
        <v>0</v>
      </c>
      <c r="M31" s="687">
        <f>IF('11. Unit Mix'!$G$142&lt;&gt;0,+F31/'11. Unit Mix'!$G$142,0)</f>
        <v>0</v>
      </c>
      <c r="N31" s="291">
        <f t="shared" si="1"/>
        <v>0</v>
      </c>
      <c r="O31" s="1289"/>
      <c r="P31" s="925"/>
      <c r="Q31" s="925"/>
      <c r="R31" s="9"/>
      <c r="AU31" s="149"/>
      <c r="AV31" s="149"/>
      <c r="AW31" s="149"/>
      <c r="AX31" s="149"/>
      <c r="AY31" s="149"/>
    </row>
    <row r="32" spans="2:51" hidden="1">
      <c r="B32" s="1273"/>
      <c r="C32" s="137" t="s">
        <v>2757</v>
      </c>
      <c r="D32" s="480"/>
      <c r="E32" s="211"/>
      <c r="F32" s="288"/>
      <c r="G32" s="288"/>
      <c r="H32" s="288"/>
      <c r="I32" s="288"/>
      <c r="K32" s="288"/>
      <c r="L32" s="293"/>
      <c r="M32" s="688">
        <f>IF('11. Unit Mix'!$G$142&lt;&gt;0,+F32/'11. Unit Mix'!$G$142,0)</f>
        <v>0</v>
      </c>
      <c r="N32" s="289">
        <f t="shared" si="1"/>
        <v>0</v>
      </c>
      <c r="O32" s="1289"/>
      <c r="P32" s="925"/>
      <c r="Q32" s="925"/>
      <c r="R32" s="9"/>
      <c r="AU32" s="149"/>
      <c r="AV32" s="149"/>
      <c r="AW32" s="149"/>
      <c r="AX32" s="149"/>
      <c r="AY32" s="149"/>
    </row>
    <row r="33" spans="2:51" hidden="1">
      <c r="B33" s="1273"/>
      <c r="C33" s="2185" t="s">
        <v>2759</v>
      </c>
      <c r="D33" s="2185"/>
      <c r="E33" s="808"/>
      <c r="F33" s="536">
        <v>0</v>
      </c>
      <c r="G33" s="280"/>
      <c r="H33" s="280"/>
      <c r="I33" s="280"/>
      <c r="K33" s="280">
        <v>0</v>
      </c>
      <c r="L33" s="297">
        <f>IF(Credit_percentage_applied_for="State + Fed 4%", PC_CST_Earthwork_Other_4, 0)</f>
        <v>0</v>
      </c>
      <c r="M33" s="686">
        <f>IF('11. Unit Mix'!$G$142&lt;&gt;0,+F33/'11. Unit Mix'!$G$142,0)</f>
        <v>0</v>
      </c>
      <c r="N33" s="536">
        <f t="shared" si="1"/>
        <v>0</v>
      </c>
      <c r="O33" s="1289"/>
      <c r="P33" s="925"/>
      <c r="Q33" s="925"/>
      <c r="R33" s="9"/>
      <c r="AU33" s="149"/>
      <c r="AV33" s="149"/>
      <c r="AW33" s="149"/>
      <c r="AX33" s="149"/>
      <c r="AY33" s="149"/>
    </row>
    <row r="34" spans="2:51" hidden="1">
      <c r="B34" s="1273"/>
      <c r="C34" s="2185" t="s">
        <v>2761</v>
      </c>
      <c r="D34" s="2185"/>
      <c r="E34" s="809"/>
      <c r="F34" s="811">
        <v>0</v>
      </c>
      <c r="G34" s="811"/>
      <c r="H34" s="811"/>
      <c r="I34" s="811"/>
      <c r="J34" s="751"/>
      <c r="K34" s="811">
        <v>0</v>
      </c>
      <c r="L34" s="812">
        <f>IF(Credit_percentage_applied_for="State + Fed 4%", PC_CST_Utilities_4, 0)</f>
        <v>0</v>
      </c>
      <c r="M34" s="813">
        <f>IF('11. Unit Mix'!$G$142&lt;&gt;0,+F34/'11. Unit Mix'!$G$142,0)</f>
        <v>0</v>
      </c>
      <c r="N34" s="811">
        <f t="shared" si="1"/>
        <v>0</v>
      </c>
      <c r="O34" s="1289"/>
      <c r="P34" s="925"/>
      <c r="Q34" s="925"/>
      <c r="R34" s="9"/>
      <c r="AU34" s="149"/>
      <c r="AV34" s="149"/>
      <c r="AW34" s="149"/>
      <c r="AX34" s="149"/>
      <c r="AY34" s="149"/>
    </row>
    <row r="35" spans="2:51" hidden="1">
      <c r="B35" s="1273"/>
      <c r="C35" s="2185" t="s">
        <v>2763</v>
      </c>
      <c r="D35" s="2185"/>
      <c r="E35" s="810"/>
      <c r="F35" s="811">
        <v>0</v>
      </c>
      <c r="G35" s="811"/>
      <c r="H35" s="811"/>
      <c r="I35" s="811"/>
      <c r="J35" s="751"/>
      <c r="K35" s="811">
        <v>0</v>
      </c>
      <c r="L35" s="812">
        <f>IF(Credit_percentage_applied_for="State + Fed 4%", PC_CST_Lawn_4, 0)</f>
        <v>0</v>
      </c>
      <c r="M35" s="813">
        <f>IF('11. Unit Mix'!$G$142&lt;&gt;0,+F35/'11. Unit Mix'!$G$142,0)</f>
        <v>0</v>
      </c>
      <c r="N35" s="811">
        <f t="shared" si="1"/>
        <v>0</v>
      </c>
      <c r="O35" s="1289"/>
      <c r="P35" s="925"/>
      <c r="Q35" s="925"/>
      <c r="R35" s="9"/>
      <c r="AU35" s="149"/>
      <c r="AV35" s="149"/>
      <c r="AW35" s="149"/>
      <c r="AX35" s="149"/>
      <c r="AY35" s="149"/>
    </row>
    <row r="36" spans="2:51" hidden="1">
      <c r="B36" s="1273"/>
      <c r="C36" s="2185" t="s">
        <v>2764</v>
      </c>
      <c r="D36" s="2185"/>
      <c r="E36" s="810"/>
      <c r="F36" s="811">
        <v>0</v>
      </c>
      <c r="G36" s="811"/>
      <c r="H36" s="811"/>
      <c r="I36" s="811"/>
      <c r="J36" s="751"/>
      <c r="K36" s="811">
        <v>0</v>
      </c>
      <c r="L36" s="812">
        <f>IF(Credit_percentage_applied_for="State + Fed 4%", PC_CST_Unusual_Site_4, 0)</f>
        <v>0</v>
      </c>
      <c r="M36" s="813">
        <f>IF('11. Unit Mix'!$G$142&lt;&gt;0,+F36/'11. Unit Mix'!$G$142,0)</f>
        <v>0</v>
      </c>
      <c r="N36" s="811">
        <f t="shared" si="1"/>
        <v>0</v>
      </c>
      <c r="O36" s="1289"/>
      <c r="P36" s="925"/>
      <c r="Q36" s="925"/>
      <c r="R36" s="9"/>
      <c r="AU36" s="149"/>
      <c r="AV36" s="149"/>
      <c r="AW36" s="149"/>
      <c r="AX36" s="149"/>
      <c r="AY36" s="149"/>
    </row>
    <row r="37" spans="2:51" hidden="1">
      <c r="B37" s="1273"/>
      <c r="C37" s="2185" t="s">
        <v>2766</v>
      </c>
      <c r="D37" s="2185"/>
      <c r="E37" s="810"/>
      <c r="F37" s="811">
        <v>0</v>
      </c>
      <c r="G37" s="811"/>
      <c r="H37" s="811"/>
      <c r="I37" s="811"/>
      <c r="J37" s="751"/>
      <c r="K37" s="811">
        <v>0</v>
      </c>
      <c r="L37" s="812">
        <f>IF(Credit_percentage_applied_for="State + Fed 4%", PC_CST_Roads_4, 0)</f>
        <v>0</v>
      </c>
      <c r="M37" s="813">
        <f>IF('11. Unit Mix'!$G$142&lt;&gt;0,+F37/'11. Unit Mix'!$G$142,0)</f>
        <v>0</v>
      </c>
      <c r="N37" s="811">
        <f t="shared" si="1"/>
        <v>0</v>
      </c>
      <c r="O37" s="1289"/>
      <c r="P37" s="925"/>
      <c r="Q37" s="925"/>
      <c r="R37" s="9"/>
      <c r="AU37" s="149"/>
      <c r="AV37" s="149"/>
      <c r="AW37" s="149"/>
      <c r="AX37" s="149"/>
      <c r="AY37" s="149"/>
    </row>
    <row r="38" spans="2:51" hidden="1">
      <c r="B38" s="1273"/>
      <c r="C38" s="2185" t="s">
        <v>2768</v>
      </c>
      <c r="D38" s="2185"/>
      <c r="E38" s="810"/>
      <c r="F38" s="811">
        <v>0</v>
      </c>
      <c r="G38" s="811"/>
      <c r="H38" s="811"/>
      <c r="I38" s="811"/>
      <c r="J38" s="751"/>
      <c r="K38" s="811">
        <v>0</v>
      </c>
      <c r="L38" s="812">
        <f>IF(Credit_percentage_applied_for="State + Fed 4%", PC_CST_Off_Site_Work_4, 0)</f>
        <v>0</v>
      </c>
      <c r="M38" s="813">
        <f>IF('11. Unit Mix'!$G$142&lt;&gt;0,+F38/'11. Unit Mix'!$G$142,0)</f>
        <v>0</v>
      </c>
      <c r="N38" s="811">
        <f t="shared" si="1"/>
        <v>0</v>
      </c>
      <c r="O38" s="1289"/>
      <c r="P38" s="925"/>
      <c r="Q38" s="925"/>
      <c r="R38" s="9"/>
      <c r="AU38" s="149"/>
      <c r="AV38" s="149"/>
      <c r="AW38" s="149"/>
      <c r="AX38" s="149"/>
      <c r="AY38" s="149"/>
    </row>
    <row r="39" spans="2:51" hidden="1">
      <c r="B39" s="1273"/>
      <c r="C39" s="2186" t="s">
        <v>2770</v>
      </c>
      <c r="D39" s="2186"/>
      <c r="E39" s="476"/>
      <c r="F39" s="291">
        <f>SUM(F33:F38)</f>
        <v>0</v>
      </c>
      <c r="G39" s="291"/>
      <c r="H39" s="291"/>
      <c r="I39" s="291"/>
      <c r="K39" s="291">
        <f>SUM(K33:K38)</f>
        <v>0</v>
      </c>
      <c r="L39" s="292">
        <f>SUM(L33:L38)</f>
        <v>0</v>
      </c>
      <c r="M39" s="687">
        <f>IF('11. Unit Mix'!$G$142&lt;&gt;0,+F39/'11. Unit Mix'!$G$142,0)</f>
        <v>0</v>
      </c>
      <c r="N39" s="291">
        <f t="shared" si="1"/>
        <v>0</v>
      </c>
      <c r="O39" s="1289"/>
      <c r="P39" s="925"/>
      <c r="Q39" s="925"/>
      <c r="R39" s="9"/>
      <c r="AU39" s="149"/>
      <c r="AV39" s="149"/>
      <c r="AW39" s="149"/>
      <c r="AX39" s="149"/>
      <c r="AY39" s="149"/>
    </row>
    <row r="40" spans="2:51">
      <c r="B40" s="1273"/>
      <c r="C40" s="137" t="s">
        <v>2776</v>
      </c>
      <c r="D40" s="480"/>
      <c r="E40" s="211"/>
      <c r="F40" s="288"/>
      <c r="G40" s="288"/>
      <c r="H40" s="288"/>
      <c r="I40" s="288"/>
      <c r="K40" s="288"/>
      <c r="L40" s="293"/>
      <c r="M40" s="688"/>
      <c r="N40" s="289"/>
      <c r="O40" s="1289"/>
      <c r="P40" s="925"/>
      <c r="Q40" s="925"/>
      <c r="R40" s="9"/>
      <c r="AU40" s="149"/>
      <c r="AV40" s="149"/>
      <c r="AW40" s="149"/>
      <c r="AX40" s="149"/>
      <c r="AY40" s="149"/>
    </row>
    <row r="41" spans="2:51">
      <c r="B41" s="1273"/>
      <c r="C41" s="2187" t="s">
        <v>4323</v>
      </c>
      <c r="D41" s="2187"/>
      <c r="E41" s="1706"/>
      <c r="F41" s="505">
        <f>+SUM(G41:H41)</f>
        <v>0</v>
      </c>
      <c r="G41" s="505">
        <f>+'13. Construction Cost SOV'!F232</f>
        <v>0</v>
      </c>
      <c r="H41" s="505">
        <f>+'13. Construction Cost SOV'!G232</f>
        <v>0</v>
      </c>
      <c r="I41" s="504"/>
      <c r="K41" s="299"/>
      <c r="L41" s="299"/>
      <c r="M41" s="678">
        <f>IF('11. Unit Mix'!$G$142&lt;&gt;0,+F41/'11. Unit Mix'!$G$142,0)</f>
        <v>0</v>
      </c>
      <c r="N41" s="503">
        <f t="shared" ref="N41:N49" si="4">IF(Total_Units&lt;&gt;0,+F41/Total_Units,0)</f>
        <v>0</v>
      </c>
      <c r="O41" s="1289"/>
      <c r="P41" s="925"/>
      <c r="Q41" s="925"/>
      <c r="R41" s="9"/>
      <c r="AU41" s="149"/>
      <c r="AV41" s="149"/>
      <c r="AW41" s="149"/>
      <c r="AX41" s="149"/>
      <c r="AY41" s="149"/>
    </row>
    <row r="42" spans="2:51">
      <c r="B42" s="1273"/>
      <c r="C42" s="2187" t="s">
        <v>4324</v>
      </c>
      <c r="D42" s="2187"/>
      <c r="E42" s="1706"/>
      <c r="F42" s="505">
        <f>+SUM(G42:H42)</f>
        <v>0</v>
      </c>
      <c r="G42" s="505">
        <f>+'13. Construction Cost SOV'!F222</f>
        <v>0</v>
      </c>
      <c r="H42" s="505">
        <f>+'13. Construction Cost SOV'!G222</f>
        <v>0</v>
      </c>
      <c r="I42" s="506"/>
      <c r="K42" s="280"/>
      <c r="L42" s="297">
        <f>IF(Credit_percentage_applied_for="State + Fed 4%", PC_CST_Earthwork, 0)</f>
        <v>0</v>
      </c>
      <c r="M42" s="678">
        <f>IF('11. Unit Mix'!$G$142&lt;&gt;0,+F42/'11. Unit Mix'!$G$142,0)</f>
        <v>0</v>
      </c>
      <c r="N42" s="503">
        <f t="shared" si="4"/>
        <v>0</v>
      </c>
      <c r="O42" s="1289"/>
      <c r="P42" s="925"/>
      <c r="Q42" s="925"/>
      <c r="R42" s="9"/>
      <c r="AU42" s="149"/>
      <c r="AV42" s="149"/>
      <c r="AW42" s="149"/>
      <c r="AX42" s="149"/>
      <c r="AY42" s="149"/>
    </row>
    <row r="43" spans="2:51" hidden="1">
      <c r="B43" s="1273"/>
      <c r="C43" s="2185" t="s">
        <v>1359</v>
      </c>
      <c r="D43" s="2185"/>
      <c r="E43" s="808"/>
      <c r="F43" s="536">
        <v>0</v>
      </c>
      <c r="G43" s="864"/>
      <c r="H43" s="864"/>
      <c r="I43" s="864"/>
      <c r="J43" s="750"/>
      <c r="K43" s="536">
        <v>0</v>
      </c>
      <c r="L43" s="805">
        <f>IF(Credit_percentage_applied_for="State + Fed 4%", PC_CST_Roads_Walks_4, 0)</f>
        <v>0</v>
      </c>
      <c r="M43" s="536">
        <f>IF('11. Unit Mix'!$G$142&lt;&gt;0,+F43/'11. Unit Mix'!$G$142,0)</f>
        <v>0</v>
      </c>
      <c r="N43" s="536">
        <f t="shared" si="4"/>
        <v>0</v>
      </c>
      <c r="O43" s="1289"/>
      <c r="P43" s="925"/>
      <c r="Q43" s="925"/>
      <c r="R43" s="9"/>
      <c r="AU43" s="149"/>
      <c r="AV43" s="149"/>
      <c r="AW43" s="149"/>
      <c r="AX43" s="149"/>
      <c r="AY43" s="149"/>
    </row>
    <row r="44" spans="2:51" hidden="1">
      <c r="B44" s="1273"/>
      <c r="C44" s="2208" t="s">
        <v>2785</v>
      </c>
      <c r="D44" s="2208"/>
      <c r="E44" s="809"/>
      <c r="F44" s="811">
        <v>0</v>
      </c>
      <c r="G44" s="815"/>
      <c r="H44" s="815"/>
      <c r="I44" s="815"/>
      <c r="J44" s="751"/>
      <c r="K44" s="815">
        <v>0</v>
      </c>
      <c r="L44" s="812">
        <f>IF(Credit_percentage_applied_for="State + Fed 4%", PC_CST_Site_Utilities_4, 0)</f>
        <v>0</v>
      </c>
      <c r="M44" s="813">
        <f>IF('11. Unit Mix'!$G$142&lt;&gt;0,+F44/'11. Unit Mix'!$G$142,0)</f>
        <v>0</v>
      </c>
      <c r="N44" s="811">
        <f t="shared" si="4"/>
        <v>0</v>
      </c>
      <c r="O44" s="1289"/>
      <c r="P44" s="925"/>
      <c r="Q44" s="925"/>
      <c r="R44" s="9"/>
      <c r="AU44" s="149"/>
      <c r="AV44" s="149"/>
      <c r="AW44" s="149"/>
      <c r="AX44" s="149"/>
      <c r="AY44" s="149"/>
    </row>
    <row r="45" spans="2:51">
      <c r="B45" s="1273"/>
      <c r="C45" s="2187" t="s">
        <v>2787</v>
      </c>
      <c r="D45" s="2187"/>
      <c r="E45" s="1706"/>
      <c r="F45" s="503">
        <f>SUM(G45:H45)</f>
        <v>0</v>
      </c>
      <c r="G45" s="280"/>
      <c r="H45" s="280"/>
      <c r="I45" s="280"/>
      <c r="K45" s="282"/>
      <c r="L45" s="297">
        <f>IF(Credit_percentage_applied_for="State + Fed 4%", PC_CST_Lawn_Planting, 0)</f>
        <v>0</v>
      </c>
      <c r="M45" s="686">
        <f>IF('11. Unit Mix'!$G$142&lt;&gt;0,+F45/'11. Unit Mix'!$G$142,0)</f>
        <v>0</v>
      </c>
      <c r="N45" s="536">
        <f t="shared" si="4"/>
        <v>0</v>
      </c>
      <c r="O45" s="1289"/>
      <c r="P45" s="925"/>
      <c r="Q45" s="925"/>
      <c r="R45" s="9"/>
      <c r="AU45" s="149"/>
      <c r="AV45" s="149"/>
      <c r="AW45" s="149"/>
      <c r="AX45" s="149"/>
      <c r="AY45" s="149"/>
    </row>
    <row r="46" spans="2:51" hidden="1">
      <c r="B46" s="1273"/>
      <c r="C46" s="2200" t="s">
        <v>2793</v>
      </c>
      <c r="D46" s="2200"/>
      <c r="E46" s="814"/>
      <c r="F46" s="536">
        <v>0</v>
      </c>
      <c r="G46" s="280"/>
      <c r="H46" s="280"/>
      <c r="I46" s="280"/>
      <c r="K46" s="282">
        <v>0</v>
      </c>
      <c r="L46" s="297">
        <f>IF(Credit_percentage_applied_for="State + Fed 4%", PC_CST_Fixtures_Furn, 0)</f>
        <v>0</v>
      </c>
      <c r="M46" s="686">
        <f>IF('11. Unit Mix'!$G$142&lt;&gt;0,+F46/'11. Unit Mix'!$G$142,0)</f>
        <v>0</v>
      </c>
      <c r="N46" s="536">
        <f t="shared" si="4"/>
        <v>0</v>
      </c>
      <c r="O46" s="1289"/>
      <c r="P46" s="925"/>
      <c r="Q46" s="925"/>
      <c r="R46" s="9"/>
      <c r="AU46" s="149"/>
      <c r="AV46" s="149"/>
      <c r="AW46" s="149"/>
      <c r="AX46" s="149"/>
      <c r="AY46" s="149"/>
    </row>
    <row r="47" spans="2:51" hidden="1">
      <c r="B47" s="1273"/>
      <c r="C47" s="2187" t="s">
        <v>2764</v>
      </c>
      <c r="D47" s="2187"/>
      <c r="E47" s="1706"/>
      <c r="F47" s="536">
        <v>0</v>
      </c>
      <c r="G47" s="280"/>
      <c r="H47" s="280"/>
      <c r="I47" s="280"/>
      <c r="K47" s="282">
        <v>0</v>
      </c>
      <c r="L47" s="297">
        <f>IF(Credit_percentage_applied_for="State + Fed 4%", PC_CST_Unusual_SC_4, 0)</f>
        <v>0</v>
      </c>
      <c r="M47" s="686">
        <f>IF('11. Unit Mix'!$G$142&lt;&gt;0,+F47/'11. Unit Mix'!$G$142,0)</f>
        <v>0</v>
      </c>
      <c r="N47" s="536">
        <f t="shared" si="4"/>
        <v>0</v>
      </c>
      <c r="O47" s="1289"/>
      <c r="P47" s="925"/>
      <c r="Q47" s="925"/>
      <c r="R47" s="9"/>
      <c r="AU47" s="149"/>
      <c r="AV47" s="149"/>
      <c r="AW47" s="149"/>
      <c r="AX47" s="149"/>
      <c r="AY47" s="149"/>
    </row>
    <row r="48" spans="2:51">
      <c r="B48" s="1273"/>
      <c r="C48" s="2200" t="s">
        <v>2797</v>
      </c>
      <c r="D48" s="2200"/>
      <c r="E48" s="814"/>
      <c r="F48" s="503">
        <f>+SUM(G48:H48)</f>
        <v>0</v>
      </c>
      <c r="G48" s="280"/>
      <c r="H48" s="280"/>
      <c r="I48" s="280"/>
      <c r="K48" s="280"/>
      <c r="L48" s="297">
        <f>IF(Credit_percentage_applied_for="State + Fed 4%", PC_CST_Other_Site_Work, 0)</f>
        <v>0</v>
      </c>
      <c r="M48" s="678">
        <f>IF('11. Unit Mix'!$G$142&lt;&gt;0,+F48/'11. Unit Mix'!$G$142,0)</f>
        <v>0</v>
      </c>
      <c r="N48" s="503">
        <f t="shared" si="4"/>
        <v>0</v>
      </c>
      <c r="O48" s="1289"/>
      <c r="P48" s="925"/>
      <c r="Q48" s="925"/>
      <c r="R48" s="9"/>
      <c r="AU48" s="149"/>
      <c r="AV48" s="149"/>
      <c r="AW48" s="149"/>
      <c r="AX48" s="149"/>
      <c r="AY48" s="149"/>
    </row>
    <row r="49" spans="2:51">
      <c r="B49" s="1273"/>
      <c r="C49" s="2186" t="s">
        <v>2800</v>
      </c>
      <c r="D49" s="2186"/>
      <c r="E49" s="476"/>
      <c r="F49" s="534">
        <f>+SUM(F41:F48)</f>
        <v>0</v>
      </c>
      <c r="G49" s="534">
        <f>+SUM(G41:G48)</f>
        <v>0</v>
      </c>
      <c r="H49" s="534">
        <f>+SUM(H41:H48)</f>
        <v>0</v>
      </c>
      <c r="I49" s="534">
        <f>+SUM(I41:I42)</f>
        <v>0</v>
      </c>
      <c r="K49" s="291">
        <f>SUM(K41:K48)</f>
        <v>0</v>
      </c>
      <c r="L49" s="292">
        <f>SUM(L41:L48)</f>
        <v>0</v>
      </c>
      <c r="M49" s="687">
        <f>IF('11. Unit Mix'!$G$142&lt;&gt;0,+F49/'11. Unit Mix'!$G$142,0)</f>
        <v>0</v>
      </c>
      <c r="N49" s="291">
        <f t="shared" si="4"/>
        <v>0</v>
      </c>
      <c r="O49" s="1289"/>
      <c r="P49" s="925"/>
      <c r="Q49" s="925"/>
      <c r="R49" s="9"/>
      <c r="AU49" s="149"/>
      <c r="AV49" s="149"/>
      <c r="AW49" s="149"/>
      <c r="AX49" s="149"/>
      <c r="AY49" s="149"/>
    </row>
    <row r="50" spans="2:51">
      <c r="B50" s="1273"/>
      <c r="C50" s="137" t="s">
        <v>2803</v>
      </c>
      <c r="D50" s="480"/>
      <c r="E50" s="211"/>
      <c r="F50" s="288"/>
      <c r="G50" s="288"/>
      <c r="H50" s="288"/>
      <c r="I50" s="288"/>
      <c r="K50" s="288"/>
      <c r="L50" s="293"/>
      <c r="M50" s="688"/>
      <c r="N50" s="289"/>
      <c r="O50" s="1289"/>
      <c r="P50" s="925"/>
      <c r="Q50" s="925"/>
      <c r="R50" s="9"/>
      <c r="AU50" s="149"/>
      <c r="AV50" s="149"/>
      <c r="AW50" s="149"/>
      <c r="AX50" s="149"/>
      <c r="AY50" s="149"/>
    </row>
    <row r="51" spans="2:51">
      <c r="B51" s="1273"/>
      <c r="C51" s="2187" t="s">
        <v>2805</v>
      </c>
      <c r="D51" s="2187"/>
      <c r="E51" s="1706"/>
      <c r="F51" s="503">
        <f>+SUM(G51:H51)</f>
        <v>0</v>
      </c>
      <c r="G51" s="280"/>
      <c r="H51" s="280"/>
      <c r="I51" s="504">
        <v>0</v>
      </c>
      <c r="J51" s="504">
        <v>0</v>
      </c>
      <c r="K51" s="280"/>
      <c r="L51" s="297">
        <f>IF(Credit_percentage_applied_for="State + Fed 4%", PC_CST_General_Requirements, 0)</f>
        <v>0</v>
      </c>
      <c r="M51" s="678">
        <f>IF('11. Unit Mix'!$G$142&lt;&gt;0,+F51/'11. Unit Mix'!$G$142,0)</f>
        <v>0</v>
      </c>
      <c r="N51" s="503">
        <f t="shared" ref="N51:N63" si="5">IF(Total_Units&lt;&gt;0,+F51/Total_Units,0)</f>
        <v>0</v>
      </c>
      <c r="O51" s="1289"/>
      <c r="P51" s="925"/>
      <c r="Q51" s="925"/>
      <c r="R51" s="9"/>
      <c r="AU51" s="149"/>
      <c r="AV51" s="149"/>
      <c r="AW51" s="149"/>
      <c r="AX51" s="149"/>
      <c r="AY51" s="149"/>
    </row>
    <row r="52" spans="2:51">
      <c r="B52" s="1273"/>
      <c r="C52" s="2187" t="s">
        <v>2809</v>
      </c>
      <c r="D52" s="2187"/>
      <c r="E52" s="1706"/>
      <c r="F52" s="503">
        <f>+SUM(G52:H52)</f>
        <v>0</v>
      </c>
      <c r="G52" s="280"/>
      <c r="H52" s="280"/>
      <c r="I52" s="280"/>
      <c r="K52" s="280"/>
      <c r="L52" s="297">
        <f>IF(Credit_percentage_applied_for="State + Fed 4%", PC_CST_Builders_Overhead, 0)</f>
        <v>0</v>
      </c>
      <c r="M52" s="678">
        <f>IF('11. Unit Mix'!$G$142&lt;&gt;0,+F52/'11. Unit Mix'!$G$142,0)</f>
        <v>0</v>
      </c>
      <c r="N52" s="503">
        <f t="shared" si="5"/>
        <v>0</v>
      </c>
      <c r="O52" s="1289"/>
      <c r="P52" s="925"/>
      <c r="Q52" s="925"/>
      <c r="R52" s="9"/>
      <c r="AU52" s="149"/>
      <c r="AV52" s="149"/>
      <c r="AW52" s="149"/>
      <c r="AX52" s="149"/>
      <c r="AY52" s="149"/>
    </row>
    <row r="53" spans="2:51">
      <c r="B53" s="1273"/>
      <c r="C53" s="2187" t="s">
        <v>2815</v>
      </c>
      <c r="D53" s="2187"/>
      <c r="E53" s="1706"/>
      <c r="F53" s="503">
        <f>+SUM(G53:H53)</f>
        <v>0</v>
      </c>
      <c r="G53" s="280"/>
      <c r="H53" s="280"/>
      <c r="I53" s="280"/>
      <c r="K53" s="280"/>
      <c r="L53" s="297">
        <f>IF(Credit_percentage_applied_for="State + Fed 4%", PC_CST_Builders_Profit, 0)</f>
        <v>0</v>
      </c>
      <c r="M53" s="678">
        <f>IF('11. Unit Mix'!$G$142&lt;&gt;0,+F53/'11. Unit Mix'!$G$142,0)</f>
        <v>0</v>
      </c>
      <c r="N53" s="503">
        <f t="shared" si="5"/>
        <v>0</v>
      </c>
      <c r="O53" s="1289"/>
      <c r="P53" s="925"/>
      <c r="Q53" s="925"/>
      <c r="R53" s="9"/>
      <c r="AU53" s="149"/>
      <c r="AV53" s="149"/>
      <c r="AW53" s="149"/>
      <c r="AX53" s="149"/>
      <c r="AY53" s="149"/>
    </row>
    <row r="54" spans="2:51">
      <c r="B54" s="1273"/>
      <c r="C54" s="2187" t="s">
        <v>2819</v>
      </c>
      <c r="D54" s="2187"/>
      <c r="E54" s="1706"/>
      <c r="F54" s="503">
        <f>+SUM(G54:H54)</f>
        <v>0</v>
      </c>
      <c r="G54" s="280"/>
      <c r="H54" s="280"/>
      <c r="I54" s="280"/>
      <c r="K54" s="280"/>
      <c r="L54" s="297">
        <f>IF(Credit_percentage_applied_for="State + Fed 4%", PC_CST_Constr_Mgmt_Fee, 0)</f>
        <v>0</v>
      </c>
      <c r="M54" s="678">
        <f>IF('11. Unit Mix'!$G$142&lt;&gt;0,+F54/'11. Unit Mix'!$G$142,0)</f>
        <v>0</v>
      </c>
      <c r="N54" s="503">
        <f t="shared" si="5"/>
        <v>0</v>
      </c>
      <c r="O54" s="1289"/>
      <c r="P54" s="925"/>
      <c r="Q54" s="925"/>
      <c r="R54" s="9"/>
      <c r="AU54" s="149"/>
      <c r="AV54" s="149"/>
      <c r="AW54" s="149"/>
      <c r="AX54" s="149"/>
      <c r="AY54" s="149"/>
    </row>
    <row r="55" spans="2:51" hidden="1">
      <c r="B55" s="1273"/>
      <c r="C55" s="2187" t="s">
        <v>2824</v>
      </c>
      <c r="D55" s="2187"/>
      <c r="E55" s="1706"/>
      <c r="F55" s="536">
        <f t="shared" ref="F55:F56" si="6">+SUM(I55:J55)</f>
        <v>0</v>
      </c>
      <c r="G55" s="280"/>
      <c r="H55" s="280"/>
      <c r="I55" s="280"/>
      <c r="K55" s="282">
        <v>0</v>
      </c>
      <c r="L55" s="297">
        <f>PC_CST_Builders_Risk_Ins_4</f>
        <v>0</v>
      </c>
      <c r="M55" s="686">
        <f>IF('11. Unit Mix'!$G$142&lt;&gt;0,+F55/'11. Unit Mix'!$G$142,0)</f>
        <v>0</v>
      </c>
      <c r="N55" s="536">
        <f t="shared" si="5"/>
        <v>0</v>
      </c>
      <c r="O55" s="1289"/>
      <c r="P55" s="925"/>
      <c r="Q55" s="925"/>
      <c r="R55" s="9"/>
      <c r="AU55" s="149"/>
      <c r="AV55" s="149"/>
      <c r="AW55" s="149"/>
      <c r="AX55" s="149"/>
      <c r="AY55" s="149"/>
    </row>
    <row r="56" spans="2:51" hidden="1">
      <c r="B56" s="1273"/>
      <c r="C56" s="2194" t="s">
        <v>2826</v>
      </c>
      <c r="D56" s="2194"/>
      <c r="E56" s="802"/>
      <c r="F56" s="536">
        <f t="shared" si="6"/>
        <v>0</v>
      </c>
      <c r="G56" s="280"/>
      <c r="H56" s="280"/>
      <c r="I56" s="280"/>
      <c r="K56" s="282">
        <v>0</v>
      </c>
      <c r="L56" s="297">
        <f>PC_CST_Other_Contractor_Fee_4</f>
        <v>0</v>
      </c>
      <c r="M56" s="686">
        <f>IF('11. Unit Mix'!$G$142&lt;&gt;0,+F56/'11. Unit Mix'!$G$142,0)</f>
        <v>0</v>
      </c>
      <c r="N56" s="536">
        <f t="shared" si="5"/>
        <v>0</v>
      </c>
      <c r="O56" s="1289"/>
      <c r="P56" s="925"/>
      <c r="Q56" s="925"/>
      <c r="R56" s="9"/>
      <c r="AU56" s="149"/>
      <c r="AV56" s="149"/>
      <c r="AW56" s="149"/>
      <c r="AX56" s="149"/>
      <c r="AY56" s="149"/>
    </row>
    <row r="57" spans="2:51">
      <c r="B57" s="1273"/>
      <c r="C57" s="2209" t="s">
        <v>2828</v>
      </c>
      <c r="D57" s="2209"/>
      <c r="E57" s="477"/>
      <c r="F57" s="291">
        <f>SUM(F51:F54)</f>
        <v>0</v>
      </c>
      <c r="G57" s="291">
        <f>SUM(G51:G56)</f>
        <v>0</v>
      </c>
      <c r="H57" s="291">
        <f>SUM(H51:H56)</f>
        <v>0</v>
      </c>
      <c r="I57" s="291">
        <f t="shared" ref="I57:J57" si="7">SUM(I51:I56)</f>
        <v>0</v>
      </c>
      <c r="J57" s="291">
        <f t="shared" si="7"/>
        <v>0</v>
      </c>
      <c r="K57" s="291">
        <f>SUM(K51:K56)</f>
        <v>0</v>
      </c>
      <c r="L57" s="292">
        <f>SUM(L51:L56)</f>
        <v>0</v>
      </c>
      <c r="M57" s="687">
        <f>IF('11. Unit Mix'!$G$142&lt;&gt;0,+F57/'11. Unit Mix'!$G$142,0)</f>
        <v>0</v>
      </c>
      <c r="N57" s="291">
        <f t="shared" si="5"/>
        <v>0</v>
      </c>
      <c r="O57" s="1289"/>
      <c r="P57" s="925"/>
      <c r="Q57" s="925"/>
      <c r="R57" s="9"/>
      <c r="AU57" s="149"/>
      <c r="AV57" s="149"/>
      <c r="AW57" s="149"/>
      <c r="AX57" s="149"/>
      <c r="AY57" s="149"/>
    </row>
    <row r="58" spans="2:51">
      <c r="B58" s="1273"/>
      <c r="C58" s="2206" t="s">
        <v>2830</v>
      </c>
      <c r="D58" s="2206"/>
      <c r="E58" s="474"/>
      <c r="F58" s="283">
        <f>SUM(F57,PC_CST_Site_Subtotal_Total,PC_CST_New_Constr_Subtotal_Total)</f>
        <v>0</v>
      </c>
      <c r="G58" s="283">
        <f t="shared" ref="G58:J58" si="8">SUM(G31+G39+G49+G57)</f>
        <v>0</v>
      </c>
      <c r="H58" s="283">
        <f>SUM(H31+H39+H49+H57)</f>
        <v>0</v>
      </c>
      <c r="I58" s="283">
        <f t="shared" si="8"/>
        <v>0</v>
      </c>
      <c r="J58" s="283">
        <f t="shared" si="8"/>
        <v>0</v>
      </c>
      <c r="K58" s="283">
        <f>SUM(K31+K39+K49+K57)</f>
        <v>0</v>
      </c>
      <c r="L58" s="284">
        <f>SUM(L31+L39+L49+L57)</f>
        <v>0</v>
      </c>
      <c r="M58" s="689">
        <f>IF('11. Unit Mix'!$G$142&lt;&gt;0,+F58/'11. Unit Mix'!$G$142,0)</f>
        <v>0</v>
      </c>
      <c r="N58" s="283">
        <f t="shared" si="5"/>
        <v>0</v>
      </c>
      <c r="O58" s="1289"/>
      <c r="P58" s="925"/>
      <c r="Q58" s="925"/>
      <c r="R58" s="9"/>
      <c r="AU58" s="149"/>
      <c r="AV58" s="149"/>
      <c r="AW58" s="149"/>
      <c r="AX58" s="149"/>
      <c r="AY58" s="149"/>
    </row>
    <row r="59" spans="2:51" ht="16">
      <c r="B59" s="1273"/>
      <c r="C59" s="2191" t="s">
        <v>2832</v>
      </c>
      <c r="D59" s="2191"/>
      <c r="E59" s="475"/>
      <c r="F59" s="138"/>
      <c r="G59" s="138"/>
      <c r="H59" s="138"/>
      <c r="I59" s="138"/>
      <c r="K59" s="139"/>
      <c r="L59" s="140"/>
      <c r="M59" s="690"/>
      <c r="N59" s="146">
        <f t="shared" si="5"/>
        <v>0</v>
      </c>
      <c r="O59" s="1289"/>
      <c r="P59" s="925"/>
      <c r="Q59" s="925"/>
      <c r="R59" s="9"/>
      <c r="AU59" s="149"/>
      <c r="AV59" s="149"/>
      <c r="AW59" s="149"/>
      <c r="AX59" s="149"/>
      <c r="AY59" s="149"/>
    </row>
    <row r="60" spans="2:51">
      <c r="B60" s="1273"/>
      <c r="C60" s="2204" t="s">
        <v>2834</v>
      </c>
      <c r="D60" s="2204"/>
      <c r="E60" s="816" cm="1">
        <f t="array" ref="E60">IFERROR(PC_CNT_Res_HC_Contingency_Total/(F57,PC_CST_Site_Subtotal_Total,PC_CST_Other_New_Construction_Total,PC_CST_Accessory_Building_Total,F27,F25,F24,PC_CST_Building_Total),0)</f>
        <v>0</v>
      </c>
      <c r="F60" s="505">
        <f>+SUM(G60:J60)</f>
        <v>0</v>
      </c>
      <c r="G60" s="280"/>
      <c r="H60" s="504"/>
      <c r="I60" s="504"/>
      <c r="K60" s="280"/>
      <c r="L60" s="298">
        <f>IF(Credit_percentage_applied_for="State + Fed 4%", PC_CNT_Res_HC_Contingency, 0)</f>
        <v>0</v>
      </c>
      <c r="M60" s="678">
        <f>IF('11. Unit Mix'!$G$142&lt;&gt;0,+F60/'11. Unit Mix'!$G$142,0)</f>
        <v>0</v>
      </c>
      <c r="N60" s="503">
        <f t="shared" si="5"/>
        <v>0</v>
      </c>
      <c r="O60" s="1289"/>
      <c r="P60" s="925"/>
      <c r="Q60" s="925"/>
      <c r="R60" s="9"/>
      <c r="AU60" s="149"/>
      <c r="AV60" s="149"/>
      <c r="AW60" s="149"/>
      <c r="AX60" s="149"/>
      <c r="AY60" s="149"/>
    </row>
    <row r="61" spans="2:51">
      <c r="B61" s="1273"/>
      <c r="C61" s="2204" t="s">
        <v>2840</v>
      </c>
      <c r="D61" s="2204"/>
      <c r="E61" s="817"/>
      <c r="F61" s="505">
        <f>+SUM(G61:J61)</f>
        <v>0</v>
      </c>
      <c r="G61" s="280"/>
      <c r="H61" s="280"/>
      <c r="I61" s="280"/>
      <c r="K61" s="280"/>
      <c r="L61" s="298">
        <f>IF(Credit_percentage_applied_for="State + Fed 4%", PC_CNT_Res_SC_Contingency, 0)</f>
        <v>0</v>
      </c>
      <c r="M61" s="678">
        <f>IF('11. Unit Mix'!$G$142&lt;&gt;0,+F61/'11. Unit Mix'!$G$142,0)</f>
        <v>0</v>
      </c>
      <c r="N61" s="503">
        <f t="shared" si="5"/>
        <v>0</v>
      </c>
      <c r="O61" s="1289"/>
      <c r="P61" s="925"/>
      <c r="Q61" s="925"/>
      <c r="R61" s="9"/>
      <c r="AU61" s="149"/>
      <c r="AV61" s="149"/>
      <c r="AW61" s="149"/>
      <c r="AX61" s="149"/>
      <c r="AY61" s="149"/>
    </row>
    <row r="62" spans="2:51">
      <c r="B62" s="1273"/>
      <c r="C62" s="2207" t="s">
        <v>2844</v>
      </c>
      <c r="D62" s="2207"/>
      <c r="E62" s="478"/>
      <c r="F62" s="535">
        <f>+SUM(F60:F61)</f>
        <v>0</v>
      </c>
      <c r="G62" s="535">
        <f>+SUM(G59:G61)</f>
        <v>0</v>
      </c>
      <c r="H62" s="535">
        <f>+SUM(H59:H61)</f>
        <v>0</v>
      </c>
      <c r="I62" s="535">
        <f>+SUM(I60:I61)</f>
        <v>0</v>
      </c>
      <c r="K62" s="283">
        <f>SUM(K59:K61)</f>
        <v>0</v>
      </c>
      <c r="L62" s="284">
        <f>SUM(L60:L61)</f>
        <v>0</v>
      </c>
      <c r="M62" s="689">
        <f>IF('11. Unit Mix'!$G$142&lt;&gt;0,+F62/'11. Unit Mix'!$G$142,0)</f>
        <v>0</v>
      </c>
      <c r="N62" s="283">
        <f t="shared" si="5"/>
        <v>0</v>
      </c>
      <c r="O62" s="1289"/>
      <c r="P62" s="925"/>
      <c r="Q62" s="925"/>
      <c r="R62" s="9"/>
      <c r="AU62" s="149"/>
      <c r="AV62" s="149"/>
      <c r="AW62" s="149"/>
      <c r="AX62" s="149"/>
      <c r="AY62" s="149"/>
    </row>
    <row r="63" spans="2:51" ht="16">
      <c r="B63" s="1273"/>
      <c r="C63" s="2203" t="s">
        <v>2847</v>
      </c>
      <c r="D63" s="2203"/>
      <c r="E63" s="479"/>
      <c r="F63" s="138"/>
      <c r="G63" s="138"/>
      <c r="H63" s="138"/>
      <c r="I63" s="138"/>
      <c r="K63" s="141"/>
      <c r="L63" s="142"/>
      <c r="M63" s="690"/>
      <c r="N63" s="146">
        <f t="shared" si="5"/>
        <v>0</v>
      </c>
      <c r="O63" s="1289"/>
      <c r="P63" s="925"/>
      <c r="Q63" s="925"/>
      <c r="R63" s="9"/>
      <c r="AU63" s="149"/>
      <c r="AV63" s="149"/>
      <c r="AW63" s="149"/>
      <c r="AX63" s="149"/>
      <c r="AY63" s="149"/>
    </row>
    <row r="64" spans="2:51">
      <c r="B64" s="1273"/>
      <c r="C64" s="137" t="s">
        <v>2848</v>
      </c>
      <c r="D64" s="480"/>
      <c r="E64" s="211"/>
      <c r="F64" s="288"/>
      <c r="G64" s="288"/>
      <c r="H64" s="288"/>
      <c r="I64" s="288"/>
      <c r="K64" s="288"/>
      <c r="L64" s="293"/>
      <c r="M64" s="688"/>
      <c r="N64" s="289"/>
      <c r="O64" s="1289"/>
      <c r="P64" s="925"/>
      <c r="Q64" s="925"/>
      <c r="R64" s="9"/>
      <c r="AU64" s="149"/>
      <c r="AV64" s="149"/>
      <c r="AW64" s="149"/>
      <c r="AX64" s="149"/>
      <c r="AY64" s="149"/>
    </row>
    <row r="65" spans="2:51" hidden="1">
      <c r="B65" s="1273"/>
      <c r="C65" s="2187" t="s">
        <v>2850</v>
      </c>
      <c r="D65" s="2187"/>
      <c r="E65" s="1706"/>
      <c r="F65" s="536">
        <f t="shared" ref="F65:F71" si="9">+SUM(I65:J65)</f>
        <v>0</v>
      </c>
      <c r="G65" s="280"/>
      <c r="H65" s="280"/>
      <c r="I65" s="280"/>
      <c r="K65" s="281">
        <v>0</v>
      </c>
      <c r="L65" s="298">
        <f>IF(Credit_percentage_applied_for="State + Fed 4%", PC_CSP_WHEDA_App_Fees_4, 0)</f>
        <v>0</v>
      </c>
      <c r="M65" s="686">
        <f>IF('11. Unit Mix'!$G$142&lt;&gt;0,+F65/'11. Unit Mix'!$G$142,0)</f>
        <v>0</v>
      </c>
      <c r="N65" s="536">
        <f t="shared" ref="N65:N72" si="10">IF(Total_Units&lt;&gt;0,+F65/Total_Units,0)</f>
        <v>0</v>
      </c>
      <c r="O65" s="1289"/>
      <c r="P65" s="9" t="s">
        <v>4325</v>
      </c>
      <c r="Q65" s="925"/>
      <c r="R65" s="9"/>
      <c r="AU65" s="149"/>
      <c r="AV65" s="149"/>
      <c r="AW65" s="149"/>
      <c r="AX65" s="149"/>
      <c r="AY65" s="149"/>
    </row>
    <row r="66" spans="2:51" hidden="1">
      <c r="B66" s="1273"/>
      <c r="C66" s="2187" t="s">
        <v>2852</v>
      </c>
      <c r="D66" s="2187"/>
      <c r="E66" s="1706"/>
      <c r="F66" s="536">
        <f t="shared" si="9"/>
        <v>0</v>
      </c>
      <c r="G66" s="280"/>
      <c r="H66" s="280"/>
      <c r="I66" s="280"/>
      <c r="K66" s="300"/>
      <c r="L66" s="300"/>
      <c r="M66" s="686">
        <f>IF('11. Unit Mix'!$G$142&lt;&gt;0,+F66/'11. Unit Mix'!$G$142,0)</f>
        <v>0</v>
      </c>
      <c r="N66" s="536">
        <f t="shared" si="10"/>
        <v>0</v>
      </c>
      <c r="O66" s="1289"/>
      <c r="P66" s="925"/>
      <c r="Q66" s="925"/>
      <c r="R66" s="9"/>
      <c r="AU66" s="149"/>
      <c r="AV66" s="149"/>
      <c r="AW66" s="149"/>
      <c r="AX66" s="149"/>
      <c r="AY66" s="149"/>
    </row>
    <row r="67" spans="2:51">
      <c r="B67" s="1273"/>
      <c r="C67" s="2187" t="s">
        <v>2855</v>
      </c>
      <c r="D67" s="2187"/>
      <c r="E67" s="818">
        <f>IFERROR(PC_CSP_WHEDA_Constr_Loan_Total/Construction_Amount_1,0)</f>
        <v>0</v>
      </c>
      <c r="F67" s="505">
        <f>+SUM(G67:J67)</f>
        <v>0</v>
      </c>
      <c r="G67" s="280"/>
      <c r="H67" s="280"/>
      <c r="I67" s="280"/>
      <c r="K67" s="280"/>
      <c r="L67" s="298">
        <f>IF(Credit_percentage_applied_for="State + Fed 4%", PC_CSP_WHEDA_Constr_Loan, 0)</f>
        <v>0</v>
      </c>
      <c r="M67" s="678">
        <f>IF('11. Unit Mix'!$G$142&lt;&gt;0,+F67/'11. Unit Mix'!$G$142,0)</f>
        <v>0</v>
      </c>
      <c r="N67" s="503">
        <f t="shared" si="10"/>
        <v>0</v>
      </c>
      <c r="O67" s="1289"/>
      <c r="P67" s="925"/>
      <c r="Q67" s="925"/>
      <c r="R67" s="9"/>
      <c r="AU67" s="149"/>
      <c r="AV67" s="149"/>
      <c r="AW67" s="149"/>
      <c r="AX67" s="149"/>
      <c r="AY67" s="149"/>
    </row>
    <row r="68" spans="2:51">
      <c r="B68" s="1273"/>
      <c r="C68" s="2187" t="s">
        <v>2859</v>
      </c>
      <c r="D68" s="2187"/>
      <c r="E68" s="818">
        <f>IFERROR(PC_CSP_WHEDA_Other_Finan_Total/Construction_Amount_2,0)</f>
        <v>0</v>
      </c>
      <c r="F68" s="505">
        <f>+SUM(G68:J68)</f>
        <v>0</v>
      </c>
      <c r="G68" s="280"/>
      <c r="H68" s="280"/>
      <c r="I68" s="280"/>
      <c r="K68" s="280"/>
      <c r="L68" s="298">
        <f>IF(Credit_percentage_applied_for="State + Fed 4%", PC_CSP_WHEDA_Other_Finan, 0)</f>
        <v>0</v>
      </c>
      <c r="M68" s="678">
        <f>IF('11. Unit Mix'!$G$142&lt;&gt;0,+F68/'11. Unit Mix'!$G$142,0)</f>
        <v>0</v>
      </c>
      <c r="N68" s="503">
        <f t="shared" si="10"/>
        <v>0</v>
      </c>
      <c r="O68" s="1289"/>
      <c r="P68" s="925"/>
      <c r="Q68" s="925"/>
      <c r="R68" s="9"/>
      <c r="AU68" s="149"/>
      <c r="AV68" s="149"/>
      <c r="AW68" s="149"/>
      <c r="AX68" s="149"/>
      <c r="AY68" s="149"/>
    </row>
    <row r="69" spans="2:51" hidden="1">
      <c r="B69" s="1273"/>
      <c r="C69" s="1701" t="s">
        <v>2864</v>
      </c>
      <c r="D69" s="1706"/>
      <c r="E69" s="802"/>
      <c r="F69" s="536">
        <f t="shared" si="9"/>
        <v>0</v>
      </c>
      <c r="G69" s="280"/>
      <c r="H69" s="280"/>
      <c r="I69" s="280"/>
      <c r="K69" s="281">
        <v>0</v>
      </c>
      <c r="L69" s="298">
        <f>IF(Credit_percentage_applied_for="State + Fed 4%", PC_CSP_WHEDA_Legal_4, 0)</f>
        <v>0</v>
      </c>
      <c r="M69" s="686">
        <f>IF('11. Unit Mix'!$G$142&lt;&gt;0,+F69/'11. Unit Mix'!$G$142,0)</f>
        <v>0</v>
      </c>
      <c r="N69" s="536">
        <f t="shared" si="10"/>
        <v>0</v>
      </c>
      <c r="O69" s="1289"/>
      <c r="P69" s="925"/>
      <c r="Q69" s="925"/>
      <c r="R69" s="9"/>
      <c r="AU69" s="149"/>
      <c r="AV69" s="149"/>
      <c r="AW69" s="149"/>
      <c r="AX69" s="149"/>
      <c r="AY69" s="149"/>
    </row>
    <row r="70" spans="2:51" hidden="1">
      <c r="B70" s="1273"/>
      <c r="C70" s="2187" t="s">
        <v>2866</v>
      </c>
      <c r="D70" s="2187"/>
      <c r="E70" s="1706"/>
      <c r="F70" s="536">
        <f t="shared" si="9"/>
        <v>0</v>
      </c>
      <c r="G70" s="280"/>
      <c r="H70" s="280"/>
      <c r="I70" s="280"/>
      <c r="K70" s="281">
        <v>0</v>
      </c>
      <c r="L70" s="298">
        <f>IF(Credit_percentage_applied_for="State + Fed 4%", PC_CSP_WHEDA_Constr_Inspect_4, 0)</f>
        <v>0</v>
      </c>
      <c r="M70" s="686">
        <f>IF('11. Unit Mix'!$G$142&lt;&gt;0,+F70/'11. Unit Mix'!$G$142,0)</f>
        <v>0</v>
      </c>
      <c r="N70" s="536">
        <f t="shared" si="10"/>
        <v>0</v>
      </c>
      <c r="O70" s="1289"/>
      <c r="P70" s="925"/>
      <c r="Q70" s="925"/>
      <c r="R70" s="9"/>
      <c r="AU70" s="149"/>
      <c r="AV70" s="149"/>
      <c r="AW70" s="149"/>
      <c r="AX70" s="149"/>
      <c r="AY70" s="149"/>
    </row>
    <row r="71" spans="2:51" hidden="1">
      <c r="B71" s="1273"/>
      <c r="C71" s="2187" t="s">
        <v>2868</v>
      </c>
      <c r="D71" s="2187"/>
      <c r="E71" s="1706"/>
      <c r="F71" s="536">
        <f t="shared" si="9"/>
        <v>0</v>
      </c>
      <c r="G71" s="280"/>
      <c r="H71" s="280"/>
      <c r="I71" s="280"/>
      <c r="K71" s="281">
        <v>0</v>
      </c>
      <c r="L71" s="298">
        <f>IF(Credit_percentage_applied_for="State + Fed 4%", PC_CSP_Other_Fees_4, 0)</f>
        <v>0</v>
      </c>
      <c r="M71" s="686">
        <f>IF('11. Unit Mix'!$G$142&lt;&gt;0,+F71/'11. Unit Mix'!$G$142,0)</f>
        <v>0</v>
      </c>
      <c r="N71" s="536">
        <f t="shared" si="10"/>
        <v>0</v>
      </c>
      <c r="O71" s="1289"/>
      <c r="P71" s="925"/>
      <c r="Q71" s="925"/>
      <c r="R71" s="9"/>
      <c r="AU71" s="149"/>
      <c r="AV71" s="149"/>
      <c r="AW71" s="149"/>
      <c r="AX71" s="149"/>
      <c r="AY71" s="149"/>
    </row>
    <row r="72" spans="2:51">
      <c r="B72" s="1273"/>
      <c r="C72" s="2186" t="s">
        <v>2871</v>
      </c>
      <c r="D72" s="2186"/>
      <c r="E72" s="476"/>
      <c r="F72" s="291">
        <f>+SUM(F67:F68)</f>
        <v>0</v>
      </c>
      <c r="G72" s="291">
        <f t="shared" ref="G72:J72" si="11">SUM(G65:G71)</f>
        <v>0</v>
      </c>
      <c r="H72" s="291">
        <f>SUM(H65:H71)</f>
        <v>0</v>
      </c>
      <c r="I72" s="291">
        <f t="shared" si="11"/>
        <v>0</v>
      </c>
      <c r="J72" s="291">
        <f t="shared" si="11"/>
        <v>0</v>
      </c>
      <c r="K72" s="291">
        <f>SUM(K65:K71)</f>
        <v>0</v>
      </c>
      <c r="L72" s="292">
        <f>SUM(L65:L71)</f>
        <v>0</v>
      </c>
      <c r="M72" s="687">
        <f>IF('11. Unit Mix'!$G$142&lt;&gt;0,+F72/'11. Unit Mix'!$G$142,0)</f>
        <v>0</v>
      </c>
      <c r="N72" s="291">
        <f t="shared" si="10"/>
        <v>0</v>
      </c>
      <c r="O72" s="1289"/>
      <c r="P72" s="925"/>
      <c r="Q72" s="925"/>
      <c r="R72" s="9"/>
      <c r="AU72" s="149"/>
      <c r="AV72" s="149"/>
      <c r="AW72" s="149"/>
      <c r="AX72" s="149"/>
      <c r="AY72" s="149"/>
    </row>
    <row r="73" spans="2:51">
      <c r="B73" s="1273"/>
      <c r="C73" s="137" t="s">
        <v>2874</v>
      </c>
      <c r="D73" s="480"/>
      <c r="E73" s="211"/>
      <c r="F73" s="288"/>
      <c r="G73" s="288"/>
      <c r="H73" s="288"/>
      <c r="I73" s="288"/>
      <c r="K73" s="288"/>
      <c r="L73" s="293"/>
      <c r="M73" s="688"/>
      <c r="N73" s="289"/>
      <c r="O73" s="1289"/>
      <c r="P73" s="925"/>
      <c r="Q73" s="925"/>
      <c r="R73" s="9"/>
      <c r="AU73" s="149"/>
      <c r="AV73" s="149"/>
      <c r="AW73" s="149"/>
      <c r="AX73" s="149"/>
      <c r="AY73" s="149"/>
    </row>
    <row r="74" spans="2:51">
      <c r="B74" s="1273"/>
      <c r="C74" s="2185" t="s">
        <v>2875</v>
      </c>
      <c r="D74" s="2185"/>
      <c r="E74" s="808"/>
      <c r="F74" s="505">
        <f>+SUM(G74:J74)</f>
        <v>0</v>
      </c>
      <c r="G74" s="280"/>
      <c r="H74" s="280"/>
      <c r="I74" s="280"/>
      <c r="K74" s="280"/>
      <c r="L74" s="300"/>
      <c r="M74" s="678">
        <f>IF('11. Unit Mix'!$G$142&lt;&gt;0,+F74/'11. Unit Mix'!$G$142,0)</f>
        <v>0</v>
      </c>
      <c r="N74" s="503">
        <f>IF(Total_Units&lt;&gt;0,+F74/Total_Units,0)</f>
        <v>0</v>
      </c>
      <c r="O74" s="1289"/>
      <c r="P74" s="925"/>
      <c r="Q74" s="925"/>
      <c r="R74" s="9"/>
      <c r="AU74" s="149"/>
      <c r="AV74" s="149"/>
      <c r="AW74" s="149"/>
      <c r="AX74" s="149"/>
      <c r="AY74" s="149"/>
    </row>
    <row r="75" spans="2:51">
      <c r="B75" s="1273"/>
      <c r="C75" s="2186" t="s">
        <v>2878</v>
      </c>
      <c r="D75" s="2186"/>
      <c r="E75" s="476"/>
      <c r="F75" s="291">
        <f>SUM(F74:F74)</f>
        <v>0</v>
      </c>
      <c r="G75" s="291">
        <f t="shared" ref="G75:J75" si="12">SUM(G74:G74)</f>
        <v>0</v>
      </c>
      <c r="H75" s="291">
        <f>SUM(H74:H74)</f>
        <v>0</v>
      </c>
      <c r="I75" s="291">
        <f t="shared" si="12"/>
        <v>0</v>
      </c>
      <c r="J75" s="291">
        <f t="shared" si="12"/>
        <v>0</v>
      </c>
      <c r="K75" s="291">
        <f>SUM(K74:K74)</f>
        <v>0</v>
      </c>
      <c r="L75" s="292">
        <f>SUM(L74:L74)</f>
        <v>0</v>
      </c>
      <c r="M75" s="687">
        <f>IF('11. Unit Mix'!$G$142&lt;&gt;0,+F75/'11. Unit Mix'!$G$142,0)</f>
        <v>0</v>
      </c>
      <c r="N75" s="291">
        <f>IF(Total_Units&lt;&gt;0,+F75/Total_Units,0)</f>
        <v>0</v>
      </c>
      <c r="O75" s="1289"/>
      <c r="P75" s="925"/>
      <c r="Q75" s="925"/>
      <c r="R75" s="9"/>
      <c r="AU75" s="149"/>
      <c r="AV75" s="149"/>
      <c r="AW75" s="149"/>
      <c r="AX75" s="149"/>
      <c r="AY75" s="149"/>
    </row>
    <row r="76" spans="2:51">
      <c r="B76" s="1273"/>
      <c r="C76" s="137" t="s">
        <v>2880</v>
      </c>
      <c r="D76" s="480"/>
      <c r="E76" s="211"/>
      <c r="F76" s="288"/>
      <c r="G76" s="288"/>
      <c r="H76" s="288"/>
      <c r="I76" s="288"/>
      <c r="K76" s="288"/>
      <c r="L76" s="293"/>
      <c r="M76" s="688"/>
      <c r="N76" s="289"/>
      <c r="O76" s="1289"/>
      <c r="P76" s="925"/>
      <c r="Q76" s="925"/>
      <c r="R76" s="9"/>
      <c r="AU76" s="149"/>
      <c r="AV76" s="149"/>
      <c r="AW76" s="149"/>
      <c r="AX76" s="149"/>
      <c r="AY76" s="149"/>
    </row>
    <row r="77" spans="2:51">
      <c r="B77" s="1273"/>
      <c r="C77" s="2187" t="s">
        <v>2882</v>
      </c>
      <c r="D77" s="2187"/>
      <c r="E77" s="1706"/>
      <c r="F77" s="505">
        <f t="shared" ref="F77:F84" si="13">+SUM(G77:J77)</f>
        <v>0</v>
      </c>
      <c r="G77" s="280"/>
      <c r="H77" s="280"/>
      <c r="I77" s="280"/>
      <c r="K77" s="280"/>
      <c r="L77" s="298">
        <f>IF(Credit_percentage_applied_for="State + Fed 4%", K77, 0)</f>
        <v>0</v>
      </c>
      <c r="M77" s="678">
        <f>IF('11. Unit Mix'!$G$142&lt;&gt;0,+F77/'11. Unit Mix'!$G$142,0)</f>
        <v>0</v>
      </c>
      <c r="N77" s="503">
        <f t="shared" ref="N77:N85" si="14">IF(Total_Units&lt;&gt;0,+F77/Total_Units,0)</f>
        <v>0</v>
      </c>
      <c r="O77" s="1289"/>
      <c r="P77" s="925"/>
      <c r="Q77" s="925"/>
      <c r="R77" s="9"/>
      <c r="AU77" s="149"/>
      <c r="AV77" s="149"/>
      <c r="AW77" s="149"/>
      <c r="AX77" s="149"/>
      <c r="AY77" s="149"/>
    </row>
    <row r="78" spans="2:51" hidden="1">
      <c r="B78" s="1273"/>
      <c r="C78" s="2187" t="s">
        <v>2885</v>
      </c>
      <c r="D78" s="2187"/>
      <c r="E78" s="1706"/>
      <c r="F78" s="505">
        <f t="shared" si="13"/>
        <v>0</v>
      </c>
      <c r="G78" s="280"/>
      <c r="H78" s="280"/>
      <c r="I78" s="280"/>
      <c r="K78" s="280"/>
      <c r="L78" s="298">
        <f>IF(Credit_percentage_applied_for="State + Fed 4%", K78, 0)</f>
        <v>0</v>
      </c>
      <c r="M78" s="678">
        <f>IF('11. Unit Mix'!$G$142&lt;&gt;0,+F78/'11. Unit Mix'!$G$142,0)</f>
        <v>0</v>
      </c>
      <c r="N78" s="503">
        <f t="shared" si="14"/>
        <v>0</v>
      </c>
      <c r="O78" s="1290"/>
      <c r="R78" s="9"/>
      <c r="AU78" s="149"/>
      <c r="AV78" s="149"/>
      <c r="AW78" s="149"/>
      <c r="AX78" s="149"/>
      <c r="AY78" s="149"/>
    </row>
    <row r="79" spans="2:51" hidden="1">
      <c r="B79" s="1273"/>
      <c r="C79" s="1701" t="s">
        <v>2887</v>
      </c>
      <c r="D79" s="1706"/>
      <c r="E79" s="802"/>
      <c r="F79" s="505">
        <f t="shared" si="13"/>
        <v>0</v>
      </c>
      <c r="G79" s="280"/>
      <c r="H79" s="280"/>
      <c r="I79" s="280"/>
      <c r="K79" s="280"/>
      <c r="L79" s="298">
        <f>IF(Credit_percentage_applied_for="State + Fed 4%", K79, 0)</f>
        <v>0</v>
      </c>
      <c r="M79" s="678">
        <f>IF('11. Unit Mix'!$G$142&lt;&gt;0,+F79/'11. Unit Mix'!$G$142,0)</f>
        <v>0</v>
      </c>
      <c r="N79" s="503">
        <f t="shared" si="14"/>
        <v>0</v>
      </c>
      <c r="O79" s="1290"/>
      <c r="R79" s="9"/>
      <c r="AU79" s="149"/>
      <c r="AV79" s="149"/>
      <c r="AW79" s="149"/>
      <c r="AX79" s="149"/>
      <c r="AY79" s="149"/>
    </row>
    <row r="80" spans="2:51">
      <c r="B80" s="1273"/>
      <c r="C80" s="819" t="s">
        <v>2889</v>
      </c>
      <c r="D80" s="820" t="s">
        <v>4326</v>
      </c>
      <c r="E80" s="821">
        <f>+'19. Construction Draw Schedule'!E194</f>
        <v>0</v>
      </c>
      <c r="F80" s="505">
        <f t="shared" si="13"/>
        <v>0</v>
      </c>
      <c r="G80" s="280"/>
      <c r="H80" s="280"/>
      <c r="I80" s="280"/>
      <c r="K80" s="280"/>
      <c r="L80" s="298">
        <f>IF(Credit_percentage_applied_for="State + Fed 4%", PC_CSP_Constr_Period_Int_4, 0)</f>
        <v>0</v>
      </c>
      <c r="M80" s="678">
        <f>IF('11. Unit Mix'!$G$142&lt;&gt;0,+F80/'11. Unit Mix'!$G$142,0)</f>
        <v>0</v>
      </c>
      <c r="N80" s="503">
        <f t="shared" si="14"/>
        <v>0</v>
      </c>
      <c r="O80" s="1290"/>
      <c r="R80" s="9"/>
      <c r="AU80" s="149"/>
      <c r="AV80" s="149"/>
      <c r="AW80" s="149"/>
      <c r="AX80" s="149"/>
      <c r="AY80" s="149"/>
    </row>
    <row r="81" spans="2:51">
      <c r="B81" s="1273"/>
      <c r="C81" s="1701" t="s">
        <v>2891</v>
      </c>
      <c r="D81" s="1706"/>
      <c r="E81" s="802"/>
      <c r="F81" s="505">
        <f t="shared" si="13"/>
        <v>0</v>
      </c>
      <c r="G81" s="280"/>
      <c r="H81" s="280"/>
      <c r="I81" s="280"/>
      <c r="K81" s="280"/>
      <c r="L81" s="298">
        <f>IF(Credit_percentage_applied_for="State + Fed 4%", PC_CSP_LU_Period_Constr_4, 0)</f>
        <v>0</v>
      </c>
      <c r="M81" s="678">
        <f>IF('11. Unit Mix'!$G$142&lt;&gt;0,+F81/'11. Unit Mix'!$G$142,0)</f>
        <v>0</v>
      </c>
      <c r="N81" s="503">
        <f t="shared" si="14"/>
        <v>0</v>
      </c>
      <c r="O81" s="1290"/>
      <c r="R81" s="9"/>
      <c r="AU81" s="149"/>
      <c r="AV81" s="149"/>
      <c r="AW81" s="149"/>
      <c r="AX81" s="149"/>
      <c r="AY81" s="149"/>
    </row>
    <row r="82" spans="2:51" hidden="1">
      <c r="B82" s="1273"/>
      <c r="C82" s="1701" t="s">
        <v>2896</v>
      </c>
      <c r="D82" s="1706"/>
      <c r="E82" s="802"/>
      <c r="F82" s="505">
        <f t="shared" si="13"/>
        <v>0</v>
      </c>
      <c r="G82" s="280"/>
      <c r="H82" s="280"/>
      <c r="I82" s="280"/>
      <c r="K82" s="280"/>
      <c r="L82" s="298">
        <f>IF(Credit_percentage_applied_for="State + Fed 4%", PC_CSP_Constr_Lender_Fees_4, 0)</f>
        <v>0</v>
      </c>
      <c r="M82" s="678">
        <f>IF('11. Unit Mix'!$G$142&lt;&gt;0,+F82/'11. Unit Mix'!$G$142,0)</f>
        <v>0</v>
      </c>
      <c r="N82" s="503">
        <f t="shared" si="14"/>
        <v>0</v>
      </c>
      <c r="O82" s="1290"/>
      <c r="R82" s="9"/>
      <c r="AU82" s="149"/>
      <c r="AV82" s="149"/>
      <c r="AW82" s="149"/>
      <c r="AX82" s="149"/>
      <c r="AY82" s="149"/>
    </row>
    <row r="83" spans="2:51" hidden="1">
      <c r="B83" s="1273"/>
      <c r="C83" s="2187" t="s">
        <v>2897</v>
      </c>
      <c r="D83" s="2187"/>
      <c r="E83" s="1706"/>
      <c r="F83" s="505">
        <f t="shared" si="13"/>
        <v>0</v>
      </c>
      <c r="G83" s="280"/>
      <c r="H83" s="280"/>
      <c r="I83" s="280"/>
      <c r="K83" s="280"/>
      <c r="L83" s="298">
        <f>IF(Credit_percentage_applied_for="State + Fed 4%", PC_CSP_Lender_Insp_Fees_4, 0)</f>
        <v>0</v>
      </c>
      <c r="M83" s="678">
        <f>IF('11. Unit Mix'!$G$142&lt;&gt;0,+F83/'11. Unit Mix'!$G$142,0)</f>
        <v>0</v>
      </c>
      <c r="N83" s="503">
        <f t="shared" si="14"/>
        <v>0</v>
      </c>
      <c r="O83" s="1290"/>
      <c r="R83" s="9"/>
      <c r="AU83" s="149"/>
      <c r="AV83" s="149"/>
      <c r="AW83" s="149"/>
      <c r="AX83" s="149"/>
      <c r="AY83" s="149"/>
    </row>
    <row r="84" spans="2:51">
      <c r="B84" s="1273"/>
      <c r="C84" s="2187" t="s">
        <v>2898</v>
      </c>
      <c r="D84" s="2187"/>
      <c r="E84" s="1706"/>
      <c r="F84" s="505">
        <f t="shared" si="13"/>
        <v>0</v>
      </c>
      <c r="G84" s="280"/>
      <c r="H84" s="280"/>
      <c r="I84" s="280"/>
      <c r="K84" s="280"/>
      <c r="L84" s="298">
        <f>IF(Credit_percentage_applied_for="State + Fed 4%", PC_CSP_Other_Lender_Fees_4, 0)</f>
        <v>0</v>
      </c>
      <c r="M84" s="678">
        <f>IF('11. Unit Mix'!$G$142&lt;&gt;0,+F84/'11. Unit Mix'!$G$142,0)</f>
        <v>0</v>
      </c>
      <c r="N84" s="503">
        <f t="shared" si="14"/>
        <v>0</v>
      </c>
      <c r="O84" s="1290"/>
      <c r="R84" s="9"/>
      <c r="AU84" s="149"/>
      <c r="AV84" s="149"/>
      <c r="AW84" s="149"/>
      <c r="AX84" s="149"/>
      <c r="AY84" s="149"/>
    </row>
    <row r="85" spans="2:51">
      <c r="B85" s="1273"/>
      <c r="C85" s="2186" t="s">
        <v>2902</v>
      </c>
      <c r="D85" s="2186"/>
      <c r="E85" s="476"/>
      <c r="F85" s="291">
        <f>SUM(F77:F84)</f>
        <v>0</v>
      </c>
      <c r="G85" s="291">
        <f>SUM(G76:G84)</f>
        <v>0</v>
      </c>
      <c r="H85" s="291">
        <f>SUM(H76:H84)</f>
        <v>0</v>
      </c>
      <c r="I85" s="291">
        <f t="shared" ref="I85:J85" si="15">SUM(I77:I84)</f>
        <v>0</v>
      </c>
      <c r="J85" s="291">
        <f t="shared" si="15"/>
        <v>0</v>
      </c>
      <c r="K85" s="291">
        <f>SUM(K76:K84)</f>
        <v>0</v>
      </c>
      <c r="L85" s="292">
        <f>SUM(L77:L84)</f>
        <v>0</v>
      </c>
      <c r="M85" s="687">
        <f>IF('11. Unit Mix'!$G$142&lt;&gt;0,+F85/'11. Unit Mix'!$G$142,0)</f>
        <v>0</v>
      </c>
      <c r="N85" s="291">
        <f t="shared" si="14"/>
        <v>0</v>
      </c>
      <c r="O85" s="1290"/>
      <c r="R85" s="9"/>
      <c r="AU85" s="149"/>
      <c r="AV85" s="149"/>
      <c r="AW85" s="149"/>
      <c r="AX85" s="149"/>
      <c r="AY85" s="149"/>
    </row>
    <row r="86" spans="2:51">
      <c r="B86" s="1273"/>
      <c r="C86" s="137" t="s">
        <v>2903</v>
      </c>
      <c r="D86" s="480"/>
      <c r="E86" s="211"/>
      <c r="F86" s="288"/>
      <c r="G86" s="288"/>
      <c r="H86" s="288"/>
      <c r="I86" s="288"/>
      <c r="K86" s="289"/>
      <c r="L86" s="290"/>
      <c r="M86" s="688"/>
      <c r="N86" s="289"/>
      <c r="O86" s="1290"/>
      <c r="R86" s="9"/>
      <c r="AU86" s="149"/>
      <c r="AV86" s="149"/>
      <c r="AW86" s="149"/>
      <c r="AX86" s="149"/>
      <c r="AY86" s="149"/>
    </row>
    <row r="87" spans="2:51">
      <c r="B87" s="1273"/>
      <c r="C87" s="2187" t="s">
        <v>2905</v>
      </c>
      <c r="D87" s="2187"/>
      <c r="E87" s="1706"/>
      <c r="F87" s="505">
        <f t="shared" ref="F87:F96" si="16">+SUM(G87:J87)</f>
        <v>0</v>
      </c>
      <c r="G87" s="280"/>
      <c r="H87" s="280"/>
      <c r="I87" s="280"/>
      <c r="K87" s="280"/>
      <c r="L87" s="298">
        <f>IF(Credit_percentage_applied_for="State + Fed 4%", PC_CSP_Credit_Enhance_Fee_4, 0)</f>
        <v>0</v>
      </c>
      <c r="M87" s="678">
        <f>IF('11. Unit Mix'!$G$142&lt;&gt;0,+F87/'11. Unit Mix'!$G$142,0)</f>
        <v>0</v>
      </c>
      <c r="N87" s="503">
        <f t="shared" ref="N87:N98" si="17">IF(Total_Units&lt;&gt;0,+F87/Total_Units,0)</f>
        <v>0</v>
      </c>
      <c r="O87" s="1290"/>
      <c r="R87" s="9"/>
      <c r="AU87" s="149"/>
      <c r="AV87" s="149"/>
      <c r="AW87" s="149"/>
      <c r="AX87" s="149"/>
      <c r="AY87" s="149"/>
    </row>
    <row r="88" spans="2:51">
      <c r="B88" s="1273"/>
      <c r="C88" s="2187" t="s">
        <v>2910</v>
      </c>
      <c r="D88" s="2187"/>
      <c r="E88" s="1706"/>
      <c r="F88" s="505">
        <f t="shared" si="16"/>
        <v>0</v>
      </c>
      <c r="G88" s="280"/>
      <c r="H88" s="280"/>
      <c r="I88" s="280"/>
      <c r="K88" s="280"/>
      <c r="L88" s="298">
        <f>IF(Credit_percentage_applied_for="State + Fed 4%", PC_CSP_Taxes_During_Constr_4, 0)</f>
        <v>0</v>
      </c>
      <c r="M88" s="678">
        <f>IF('11. Unit Mix'!$G$142&lt;&gt;0,+F88/'11. Unit Mix'!$G$142,0)</f>
        <v>0</v>
      </c>
      <c r="N88" s="503">
        <f t="shared" si="17"/>
        <v>0</v>
      </c>
      <c r="O88" s="1290"/>
      <c r="R88" s="9"/>
      <c r="AU88" s="149"/>
      <c r="AV88" s="149"/>
      <c r="AW88" s="149"/>
      <c r="AX88" s="149"/>
      <c r="AY88" s="149"/>
    </row>
    <row r="89" spans="2:51">
      <c r="B89" s="1273"/>
      <c r="C89" s="2187" t="s">
        <v>2915</v>
      </c>
      <c r="D89" s="2187"/>
      <c r="E89" s="1706"/>
      <c r="F89" s="505">
        <f t="shared" si="16"/>
        <v>0</v>
      </c>
      <c r="G89" s="280"/>
      <c r="H89" s="280"/>
      <c r="I89" s="280"/>
      <c r="K89" s="280"/>
      <c r="L89" s="298">
        <f>IF(Credit_percentage_applied_for="State + Fed 4%", PC_CSP_Title_Recording_4, 0)</f>
        <v>0</v>
      </c>
      <c r="M89" s="678">
        <f>IF('11. Unit Mix'!$G$142&lt;&gt;0,+F89/'11. Unit Mix'!$G$142,0)</f>
        <v>0</v>
      </c>
      <c r="N89" s="503">
        <f t="shared" si="17"/>
        <v>0</v>
      </c>
      <c r="O89" s="1290"/>
      <c r="R89" s="9"/>
      <c r="AU89" s="149"/>
      <c r="AV89" s="149"/>
      <c r="AW89" s="149"/>
      <c r="AX89" s="149"/>
      <c r="AY89" s="149"/>
    </row>
    <row r="90" spans="2:51">
      <c r="B90" s="1273"/>
      <c r="C90" s="1701" t="s">
        <v>2920</v>
      </c>
      <c r="D90" s="1706"/>
      <c r="E90" s="802"/>
      <c r="F90" s="505">
        <f t="shared" si="16"/>
        <v>0</v>
      </c>
      <c r="G90" s="280"/>
      <c r="H90" s="280"/>
      <c r="I90" s="280"/>
      <c r="K90" s="280"/>
      <c r="L90" s="298">
        <f>IF(Credit_percentage_applied_for="State + Fed 4%", PC_CSP_Green_Building_4, 0)</f>
        <v>0</v>
      </c>
      <c r="M90" s="678">
        <f>IF('11. Unit Mix'!$G$142&lt;&gt;0,+F90/'11. Unit Mix'!$G$142,0)</f>
        <v>0</v>
      </c>
      <c r="N90" s="503">
        <f t="shared" si="17"/>
        <v>0</v>
      </c>
      <c r="O90" s="1290"/>
      <c r="R90" s="9"/>
      <c r="AU90" s="149"/>
      <c r="AV90" s="149"/>
      <c r="AW90" s="149"/>
      <c r="AX90" s="149"/>
      <c r="AY90" s="149"/>
    </row>
    <row r="91" spans="2:51">
      <c r="B91" s="1273"/>
      <c r="C91" s="2187" t="s">
        <v>2921</v>
      </c>
      <c r="D91" s="2187"/>
      <c r="E91" s="1706"/>
      <c r="F91" s="505">
        <f t="shared" si="16"/>
        <v>0</v>
      </c>
      <c r="G91" s="280"/>
      <c r="H91" s="280"/>
      <c r="I91" s="280"/>
      <c r="K91" s="280"/>
      <c r="L91" s="298">
        <f>IF(Credit_percentage_applied_for="State + Fed 4%", PC_CSP_Constr_Hazard_insur_4, 0)</f>
        <v>0</v>
      </c>
      <c r="M91" s="678">
        <f>IF('11. Unit Mix'!$G$142&lt;&gt;0,+F91/'11. Unit Mix'!$G$142,0)</f>
        <v>0</v>
      </c>
      <c r="N91" s="503">
        <f t="shared" si="17"/>
        <v>0</v>
      </c>
      <c r="O91" s="1290"/>
      <c r="R91" s="9"/>
      <c r="AU91" s="149"/>
      <c r="AV91" s="149"/>
      <c r="AW91" s="149"/>
      <c r="AX91" s="149"/>
      <c r="AY91" s="149"/>
    </row>
    <row r="92" spans="2:51">
      <c r="B92" s="1273"/>
      <c r="C92" s="2187" t="s">
        <v>2927</v>
      </c>
      <c r="D92" s="2187"/>
      <c r="E92" s="1706"/>
      <c r="F92" s="505">
        <f t="shared" si="16"/>
        <v>0</v>
      </c>
      <c r="G92" s="280"/>
      <c r="H92" s="280"/>
      <c r="I92" s="280"/>
      <c r="K92" s="280"/>
      <c r="L92" s="298">
        <f>IF(Credit_percentage_applied_for="State + Fed 4%", PC_CSP_Constr_Liability_4, 0)</f>
        <v>0</v>
      </c>
      <c r="M92" s="678">
        <f>IF('11. Unit Mix'!$G$142&lt;&gt;0,+F92/'11. Unit Mix'!$G$142,0)</f>
        <v>0</v>
      </c>
      <c r="N92" s="503">
        <f t="shared" si="17"/>
        <v>0</v>
      </c>
      <c r="O92" s="1290"/>
      <c r="R92" s="9"/>
      <c r="AU92" s="149"/>
      <c r="AV92" s="149"/>
      <c r="AW92" s="149"/>
      <c r="AX92" s="149"/>
      <c r="AY92" s="149"/>
    </row>
    <row r="93" spans="2:51" hidden="1">
      <c r="B93" s="1273"/>
      <c r="C93" s="1701" t="s">
        <v>2929</v>
      </c>
      <c r="D93" s="1706"/>
      <c r="E93" s="802"/>
      <c r="F93" s="505">
        <f t="shared" si="16"/>
        <v>0</v>
      </c>
      <c r="G93" s="280"/>
      <c r="H93" s="280"/>
      <c r="I93" s="280"/>
      <c r="K93" s="280"/>
      <c r="L93" s="298">
        <f>IF(Credit_percentage_applied_for="State + Fed 4%", PC_CSP_Other_Interim_4, 0)</f>
        <v>0</v>
      </c>
      <c r="M93" s="678">
        <f>IF('11. Unit Mix'!$G$142&lt;&gt;0,+F93/'11. Unit Mix'!$G$142,0)</f>
        <v>0</v>
      </c>
      <c r="N93" s="503">
        <f t="shared" si="17"/>
        <v>0</v>
      </c>
      <c r="O93" s="1290"/>
      <c r="R93" s="9"/>
      <c r="AU93" s="149"/>
      <c r="AV93" s="149"/>
      <c r="AW93" s="149"/>
      <c r="AX93" s="149"/>
      <c r="AY93" s="149"/>
    </row>
    <row r="94" spans="2:51">
      <c r="B94" s="1273"/>
      <c r="C94" s="2185" t="s">
        <v>2930</v>
      </c>
      <c r="D94" s="2185"/>
      <c r="E94" s="808"/>
      <c r="F94" s="505">
        <f t="shared" si="16"/>
        <v>0</v>
      </c>
      <c r="G94" s="280"/>
      <c r="H94" s="280"/>
      <c r="I94" s="280"/>
      <c r="K94" s="280"/>
      <c r="L94" s="298">
        <f>IF(Credit_percentage_applied_for="State + Fed 4%", PC_CSP_Temp_Reloocation_4, 0)</f>
        <v>0</v>
      </c>
      <c r="M94" s="678">
        <f>IF('11. Unit Mix'!$G$142&lt;&gt;0,+F94/'11. Unit Mix'!$G$142,0)</f>
        <v>0</v>
      </c>
      <c r="N94" s="503">
        <f t="shared" si="17"/>
        <v>0</v>
      </c>
      <c r="O94" s="1290"/>
      <c r="R94" s="9"/>
      <c r="AU94" s="149"/>
      <c r="AV94" s="149"/>
      <c r="AW94" s="149"/>
      <c r="AX94" s="149"/>
      <c r="AY94" s="149"/>
    </row>
    <row r="95" spans="2:51">
      <c r="B95" s="1273"/>
      <c r="C95" s="2185" t="s">
        <v>2935</v>
      </c>
      <c r="D95" s="2185"/>
      <c r="E95" s="808"/>
      <c r="F95" s="505">
        <f t="shared" si="16"/>
        <v>0</v>
      </c>
      <c r="G95" s="280">
        <v>0</v>
      </c>
      <c r="H95" s="280"/>
      <c r="I95" s="280"/>
      <c r="K95" s="300"/>
      <c r="L95" s="300"/>
      <c r="M95" s="678">
        <f>IF('11. Unit Mix'!$G$142&lt;&gt;0,+F95/'11. Unit Mix'!$G$142,0)</f>
        <v>0</v>
      </c>
      <c r="N95" s="503">
        <f t="shared" si="17"/>
        <v>0</v>
      </c>
      <c r="O95" s="1290"/>
      <c r="R95" s="9"/>
      <c r="AU95" s="149"/>
      <c r="AV95" s="149"/>
      <c r="AW95" s="149"/>
      <c r="AX95" s="149"/>
      <c r="AY95" s="149"/>
    </row>
    <row r="96" spans="2:51">
      <c r="B96" s="1273"/>
      <c r="C96" s="2185" t="s">
        <v>2938</v>
      </c>
      <c r="D96" s="2185"/>
      <c r="E96" s="808"/>
      <c r="F96" s="505">
        <f t="shared" si="16"/>
        <v>0</v>
      </c>
      <c r="G96" s="280"/>
      <c r="H96" s="280"/>
      <c r="I96" s="280"/>
      <c r="K96" s="280"/>
      <c r="L96" s="298">
        <f>IF(Credit_percentage_applied_for="State + Fed 4%", PC_CSP_Other_Constr_Costs_4, 0)</f>
        <v>0</v>
      </c>
      <c r="M96" s="678">
        <f>IF('11. Unit Mix'!$G$142&lt;&gt;0,+F96/'11. Unit Mix'!$G$142,0)</f>
        <v>0</v>
      </c>
      <c r="N96" s="503">
        <f t="shared" si="17"/>
        <v>0</v>
      </c>
      <c r="O96" s="1290"/>
      <c r="R96" s="9"/>
      <c r="AU96" s="149"/>
      <c r="AV96" s="149"/>
      <c r="AW96" s="149"/>
      <c r="AX96" s="149"/>
      <c r="AY96" s="149"/>
    </row>
    <row r="97" spans="2:51">
      <c r="B97" s="1273"/>
      <c r="C97" s="2209" t="s">
        <v>2942</v>
      </c>
      <c r="D97" s="2209"/>
      <c r="E97" s="477"/>
      <c r="F97" s="291">
        <f>SUM(F87:F96)</f>
        <v>0</v>
      </c>
      <c r="G97" s="291">
        <f>SUM(G86:G96)</f>
        <v>0</v>
      </c>
      <c r="H97" s="291">
        <f>SUM(H86:H96)</f>
        <v>0</v>
      </c>
      <c r="I97" s="291">
        <f t="shared" ref="I97:J97" si="18">SUM(I87:I96)</f>
        <v>0</v>
      </c>
      <c r="J97" s="291">
        <f t="shared" si="18"/>
        <v>0</v>
      </c>
      <c r="K97" s="291">
        <f>SUM(K86:K96)</f>
        <v>0</v>
      </c>
      <c r="L97" s="292">
        <f>SUM(L87:L96)</f>
        <v>0</v>
      </c>
      <c r="M97" s="687">
        <f>IF('11. Unit Mix'!$G$142&lt;&gt;0,+F97/'11. Unit Mix'!$G$142,0)</f>
        <v>0</v>
      </c>
      <c r="N97" s="291">
        <f t="shared" si="17"/>
        <v>0</v>
      </c>
      <c r="O97" s="1290"/>
      <c r="R97" s="9"/>
      <c r="AU97" s="149"/>
      <c r="AV97" s="149"/>
      <c r="AW97" s="149"/>
      <c r="AX97" s="149"/>
      <c r="AY97" s="149"/>
    </row>
    <row r="98" spans="2:51">
      <c r="B98" s="1273"/>
      <c r="C98" s="1698" t="s">
        <v>2945</v>
      </c>
      <c r="D98" s="481"/>
      <c r="E98" s="213"/>
      <c r="F98" s="283">
        <f>SUM(F72+F75+F85+F97)</f>
        <v>0</v>
      </c>
      <c r="G98" s="283">
        <f t="shared" ref="G98:J98" si="19">SUM(G72+G75+G85+G97)</f>
        <v>0</v>
      </c>
      <c r="H98" s="283">
        <f>SUM(H72+H75+H85+H97)</f>
        <v>0</v>
      </c>
      <c r="I98" s="283">
        <f t="shared" si="19"/>
        <v>0</v>
      </c>
      <c r="J98" s="283">
        <f t="shared" si="19"/>
        <v>0</v>
      </c>
      <c r="K98" s="283">
        <f>SUM(K72+K75+K85+K97)</f>
        <v>0</v>
      </c>
      <c r="L98" s="284">
        <f>SUM(L72+L75+L85+L97)</f>
        <v>0</v>
      </c>
      <c r="M98" s="689">
        <f>IF('11. Unit Mix'!$G$142&lt;&gt;0,+F98/'11. Unit Mix'!$G$142,0)</f>
        <v>0</v>
      </c>
      <c r="N98" s="283">
        <f t="shared" si="17"/>
        <v>0</v>
      </c>
      <c r="O98" s="1290"/>
      <c r="R98" s="9"/>
      <c r="AU98" s="149"/>
      <c r="AV98" s="149"/>
      <c r="AW98" s="149"/>
      <c r="AX98" s="149"/>
      <c r="AY98" s="149"/>
    </row>
    <row r="99" spans="2:51" ht="16">
      <c r="B99" s="1273"/>
      <c r="C99" s="212" t="s">
        <v>2947</v>
      </c>
      <c r="D99" s="214"/>
      <c r="E99" s="214"/>
      <c r="F99" s="138"/>
      <c r="G99" s="138"/>
      <c r="H99" s="138"/>
      <c r="I99" s="138"/>
      <c r="K99" s="139"/>
      <c r="L99" s="140"/>
      <c r="M99" s="691"/>
      <c r="N99" s="692"/>
      <c r="O99" s="1290"/>
      <c r="R99" s="9"/>
      <c r="AU99" s="149"/>
      <c r="AV99" s="149"/>
      <c r="AW99" s="149"/>
      <c r="AX99" s="149"/>
      <c r="AY99" s="149"/>
    </row>
    <row r="100" spans="2:51">
      <c r="B100" s="1273"/>
      <c r="C100" s="137" t="s">
        <v>2948</v>
      </c>
      <c r="D100" s="480"/>
      <c r="E100" s="211"/>
      <c r="F100" s="288"/>
      <c r="G100" s="288"/>
      <c r="H100" s="288"/>
      <c r="I100" s="288"/>
      <c r="K100" s="288"/>
      <c r="L100" s="293"/>
      <c r="M100" s="688"/>
      <c r="N100" s="289"/>
      <c r="O100" s="1290"/>
      <c r="R100" s="9"/>
      <c r="AU100" s="149"/>
      <c r="AV100" s="149"/>
      <c r="AW100" s="149"/>
      <c r="AX100" s="149"/>
      <c r="AY100" s="149"/>
    </row>
    <row r="101" spans="2:51">
      <c r="B101" s="1273"/>
      <c r="C101" s="2219" t="s">
        <v>2950</v>
      </c>
      <c r="D101" s="2219"/>
      <c r="E101" s="822"/>
      <c r="F101" s="505">
        <f t="shared" ref="F101:F109" si="20">+SUM(G101:J101)</f>
        <v>0</v>
      </c>
      <c r="G101" s="280"/>
      <c r="H101" s="280"/>
      <c r="I101" s="280"/>
      <c r="K101" s="300"/>
      <c r="L101" s="300"/>
      <c r="M101" s="678">
        <f>IF('11. Unit Mix'!$G$142&lt;&gt;0,+F101/'11. Unit Mix'!$G$142,0)</f>
        <v>0</v>
      </c>
      <c r="N101" s="503">
        <f t="shared" ref="N101:N110" si="21">IF(Total_Units&lt;&gt;0,+F101/Total_Units,0)</f>
        <v>0</v>
      </c>
      <c r="O101" s="1290"/>
      <c r="R101" s="9"/>
      <c r="AU101" s="149"/>
      <c r="AV101" s="149"/>
      <c r="AW101" s="149"/>
      <c r="AX101" s="149"/>
      <c r="AY101" s="149"/>
    </row>
    <row r="102" spans="2:51">
      <c r="B102" s="1273"/>
      <c r="C102" s="2219" t="s">
        <v>2954</v>
      </c>
      <c r="D102" s="2219"/>
      <c r="E102" s="823">
        <f>IFERROR(PC_FIN_WHEDA_Perm_Loan_Total/SUM(Amount_1),0)</f>
        <v>0</v>
      </c>
      <c r="F102" s="708">
        <f t="shared" si="20"/>
        <v>0</v>
      </c>
      <c r="G102" s="280"/>
      <c r="H102" s="280"/>
      <c r="I102" s="280"/>
      <c r="K102" s="300"/>
      <c r="L102" s="300"/>
      <c r="M102" s="678">
        <f>IF('11. Unit Mix'!$G$142&lt;&gt;0,+F102/'11. Unit Mix'!$G$142,0)</f>
        <v>0</v>
      </c>
      <c r="N102" s="503">
        <f t="shared" si="21"/>
        <v>0</v>
      </c>
      <c r="O102" s="1290"/>
      <c r="R102" s="9"/>
      <c r="AU102" s="149"/>
      <c r="AV102" s="149"/>
      <c r="AW102" s="149"/>
      <c r="AX102" s="149"/>
      <c r="AY102" s="149"/>
    </row>
    <row r="103" spans="2:51" hidden="1">
      <c r="B103" s="1273"/>
      <c r="C103" s="2219" t="s">
        <v>2957</v>
      </c>
      <c r="D103" s="2219"/>
      <c r="E103" s="824"/>
      <c r="F103" s="505">
        <f t="shared" si="20"/>
        <v>0</v>
      </c>
      <c r="G103" s="280"/>
      <c r="H103" s="280"/>
      <c r="I103" s="280"/>
      <c r="K103" s="300"/>
      <c r="L103" s="300"/>
      <c r="M103" s="678">
        <f>IF('11. Unit Mix'!$G$142&lt;&gt;0,+F103/'11. Unit Mix'!$G$142,0)</f>
        <v>0</v>
      </c>
      <c r="N103" s="503">
        <f t="shared" si="21"/>
        <v>0</v>
      </c>
      <c r="O103" s="1290"/>
      <c r="R103" s="9"/>
      <c r="AU103" s="149"/>
      <c r="AV103" s="149"/>
      <c r="AW103" s="149"/>
      <c r="AX103" s="149"/>
      <c r="AY103" s="149"/>
    </row>
    <row r="104" spans="2:51" hidden="1">
      <c r="B104" s="1273"/>
      <c r="C104" s="1702" t="s">
        <v>2959</v>
      </c>
      <c r="D104" s="825"/>
      <c r="E104" s="826"/>
      <c r="F104" s="505">
        <f t="shared" si="20"/>
        <v>0</v>
      </c>
      <c r="G104" s="280"/>
      <c r="H104" s="280"/>
      <c r="I104" s="280"/>
      <c r="K104" s="300"/>
      <c r="L104" s="300"/>
      <c r="M104" s="678">
        <f>IF('11. Unit Mix'!$G$142&lt;&gt;0,+F104/'11. Unit Mix'!$G$142,0)</f>
        <v>0</v>
      </c>
      <c r="N104" s="503">
        <f t="shared" si="21"/>
        <v>0</v>
      </c>
      <c r="O104" s="1290"/>
      <c r="R104" s="9"/>
      <c r="AU104" s="149"/>
      <c r="AV104" s="149"/>
      <c r="AW104" s="149"/>
      <c r="AX104" s="149"/>
      <c r="AY104" s="149"/>
    </row>
    <row r="105" spans="2:51">
      <c r="B105" s="1273"/>
      <c r="C105" s="2219" t="s">
        <v>2960</v>
      </c>
      <c r="D105" s="2219"/>
      <c r="E105" s="825"/>
      <c r="F105" s="505">
        <f t="shared" si="20"/>
        <v>0</v>
      </c>
      <c r="G105" s="280"/>
      <c r="H105" s="280"/>
      <c r="I105" s="280"/>
      <c r="K105" s="300"/>
      <c r="L105" s="300"/>
      <c r="M105" s="678">
        <f>IF('11. Unit Mix'!$G$142&lt;&gt;0,+F105/'11. Unit Mix'!$G$142,0)</f>
        <v>0</v>
      </c>
      <c r="N105" s="503">
        <f t="shared" si="21"/>
        <v>0</v>
      </c>
      <c r="O105" s="1290"/>
      <c r="R105" s="9"/>
      <c r="AU105" s="149"/>
      <c r="AV105" s="149"/>
      <c r="AW105" s="149"/>
      <c r="AX105" s="149"/>
      <c r="AY105" s="149"/>
    </row>
    <row r="106" spans="2:51" hidden="1">
      <c r="B106" s="1273"/>
      <c r="C106" s="1702" t="s">
        <v>2962</v>
      </c>
      <c r="D106" s="825"/>
      <c r="E106" s="826"/>
      <c r="F106" s="505">
        <f t="shared" si="20"/>
        <v>0</v>
      </c>
      <c r="G106" s="280"/>
      <c r="H106" s="280"/>
      <c r="I106" s="280"/>
      <c r="K106" s="300"/>
      <c r="L106" s="300"/>
      <c r="M106" s="678">
        <f>IF('11. Unit Mix'!$G$142&lt;&gt;0,+F106/'11. Unit Mix'!$G$142,0)</f>
        <v>0</v>
      </c>
      <c r="N106" s="503">
        <f t="shared" si="21"/>
        <v>0</v>
      </c>
      <c r="O106" s="1290"/>
      <c r="R106" s="9"/>
      <c r="AU106" s="149"/>
      <c r="AV106" s="149"/>
      <c r="AW106" s="149"/>
      <c r="AX106" s="149"/>
      <c r="AY106" s="149"/>
    </row>
    <row r="107" spans="2:51" hidden="1">
      <c r="B107" s="1273"/>
      <c r="C107" s="1702" t="s">
        <v>2963</v>
      </c>
      <c r="D107" s="825"/>
      <c r="E107" s="826"/>
      <c r="F107" s="505">
        <f t="shared" si="20"/>
        <v>0</v>
      </c>
      <c r="G107" s="280"/>
      <c r="H107" s="280"/>
      <c r="I107" s="280"/>
      <c r="K107" s="300"/>
      <c r="L107" s="300"/>
      <c r="M107" s="678">
        <f>IF('11. Unit Mix'!$G$142&lt;&gt;0,+F107/'11. Unit Mix'!$G$142,0)</f>
        <v>0</v>
      </c>
      <c r="N107" s="503">
        <f t="shared" si="21"/>
        <v>0</v>
      </c>
      <c r="O107" s="1290"/>
      <c r="R107" s="9"/>
      <c r="AU107" s="149"/>
      <c r="AV107" s="149"/>
      <c r="AW107" s="149"/>
      <c r="AX107" s="149"/>
      <c r="AY107" s="149"/>
    </row>
    <row r="108" spans="2:51">
      <c r="B108" s="1273"/>
      <c r="C108" s="2219" t="s">
        <v>2964</v>
      </c>
      <c r="D108" s="2219"/>
      <c r="E108" s="825"/>
      <c r="F108" s="505">
        <f t="shared" si="20"/>
        <v>0</v>
      </c>
      <c r="G108" s="280"/>
      <c r="H108" s="280"/>
      <c r="I108" s="280"/>
      <c r="K108" s="280"/>
      <c r="L108" s="310">
        <f>IF(Credit_percentage_applied_for="State + Fed 4%", K108, 0)</f>
        <v>0</v>
      </c>
      <c r="M108" s="678">
        <f>IF('11. Unit Mix'!$G$142&lt;&gt;0,+F108/'11. Unit Mix'!$G$142,0)</f>
        <v>0</v>
      </c>
      <c r="N108" s="503">
        <f t="shared" si="21"/>
        <v>0</v>
      </c>
      <c r="O108" s="1290"/>
      <c r="R108" s="9"/>
      <c r="AU108" s="149"/>
      <c r="AV108" s="149"/>
      <c r="AW108" s="149"/>
      <c r="AX108" s="149"/>
      <c r="AY108" s="149"/>
    </row>
    <row r="109" spans="2:51">
      <c r="B109" s="1273"/>
      <c r="C109" s="2219" t="s">
        <v>2966</v>
      </c>
      <c r="D109" s="2219"/>
      <c r="E109" s="825"/>
      <c r="F109" s="505">
        <f t="shared" si="20"/>
        <v>0</v>
      </c>
      <c r="G109" s="280"/>
      <c r="H109" s="280"/>
      <c r="I109" s="280"/>
      <c r="K109" s="280"/>
      <c r="L109" s="310">
        <f>IF(Credit_percentage_applied_for="State + Fed 4%", K109, 0)</f>
        <v>0</v>
      </c>
      <c r="M109" s="678">
        <f>IF('11. Unit Mix'!$G$142&lt;&gt;0,+F109/'11. Unit Mix'!$G$142,0)</f>
        <v>0</v>
      </c>
      <c r="N109" s="503">
        <f t="shared" si="21"/>
        <v>0</v>
      </c>
      <c r="O109" s="1290"/>
      <c r="R109" s="9"/>
      <c r="AU109" s="149"/>
      <c r="AV109" s="149"/>
      <c r="AW109" s="149"/>
      <c r="AX109" s="149"/>
      <c r="AY109" s="149"/>
    </row>
    <row r="110" spans="2:51">
      <c r="B110" s="1273"/>
      <c r="C110" s="1698" t="s">
        <v>2968</v>
      </c>
      <c r="D110" s="481"/>
      <c r="E110" s="213"/>
      <c r="F110" s="283">
        <f>SUM(F101:F109)</f>
        <v>0</v>
      </c>
      <c r="G110" s="283">
        <f>SUM(G100:G109)</f>
        <v>0</v>
      </c>
      <c r="H110" s="283">
        <f>SUM(H100:H109)</f>
        <v>0</v>
      </c>
      <c r="I110" s="283">
        <f t="shared" ref="I110:J110" si="22">SUM(I101:I109)</f>
        <v>0</v>
      </c>
      <c r="J110" s="283">
        <f t="shared" si="22"/>
        <v>0</v>
      </c>
      <c r="K110" s="283">
        <f>SUM(K101:K109)</f>
        <v>0</v>
      </c>
      <c r="L110" s="284">
        <f>SUM(L101:L109)</f>
        <v>0</v>
      </c>
      <c r="M110" s="689">
        <f>IF('11. Unit Mix'!$G$142&lt;&gt;0,+F110/'11. Unit Mix'!$G$142,0)</f>
        <v>0</v>
      </c>
      <c r="N110" s="283">
        <f t="shared" si="21"/>
        <v>0</v>
      </c>
      <c r="O110" s="1290"/>
      <c r="R110" s="9"/>
      <c r="AU110" s="149"/>
      <c r="AV110" s="149"/>
      <c r="AW110" s="149"/>
      <c r="AX110" s="149"/>
      <c r="AY110" s="149"/>
    </row>
    <row r="111" spans="2:51" ht="16">
      <c r="B111" s="1273"/>
      <c r="C111" s="143" t="s">
        <v>2969</v>
      </c>
      <c r="D111" s="143"/>
      <c r="E111" s="143"/>
      <c r="F111" s="143"/>
      <c r="G111" s="143"/>
      <c r="H111" s="143"/>
      <c r="I111" s="143"/>
      <c r="K111" s="144">
        <v>0</v>
      </c>
      <c r="L111" s="145">
        <v>0</v>
      </c>
      <c r="M111" s="693"/>
      <c r="N111" s="692"/>
      <c r="O111" s="1290"/>
      <c r="R111" s="9"/>
      <c r="AU111" s="149"/>
      <c r="AV111" s="149"/>
      <c r="AW111" s="149"/>
      <c r="AX111" s="149"/>
      <c r="AY111" s="149"/>
    </row>
    <row r="112" spans="2:51">
      <c r="B112" s="1273"/>
      <c r="C112" s="827" t="s">
        <v>2970</v>
      </c>
      <c r="D112" s="2214" t="str">
        <f>IFERROR(SUM(K112:K113)/((K49+K57)+(K31-K29-'13. Construction Cost SOV'!E35-K24)),"N/A")</f>
        <v>N/A</v>
      </c>
      <c r="E112" s="2214"/>
      <c r="F112" s="505">
        <f>+SUM(G112:J112)</f>
        <v>0</v>
      </c>
      <c r="G112" s="280"/>
      <c r="H112" s="280"/>
      <c r="I112" s="280"/>
      <c r="K112" s="280"/>
      <c r="L112" s="298">
        <f>IF(Credit_percentage_applied_for="State + Fed 4%", PC_ARC_Arch_Design_4, 0)</f>
        <v>0</v>
      </c>
      <c r="M112" s="678">
        <f>IF('11. Unit Mix'!$G$142&lt;&gt;0,+F112/'11. Unit Mix'!$G$142,0)</f>
        <v>0</v>
      </c>
      <c r="N112" s="503">
        <f t="shared" ref="N112:N123" si="23">IF(Total_Units&lt;&gt;0,+F112/Total_Units,0)</f>
        <v>0</v>
      </c>
      <c r="O112" s="1290"/>
      <c r="R112" s="9"/>
      <c r="AU112" s="149"/>
      <c r="AV112" s="149"/>
      <c r="AW112" s="149"/>
      <c r="AX112" s="149"/>
      <c r="AY112" s="149"/>
    </row>
    <row r="113" spans="2:51">
      <c r="B113" s="1273"/>
      <c r="C113" s="827" t="s">
        <v>2972</v>
      </c>
      <c r="D113" s="2215" t="str">
        <f>IFERROR(SUM(K112:K113)/Total_Units,"N/A")</f>
        <v>N/A</v>
      </c>
      <c r="E113" s="2216"/>
      <c r="F113" s="505">
        <f>+SUM(G113:J113)</f>
        <v>0</v>
      </c>
      <c r="G113" s="280"/>
      <c r="H113" s="280"/>
      <c r="I113" s="280"/>
      <c r="K113" s="280"/>
      <c r="L113" s="298">
        <f>IF(Credit_percentage_applied_for="State + Fed 4%", PC_ARC_Arch_Super_4, 0)</f>
        <v>0</v>
      </c>
      <c r="M113" s="678">
        <f>IF('11. Unit Mix'!$G$142&lt;&gt;0,+F113/'11. Unit Mix'!$G$142,0)</f>
        <v>0</v>
      </c>
      <c r="N113" s="503">
        <f t="shared" si="23"/>
        <v>0</v>
      </c>
      <c r="O113" s="1290"/>
      <c r="R113" s="9"/>
      <c r="AU113" s="149"/>
      <c r="AV113" s="149"/>
      <c r="AW113" s="149"/>
      <c r="AX113" s="149"/>
      <c r="AY113" s="149"/>
    </row>
    <row r="114" spans="2:51">
      <c r="B114" s="1273"/>
      <c r="C114" s="2204" t="s">
        <v>2974</v>
      </c>
      <c r="D114" s="2185"/>
      <c r="E114" s="817"/>
      <c r="F114" s="505">
        <f>+SUM(G114:J114)</f>
        <v>0</v>
      </c>
      <c r="G114" s="280"/>
      <c r="H114" s="280"/>
      <c r="I114" s="280"/>
      <c r="K114" s="280"/>
      <c r="L114" s="298">
        <f>IF(Credit_percentage_applied_for="State + Fed 4%", PC_ARC_Engineer_Fee_4, 0)</f>
        <v>0</v>
      </c>
      <c r="M114" s="678">
        <f>IF('11. Unit Mix'!$G$142&lt;&gt;0,+F114/'11. Unit Mix'!$G$142,0)</f>
        <v>0</v>
      </c>
      <c r="N114" s="503">
        <f t="shared" si="23"/>
        <v>0</v>
      </c>
      <c r="O114" s="1290"/>
      <c r="R114" s="9"/>
      <c r="AU114" s="149"/>
      <c r="AV114" s="149"/>
      <c r="AW114" s="149"/>
      <c r="AX114" s="149"/>
      <c r="AY114" s="149"/>
    </row>
    <row r="115" spans="2:51">
      <c r="B115" s="1273"/>
      <c r="C115" s="2204" t="s">
        <v>2976</v>
      </c>
      <c r="D115" s="2185"/>
      <c r="E115" s="817"/>
      <c r="F115" s="505">
        <f>+SUM(G115:J115)</f>
        <v>0</v>
      </c>
      <c r="G115" s="280"/>
      <c r="H115" s="280"/>
      <c r="I115" s="280"/>
      <c r="K115" s="280"/>
      <c r="L115" s="298">
        <f>IF(Credit_percentage_applied_for="State + Fed 4%", PC_ARC_ALTA_4, 0)</f>
        <v>0</v>
      </c>
      <c r="M115" s="678">
        <f>IF('11. Unit Mix'!$G$142&lt;&gt;0,+F115/'11. Unit Mix'!$G$142,0)</f>
        <v>0</v>
      </c>
      <c r="N115" s="503">
        <f t="shared" si="23"/>
        <v>0</v>
      </c>
      <c r="O115" s="1290"/>
      <c r="R115" s="9"/>
      <c r="AU115" s="149"/>
      <c r="AV115" s="149"/>
      <c r="AW115" s="149"/>
      <c r="AX115" s="149"/>
      <c r="AY115" s="149"/>
    </row>
    <row r="116" spans="2:51">
      <c r="B116" s="1273"/>
      <c r="C116" s="2217" t="s">
        <v>2978</v>
      </c>
      <c r="D116" s="2218"/>
      <c r="E116" s="828"/>
      <c r="F116" s="505">
        <f>+SUM(G116:J116)</f>
        <v>0</v>
      </c>
      <c r="G116" s="280"/>
      <c r="H116" s="280"/>
      <c r="I116" s="280"/>
      <c r="K116" s="280"/>
      <c r="L116" s="298">
        <f>IF(Credit_percentage_applied_for="State + Fed 4%", PC_ARC_Other_Arch_4, 0)</f>
        <v>0</v>
      </c>
      <c r="M116" s="678">
        <f>IF('11. Unit Mix'!$G$142&lt;&gt;0,+F116/'11. Unit Mix'!$G$142,0)</f>
        <v>0</v>
      </c>
      <c r="N116" s="503">
        <f t="shared" si="23"/>
        <v>0</v>
      </c>
      <c r="O116" s="1290"/>
      <c r="R116" s="9"/>
      <c r="AU116" s="149"/>
      <c r="AV116" s="149"/>
      <c r="AW116" s="149"/>
      <c r="AX116" s="149"/>
      <c r="AY116" s="149"/>
    </row>
    <row r="117" spans="2:51">
      <c r="B117" s="1273"/>
      <c r="C117" s="2206" t="s">
        <v>2979</v>
      </c>
      <c r="D117" s="2220"/>
      <c r="E117" s="474"/>
      <c r="F117" s="283">
        <f>SUM(F112:F116)</f>
        <v>0</v>
      </c>
      <c r="G117" s="283">
        <f>SUM(G111:G116)</f>
        <v>0</v>
      </c>
      <c r="H117" s="283">
        <f>SUM(H111:H116)</f>
        <v>0</v>
      </c>
      <c r="I117" s="283">
        <f t="shared" ref="I117:J117" si="24">SUM(I112:I116)</f>
        <v>0</v>
      </c>
      <c r="J117" s="283">
        <f t="shared" si="24"/>
        <v>0</v>
      </c>
      <c r="K117" s="283">
        <f>SUM(K111:K116)</f>
        <v>0</v>
      </c>
      <c r="L117" s="284">
        <f>SUM(L112:L116)</f>
        <v>0</v>
      </c>
      <c r="M117" s="689">
        <f>IF('11. Unit Mix'!$G$142&lt;&gt;0,+F117/'11. Unit Mix'!$G$142,0)</f>
        <v>0</v>
      </c>
      <c r="N117" s="283">
        <f t="shared" si="23"/>
        <v>0</v>
      </c>
      <c r="O117" s="1290"/>
      <c r="R117" s="9"/>
      <c r="AU117" s="149"/>
      <c r="AV117" s="149"/>
      <c r="AW117" s="149"/>
      <c r="AX117" s="149"/>
      <c r="AY117" s="149"/>
    </row>
    <row r="118" spans="2:51" ht="16">
      <c r="B118" s="1273"/>
      <c r="C118" s="2191" t="s">
        <v>2980</v>
      </c>
      <c r="D118" s="2203"/>
      <c r="E118" s="475"/>
      <c r="F118" s="135"/>
      <c r="G118" s="135"/>
      <c r="H118" s="135"/>
      <c r="I118" s="135"/>
      <c r="K118" s="139"/>
      <c r="L118" s="140"/>
      <c r="M118" s="694">
        <f>IF('11. Unit Mix'!$G$142&lt;&gt;0,+F118/'11. Unit Mix'!$G$142,0)</f>
        <v>0</v>
      </c>
      <c r="N118" s="695">
        <f t="shared" si="23"/>
        <v>0</v>
      </c>
      <c r="O118" s="1290"/>
      <c r="R118" s="9"/>
      <c r="AU118" s="149"/>
      <c r="AV118" s="149"/>
      <c r="AW118" s="149"/>
      <c r="AX118" s="149"/>
      <c r="AY118" s="149"/>
    </row>
    <row r="119" spans="2:51">
      <c r="B119" s="1273"/>
      <c r="C119" s="2204" t="s">
        <v>2981</v>
      </c>
      <c r="D119" s="2185"/>
      <c r="E119" s="817"/>
      <c r="F119" s="505">
        <f>+SUM(G119:J119)</f>
        <v>0</v>
      </c>
      <c r="G119" s="280"/>
      <c r="H119" s="280"/>
      <c r="I119" s="280"/>
      <c r="K119" s="300"/>
      <c r="L119" s="300"/>
      <c r="M119" s="678">
        <f>IF('11. Unit Mix'!$G$142&lt;&gt;0,+F119/'11. Unit Mix'!$G$142,0)</f>
        <v>0</v>
      </c>
      <c r="N119" s="503">
        <f t="shared" si="23"/>
        <v>0</v>
      </c>
      <c r="O119" s="1290"/>
      <c r="R119" s="9"/>
      <c r="AU119" s="149"/>
      <c r="AV119" s="149"/>
      <c r="AW119" s="149"/>
      <c r="AX119" s="149"/>
      <c r="AY119" s="149"/>
    </row>
    <row r="120" spans="2:51" hidden="1">
      <c r="B120" s="1273"/>
      <c r="C120" s="2204" t="s">
        <v>2982</v>
      </c>
      <c r="D120" s="2185"/>
      <c r="E120" s="817"/>
      <c r="F120" s="505">
        <f>+SUM(G120:J120)</f>
        <v>0</v>
      </c>
      <c r="G120" s="280"/>
      <c r="H120" s="280"/>
      <c r="I120" s="280"/>
      <c r="K120" s="300"/>
      <c r="L120" s="300"/>
      <c r="M120" s="678">
        <f>IF('11. Unit Mix'!$G$142&lt;&gt;0,+F120/'11. Unit Mix'!$G$142,0)</f>
        <v>0</v>
      </c>
      <c r="N120" s="503">
        <f t="shared" si="23"/>
        <v>0</v>
      </c>
      <c r="O120" s="1290"/>
      <c r="R120" s="9"/>
      <c r="AU120" s="149"/>
      <c r="AV120" s="149"/>
      <c r="AW120" s="149"/>
      <c r="AX120" s="149"/>
      <c r="AY120" s="149"/>
    </row>
    <row r="121" spans="2:51">
      <c r="B121" s="1273"/>
      <c r="C121" s="2204" t="s">
        <v>2983</v>
      </c>
      <c r="D121" s="2185"/>
      <c r="E121" s="817"/>
      <c r="F121" s="505">
        <f>+SUM(G121:J121)</f>
        <v>0</v>
      </c>
      <c r="G121" s="280"/>
      <c r="H121" s="280"/>
      <c r="I121" s="280"/>
      <c r="K121" s="300"/>
      <c r="L121" s="300"/>
      <c r="M121" s="678">
        <f>IF('11. Unit Mix'!$G$142&lt;&gt;0,+F121/'11. Unit Mix'!$G$142,0)</f>
        <v>0</v>
      </c>
      <c r="N121" s="503">
        <f t="shared" si="23"/>
        <v>0</v>
      </c>
      <c r="O121" s="1290"/>
      <c r="R121" s="9"/>
      <c r="AU121" s="149"/>
      <c r="AV121" s="149"/>
      <c r="AW121" s="149"/>
      <c r="AX121" s="149"/>
      <c r="AY121" s="149"/>
    </row>
    <row r="122" spans="2:51">
      <c r="B122" s="1273"/>
      <c r="C122" s="2204" t="s">
        <v>2982</v>
      </c>
      <c r="D122" s="2185"/>
      <c r="E122" s="817"/>
      <c r="F122" s="505">
        <f>+SUM(G122:J122)</f>
        <v>0</v>
      </c>
      <c r="G122" s="280"/>
      <c r="H122" s="280"/>
      <c r="I122" s="280"/>
      <c r="K122" s="300"/>
      <c r="L122" s="300"/>
      <c r="M122" s="678">
        <f>IF('11. Unit Mix'!$G$142&lt;&gt;0,+F122/'11. Unit Mix'!$G$142,0)</f>
        <v>0</v>
      </c>
      <c r="N122" s="503">
        <f t="shared" si="23"/>
        <v>0</v>
      </c>
      <c r="O122" s="1290"/>
      <c r="R122" s="9"/>
      <c r="AU122" s="149"/>
      <c r="AV122" s="149"/>
      <c r="AW122" s="149"/>
      <c r="AX122" s="149"/>
      <c r="AY122" s="149"/>
    </row>
    <row r="123" spans="2:51">
      <c r="B123" s="1273"/>
      <c r="C123" s="2207" t="s">
        <v>2984</v>
      </c>
      <c r="D123" s="2198"/>
      <c r="E123" s="478"/>
      <c r="F123" s="283">
        <f>SUM(F119:F122)</f>
        <v>0</v>
      </c>
      <c r="G123" s="283">
        <f>SUM(G118:G122)</f>
        <v>0</v>
      </c>
      <c r="H123" s="283">
        <f>SUM(H118:H122)</f>
        <v>0</v>
      </c>
      <c r="I123" s="283">
        <f t="shared" ref="I123:J123" si="25">SUM(I119:I122)</f>
        <v>0</v>
      </c>
      <c r="J123" s="283">
        <f t="shared" si="25"/>
        <v>0</v>
      </c>
      <c r="K123" s="283">
        <f>SUM(K119:K122)</f>
        <v>0</v>
      </c>
      <c r="L123" s="284">
        <f>SUM(L119:L122)</f>
        <v>0</v>
      </c>
      <c r="M123" s="689">
        <f>IF('11. Unit Mix'!$G$142&lt;&gt;0,+F123/'11. Unit Mix'!$G$142,0)</f>
        <v>0</v>
      </c>
      <c r="N123" s="283">
        <f t="shared" si="23"/>
        <v>0</v>
      </c>
      <c r="O123" s="1290"/>
      <c r="R123" s="9"/>
      <c r="AU123" s="149"/>
      <c r="AV123" s="149"/>
      <c r="AW123" s="149"/>
      <c r="AX123" s="149"/>
      <c r="AY123" s="149"/>
    </row>
    <row r="124" spans="2:51" ht="16">
      <c r="B124" s="1273"/>
      <c r="C124" s="2191" t="s">
        <v>2986</v>
      </c>
      <c r="D124" s="2203"/>
      <c r="E124" s="475"/>
      <c r="F124" s="138"/>
      <c r="G124" s="138"/>
      <c r="H124" s="138"/>
      <c r="I124" s="138"/>
      <c r="K124" s="141"/>
      <c r="L124" s="142" t="s">
        <v>3565</v>
      </c>
      <c r="M124" s="693"/>
      <c r="N124" s="692"/>
      <c r="O124" s="1290"/>
      <c r="R124" s="9"/>
      <c r="AU124" s="149"/>
      <c r="AV124" s="149"/>
      <c r="AW124" s="149"/>
      <c r="AX124" s="149"/>
      <c r="AY124" s="149"/>
    </row>
    <row r="125" spans="2:51">
      <c r="B125" s="1273"/>
      <c r="C125" s="2204" t="s">
        <v>2987</v>
      </c>
      <c r="D125" s="2185"/>
      <c r="E125" s="817"/>
      <c r="F125" s="505">
        <f t="shared" ref="F125:F132" si="26">+SUM(G125:J125)</f>
        <v>0</v>
      </c>
      <c r="G125" s="280"/>
      <c r="H125" s="280"/>
      <c r="I125" s="280"/>
      <c r="K125" s="300"/>
      <c r="L125" s="300"/>
      <c r="M125" s="678">
        <f>IF('11. Unit Mix'!$G$142&lt;&gt;0,+F125/'11. Unit Mix'!$G$142,0)</f>
        <v>0</v>
      </c>
      <c r="N125" s="503">
        <f t="shared" ref="N125:N133" si="27">IF(Total_Units&lt;&gt;0,+F125/Total_Units,0)</f>
        <v>0</v>
      </c>
      <c r="O125" s="1290"/>
      <c r="R125" s="9"/>
      <c r="AU125" s="149"/>
      <c r="AV125" s="149"/>
      <c r="AW125" s="149"/>
      <c r="AX125" s="149"/>
      <c r="AY125" s="149"/>
    </row>
    <row r="126" spans="2:51">
      <c r="B126" s="1273"/>
      <c r="C126" s="2204" t="s">
        <v>2989</v>
      </c>
      <c r="D126" s="2185"/>
      <c r="E126" s="817"/>
      <c r="F126" s="505">
        <f t="shared" si="26"/>
        <v>0</v>
      </c>
      <c r="G126" s="280"/>
      <c r="H126" s="280"/>
      <c r="I126" s="280"/>
      <c r="K126" s="300"/>
      <c r="L126" s="300"/>
      <c r="M126" s="678">
        <f>IF('11. Unit Mix'!$G$142&lt;&gt;0,+F126/'11. Unit Mix'!$G$142,0)</f>
        <v>0</v>
      </c>
      <c r="N126" s="503">
        <f t="shared" si="27"/>
        <v>0</v>
      </c>
      <c r="O126" s="1290"/>
      <c r="R126" s="9"/>
      <c r="AU126" s="149"/>
      <c r="AV126" s="149"/>
      <c r="AW126" s="149"/>
      <c r="AX126" s="149"/>
      <c r="AY126" s="149"/>
    </row>
    <row r="127" spans="2:51" ht="15.75" customHeight="1">
      <c r="B127" s="1273"/>
      <c r="C127" s="2204" t="s">
        <v>2991</v>
      </c>
      <c r="D127" s="2185"/>
      <c r="E127" s="817"/>
      <c r="F127" s="505">
        <f t="shared" si="26"/>
        <v>0</v>
      </c>
      <c r="G127" s="280"/>
      <c r="H127" s="280"/>
      <c r="I127" s="280"/>
      <c r="K127" s="300"/>
      <c r="L127" s="300"/>
      <c r="M127" s="678">
        <f>IF('11. Unit Mix'!$G$142&lt;&gt;0,+F127/'11. Unit Mix'!$G$142,0)</f>
        <v>0</v>
      </c>
      <c r="N127" s="503">
        <f t="shared" si="27"/>
        <v>0</v>
      </c>
      <c r="O127" s="1290"/>
      <c r="R127" s="9"/>
      <c r="AU127" s="149"/>
      <c r="AV127" s="149"/>
      <c r="AW127" s="149"/>
      <c r="AX127" s="149"/>
      <c r="AY127" s="149"/>
    </row>
    <row r="128" spans="2:51">
      <c r="B128" s="1273"/>
      <c r="C128" s="2204" t="s">
        <v>2993</v>
      </c>
      <c r="D128" s="2185"/>
      <c r="E128" s="817"/>
      <c r="F128" s="505">
        <f t="shared" si="26"/>
        <v>0</v>
      </c>
      <c r="G128" s="280"/>
      <c r="H128" s="280"/>
      <c r="I128" s="280"/>
      <c r="K128" s="300"/>
      <c r="L128" s="300"/>
      <c r="M128" s="678">
        <f>IF('11. Unit Mix'!$G$142&lt;&gt;0,+F128/'11. Unit Mix'!$G$142,0)</f>
        <v>0</v>
      </c>
      <c r="N128" s="503">
        <f t="shared" si="27"/>
        <v>0</v>
      </c>
      <c r="O128" s="1290"/>
      <c r="R128" s="9"/>
      <c r="AU128" s="149"/>
      <c r="AV128" s="149"/>
      <c r="AW128" s="149"/>
      <c r="AX128" s="149"/>
      <c r="AY128" s="149"/>
    </row>
    <row r="129" spans="2:51">
      <c r="B129" s="1273"/>
      <c r="C129" s="2204" t="s">
        <v>2994</v>
      </c>
      <c r="D129" s="2185"/>
      <c r="E129" s="817"/>
      <c r="F129" s="505">
        <f t="shared" si="26"/>
        <v>0</v>
      </c>
      <c r="G129" s="280"/>
      <c r="H129" s="280"/>
      <c r="I129" s="280"/>
      <c r="K129" s="300"/>
      <c r="L129" s="300"/>
      <c r="M129" s="678">
        <f>IF('11. Unit Mix'!$G$142&lt;&gt;0,+F129/'11. Unit Mix'!$G$142,0)</f>
        <v>0</v>
      </c>
      <c r="N129" s="503">
        <f t="shared" si="27"/>
        <v>0</v>
      </c>
      <c r="O129" s="1290"/>
      <c r="R129" s="9"/>
      <c r="AU129" s="149"/>
      <c r="AV129" s="149"/>
      <c r="AW129" s="149"/>
      <c r="AX129" s="149"/>
      <c r="AY129" s="149"/>
    </row>
    <row r="130" spans="2:51">
      <c r="B130" s="1273"/>
      <c r="C130" s="2204" t="s">
        <v>2995</v>
      </c>
      <c r="D130" s="2185"/>
      <c r="E130" s="817"/>
      <c r="F130" s="505">
        <f t="shared" si="26"/>
        <v>0</v>
      </c>
      <c r="G130" s="280"/>
      <c r="H130" s="280"/>
      <c r="I130" s="280"/>
      <c r="K130" s="300"/>
      <c r="L130" s="300"/>
      <c r="M130" s="678">
        <f>IF('11. Unit Mix'!$G$142&lt;&gt;0,+F130/'11. Unit Mix'!$G$142,0)</f>
        <v>0</v>
      </c>
      <c r="N130" s="503">
        <f t="shared" si="27"/>
        <v>0</v>
      </c>
      <c r="O130" s="1290"/>
      <c r="R130" s="9"/>
      <c r="AU130" s="149"/>
      <c r="AV130" s="149"/>
      <c r="AW130" s="149"/>
      <c r="AX130" s="149"/>
      <c r="AY130" s="149"/>
    </row>
    <row r="131" spans="2:51">
      <c r="B131" s="1273"/>
      <c r="C131" s="2204" t="s">
        <v>2996</v>
      </c>
      <c r="D131" s="2185"/>
      <c r="E131" s="817"/>
      <c r="F131" s="505">
        <f t="shared" si="26"/>
        <v>0</v>
      </c>
      <c r="G131" s="280"/>
      <c r="H131" s="280"/>
      <c r="I131" s="280"/>
      <c r="K131" s="300"/>
      <c r="L131" s="300"/>
      <c r="M131" s="678">
        <f>IF('11. Unit Mix'!$G$142&lt;&gt;0,+F131/'11. Unit Mix'!$G$142,0)</f>
        <v>0</v>
      </c>
      <c r="N131" s="503">
        <f t="shared" si="27"/>
        <v>0</v>
      </c>
      <c r="O131" s="1290"/>
      <c r="R131" s="9"/>
      <c r="AU131" s="149"/>
      <c r="AV131" s="149"/>
      <c r="AW131" s="149"/>
      <c r="AX131" s="149"/>
      <c r="AY131" s="149"/>
    </row>
    <row r="132" spans="2:51">
      <c r="B132" s="1273"/>
      <c r="C132" s="2204" t="s">
        <v>2997</v>
      </c>
      <c r="D132" s="2185"/>
      <c r="E132" s="817"/>
      <c r="F132" s="505">
        <f t="shared" si="26"/>
        <v>0</v>
      </c>
      <c r="G132" s="280"/>
      <c r="H132" s="280"/>
      <c r="I132" s="280"/>
      <c r="K132" s="286"/>
      <c r="L132" s="301"/>
      <c r="M132" s="678">
        <f>IF('11. Unit Mix'!$G$142&lt;&gt;0,+F132/'11. Unit Mix'!$G$142,0)</f>
        <v>0</v>
      </c>
      <c r="N132" s="503">
        <f t="shared" si="27"/>
        <v>0</v>
      </c>
      <c r="O132" s="1290"/>
      <c r="R132" s="9"/>
      <c r="AU132" s="149"/>
      <c r="AV132" s="149"/>
      <c r="AW132" s="149"/>
      <c r="AX132" s="149"/>
      <c r="AY132" s="149"/>
    </row>
    <row r="133" spans="2:51">
      <c r="B133" s="1273"/>
      <c r="C133" s="2207" t="s">
        <v>2998</v>
      </c>
      <c r="D133" s="2198"/>
      <c r="E133" s="478"/>
      <c r="F133" s="283">
        <f>SUM(F125:F132)</f>
        <v>0</v>
      </c>
      <c r="G133" s="283">
        <f>SUM(G124:G132)</f>
        <v>0</v>
      </c>
      <c r="H133" s="283">
        <f>SUM(H124:H132)</f>
        <v>0</v>
      </c>
      <c r="I133" s="283">
        <f t="shared" ref="I133:J133" si="28">SUM(I125:I132)</f>
        <v>0</v>
      </c>
      <c r="J133" s="283">
        <f t="shared" si="28"/>
        <v>0</v>
      </c>
      <c r="K133" s="283">
        <f>SUM(K125:K132)</f>
        <v>0</v>
      </c>
      <c r="L133" s="284">
        <f>SUM(L125:L132)</f>
        <v>0</v>
      </c>
      <c r="M133" s="689">
        <f>IF('11. Unit Mix'!$G$142&lt;&gt;0,+F133/'11. Unit Mix'!$G$142,0)</f>
        <v>0</v>
      </c>
      <c r="N133" s="283">
        <f t="shared" si="27"/>
        <v>0</v>
      </c>
      <c r="O133" s="1290"/>
      <c r="R133" s="9"/>
      <c r="AU133" s="149"/>
      <c r="AV133" s="149"/>
      <c r="AW133" s="149"/>
      <c r="AX133" s="149"/>
      <c r="AY133" s="149"/>
    </row>
    <row r="134" spans="2:51" ht="16">
      <c r="B134" s="1273"/>
      <c r="C134" s="143" t="s">
        <v>2999</v>
      </c>
      <c r="D134" s="212"/>
      <c r="E134" s="482"/>
      <c r="F134" s="143"/>
      <c r="G134" s="143"/>
      <c r="H134" s="143"/>
      <c r="I134" s="143"/>
      <c r="K134" s="141"/>
      <c r="L134" s="142"/>
      <c r="M134" s="693"/>
      <c r="N134" s="692"/>
      <c r="O134" s="1290"/>
      <c r="R134" s="9"/>
      <c r="AU134" s="149"/>
      <c r="AV134" s="149"/>
      <c r="AW134" s="149"/>
      <c r="AX134" s="149"/>
      <c r="AY134" s="149"/>
    </row>
    <row r="135" spans="2:51">
      <c r="B135" s="1273"/>
      <c r="C135" s="137" t="s">
        <v>3000</v>
      </c>
      <c r="D135" s="480"/>
      <c r="E135" s="211"/>
      <c r="F135" s="288"/>
      <c r="G135" s="288"/>
      <c r="H135" s="288"/>
      <c r="I135" s="288"/>
      <c r="K135" s="289"/>
      <c r="L135" s="290"/>
      <c r="M135" s="688"/>
      <c r="N135" s="289"/>
      <c r="O135" s="1290"/>
      <c r="R135" s="9"/>
      <c r="AU135" s="149"/>
      <c r="AV135" s="149"/>
      <c r="AW135" s="149"/>
      <c r="AX135" s="149"/>
      <c r="AY135" s="149"/>
    </row>
    <row r="136" spans="2:51">
      <c r="B136" s="1273"/>
      <c r="C136" s="2185" t="s">
        <v>3001</v>
      </c>
      <c r="D136" s="2185"/>
      <c r="E136" s="808"/>
      <c r="F136" s="505">
        <f>+SUM(G136:J136)</f>
        <v>0</v>
      </c>
      <c r="G136" s="280"/>
      <c r="H136" s="280"/>
      <c r="I136" s="280"/>
      <c r="K136" s="280"/>
      <c r="L136" s="298">
        <f>IF(Credit_percentage_applied_for="State + Fed 4%", PC_RPT_Appraisals_4, 0)</f>
        <v>0</v>
      </c>
      <c r="M136" s="678">
        <f>IF('11. Unit Mix'!$G$142&lt;&gt;0,+F136/'11. Unit Mix'!$G$142,0)</f>
        <v>0</v>
      </c>
      <c r="N136" s="503">
        <f t="shared" ref="N136:N149" si="29">IF(Total_Units&lt;&gt;0,+F136/Total_Units,0)</f>
        <v>0</v>
      </c>
      <c r="O136" s="1290"/>
      <c r="R136" s="9"/>
      <c r="AU136" s="149"/>
      <c r="AV136" s="149"/>
      <c r="AW136" s="149"/>
      <c r="AX136" s="149"/>
      <c r="AY136" s="149"/>
    </row>
    <row r="137" spans="2:51">
      <c r="B137" s="1273"/>
      <c r="C137" s="2185" t="s">
        <v>3003</v>
      </c>
      <c r="D137" s="2185"/>
      <c r="E137" s="808"/>
      <c r="F137" s="505">
        <f>+SUM(G137:J137)</f>
        <v>0</v>
      </c>
      <c r="G137" s="280"/>
      <c r="H137" s="280"/>
      <c r="I137" s="280"/>
      <c r="K137" s="280"/>
      <c r="L137" s="298">
        <f>IF(Credit_percentage_applied_for="State + Fed 4%", PC_RPT_Market_Study_4, 0)</f>
        <v>0</v>
      </c>
      <c r="M137" s="678">
        <f>IF('11. Unit Mix'!$G$142&lt;&gt;0,+F137/'11. Unit Mix'!$G$142,0)</f>
        <v>0</v>
      </c>
      <c r="N137" s="503">
        <f t="shared" si="29"/>
        <v>0</v>
      </c>
      <c r="O137" s="1290"/>
      <c r="R137" s="9"/>
      <c r="AU137" s="149"/>
      <c r="AV137" s="149"/>
      <c r="AW137" s="149"/>
      <c r="AX137" s="149"/>
      <c r="AY137" s="149"/>
    </row>
    <row r="138" spans="2:51">
      <c r="B138" s="1273"/>
      <c r="C138" s="2185" t="s">
        <v>3004</v>
      </c>
      <c r="D138" s="2185"/>
      <c r="E138" s="808"/>
      <c r="F138" s="505">
        <f>+SUM(G138:J138)</f>
        <v>0</v>
      </c>
      <c r="G138" s="280"/>
      <c r="H138" s="280"/>
      <c r="I138" s="280"/>
      <c r="K138" s="280"/>
      <c r="L138" s="298">
        <f>IF(Credit_percentage_applied_for="State + Fed 4%", PC_RPT_Physical_Capital_4, 0)</f>
        <v>0</v>
      </c>
      <c r="M138" s="678">
        <f>IF('11. Unit Mix'!$G$142&lt;&gt;0,+F138/'11. Unit Mix'!$G$142,0)</f>
        <v>0</v>
      </c>
      <c r="N138" s="503">
        <f t="shared" si="29"/>
        <v>0</v>
      </c>
      <c r="O138" s="1290"/>
      <c r="R138" s="9"/>
      <c r="AU138" s="149"/>
      <c r="AV138" s="149"/>
      <c r="AW138" s="149"/>
      <c r="AX138" s="149"/>
      <c r="AY138" s="149"/>
    </row>
    <row r="139" spans="2:51">
      <c r="B139" s="1273"/>
      <c r="C139" s="2185" t="s">
        <v>3006</v>
      </c>
      <c r="D139" s="2185"/>
      <c r="E139" s="808"/>
      <c r="F139" s="505">
        <f>+SUM(G139:J139)</f>
        <v>0</v>
      </c>
      <c r="G139" s="280"/>
      <c r="H139" s="280"/>
      <c r="I139" s="280"/>
      <c r="K139" s="280"/>
      <c r="L139" s="298">
        <f>IF(Credit_percentage_applied_for="State + Fed 4%", PC_RPT_Environmental_Study_4, 0)</f>
        <v>0</v>
      </c>
      <c r="M139" s="678">
        <f>IF('11. Unit Mix'!$G$142&lt;&gt;0,+F139/'11. Unit Mix'!$G$142,0)</f>
        <v>0</v>
      </c>
      <c r="N139" s="503">
        <f t="shared" si="29"/>
        <v>0</v>
      </c>
      <c r="O139" s="1290"/>
      <c r="R139" s="9"/>
      <c r="AU139" s="149"/>
      <c r="AV139" s="149"/>
      <c r="AW139" s="149"/>
      <c r="AX139" s="149"/>
      <c r="AY139" s="149"/>
    </row>
    <row r="140" spans="2:51" hidden="1">
      <c r="B140" s="1273"/>
      <c r="C140" s="2186" t="s">
        <v>3009</v>
      </c>
      <c r="D140" s="2186"/>
      <c r="E140" s="476"/>
      <c r="F140" s="291">
        <f>SUM(F136:F139)</f>
        <v>0</v>
      </c>
      <c r="G140" s="291"/>
      <c r="H140" s="291"/>
      <c r="I140" s="291">
        <f>SUM(I136:I139)</f>
        <v>0</v>
      </c>
      <c r="K140" s="291">
        <f>SUM(K136:K139)</f>
        <v>0</v>
      </c>
      <c r="L140" s="292">
        <f>SUM(L136:L139)</f>
        <v>0</v>
      </c>
      <c r="M140" s="687">
        <f>IF('11. Unit Mix'!$G$142&lt;&gt;0,+F140/'11. Unit Mix'!$G$142,0)</f>
        <v>0</v>
      </c>
      <c r="N140" s="291">
        <f t="shared" si="29"/>
        <v>0</v>
      </c>
      <c r="O140" s="1290"/>
      <c r="R140" s="9"/>
      <c r="AU140" s="149"/>
      <c r="AV140" s="149"/>
      <c r="AW140" s="149"/>
      <c r="AX140" s="149"/>
      <c r="AY140" s="149"/>
    </row>
    <row r="141" spans="2:51" hidden="1">
      <c r="B141" s="1273"/>
      <c r="C141" s="137" t="s">
        <v>3010</v>
      </c>
      <c r="D141" s="480"/>
      <c r="E141" s="211"/>
      <c r="F141" s="288"/>
      <c r="G141" s="288"/>
      <c r="H141" s="288"/>
      <c r="I141" s="288"/>
      <c r="K141" s="289"/>
      <c r="L141" s="290"/>
      <c r="M141" s="688">
        <f>IF('11. Unit Mix'!$G$142&lt;&gt;0,+F141/'11. Unit Mix'!$G$142,0)</f>
        <v>0</v>
      </c>
      <c r="N141" s="289">
        <f t="shared" si="29"/>
        <v>0</v>
      </c>
      <c r="O141" s="1290"/>
      <c r="R141" s="9"/>
      <c r="AU141" s="149"/>
      <c r="AV141" s="149"/>
      <c r="AW141" s="149"/>
      <c r="AX141" s="149"/>
      <c r="AY141" s="149"/>
    </row>
    <row r="142" spans="2:51" hidden="1">
      <c r="B142" s="1273"/>
      <c r="C142" s="1697" t="s">
        <v>3011</v>
      </c>
      <c r="D142" s="808"/>
      <c r="E142" s="817"/>
      <c r="F142" s="536">
        <f t="shared" ref="F142:F147" si="30">+SUM(I142:J142)</f>
        <v>0</v>
      </c>
      <c r="G142" s="280"/>
      <c r="H142" s="280"/>
      <c r="I142" s="280"/>
      <c r="K142" s="281">
        <v>0</v>
      </c>
      <c r="L142" s="298">
        <f>IF(Credit_percentage_applied_for="State + Fed 4%", PC_RPT_Environmental_Review_4, 0)</f>
        <v>0</v>
      </c>
      <c r="M142" s="686">
        <f>IF('11. Unit Mix'!$G$142&lt;&gt;0,+F142/'11. Unit Mix'!$G$142,0)</f>
        <v>0</v>
      </c>
      <c r="N142" s="536">
        <f t="shared" si="29"/>
        <v>0</v>
      </c>
      <c r="O142" s="1290"/>
      <c r="R142" s="9"/>
      <c r="AU142" s="149"/>
      <c r="AV142" s="149"/>
      <c r="AW142" s="149"/>
      <c r="AX142" s="149"/>
      <c r="AY142" s="149"/>
    </row>
    <row r="143" spans="2:51" hidden="1">
      <c r="B143" s="1273"/>
      <c r="C143" s="2185" t="s">
        <v>4327</v>
      </c>
      <c r="D143" s="2185"/>
      <c r="E143" s="808"/>
      <c r="F143" s="536">
        <f t="shared" si="30"/>
        <v>0</v>
      </c>
      <c r="G143" s="280"/>
      <c r="H143" s="280"/>
      <c r="I143" s="280"/>
      <c r="K143" s="281">
        <v>0</v>
      </c>
      <c r="L143" s="298">
        <f>IF(Credit_percentage_applied_for="State + Fed 4%", PC_RPT_Soils_4, 0)</f>
        <v>0</v>
      </c>
      <c r="M143" s="686">
        <f>IF('11. Unit Mix'!$G$142&lt;&gt;0,+F143/'11. Unit Mix'!$G$142,0)</f>
        <v>0</v>
      </c>
      <c r="N143" s="536">
        <f t="shared" si="29"/>
        <v>0</v>
      </c>
      <c r="O143" s="1290"/>
      <c r="R143" s="9"/>
      <c r="AU143" s="149"/>
      <c r="AV143" s="149"/>
      <c r="AW143" s="149"/>
      <c r="AX143" s="149"/>
      <c r="AY143" s="149"/>
    </row>
    <row r="144" spans="2:51" hidden="1">
      <c r="B144" s="1273"/>
      <c r="C144" s="1697" t="s">
        <v>3013</v>
      </c>
      <c r="D144" s="808"/>
      <c r="E144" s="817"/>
      <c r="F144" s="536">
        <f t="shared" si="30"/>
        <v>0</v>
      </c>
      <c r="G144" s="280"/>
      <c r="H144" s="280"/>
      <c r="I144" s="280"/>
      <c r="K144" s="281">
        <v>0</v>
      </c>
      <c r="L144" s="298">
        <f>IF(Credit_percentage_applied_for="State + Fed 4%", PC_RPT_Boundry_4, 0)</f>
        <v>0</v>
      </c>
      <c r="M144" s="686">
        <f>IF('11. Unit Mix'!$G$142&lt;&gt;0,+F144/'11. Unit Mix'!$G$142,0)</f>
        <v>0</v>
      </c>
      <c r="N144" s="536">
        <f t="shared" si="29"/>
        <v>0</v>
      </c>
      <c r="O144" s="1290"/>
      <c r="R144" s="9"/>
      <c r="AU144" s="149"/>
      <c r="AV144" s="149"/>
      <c r="AW144" s="149"/>
      <c r="AX144" s="149"/>
      <c r="AY144" s="149"/>
    </row>
    <row r="145" spans="2:51" hidden="1">
      <c r="B145" s="1273"/>
      <c r="C145" s="2200" t="s">
        <v>3014</v>
      </c>
      <c r="D145" s="2200"/>
      <c r="E145" s="814"/>
      <c r="F145" s="536">
        <f t="shared" si="30"/>
        <v>0</v>
      </c>
      <c r="G145" s="280"/>
      <c r="H145" s="280"/>
      <c r="I145" s="280"/>
      <c r="K145" s="281">
        <v>0</v>
      </c>
      <c r="L145" s="298">
        <f>IF(Credit_percentage_applied_for="State + Fed 4%", PC_RPT_Third_Party_Review_4, 0)</f>
        <v>0</v>
      </c>
      <c r="M145" s="686">
        <f>IF('11. Unit Mix'!$G$142&lt;&gt;0,+F145/'11. Unit Mix'!$G$142,0)</f>
        <v>0</v>
      </c>
      <c r="N145" s="536">
        <f t="shared" si="29"/>
        <v>0</v>
      </c>
      <c r="O145" s="1290"/>
      <c r="R145" s="9"/>
      <c r="AU145" s="149"/>
      <c r="AV145" s="149"/>
      <c r="AW145" s="149"/>
      <c r="AX145" s="149"/>
      <c r="AY145" s="149"/>
    </row>
    <row r="146" spans="2:51" hidden="1">
      <c r="B146" s="1273"/>
      <c r="C146" s="2200" t="s">
        <v>3015</v>
      </c>
      <c r="D146" s="2200"/>
      <c r="E146" s="814"/>
      <c r="F146" s="536">
        <f t="shared" si="30"/>
        <v>0</v>
      </c>
      <c r="G146" s="280"/>
      <c r="H146" s="280"/>
      <c r="I146" s="280"/>
      <c r="K146" s="281">
        <v>0</v>
      </c>
      <c r="L146" s="298">
        <f>IF(Credit_percentage_applied_for="State + Fed 4%", PC_RPT_Other_Zoning_Fees_4, 0)</f>
        <v>0</v>
      </c>
      <c r="M146" s="686">
        <f>IF('11. Unit Mix'!$G$142&lt;&gt;0,+F146/'11. Unit Mix'!$G$142,0)</f>
        <v>0</v>
      </c>
      <c r="N146" s="536">
        <f t="shared" si="29"/>
        <v>0</v>
      </c>
      <c r="O146" s="1290"/>
      <c r="R146" s="9"/>
      <c r="AU146" s="149"/>
      <c r="AV146" s="149"/>
      <c r="AW146" s="149"/>
      <c r="AX146" s="149"/>
      <c r="AY146" s="149"/>
    </row>
    <row r="147" spans="2:51" hidden="1">
      <c r="B147" s="1273"/>
      <c r="C147" s="2187" t="s">
        <v>3016</v>
      </c>
      <c r="D147" s="2187"/>
      <c r="E147" s="1706"/>
      <c r="F147" s="536">
        <f t="shared" si="30"/>
        <v>0</v>
      </c>
      <c r="G147" s="280"/>
      <c r="H147" s="280"/>
      <c r="I147" s="280"/>
      <c r="K147" s="281">
        <v>0</v>
      </c>
      <c r="L147" s="298">
        <f>IF(Credit_percentage_applied_for="State + Fed 4%", PC_RPT_Other_Reports_4, 0)</f>
        <v>0</v>
      </c>
      <c r="M147" s="686">
        <f>IF('11. Unit Mix'!$G$142&lt;&gt;0,+F147/'11. Unit Mix'!$G$142,0)</f>
        <v>0</v>
      </c>
      <c r="N147" s="536">
        <f t="shared" si="29"/>
        <v>0</v>
      </c>
      <c r="O147" s="1290"/>
      <c r="R147" s="9"/>
      <c r="AU147" s="149"/>
      <c r="AV147" s="149"/>
      <c r="AW147" s="149"/>
      <c r="AX147" s="149"/>
      <c r="AY147" s="149"/>
    </row>
    <row r="148" spans="2:51" hidden="1">
      <c r="B148" s="1273"/>
      <c r="C148" s="2186" t="s">
        <v>3017</v>
      </c>
      <c r="D148" s="2186"/>
      <c r="E148" s="476"/>
      <c r="F148" s="291">
        <f>SUM(F142:F147)</f>
        <v>0</v>
      </c>
      <c r="G148" s="291"/>
      <c r="H148" s="291"/>
      <c r="I148" s="291">
        <f>SUM(I142:I147)</f>
        <v>0</v>
      </c>
      <c r="K148" s="291">
        <f>SUM(K142:K147)</f>
        <v>0</v>
      </c>
      <c r="L148" s="292">
        <f>SUM(L142:L147)</f>
        <v>0</v>
      </c>
      <c r="M148" s="687">
        <f>IF('11. Unit Mix'!$G$142&lt;&gt;0,+F148/'11. Unit Mix'!$G$142,0)</f>
        <v>0</v>
      </c>
      <c r="N148" s="291">
        <f t="shared" si="29"/>
        <v>0</v>
      </c>
      <c r="O148" s="1290"/>
      <c r="R148" s="9"/>
      <c r="AU148" s="149"/>
      <c r="AV148" s="149"/>
      <c r="AW148" s="149"/>
      <c r="AX148" s="149"/>
      <c r="AY148" s="149"/>
    </row>
    <row r="149" spans="2:51">
      <c r="B149" s="1273"/>
      <c r="C149" s="2198" t="s">
        <v>3018</v>
      </c>
      <c r="D149" s="2198"/>
      <c r="E149" s="1705"/>
      <c r="F149" s="283">
        <f>+F148+F140</f>
        <v>0</v>
      </c>
      <c r="G149" s="283">
        <f>+SUM(G135:G139)</f>
        <v>0</v>
      </c>
      <c r="H149" s="283">
        <f>+SUM(H135:H139)</f>
        <v>0</v>
      </c>
      <c r="I149" s="283">
        <f>+SUM(I136:I139)</f>
        <v>0</v>
      </c>
      <c r="J149" s="283">
        <f>+SUM(J136:J139)</f>
        <v>0</v>
      </c>
      <c r="K149" s="283">
        <f>+SUM(K135:K139)</f>
        <v>0</v>
      </c>
      <c r="L149" s="284">
        <f>+L148+L140</f>
        <v>0</v>
      </c>
      <c r="M149" s="689">
        <f>IF('11. Unit Mix'!$G$142&lt;&gt;0,+F149/'11. Unit Mix'!$G$142,0)</f>
        <v>0</v>
      </c>
      <c r="N149" s="283">
        <f t="shared" si="29"/>
        <v>0</v>
      </c>
      <c r="O149" s="1290"/>
      <c r="R149" s="9"/>
      <c r="AU149" s="149"/>
      <c r="AV149" s="149"/>
      <c r="AW149" s="149"/>
      <c r="AX149" s="149"/>
      <c r="AY149" s="149"/>
    </row>
    <row r="150" spans="2:51" ht="16">
      <c r="B150" s="1273"/>
      <c r="C150" s="2203" t="s">
        <v>3019</v>
      </c>
      <c r="D150" s="2203"/>
      <c r="E150" s="479"/>
      <c r="F150" s="138"/>
      <c r="G150" s="138"/>
      <c r="H150" s="138"/>
      <c r="I150" s="138"/>
      <c r="K150" s="139"/>
      <c r="L150" s="140"/>
      <c r="M150" s="691"/>
      <c r="N150" s="692"/>
      <c r="O150" s="1290"/>
      <c r="R150" s="9"/>
      <c r="AU150" s="149"/>
      <c r="AV150" s="149"/>
      <c r="AW150" s="149"/>
      <c r="AX150" s="149"/>
      <c r="AY150" s="149"/>
    </row>
    <row r="151" spans="2:51" hidden="1">
      <c r="B151" s="1273"/>
      <c r="C151" s="2185" t="s">
        <v>3020</v>
      </c>
      <c r="D151" s="2185"/>
      <c r="E151" s="808"/>
      <c r="F151" s="536">
        <f t="shared" ref="F151" si="31">+SUM(I151:J151)</f>
        <v>0</v>
      </c>
      <c r="G151" s="280"/>
      <c r="H151" s="280"/>
      <c r="I151" s="280"/>
      <c r="K151" s="300"/>
      <c r="L151" s="300"/>
      <c r="M151" s="686">
        <f>IF('11. Unit Mix'!$G$142&lt;&gt;0,+F151/'11. Unit Mix'!$G$142,0)</f>
        <v>0</v>
      </c>
      <c r="N151" s="536">
        <f t="shared" ref="N151:N165" si="32">IF(Total_Units&lt;&gt;0,+F151/Total_Units,0)</f>
        <v>0</v>
      </c>
      <c r="O151" s="1290"/>
      <c r="R151" s="9"/>
      <c r="AU151" s="149"/>
      <c r="AV151" s="149"/>
      <c r="AW151" s="149"/>
      <c r="AX151" s="149"/>
      <c r="AY151" s="149"/>
    </row>
    <row r="152" spans="2:51">
      <c r="B152" s="1273"/>
      <c r="C152" s="1697" t="s">
        <v>3021</v>
      </c>
      <c r="D152" s="808"/>
      <c r="E152" s="817"/>
      <c r="F152" s="505">
        <f t="shared" ref="F152:F163" si="33">+SUM(G152:J152)</f>
        <v>0</v>
      </c>
      <c r="G152" s="280"/>
      <c r="H152" s="280"/>
      <c r="I152" s="280"/>
      <c r="K152" s="300"/>
      <c r="L152" s="300"/>
      <c r="M152" s="678">
        <f>IF('11. Unit Mix'!$G$142&lt;&gt;0,+F152/'11. Unit Mix'!$G$142,0)</f>
        <v>0</v>
      </c>
      <c r="N152" s="503">
        <f t="shared" si="32"/>
        <v>0</v>
      </c>
      <c r="O152" s="1288"/>
      <c r="P152" s="638"/>
      <c r="Q152" s="638"/>
      <c r="R152" s="9"/>
      <c r="AU152" s="149"/>
      <c r="AV152" s="149"/>
      <c r="AW152" s="149"/>
      <c r="AX152" s="149"/>
      <c r="AY152" s="149"/>
    </row>
    <row r="153" spans="2:51">
      <c r="B153" s="1273"/>
      <c r="C153" s="1697" t="s">
        <v>3023</v>
      </c>
      <c r="D153" s="808"/>
      <c r="E153" s="817"/>
      <c r="F153" s="505">
        <f t="shared" si="33"/>
        <v>0</v>
      </c>
      <c r="G153" s="280"/>
      <c r="H153" s="280"/>
      <c r="I153" s="280"/>
      <c r="K153" s="300"/>
      <c r="L153" s="300"/>
      <c r="M153" s="678">
        <f>IF('11. Unit Mix'!$G$142&lt;&gt;0,+F153/'11. Unit Mix'!$G$142,0)</f>
        <v>0</v>
      </c>
      <c r="N153" s="503">
        <f t="shared" si="32"/>
        <v>0</v>
      </c>
      <c r="O153" s="1288"/>
      <c r="P153" s="638"/>
      <c r="Q153" s="638"/>
      <c r="R153" s="9"/>
      <c r="AU153" s="149"/>
      <c r="AV153" s="149"/>
      <c r="AW153" s="149"/>
      <c r="AX153" s="149"/>
      <c r="AY153" s="149"/>
    </row>
    <row r="154" spans="2:51">
      <c r="B154" s="1273"/>
      <c r="C154" s="1697" t="s">
        <v>3024</v>
      </c>
      <c r="D154" s="808"/>
      <c r="E154" s="817"/>
      <c r="F154" s="505">
        <f t="shared" si="33"/>
        <v>0</v>
      </c>
      <c r="G154" s="280"/>
      <c r="H154" s="280"/>
      <c r="I154" s="280"/>
      <c r="K154" s="300"/>
      <c r="L154" s="300"/>
      <c r="M154" s="678">
        <f>IF('11. Unit Mix'!$G$142&lt;&gt;0,+F154/'11. Unit Mix'!$G$142,0)</f>
        <v>0</v>
      </c>
      <c r="N154" s="503">
        <f t="shared" si="32"/>
        <v>0</v>
      </c>
      <c r="O154" s="1288"/>
      <c r="P154" s="638"/>
      <c r="Q154" s="638"/>
      <c r="R154" s="9"/>
      <c r="AU154" s="149"/>
      <c r="AV154" s="149"/>
      <c r="AW154" s="149"/>
      <c r="AX154" s="149"/>
      <c r="AY154" s="149"/>
    </row>
    <row r="155" spans="2:51" hidden="1">
      <c r="B155" s="1273"/>
      <c r="C155" s="2187" t="s">
        <v>3025</v>
      </c>
      <c r="D155" s="2187"/>
      <c r="E155" s="1706"/>
      <c r="F155" s="505">
        <f t="shared" si="33"/>
        <v>0</v>
      </c>
      <c r="G155" s="280"/>
      <c r="H155" s="280"/>
      <c r="I155" s="280"/>
      <c r="K155" s="281">
        <v>0</v>
      </c>
      <c r="L155" s="298">
        <f>IF(Credit_percentage_applied_for="State + Fed 4%", PC_SFT_Local_Bldg_Permit_4, 0)</f>
        <v>0</v>
      </c>
      <c r="M155" s="678">
        <f>IF('11. Unit Mix'!$G$142&lt;&gt;0,+F155/'11. Unit Mix'!$G$142,0)</f>
        <v>0</v>
      </c>
      <c r="N155" s="503">
        <f t="shared" si="32"/>
        <v>0</v>
      </c>
      <c r="O155" s="1288"/>
      <c r="P155" s="638"/>
      <c r="Q155" s="638"/>
      <c r="R155" s="9"/>
      <c r="AU155" s="149"/>
      <c r="AV155" s="149"/>
      <c r="AW155" s="149"/>
      <c r="AX155" s="149"/>
      <c r="AY155" s="149"/>
    </row>
    <row r="156" spans="2:51">
      <c r="B156" s="1273"/>
      <c r="C156" s="1701" t="s">
        <v>4328</v>
      </c>
      <c r="D156" s="1706"/>
      <c r="E156" s="802"/>
      <c r="F156" s="505">
        <f t="shared" si="33"/>
        <v>0</v>
      </c>
      <c r="G156" s="280"/>
      <c r="H156" s="280"/>
      <c r="I156" s="280"/>
      <c r="K156" s="280"/>
      <c r="L156" s="298">
        <f>IF(Credit_percentage_applied_for="State + Fed 4%", PC_SFT_Water_Sewer_4, 0)</f>
        <v>0</v>
      </c>
      <c r="M156" s="678">
        <f>IF('11. Unit Mix'!$G$142&lt;&gt;0,+F156/'11. Unit Mix'!$G$142,0)</f>
        <v>0</v>
      </c>
      <c r="N156" s="503">
        <f t="shared" si="32"/>
        <v>0</v>
      </c>
      <c r="O156" s="1288"/>
      <c r="P156" s="638"/>
      <c r="Q156" s="638"/>
      <c r="R156" s="9"/>
      <c r="AU156" s="149"/>
      <c r="AV156" s="149"/>
      <c r="AW156" s="149"/>
      <c r="AX156" s="149"/>
      <c r="AY156" s="149"/>
    </row>
    <row r="157" spans="2:51" hidden="1">
      <c r="B157" s="1273"/>
      <c r="C157" s="2187" t="s">
        <v>3027</v>
      </c>
      <c r="D157" s="2187"/>
      <c r="E157" s="1706"/>
      <c r="F157" s="505">
        <f t="shared" si="33"/>
        <v>0</v>
      </c>
      <c r="G157" s="280"/>
      <c r="H157" s="280"/>
      <c r="I157" s="280"/>
      <c r="K157" s="280"/>
      <c r="L157" s="298">
        <f>IF(Credit_percentage_applied_for="State + Fed 4%", PC_SFT_Net_Local_Dev_4, 0)</f>
        <v>0</v>
      </c>
      <c r="M157" s="678">
        <f>IF('11. Unit Mix'!$G$142&lt;&gt;0,+F157/'11. Unit Mix'!$G$142,0)</f>
        <v>0</v>
      </c>
      <c r="N157" s="503">
        <f t="shared" si="32"/>
        <v>0</v>
      </c>
      <c r="O157" s="1288"/>
      <c r="P157" s="638"/>
      <c r="Q157" s="638"/>
      <c r="R157" s="9"/>
      <c r="AU157" s="149"/>
      <c r="AV157" s="149"/>
      <c r="AW157" s="149"/>
      <c r="AX157" s="149"/>
      <c r="AY157" s="149"/>
    </row>
    <row r="158" spans="2:51" hidden="1">
      <c r="B158" s="1273"/>
      <c r="C158" s="1701" t="s">
        <v>3028</v>
      </c>
      <c r="D158" s="1706"/>
      <c r="E158" s="802"/>
      <c r="F158" s="505">
        <f t="shared" si="33"/>
        <v>0</v>
      </c>
      <c r="G158" s="280"/>
      <c r="H158" s="280"/>
      <c r="I158" s="280"/>
      <c r="K158" s="280"/>
      <c r="L158" s="300"/>
      <c r="M158" s="678">
        <f>IF('11. Unit Mix'!$G$142&lt;&gt;0,+F158/'11. Unit Mix'!$G$142,0)</f>
        <v>0</v>
      </c>
      <c r="N158" s="503">
        <f t="shared" si="32"/>
        <v>0</v>
      </c>
      <c r="O158" s="1288"/>
      <c r="P158" s="638"/>
      <c r="Q158" s="638"/>
      <c r="R158" s="9"/>
      <c r="AU158" s="149"/>
      <c r="AV158" s="149"/>
      <c r="AW158" s="149"/>
      <c r="AX158" s="149"/>
      <c r="AY158" s="149"/>
    </row>
    <row r="159" spans="2:51">
      <c r="B159" s="1273"/>
      <c r="C159" s="2187" t="s">
        <v>3029</v>
      </c>
      <c r="D159" s="2197"/>
      <c r="E159" s="802"/>
      <c r="F159" s="505">
        <f t="shared" si="33"/>
        <v>0</v>
      </c>
      <c r="G159" s="280"/>
      <c r="H159" s="280"/>
      <c r="I159" s="280"/>
      <c r="K159" s="280"/>
      <c r="L159" s="298">
        <f>IF(Credit_percentage_applied_for="State + Fed 4%", PC_SFT_Accting_Fees_4, 0)</f>
        <v>0</v>
      </c>
      <c r="M159" s="678">
        <f>IF('11. Unit Mix'!$G$142&lt;&gt;0,+F159/'11. Unit Mix'!$G$142,0)</f>
        <v>0</v>
      </c>
      <c r="N159" s="503">
        <f t="shared" si="32"/>
        <v>0</v>
      </c>
      <c r="O159" s="1288"/>
      <c r="P159" s="638"/>
      <c r="Q159" s="638"/>
      <c r="R159" s="9"/>
      <c r="AU159" s="149"/>
      <c r="AV159" s="149"/>
      <c r="AW159" s="149"/>
      <c r="AX159" s="149"/>
      <c r="AY159" s="149"/>
    </row>
    <row r="160" spans="2:51">
      <c r="B160" s="1273"/>
      <c r="C160" s="2187" t="s">
        <v>3031</v>
      </c>
      <c r="D160" s="2197"/>
      <c r="E160" s="802"/>
      <c r="F160" s="505">
        <f t="shared" si="33"/>
        <v>0</v>
      </c>
      <c r="G160" s="280"/>
      <c r="H160" s="280"/>
      <c r="I160" s="280"/>
      <c r="K160" s="300"/>
      <c r="L160" s="300"/>
      <c r="M160" s="678">
        <f>IF('11. Unit Mix'!$G$142&lt;&gt;0,+F160/'11. Unit Mix'!$G$142,0)</f>
        <v>0</v>
      </c>
      <c r="N160" s="503">
        <f t="shared" si="32"/>
        <v>0</v>
      </c>
      <c r="O160" s="1288"/>
      <c r="P160" s="638"/>
      <c r="Q160" s="638"/>
      <c r="R160" s="9"/>
      <c r="AU160" s="149"/>
      <c r="AV160" s="149"/>
      <c r="AW160" s="149"/>
      <c r="AX160" s="149"/>
      <c r="AY160" s="149"/>
    </row>
    <row r="161" spans="2:51" hidden="1">
      <c r="B161" s="1273"/>
      <c r="C161" s="2187" t="s">
        <v>3033</v>
      </c>
      <c r="D161" s="2197"/>
      <c r="E161" s="802"/>
      <c r="F161" s="505">
        <f t="shared" si="33"/>
        <v>0</v>
      </c>
      <c r="G161" s="280"/>
      <c r="H161" s="280"/>
      <c r="I161" s="280"/>
      <c r="K161" s="300"/>
      <c r="L161" s="300"/>
      <c r="M161" s="678">
        <f>IF('11. Unit Mix'!$G$142&lt;&gt;0,+F161/'11. Unit Mix'!$G$142,0)</f>
        <v>0</v>
      </c>
      <c r="N161" s="503">
        <f t="shared" si="32"/>
        <v>0</v>
      </c>
      <c r="O161" s="1288"/>
      <c r="P161" s="9"/>
      <c r="Q161" s="9"/>
      <c r="R161" s="9"/>
      <c r="S161" s="9"/>
      <c r="AU161" s="149"/>
      <c r="AV161" s="149"/>
      <c r="AW161" s="149"/>
      <c r="AX161" s="149"/>
      <c r="AY161" s="149"/>
    </row>
    <row r="162" spans="2:51">
      <c r="B162" s="1273"/>
      <c r="C162" s="2187" t="s">
        <v>4329</v>
      </c>
      <c r="D162" s="2197"/>
      <c r="E162" s="802"/>
      <c r="F162" s="505">
        <f t="shared" si="33"/>
        <v>0</v>
      </c>
      <c r="G162" s="280"/>
      <c r="H162" s="280"/>
      <c r="I162" s="280"/>
      <c r="K162" s="300"/>
      <c r="L162" s="300"/>
      <c r="M162" s="678">
        <f>IF('11. Unit Mix'!$G$142&lt;&gt;0,+F162/'11. Unit Mix'!$G$142,0)</f>
        <v>0</v>
      </c>
      <c r="N162" s="503">
        <f t="shared" si="32"/>
        <v>0</v>
      </c>
      <c r="O162" s="1288"/>
      <c r="P162" s="9"/>
      <c r="Q162" s="9"/>
      <c r="R162" s="9"/>
      <c r="S162" s="9"/>
      <c r="AU162" s="149"/>
      <c r="AV162" s="149"/>
      <c r="AW162" s="149"/>
      <c r="AX162" s="149"/>
      <c r="AY162" s="149"/>
    </row>
    <row r="163" spans="2:51">
      <c r="B163" s="1273"/>
      <c r="C163" s="2187" t="s">
        <v>3035</v>
      </c>
      <c r="D163" s="2197"/>
      <c r="E163" s="802"/>
      <c r="F163" s="505">
        <f t="shared" si="33"/>
        <v>0</v>
      </c>
      <c r="G163" s="280"/>
      <c r="H163" s="280"/>
      <c r="I163" s="280"/>
      <c r="K163" s="280"/>
      <c r="L163" s="298">
        <f>IF(Credit_percentage_applied_for="State + Fed 4%", K163,0)</f>
        <v>0</v>
      </c>
      <c r="M163" s="678">
        <f>IF('11. Unit Mix'!$G$142&lt;&gt;0,+F163/'11. Unit Mix'!$G$142,0)</f>
        <v>0</v>
      </c>
      <c r="N163" s="503">
        <f t="shared" si="32"/>
        <v>0</v>
      </c>
      <c r="O163" s="1288"/>
      <c r="P163" s="9"/>
      <c r="Q163" s="9"/>
      <c r="R163" s="9"/>
      <c r="S163" s="9"/>
      <c r="AU163" s="149"/>
      <c r="AV163" s="149"/>
      <c r="AW163" s="149"/>
      <c r="AX163" s="149"/>
      <c r="AY163" s="149"/>
    </row>
    <row r="164" spans="2:51">
      <c r="B164" s="1273"/>
      <c r="C164" s="2198" t="s">
        <v>3037</v>
      </c>
      <c r="D164" s="2199"/>
      <c r="E164" s="553"/>
      <c r="F164" s="283">
        <f>SUM(F151:F163)</f>
        <v>0</v>
      </c>
      <c r="G164" s="283">
        <f>SUM(G151:G163)</f>
        <v>0</v>
      </c>
      <c r="H164" s="283">
        <f>SUM(H151:H163)</f>
        <v>0</v>
      </c>
      <c r="I164" s="283">
        <f>SUM(I151:I163)</f>
        <v>0</v>
      </c>
      <c r="K164" s="283">
        <f>SUM(K151:K163)</f>
        <v>0</v>
      </c>
      <c r="L164" s="284">
        <f>SUM(L151:L163)</f>
        <v>0</v>
      </c>
      <c r="M164" s="689">
        <f>IF('11. Unit Mix'!$G$142&lt;&gt;0,+F164/'11. Unit Mix'!$G$142,0)</f>
        <v>0</v>
      </c>
      <c r="N164" s="283">
        <f t="shared" si="32"/>
        <v>0</v>
      </c>
      <c r="O164" s="1291"/>
      <c r="P164" s="9"/>
      <c r="Q164" s="9"/>
      <c r="R164" s="9"/>
      <c r="S164" s="9"/>
      <c r="AC164" s="9"/>
      <c r="AD164" s="9"/>
      <c r="AE164" s="9"/>
      <c r="AF164" s="9"/>
      <c r="AU164" s="149"/>
      <c r="AV164" s="149"/>
      <c r="AW164" s="149"/>
      <c r="AX164" s="149"/>
      <c r="AY164" s="149"/>
    </row>
    <row r="165" spans="2:51">
      <c r="B165" s="1273"/>
      <c r="C165" s="2186" t="s">
        <v>3038</v>
      </c>
      <c r="D165" s="2186"/>
      <c r="E165" s="476"/>
      <c r="F165" s="285">
        <f>+F164+F149+F133+F123+F117+F110+F98+F62+F58+F16</f>
        <v>0</v>
      </c>
      <c r="G165" s="285">
        <f>+G164+G149+G133+G123+G117+G110+G98+G62+G58+G16</f>
        <v>0</v>
      </c>
      <c r="H165" s="285">
        <f>+H164+H149+H133+H123+H117+H110+H98+H62+H58+H16</f>
        <v>0</v>
      </c>
      <c r="I165" s="285">
        <f>+I164+I149+I133+I123+I117+I110+I98+I62+I58+I16</f>
        <v>0</v>
      </c>
      <c r="K165" s="285">
        <f>+K164+K149+K133+K123+K117+K110+K98+K62+K58+K16</f>
        <v>0</v>
      </c>
      <c r="L165" s="287">
        <f>+L164+L149+L133+L123+L117+L110+L98+L62+L58+L16</f>
        <v>0</v>
      </c>
      <c r="M165" s="696">
        <f>IF('11. Unit Mix'!$G$142&lt;&gt;0,+F165/'11. Unit Mix'!$G$142,0)</f>
        <v>0</v>
      </c>
      <c r="N165" s="285">
        <f t="shared" si="32"/>
        <v>0</v>
      </c>
      <c r="O165" s="1291"/>
      <c r="P165" s="9"/>
      <c r="Q165" s="9"/>
      <c r="R165" s="675" t="s">
        <v>4330</v>
      </c>
      <c r="S165" s="670">
        <f>+F173-SUM(PC_DEV_Developer_Costs_Subtotal_Total,PC_CAP_Capitalized_Reserv_Subtotal_Total,PC_CST_Constr_Mgmt_Fee_Total,PC_ACQ_ACQ_Subtotal_Total)</f>
        <v>0</v>
      </c>
      <c r="AC165" s="9"/>
      <c r="AD165" s="9"/>
      <c r="AE165" s="9"/>
      <c r="AF165" s="9"/>
      <c r="AU165" s="149"/>
      <c r="AV165" s="149"/>
      <c r="AW165" s="149"/>
      <c r="AX165" s="149"/>
      <c r="AY165" s="149"/>
    </row>
    <row r="166" spans="2:51" ht="16">
      <c r="B166" s="1273"/>
      <c r="C166" s="143" t="s">
        <v>3039</v>
      </c>
      <c r="D166" s="143"/>
      <c r="E166" s="143"/>
      <c r="F166" s="143"/>
      <c r="G166" s="143"/>
      <c r="H166" s="143"/>
      <c r="I166" s="143"/>
      <c r="K166" s="146">
        <v>0</v>
      </c>
      <c r="L166" s="147">
        <v>0</v>
      </c>
      <c r="M166" s="691"/>
      <c r="N166" s="692"/>
      <c r="O166" s="1291" t="s">
        <v>4331</v>
      </c>
      <c r="P166" s="9"/>
      <c r="Q166" s="9"/>
      <c r="R166" s="9"/>
      <c r="S166" s="9"/>
      <c r="AC166" s="9"/>
      <c r="AD166" s="9" t="s">
        <v>4332</v>
      </c>
      <c r="AE166" s="9">
        <f>TC_Percent</f>
        <v>0</v>
      </c>
      <c r="AF166" s="9"/>
      <c r="AU166" s="149"/>
      <c r="AV166" s="149"/>
      <c r="AW166" s="149"/>
      <c r="AX166" s="149"/>
      <c r="AY166" s="149"/>
    </row>
    <row r="167" spans="2:51">
      <c r="B167" s="1273"/>
      <c r="C167" s="1701" t="s">
        <v>3040</v>
      </c>
      <c r="D167" s="829"/>
      <c r="E167" s="802"/>
      <c r="F167" s="505">
        <f>+SUM(G167:J167)</f>
        <v>0</v>
      </c>
      <c r="G167" s="280"/>
      <c r="H167" s="280"/>
      <c r="I167" s="280"/>
      <c r="K167" s="280"/>
      <c r="L167" s="298">
        <f>IF(Credit_percentage_applied_for="State + Fed 4%", PC_DEV_Dev_Fee_Received_4, 0)</f>
        <v>0</v>
      </c>
      <c r="M167" s="678">
        <f>IF('11. Unit Mix'!$G$142&lt;&gt;0,+F167/'11. Unit Mix'!$G$142,0)</f>
        <v>0</v>
      </c>
      <c r="N167" s="503">
        <f t="shared" ref="N167:N173" si="34">IF(Total_Units&lt;&gt;0,+F167/Total_Units,0)</f>
        <v>0</v>
      </c>
      <c r="O167" s="1291">
        <f>IF(AND(Identity_Interest_Direct_Indirect="yes",SUM('4. Project Description'!D9:D11)&gt;0),3%,IF(SUM('4. Project Description'!D9:D11)&gt;0,6%,0))*PC_ACQ_ACQ_Subtotal_Total</f>
        <v>0</v>
      </c>
      <c r="P167" s="9"/>
      <c r="Q167" s="9" t="s">
        <v>4333</v>
      </c>
      <c r="R167" s="9" t="s">
        <v>4334</v>
      </c>
      <c r="S167" s="9" t="s">
        <v>4335</v>
      </c>
      <c r="AC167" s="9"/>
      <c r="AD167" s="9"/>
      <c r="AE167" s="9"/>
      <c r="AF167" s="9"/>
      <c r="AU167" s="149"/>
      <c r="AV167" s="149"/>
      <c r="AW167" s="149"/>
      <c r="AX167" s="149"/>
      <c r="AY167" s="149"/>
    </row>
    <row r="168" spans="2:51">
      <c r="B168" s="1273"/>
      <c r="C168" s="1703" t="s">
        <v>3042</v>
      </c>
      <c r="D168" s="830"/>
      <c r="E168" s="831"/>
      <c r="F168" s="505">
        <f>+SUM(G168:J168)</f>
        <v>0</v>
      </c>
      <c r="G168" s="280"/>
      <c r="H168" s="280"/>
      <c r="I168" s="280"/>
      <c r="K168" s="280"/>
      <c r="L168" s="298">
        <f>IF(Credit_percentage_applied_for="State + Fed 4%", PC_DEV_Dev_Fee_Deferred_4, 0)</f>
        <v>0</v>
      </c>
      <c r="M168" s="678">
        <f>IF('11. Unit Mix'!$G$142&lt;&gt;0,+F168/'11. Unit Mix'!$G$142,0)</f>
        <v>0</v>
      </c>
      <c r="N168" s="503">
        <f t="shared" si="34"/>
        <v>0</v>
      </c>
      <c r="O168" s="1291" t="s">
        <v>4336</v>
      </c>
      <c r="P168" s="9"/>
      <c r="Q168" s="926">
        <f>+IF(AND(Project_Type='Dropdown Lists'!D3,Credit_percentage_applied_for=9%),16%,0)</f>
        <v>0</v>
      </c>
      <c r="R168" s="671">
        <f>IF(AND(Project_Type='Dropdown Lists'!D2,Credit_percentage_applied_for=9%),IF(Total_Units&gt;55,(55*12%)+((Total_Units-55)*9%),0),0)</f>
        <v>0</v>
      </c>
      <c r="S168" s="671">
        <f>IF(Credit_percentage_applied_for=9%,0,IF(PC_DEV_Dev_Fee_Deferred_Total*2=PC_DEV_Developer_Costs_Subtotal_Total,20%,12%))</f>
        <v>0.2</v>
      </c>
      <c r="AC168" s="9"/>
      <c r="AD168" s="9"/>
      <c r="AE168" s="361" t="s">
        <v>4337</v>
      </c>
      <c r="AF168" s="361" t="b">
        <f>AF171=0</f>
        <v>0</v>
      </c>
      <c r="AU168" s="149"/>
      <c r="AV168" s="149"/>
      <c r="AW168" s="149"/>
      <c r="AX168" s="149"/>
      <c r="AY168" s="149"/>
    </row>
    <row r="169" spans="2:51">
      <c r="B169" s="1273"/>
      <c r="C169" s="1701" t="s">
        <v>3044</v>
      </c>
      <c r="D169" s="832"/>
      <c r="E169" s="832"/>
      <c r="F169" s="505">
        <f>+SUM(G169:J169)</f>
        <v>0</v>
      </c>
      <c r="G169" s="280"/>
      <c r="H169" s="280"/>
      <c r="I169" s="280"/>
      <c r="K169" s="280"/>
      <c r="L169" s="298">
        <f>IF(Credit_percentage_applied_for="State + Fed 4%", PC_DEV_Dev_Overhead_4, 0)</f>
        <v>0</v>
      </c>
      <c r="M169" s="678">
        <f>IF('11. Unit Mix'!$G$142&lt;&gt;0,+F169/'11. Unit Mix'!$G$142,0)</f>
        <v>0</v>
      </c>
      <c r="N169" s="503">
        <f t="shared" si="34"/>
        <v>0</v>
      </c>
      <c r="O169" s="1291">
        <f>IF(AND(Credit_percentage_applied_for=9%,Project_Type="Acquisition/Rehab"),16%,IF(Credit_percentage_applied_for=9%,15%,20%))</f>
        <v>0.2</v>
      </c>
      <c r="P169" s="9"/>
      <c r="Q169" s="9"/>
      <c r="R169" s="9"/>
      <c r="S169" s="9"/>
      <c r="AC169" s="9"/>
      <c r="AD169" s="9"/>
      <c r="AE169" s="361" t="s">
        <v>4338</v>
      </c>
      <c r="AF169" s="361" t="b">
        <f>OR(ISBLANK(AF171), AF171=0)</f>
        <v>0</v>
      </c>
      <c r="AU169" s="149"/>
      <c r="AV169" s="149"/>
      <c r="AW169" s="149"/>
      <c r="AX169" s="149"/>
      <c r="AY169" s="149"/>
    </row>
    <row r="170" spans="2:51">
      <c r="B170" s="1273"/>
      <c r="C170" s="1701" t="s">
        <v>3045</v>
      </c>
      <c r="D170" s="833"/>
      <c r="E170" s="833"/>
      <c r="F170" s="505">
        <f>+SUM(G170:J170)</f>
        <v>0</v>
      </c>
      <c r="G170" s="280"/>
      <c r="H170" s="280"/>
      <c r="I170" s="280"/>
      <c r="K170" s="280"/>
      <c r="L170" s="298">
        <f>IF(Credit_percentage_applied_for="State + Fed 4%", PC_DEV_Consult_Agent_4, 0)</f>
        <v>0</v>
      </c>
      <c r="M170" s="678">
        <f>IF('11. Unit Mix'!$G$142&lt;&gt;0,+F170/'11. Unit Mix'!$G$142,0)</f>
        <v>0</v>
      </c>
      <c r="N170" s="503">
        <f t="shared" si="34"/>
        <v>0</v>
      </c>
      <c r="O170" s="1291" t="str">
        <f>IFERROR(PC_DEV_Developer_Costs_Subtotal_Total/(F173-PC_DEV_Developer_Costs_Subtotal_Total-PC_ACQ_ACQ_Subtotal_Total-PC_CST_Constr_Mgmt_Fee_Total-SUM(F125:F131)),"N/A")</f>
        <v>N/A</v>
      </c>
      <c r="P170" s="9"/>
      <c r="Q170" s="9"/>
      <c r="R170" s="9"/>
      <c r="S170" s="9"/>
      <c r="AC170" s="9"/>
      <c r="AD170" s="9"/>
      <c r="AE170" s="361" t="s">
        <v>4339</v>
      </c>
      <c r="AF170" s="101" t="e">
        <f>OR('12. Funding Sources'!#REF!="ResAppFeasibility", '12. Funding Sources'!#REF!="",'12. Funding Sources'!#REF!="LNI")</f>
        <v>#REF!</v>
      </c>
      <c r="AU170" s="149"/>
      <c r="AV170" s="149"/>
      <c r="AW170" s="149"/>
      <c r="AX170" s="149"/>
      <c r="AY170" s="149"/>
    </row>
    <row r="171" spans="2:51">
      <c r="B171" s="1273"/>
      <c r="C171" s="1703" t="s">
        <v>3048</v>
      </c>
      <c r="D171" s="830"/>
      <c r="E171" s="830"/>
      <c r="F171" s="505">
        <f>+SUM(G171:J171)</f>
        <v>0</v>
      </c>
      <c r="G171" s="280"/>
      <c r="H171" s="280"/>
      <c r="I171" s="280"/>
      <c r="K171" s="280"/>
      <c r="L171" s="298">
        <f>IF(Credit_percentage_applied_for="State + Fed 4%", PC_DEV_Other_Dev_Fees_4, 0)</f>
        <v>0</v>
      </c>
      <c r="M171" s="678">
        <f>IF('11. Unit Mix'!$G$142&lt;&gt;0,+F171/'11. Unit Mix'!$G$142,0)</f>
        <v>0</v>
      </c>
      <c r="N171" s="503">
        <f t="shared" si="34"/>
        <v>0</v>
      </c>
      <c r="O171" s="1291"/>
      <c r="P171" s="9"/>
      <c r="Q171" s="9"/>
      <c r="R171" s="9"/>
      <c r="S171" s="9"/>
      <c r="AC171" s="9"/>
      <c r="AD171" s="9"/>
      <c r="AE171" s="204" t="s">
        <v>4340</v>
      </c>
      <c r="AF171" s="204" t="str">
        <f>IF(G210=0,"",IF(G207=0, 0, ROUND(G206/G207, 0)))</f>
        <v/>
      </c>
      <c r="AU171" s="149"/>
      <c r="AV171" s="149"/>
      <c r="AW171" s="149"/>
      <c r="AX171" s="149"/>
      <c r="AY171" s="149"/>
    </row>
    <row r="172" spans="2:51">
      <c r="B172" s="1273"/>
      <c r="C172" s="537" t="s">
        <v>3049</v>
      </c>
      <c r="D172" s="539"/>
      <c r="E172" s="539"/>
      <c r="F172" s="535">
        <f>SUM(F167:F171)</f>
        <v>0</v>
      </c>
      <c r="G172" s="283">
        <f>+SUM(G166:G171)</f>
        <v>0</v>
      </c>
      <c r="H172" s="283">
        <f>+SUM(H166:H171)</f>
        <v>0</v>
      </c>
      <c r="I172" s="283">
        <f>+SUM(I167:I171)</f>
        <v>0</v>
      </c>
      <c r="K172" s="283">
        <f>SUM(K166:K171)</f>
        <v>0</v>
      </c>
      <c r="L172" s="284">
        <f>SUM(L167:L171)</f>
        <v>0</v>
      </c>
      <c r="M172" s="689">
        <f>IF('11. Unit Mix'!$G$142&lt;&gt;0,+F172/'11. Unit Mix'!$G$142,0)</f>
        <v>0</v>
      </c>
      <c r="N172" s="283">
        <f t="shared" si="34"/>
        <v>0</v>
      </c>
      <c r="O172" s="1291"/>
      <c r="P172" s="9"/>
      <c r="Q172" s="9"/>
      <c r="R172" s="9"/>
      <c r="S172" s="9"/>
      <c r="AC172" s="9"/>
      <c r="AD172" s="9"/>
      <c r="AE172" s="204" t="e">
        <f>IF(AND(NOT(AF170),NOT(AF169)),AF172, AF171)</f>
        <v>#REF!</v>
      </c>
      <c r="AF172" s="204">
        <f>IF(AF166, AE172, 0)</f>
        <v>0</v>
      </c>
      <c r="AU172" s="149"/>
      <c r="AV172" s="149"/>
      <c r="AW172" s="149"/>
      <c r="AX172" s="149"/>
      <c r="AY172" s="149"/>
    </row>
    <row r="173" spans="2:51" ht="19">
      <c r="B173" s="1273"/>
      <c r="C173" s="2221" t="s">
        <v>3050</v>
      </c>
      <c r="D173" s="2222"/>
      <c r="E173" s="538"/>
      <c r="F173" s="680">
        <f>+SUM(G173:J173)</f>
        <v>0</v>
      </c>
      <c r="G173" s="285">
        <f>G172+G165</f>
        <v>0</v>
      </c>
      <c r="H173" s="285">
        <f>H172+H165</f>
        <v>0</v>
      </c>
      <c r="I173" s="285">
        <f>I172+I165</f>
        <v>0</v>
      </c>
      <c r="K173" s="285">
        <f>K172+K165</f>
        <v>0</v>
      </c>
      <c r="L173" s="285">
        <f>L172+L165</f>
        <v>0</v>
      </c>
      <c r="M173" s="658">
        <f>IF('11. Unit Mix'!$G$142&lt;&gt;0,+F173/'11. Unit Mix'!$G$142,0)</f>
        <v>0</v>
      </c>
      <c r="N173" s="285">
        <f t="shared" si="34"/>
        <v>0</v>
      </c>
      <c r="O173" s="1291"/>
      <c r="P173" s="9"/>
      <c r="Q173" s="9"/>
      <c r="R173" s="9"/>
      <c r="S173" s="9"/>
      <c r="AU173" s="149"/>
      <c r="AV173" s="149"/>
      <c r="AW173" s="149"/>
      <c r="AX173" s="149"/>
      <c r="AY173" s="149"/>
    </row>
    <row r="174" spans="2:51" ht="15.75" hidden="1" customHeight="1">
      <c r="B174" s="1273"/>
      <c r="C174" s="143" t="s">
        <v>4341</v>
      </c>
      <c r="D174" s="212"/>
      <c r="E174" s="482"/>
      <c r="F174" s="143" t="s">
        <v>4342</v>
      </c>
      <c r="G174" s="143" t="s">
        <v>4343</v>
      </c>
      <c r="H174" s="143"/>
      <c r="I174" s="143" t="s">
        <v>225</v>
      </c>
      <c r="J174" s="133"/>
      <c r="K174" s="751"/>
      <c r="L174" s="751"/>
      <c r="M174" s="751"/>
      <c r="N174" s="751"/>
      <c r="O174" s="1287"/>
      <c r="P174" s="9"/>
      <c r="Q174" s="9"/>
      <c r="R174" s="9"/>
      <c r="S174" s="9"/>
      <c r="AU174" s="149"/>
    </row>
    <row r="175" spans="2:51" hidden="1">
      <c r="B175" s="1273"/>
      <c r="C175" s="2196" t="s">
        <v>811</v>
      </c>
      <c r="D175" s="2196"/>
      <c r="E175" s="834"/>
      <c r="F175" s="436">
        <f>ROUND(J173, 0)</f>
        <v>0</v>
      </c>
      <c r="G175" s="436">
        <f>ROUND(K173, 0)</f>
        <v>0</v>
      </c>
      <c r="H175" s="436"/>
      <c r="I175" s="436">
        <f>ROUND(L173, 0)</f>
        <v>0</v>
      </c>
      <c r="J175" s="133"/>
      <c r="K175" s="751"/>
      <c r="L175" s="751"/>
      <c r="M175" s="751"/>
      <c r="N175" s="751"/>
      <c r="O175" s="1287"/>
      <c r="P175" s="9"/>
      <c r="Q175" s="9"/>
      <c r="R175" s="9"/>
      <c r="S175" s="9"/>
      <c r="U175" s="131" t="s">
        <v>4344</v>
      </c>
      <c r="AU175" s="149"/>
    </row>
    <row r="176" spans="2:51" hidden="1">
      <c r="B176" s="1273"/>
      <c r="C176" s="2196" t="s">
        <v>3051</v>
      </c>
      <c r="D176" s="2196"/>
      <c r="E176" s="834"/>
      <c r="F176" s="302"/>
      <c r="G176" s="302"/>
      <c r="H176" s="302"/>
      <c r="I176" s="302"/>
      <c r="J176" s="133" t="s">
        <v>4332</v>
      </c>
      <c r="K176" s="751" t="b">
        <f>$J$177="State + Fed 4%"</f>
        <v>0</v>
      </c>
      <c r="L176" s="751" t="b">
        <f>$J$177=9%</f>
        <v>0</v>
      </c>
      <c r="M176" s="751" t="b">
        <f>$J$177=4%</f>
        <v>0</v>
      </c>
      <c r="N176" s="751"/>
      <c r="O176" s="1287"/>
      <c r="P176" s="9"/>
      <c r="Q176" s="9"/>
      <c r="R176" s="9"/>
      <c r="S176" s="9"/>
      <c r="U176" s="131" t="s">
        <v>4345</v>
      </c>
      <c r="AU176" s="149"/>
    </row>
    <row r="177" spans="2:47" hidden="1">
      <c r="B177" s="1273"/>
      <c r="C177" s="2196" t="s">
        <v>3052</v>
      </c>
      <c r="D177" s="2196"/>
      <c r="E177" s="834"/>
      <c r="F177" s="302"/>
      <c r="G177" s="302"/>
      <c r="H177" s="302"/>
      <c r="I177" s="302"/>
      <c r="J177" s="148">
        <f>'4. Project Description'!E54</f>
        <v>0</v>
      </c>
      <c r="K177" s="751"/>
      <c r="L177" s="751"/>
      <c r="M177" s="751"/>
      <c r="N177" s="751"/>
      <c r="O177" s="1287"/>
      <c r="P177" s="9"/>
      <c r="Q177" s="9"/>
      <c r="R177" s="9"/>
      <c r="S177" s="9"/>
      <c r="U177" s="563">
        <v>32682082</v>
      </c>
      <c r="AU177" s="149"/>
    </row>
    <row r="178" spans="2:47" hidden="1">
      <c r="B178" s="1273"/>
      <c r="C178" s="2196" t="s">
        <v>3053</v>
      </c>
      <c r="D178" s="2196"/>
      <c r="E178" s="834"/>
      <c r="F178" s="302"/>
      <c r="G178" s="302"/>
      <c r="H178" s="302"/>
      <c r="I178" s="302"/>
      <c r="J178" s="133"/>
      <c r="K178" s="751"/>
      <c r="L178" s="751"/>
      <c r="M178" s="751" t="s">
        <v>4346</v>
      </c>
      <c r="N178" s="751"/>
      <c r="O178" s="1287"/>
      <c r="P178" s="9"/>
      <c r="Q178" s="9"/>
      <c r="R178" s="9"/>
      <c r="S178" s="9"/>
      <c r="U178" s="131" t="s">
        <v>3260</v>
      </c>
      <c r="AU178" s="149"/>
    </row>
    <row r="179" spans="2:47" ht="14.25" hidden="1" customHeight="1">
      <c r="B179" s="1273"/>
      <c r="C179" s="2224" t="s">
        <v>3054</v>
      </c>
      <c r="D179" s="2224"/>
      <c r="E179" s="835"/>
      <c r="F179" s="311"/>
      <c r="G179" s="311"/>
      <c r="H179" s="311"/>
      <c r="I179" s="311"/>
      <c r="J179" s="133"/>
      <c r="K179" s="751"/>
      <c r="L179" s="751"/>
      <c r="M179" s="751"/>
      <c r="N179" s="751"/>
      <c r="O179" s="1287"/>
      <c r="P179" s="9"/>
      <c r="Q179" s="9"/>
      <c r="R179" s="9"/>
      <c r="S179" s="9"/>
      <c r="U179" s="563">
        <f>21485175</f>
        <v>21485175</v>
      </c>
      <c r="AU179" s="149"/>
    </row>
    <row r="180" spans="2:47" ht="15.75" hidden="1" customHeight="1">
      <c r="B180" s="1273"/>
      <c r="C180" s="2225" t="s">
        <v>3055</v>
      </c>
      <c r="D180" s="2225"/>
      <c r="E180" s="836"/>
      <c r="F180" s="380"/>
      <c r="G180" s="469"/>
      <c r="H180" s="469"/>
      <c r="I180" s="470"/>
      <c r="J180" s="739"/>
      <c r="K180" s="751"/>
      <c r="L180" s="751"/>
      <c r="M180" s="751"/>
      <c r="N180" s="751"/>
      <c r="O180" s="1287"/>
      <c r="P180" s="9"/>
      <c r="Q180" s="9"/>
      <c r="R180" s="9"/>
      <c r="S180" s="9"/>
      <c r="X180" s="131" t="s">
        <v>4347</v>
      </c>
      <c r="AU180" s="149"/>
    </row>
    <row r="181" spans="2:47" hidden="1">
      <c r="B181" s="1273"/>
      <c r="C181" s="2196" t="s">
        <v>3909</v>
      </c>
      <c r="D181" s="2196"/>
      <c r="E181" s="834"/>
      <c r="F181" s="436">
        <f>ROUND(F175-SUM(F176:F179),0)</f>
        <v>0</v>
      </c>
      <c r="G181" s="436">
        <f>ROUND(G175-SUM(G176:G179),0)</f>
        <v>0</v>
      </c>
      <c r="H181" s="436"/>
      <c r="I181" s="436">
        <f>ROUND(I175-SUM(I176:I179),0)</f>
        <v>0</v>
      </c>
      <c r="J181" s="739"/>
      <c r="K181" s="751"/>
      <c r="L181" s="751"/>
      <c r="M181" s="751"/>
      <c r="N181" s="751"/>
      <c r="O181" s="1287"/>
      <c r="P181" s="9"/>
      <c r="Q181" s="9"/>
      <c r="R181" s="9"/>
      <c r="S181" s="9"/>
      <c r="U181" s="563"/>
      <c r="AA181" s="367"/>
      <c r="AB181" s="564" t="s">
        <v>4348</v>
      </c>
      <c r="AC181" s="367"/>
      <c r="AU181" s="149"/>
    </row>
    <row r="182" spans="2:47" hidden="1">
      <c r="B182" s="1273"/>
      <c r="C182" s="2196" t="s">
        <v>3057</v>
      </c>
      <c r="D182" s="2196"/>
      <c r="E182" s="834"/>
      <c r="F182" s="302"/>
      <c r="G182" s="302"/>
      <c r="H182" s="302"/>
      <c r="I182" s="302"/>
      <c r="J182" s="739"/>
      <c r="K182" s="751"/>
      <c r="L182" s="751"/>
      <c r="M182" s="751"/>
      <c r="N182" s="751"/>
      <c r="O182" s="1287"/>
      <c r="P182" s="9"/>
      <c r="Q182" s="9"/>
      <c r="R182" s="9"/>
      <c r="S182" s="9"/>
      <c r="X182" s="131" t="s">
        <v>4349</v>
      </c>
      <c r="AA182" s="367" t="e">
        <f>IF('14. Project Costs'!AE172="",0,'14. Project Costs'!AE172)</f>
        <v>#REF!</v>
      </c>
      <c r="AB182" s="131" t="s">
        <v>4350</v>
      </c>
      <c r="AC182" s="367"/>
      <c r="AU182" s="149"/>
    </row>
    <row r="183" spans="2:47" hidden="1">
      <c r="B183" s="1273"/>
      <c r="C183" s="2196" t="s">
        <v>3058</v>
      </c>
      <c r="D183" s="2196"/>
      <c r="E183" s="834"/>
      <c r="F183" s="302"/>
      <c r="G183" s="302"/>
      <c r="H183" s="302"/>
      <c r="I183" s="302"/>
      <c r="J183" s="739"/>
      <c r="K183" s="751"/>
      <c r="L183" s="751"/>
      <c r="M183" s="751"/>
      <c r="N183" s="751"/>
      <c r="O183" s="1287"/>
      <c r="P183" s="9"/>
      <c r="Q183" s="9"/>
      <c r="R183" s="9"/>
      <c r="S183" s="9"/>
      <c r="X183" s="131">
        <f>'4. Project Description'!D51</f>
        <v>0</v>
      </c>
      <c r="AA183" s="565">
        <f>'12. Funding Sources'!H44</f>
        <v>0</v>
      </c>
      <c r="AB183" s="131" t="s">
        <v>4351</v>
      </c>
      <c r="AC183" s="367"/>
      <c r="AU183" s="149"/>
    </row>
    <row r="184" spans="2:47" hidden="1">
      <c r="B184" s="1273"/>
      <c r="C184" s="2196" t="s">
        <v>3059</v>
      </c>
      <c r="D184" s="2196"/>
      <c r="E184" s="834"/>
      <c r="F184" s="302"/>
      <c r="G184" s="302"/>
      <c r="H184" s="302"/>
      <c r="I184" s="302"/>
      <c r="J184" s="133"/>
      <c r="K184" s="751"/>
      <c r="L184" s="751"/>
      <c r="M184" s="751"/>
      <c r="N184" s="751"/>
      <c r="O184" s="1287"/>
      <c r="P184" s="9"/>
      <c r="Q184" s="9"/>
      <c r="R184" s="9"/>
      <c r="S184" s="9"/>
      <c r="AA184" s="566">
        <f>'12. Funding Sources'!I46</f>
        <v>0</v>
      </c>
      <c r="AB184" s="131" t="s">
        <v>4352</v>
      </c>
      <c r="AC184" s="367"/>
      <c r="AU184" s="149"/>
    </row>
    <row r="185" spans="2:47" hidden="1">
      <c r="B185" s="1273"/>
      <c r="C185" s="2196" t="s">
        <v>3060</v>
      </c>
      <c r="D185" s="2196"/>
      <c r="E185" s="834"/>
      <c r="F185" s="302"/>
      <c r="G185" s="302"/>
      <c r="H185" s="302"/>
      <c r="I185" s="302"/>
      <c r="J185" s="133"/>
      <c r="K185" s="740">
        <f>IF(K186&lt;K187,K186,K187)</f>
        <v>0</v>
      </c>
      <c r="L185" s="751"/>
      <c r="M185" s="751"/>
      <c r="N185" s="751"/>
      <c r="O185" s="1287"/>
      <c r="P185" s="9"/>
      <c r="Q185" s="9"/>
      <c r="R185" s="9"/>
      <c r="S185" s="9"/>
      <c r="AA185" s="567">
        <f>'12. Funding Sources'!G46</f>
        <v>0</v>
      </c>
      <c r="AB185" s="131" t="s">
        <v>4353</v>
      </c>
      <c r="AC185" s="367"/>
      <c r="AU185" s="149"/>
    </row>
    <row r="186" spans="2:47" hidden="1">
      <c r="B186" s="1273"/>
      <c r="C186" s="2196" t="s">
        <v>3061</v>
      </c>
      <c r="D186" s="2196"/>
      <c r="E186" s="834"/>
      <c r="F186" s="350">
        <f>$K$185</f>
        <v>0</v>
      </c>
      <c r="G186" s="350">
        <f>$K$185</f>
        <v>0</v>
      </c>
      <c r="H186" s="350"/>
      <c r="I186" s="350">
        <f>$K$185</f>
        <v>0</v>
      </c>
      <c r="J186" s="133">
        <f>IF(K186&lt;L186, K186,)</f>
        <v>0</v>
      </c>
      <c r="K186" s="751">
        <f>IF(SUM('11. Unit Mix'!G66,'11. Unit Mix'!F114)=0,0,'11. Unit Mix'!G66/SUM('11. Unit Mix'!G66,'11. Unit Mix'!F114))</f>
        <v>0</v>
      </c>
      <c r="L186" s="751">
        <f>IF('11. Unit Mix'!F130=0, 0, '11. Unit Mix'!F126/'11. Unit Mix'!F130)</f>
        <v>0</v>
      </c>
      <c r="M186" s="751"/>
      <c r="N186" s="751"/>
      <c r="O186" s="1287"/>
      <c r="P186" s="9"/>
      <c r="Q186" s="9"/>
      <c r="R186" s="9" t="s">
        <v>3680</v>
      </c>
      <c r="S186" s="9" t="s">
        <v>3681</v>
      </c>
      <c r="T186" s="131" t="s">
        <v>3682</v>
      </c>
      <c r="U186" s="131" t="s">
        <v>3685</v>
      </c>
      <c r="AA186" s="367" t="e">
        <f>ROUND(AA182*AA183*AA184*AA185,0)</f>
        <v>#REF!</v>
      </c>
      <c r="AB186" s="131" t="s">
        <v>4354</v>
      </c>
      <c r="AC186" s="367"/>
      <c r="AU186" s="149"/>
    </row>
    <row r="187" spans="2:47" hidden="1">
      <c r="B187" s="1273"/>
      <c r="C187" s="2196" t="s">
        <v>3062</v>
      </c>
      <c r="D187" s="2196"/>
      <c r="E187" s="834"/>
      <c r="F187" s="436">
        <f>(F181+F182-F183+F184-F185)*F186</f>
        <v>0</v>
      </c>
      <c r="G187" s="436">
        <f>(G181+G182-G183+G184-G185)*G186</f>
        <v>0</v>
      </c>
      <c r="H187" s="436"/>
      <c r="I187" s="436">
        <f>(I181+I182-I183+I184-I185)*I186</f>
        <v>0</v>
      </c>
      <c r="J187" s="133"/>
      <c r="K187" s="751">
        <f>IF(Total_Units=0,0,Low_Income_Total_Units/(Total_Units-'11. Unit Mix'!F128))</f>
        <v>0</v>
      </c>
      <c r="L187" s="751"/>
      <c r="M187" s="751"/>
      <c r="N187" s="751"/>
      <c r="O187" s="1287"/>
      <c r="P187" s="9"/>
      <c r="Q187" s="9" t="s">
        <v>3686</v>
      </c>
      <c r="R187" s="9">
        <v>10</v>
      </c>
      <c r="S187" s="927">
        <f>'12. Funding Sources'!I44</f>
        <v>0</v>
      </c>
      <c r="T187" s="568">
        <f>R187*S187</f>
        <v>0</v>
      </c>
      <c r="U187" s="131" t="e">
        <f>T187/T189</f>
        <v>#DIV/0!</v>
      </c>
      <c r="AA187" s="367" t="e">
        <f>IF('14. Project Costs'!G200="",0,'14. Project Costs'!G200)+AA186</f>
        <v>#REF!</v>
      </c>
      <c r="AB187" s="131" t="s">
        <v>3079</v>
      </c>
      <c r="AC187" s="367"/>
      <c r="AU187" s="149"/>
    </row>
    <row r="188" spans="2:47" hidden="1">
      <c r="B188" s="1273"/>
      <c r="C188" s="2196" t="s">
        <v>3063</v>
      </c>
      <c r="D188" s="2196"/>
      <c r="E188" s="834"/>
      <c r="F188" s="353"/>
      <c r="G188" s="354"/>
      <c r="H188" s="354"/>
      <c r="I188" s="354"/>
      <c r="J188" s="133" t="s">
        <v>4355</v>
      </c>
      <c r="K188" s="751"/>
      <c r="L188" s="751"/>
      <c r="M188" s="751"/>
      <c r="N188" s="751"/>
      <c r="O188" s="1287"/>
      <c r="P188" s="9"/>
      <c r="Q188" s="672" t="s">
        <v>3688</v>
      </c>
      <c r="R188" s="9">
        <v>6</v>
      </c>
      <c r="S188" s="927">
        <f>'12. Funding Sources'!I46</f>
        <v>0</v>
      </c>
      <c r="T188" s="568">
        <f>R188*S188</f>
        <v>0</v>
      </c>
      <c r="U188" s="131" t="e">
        <f>T188/T189</f>
        <v>#DIV/0!</v>
      </c>
      <c r="AA188" s="569">
        <f>'14. Project Costs'!F173</f>
        <v>0</v>
      </c>
      <c r="AB188" s="131" t="s">
        <v>3070</v>
      </c>
      <c r="AC188" s="367"/>
      <c r="AU188" s="149"/>
    </row>
    <row r="189" spans="2:47" hidden="1">
      <c r="B189" s="1273"/>
      <c r="C189" s="2196" t="s">
        <v>3065</v>
      </c>
      <c r="D189" s="2196"/>
      <c r="E189" s="834"/>
      <c r="F189" s="295"/>
      <c r="G189" s="295"/>
      <c r="H189" s="295"/>
      <c r="I189" s="295"/>
      <c r="J189" s="133"/>
      <c r="K189" s="751"/>
      <c r="L189" s="751"/>
      <c r="M189" s="751"/>
      <c r="N189" s="751"/>
      <c r="O189" s="1287"/>
      <c r="P189" s="9"/>
      <c r="Q189" s="672"/>
      <c r="R189" s="9"/>
      <c r="S189" s="9" t="s">
        <v>3690</v>
      </c>
      <c r="T189" s="568">
        <f>T187+T188</f>
        <v>0</v>
      </c>
      <c r="AA189" s="569" t="e">
        <f>AA188-AA187</f>
        <v>#REF!</v>
      </c>
      <c r="AB189" s="131" t="s">
        <v>4356</v>
      </c>
      <c r="AC189" s="367"/>
      <c r="AU189" s="149"/>
    </row>
    <row r="190" spans="2:47" hidden="1">
      <c r="B190" s="1273"/>
      <c r="C190" s="2196" t="s">
        <v>4357</v>
      </c>
      <c r="D190" s="2196"/>
      <c r="E190" s="834"/>
      <c r="F190" s="436">
        <f>ROUND(F187*F188,0)</f>
        <v>0</v>
      </c>
      <c r="G190" s="436">
        <f>ROUND(G187*G188,0)</f>
        <v>0</v>
      </c>
      <c r="H190" s="436"/>
      <c r="I190" s="436">
        <f>ROUND(I187*I188,0)</f>
        <v>0</v>
      </c>
      <c r="J190" s="133"/>
      <c r="K190" s="751"/>
      <c r="L190" s="751"/>
      <c r="M190" s="751"/>
      <c r="N190" s="751"/>
      <c r="O190" s="1287"/>
      <c r="P190" s="9"/>
      <c r="Q190" s="9"/>
      <c r="R190" s="9"/>
      <c r="S190" s="9"/>
      <c r="AA190" s="567">
        <f>'12. Funding Sources'!G44</f>
        <v>0</v>
      </c>
      <c r="AB190" s="131" t="s">
        <v>3082</v>
      </c>
      <c r="AC190" s="367"/>
      <c r="AU190" s="149"/>
    </row>
    <row r="191" spans="2:47" hidden="1">
      <c r="B191" s="1273"/>
      <c r="C191" s="2196" t="s">
        <v>3068</v>
      </c>
      <c r="D191" s="2196"/>
      <c r="E191" s="834"/>
      <c r="F191" s="303"/>
      <c r="G191" s="303"/>
      <c r="H191" s="303"/>
      <c r="I191" s="294"/>
      <c r="J191" s="133"/>
      <c r="K191" s="751"/>
      <c r="L191" s="751"/>
      <c r="M191" s="751"/>
      <c r="N191" s="751"/>
      <c r="O191" s="1287"/>
      <c r="P191" s="9"/>
      <c r="Q191" s="9"/>
      <c r="R191" s="9"/>
      <c r="S191" s="9"/>
      <c r="AA191" s="367">
        <f>IFERROR(AA189/AA190,0)</f>
        <v>0</v>
      </c>
      <c r="AB191" s="131" t="s">
        <v>3713</v>
      </c>
      <c r="AC191" s="367"/>
      <c r="AU191" s="149"/>
    </row>
    <row r="192" spans="2:47" hidden="1">
      <c r="B192" s="1273"/>
      <c r="C192" s="2196" t="s">
        <v>3069</v>
      </c>
      <c r="D192" s="2196"/>
      <c r="E192" s="834"/>
      <c r="F192" s="436">
        <f>F190-F191</f>
        <v>0</v>
      </c>
      <c r="G192" s="436">
        <f>G190-G191</f>
        <v>0</v>
      </c>
      <c r="H192" s="436"/>
      <c r="I192" s="436">
        <f>I190-I191</f>
        <v>0</v>
      </c>
      <c r="J192" s="133"/>
      <c r="K192" s="751"/>
      <c r="L192" s="751"/>
      <c r="M192" s="751"/>
      <c r="N192" s="751"/>
      <c r="O192" s="1287"/>
      <c r="P192" s="9"/>
      <c r="Q192" s="9"/>
      <c r="R192" s="9"/>
      <c r="S192" s="9"/>
      <c r="AA192" s="566">
        <f>'12. Funding Sources'!I44</f>
        <v>0</v>
      </c>
      <c r="AB192" s="131" t="s">
        <v>4358</v>
      </c>
      <c r="AC192" s="367"/>
      <c r="AU192" s="149"/>
    </row>
    <row r="193" spans="2:47" hidden="1">
      <c r="B193" s="1273"/>
      <c r="C193" s="2196" t="s">
        <v>4359</v>
      </c>
      <c r="D193" s="2196"/>
      <c r="E193" s="834"/>
      <c r="F193" s="471">
        <f>F192+G192</f>
        <v>0</v>
      </c>
      <c r="G193" s="472"/>
      <c r="H193" s="472"/>
      <c r="I193" s="473"/>
      <c r="J193" s="133"/>
      <c r="K193" s="751" t="s">
        <v>4360</v>
      </c>
      <c r="L193" s="751" t="s">
        <v>4361</v>
      </c>
      <c r="M193" s="751"/>
      <c r="N193" s="751"/>
      <c r="O193" s="1287"/>
      <c r="P193" s="9"/>
      <c r="Q193" s="9"/>
      <c r="R193" s="9"/>
      <c r="S193" s="9"/>
      <c r="AA193" s="570">
        <f>IFERROR(AA191/AA192,0)</f>
        <v>0</v>
      </c>
      <c r="AB193" s="131" t="s">
        <v>3085</v>
      </c>
      <c r="AC193" s="367"/>
      <c r="AU193" s="149"/>
    </row>
    <row r="194" spans="2:47" ht="16" hidden="1">
      <c r="B194" s="1273"/>
      <c r="C194" s="143" t="s">
        <v>2869</v>
      </c>
      <c r="D194" s="212"/>
      <c r="E194" s="482"/>
      <c r="F194" s="143" t="s">
        <v>4342</v>
      </c>
      <c r="G194" s="143" t="s">
        <v>4343</v>
      </c>
      <c r="H194" s="143"/>
      <c r="I194" s="143" t="s">
        <v>225</v>
      </c>
      <c r="J194" s="133"/>
      <c r="K194" s="838">
        <f>U177</f>
        <v>32682082</v>
      </c>
      <c r="L194" s="751"/>
      <c r="M194" s="751"/>
      <c r="N194" s="751"/>
      <c r="O194" s="1287"/>
      <c r="P194" s="9"/>
      <c r="Q194" s="9"/>
      <c r="R194" s="9"/>
      <c r="S194" s="9" t="s">
        <v>3680</v>
      </c>
      <c r="T194" s="131" t="s">
        <v>3681</v>
      </c>
      <c r="U194" s="131" t="s">
        <v>3682</v>
      </c>
      <c r="V194" s="131" t="s">
        <v>3685</v>
      </c>
      <c r="AA194" s="565">
        <f>'12. Funding Sources'!H46</f>
        <v>0</v>
      </c>
      <c r="AB194" s="131" t="s">
        <v>4362</v>
      </c>
      <c r="AC194" s="367"/>
      <c r="AU194" s="149"/>
    </row>
    <row r="195" spans="2:47" hidden="1">
      <c r="B195" s="1273"/>
      <c r="C195" s="2196" t="s">
        <v>3070</v>
      </c>
      <c r="D195" s="2196"/>
      <c r="E195" s="834"/>
      <c r="F195" s="296" t="str">
        <f>IF(F175=0,"",$F$173)</f>
        <v/>
      </c>
      <c r="G195" s="296" t="str">
        <f>IF(G210=0,"",$F$173)</f>
        <v/>
      </c>
      <c r="H195" s="296"/>
      <c r="I195" s="296" t="str">
        <f>IF(I175=0,"",$F$173)</f>
        <v/>
      </c>
      <c r="J195" s="133"/>
      <c r="K195" s="751"/>
      <c r="L195" s="839"/>
      <c r="M195" s="751"/>
      <c r="N195" s="751"/>
      <c r="O195" s="1287"/>
      <c r="P195" s="9"/>
      <c r="Q195" s="9"/>
      <c r="R195" s="9" t="s">
        <v>3686</v>
      </c>
      <c r="S195" s="928">
        <f>'12. Funding Sources'!G44</f>
        <v>0</v>
      </c>
      <c r="T195" s="571">
        <f>'12. Funding Sources'!I44</f>
        <v>0</v>
      </c>
      <c r="U195" s="568">
        <f>S195*T195</f>
        <v>0</v>
      </c>
      <c r="V195" s="131">
        <f>IF(U197=0, 0,U195/U197)</f>
        <v>0</v>
      </c>
      <c r="AA195" s="570">
        <f>IFERROR(AA193/AA194,0)</f>
        <v>0</v>
      </c>
      <c r="AB195" s="572" t="s">
        <v>3087</v>
      </c>
      <c r="AC195" s="367"/>
      <c r="AU195" s="149"/>
    </row>
    <row r="196" spans="2:47" hidden="1">
      <c r="B196" s="1273"/>
      <c r="C196" s="2196" t="s">
        <v>3071</v>
      </c>
      <c r="D196" s="2196"/>
      <c r="E196" s="834"/>
      <c r="F196" s="296" t="str">
        <f>IF(F175=0,"",SUM('12. Funding Sources'!$E$11:$E$20))</f>
        <v/>
      </c>
      <c r="G196" s="296" t="str">
        <f>IF(G210=0,"",SUM('12. Funding Sources'!$E$11:$E$20))</f>
        <v/>
      </c>
      <c r="H196" s="296"/>
      <c r="I196" s="296" t="str">
        <f>IF(I175=0,"",SUM('12. Funding Sources'!$E$11:$E$20))</f>
        <v/>
      </c>
      <c r="J196" s="133"/>
      <c r="K196" s="751"/>
      <c r="L196" s="839"/>
      <c r="M196" s="751"/>
      <c r="N196" s="751"/>
      <c r="O196" s="1287"/>
      <c r="P196" s="9"/>
      <c r="Q196" s="9"/>
      <c r="R196" s="672" t="s">
        <v>3688</v>
      </c>
      <c r="S196" s="928">
        <f>'12. Funding Sources'!G46</f>
        <v>0</v>
      </c>
      <c r="T196" s="571">
        <f>'12. Funding Sources'!I46</f>
        <v>0</v>
      </c>
      <c r="U196" s="568">
        <f>IF('4. Project Description'!T55,S196*T196*'4. Project Description'!T56,S196*T196)</f>
        <v>0</v>
      </c>
      <c r="V196" s="131">
        <f>IF(U197=0,0,U196/U197)</f>
        <v>0</v>
      </c>
      <c r="AU196" s="149"/>
    </row>
    <row r="197" spans="2:47" hidden="1">
      <c r="B197" s="1273"/>
      <c r="C197" s="2196" t="s">
        <v>3073</v>
      </c>
      <c r="D197" s="2196"/>
      <c r="E197" s="834"/>
      <c r="F197" s="296" t="str">
        <f>IF(F175=0,"",SUM('12. Funding Sources'!$E$29:$E$35))</f>
        <v/>
      </c>
      <c r="G197" s="296" t="str">
        <f>IF(G210=0,"",SUM('12. Funding Sources'!$E$29:$E$35))</f>
        <v/>
      </c>
      <c r="H197" s="296"/>
      <c r="I197" s="296" t="str">
        <f>IF(I175=0,"",SUM('12. Funding Sources'!$E$29:$E$35))</f>
        <v/>
      </c>
      <c r="J197" s="133"/>
      <c r="K197" s="751"/>
      <c r="L197" s="839">
        <v>0</v>
      </c>
      <c r="M197" s="751"/>
      <c r="N197" s="751"/>
      <c r="O197" s="1287"/>
      <c r="P197" s="9"/>
      <c r="Q197" s="9"/>
      <c r="R197" s="672"/>
      <c r="S197" s="9"/>
      <c r="T197" s="131" t="s">
        <v>3690</v>
      </c>
      <c r="U197" s="568">
        <f>U195+U196</f>
        <v>0</v>
      </c>
      <c r="X197" s="131" t="s">
        <v>4363</v>
      </c>
      <c r="AU197" s="149"/>
    </row>
    <row r="198" spans="2:47" hidden="1">
      <c r="B198" s="1273"/>
      <c r="C198" s="2196" t="s">
        <v>3075</v>
      </c>
      <c r="D198" s="2196"/>
      <c r="E198" s="834"/>
      <c r="F198" s="296" t="str">
        <f>IF(F175=0,"",SUM('12. Funding Sources'!$E$45,'12. Funding Sources'!$E$47))</f>
        <v/>
      </c>
      <c r="G198" s="296" t="str">
        <f>IF(G210=0,"",SUM('12. Funding Sources'!$E$45,'12. Funding Sources'!$E$47))</f>
        <v/>
      </c>
      <c r="H198" s="296"/>
      <c r="I198" s="296" t="str">
        <f>IF(I175=0,"",SUM('12. Funding Sources'!$E$45,'12. Funding Sources'!$E$47))</f>
        <v/>
      </c>
      <c r="J198" s="133"/>
      <c r="K198" s="751"/>
      <c r="L198" s="840">
        <v>0</v>
      </c>
      <c r="M198" s="751"/>
      <c r="N198" s="751"/>
      <c r="O198" s="1287"/>
      <c r="P198" s="9"/>
      <c r="Q198" s="9"/>
      <c r="R198" s="9"/>
      <c r="S198" s="9"/>
      <c r="X198" s="131">
        <f>IFERROR(ROUND(G206/G207,0), 0)</f>
        <v>0</v>
      </c>
      <c r="AU198" s="149"/>
    </row>
    <row r="199" spans="2:47" hidden="1">
      <c r="B199" s="1273"/>
      <c r="C199" s="2196" t="s">
        <v>3077</v>
      </c>
      <c r="D199" s="2196"/>
      <c r="E199" s="834"/>
      <c r="F199" s="296" t="str">
        <f>IF(F175=0,"",SUM('12. Funding Sources'!$E$48:$E$50))</f>
        <v/>
      </c>
      <c r="G199" s="296" t="str">
        <f>IF(G210=0,"",SUM('12. Funding Sources'!$E$48:$E$50))</f>
        <v/>
      </c>
      <c r="H199" s="296"/>
      <c r="I199" s="296" t="str">
        <f>IF(I175=0,"",SUM('12. Funding Sources'!$E$48:$E$50))</f>
        <v/>
      </c>
      <c r="J199" s="133"/>
      <c r="K199" s="751"/>
      <c r="L199" s="751"/>
      <c r="M199" s="751"/>
      <c r="N199" s="751"/>
      <c r="O199" s="1287"/>
      <c r="P199" s="9"/>
      <c r="Q199" s="9"/>
      <c r="R199" s="9"/>
      <c r="S199" s="9"/>
      <c r="X199" s="131" t="s">
        <v>4364</v>
      </c>
      <c r="AU199" s="149"/>
    </row>
    <row r="200" spans="2:47" hidden="1">
      <c r="B200" s="1273"/>
      <c r="C200" s="2196" t="s">
        <v>3079</v>
      </c>
      <c r="D200" s="2196"/>
      <c r="E200" s="834"/>
      <c r="F200" s="296" t="str">
        <f>IF(F175=0,"",SUM(F196:F199))</f>
        <v/>
      </c>
      <c r="G200" s="296" t="str">
        <f>IF(G210=0,"",SUM(G196:G199))</f>
        <v/>
      </c>
      <c r="H200" s="296"/>
      <c r="I200" s="296" t="str">
        <f>IF(I175=0,"",SUM(I196:I199))</f>
        <v/>
      </c>
      <c r="J200" s="133"/>
      <c r="K200" s="751"/>
      <c r="L200" s="751"/>
      <c r="M200" s="751"/>
      <c r="N200" s="751"/>
      <c r="O200" s="1287"/>
      <c r="P200" s="9"/>
      <c r="Q200" s="9"/>
      <c r="R200" s="9"/>
      <c r="S200" s="9"/>
      <c r="X200" s="573">
        <f>AA195</f>
        <v>0</v>
      </c>
      <c r="AU200" s="149"/>
    </row>
    <row r="201" spans="2:47" hidden="1">
      <c r="B201" s="1273"/>
      <c r="C201" s="2196" t="s">
        <v>3080</v>
      </c>
      <c r="D201" s="2196"/>
      <c r="E201" s="834"/>
      <c r="F201" s="296" t="str">
        <f>IF(F175=0,"",F195-F200)</f>
        <v/>
      </c>
      <c r="G201" s="296" t="str">
        <f>IF(G210=0,"",G195-G200)</f>
        <v/>
      </c>
      <c r="H201" s="296"/>
      <c r="I201" s="296" t="str">
        <f>IF(I175=0,"",I195-I200)</f>
        <v/>
      </c>
      <c r="J201" s="133"/>
      <c r="K201" s="751"/>
      <c r="L201" s="751"/>
      <c r="M201" s="751"/>
      <c r="N201" s="751"/>
      <c r="O201" s="1287"/>
      <c r="P201" s="9"/>
      <c r="Q201" s="9"/>
      <c r="R201" s="9"/>
      <c r="S201" s="9"/>
      <c r="X201" s="131" t="s">
        <v>4365</v>
      </c>
      <c r="AU201" s="149"/>
    </row>
    <row r="202" spans="2:47" hidden="1">
      <c r="B202" s="1273"/>
      <c r="C202" s="2196" t="s">
        <v>3081</v>
      </c>
      <c r="D202" s="2196"/>
      <c r="E202" s="834"/>
      <c r="F202" s="296" t="str">
        <f>IF(F175=0,"",F201*V195)</f>
        <v/>
      </c>
      <c r="G202" s="296" t="str">
        <f>IF(G210=0,"",G201*V195)</f>
        <v/>
      </c>
      <c r="H202" s="296"/>
      <c r="I202" s="296" t="str">
        <f>IF(I175=0,"",I201*V196)</f>
        <v/>
      </c>
      <c r="J202" s="133"/>
      <c r="K202" s="751"/>
      <c r="L202" s="751"/>
      <c r="M202" s="751"/>
      <c r="N202" s="751"/>
      <c r="O202" s="1287"/>
      <c r="P202" s="9"/>
      <c r="Q202" s="9"/>
      <c r="R202" s="9"/>
      <c r="S202" s="9"/>
      <c r="X202" s="131" t="e">
        <f>IF(AND(NOT(AF168),NOT(AF170)), X200,X198)</f>
        <v>#REF!</v>
      </c>
      <c r="AU202" s="149"/>
    </row>
    <row r="203" spans="2:47" hidden="1">
      <c r="B203" s="1273"/>
      <c r="C203" s="2196" t="s">
        <v>3082</v>
      </c>
      <c r="D203" s="2196"/>
      <c r="E203" s="834"/>
      <c r="F203" s="304" t="str">
        <f>IF(F175=0,"",'12. Funding Sources'!G44)</f>
        <v/>
      </c>
      <c r="G203" s="304" t="str">
        <f>IF(G210=0,"",'12. Funding Sources'!G44)</f>
        <v/>
      </c>
      <c r="H203" s="304"/>
      <c r="I203" s="304" t="str">
        <f>IF(I175=0,"",'12. Funding Sources'!G46)</f>
        <v/>
      </c>
      <c r="J203" s="133"/>
      <c r="K203" s="751" t="s">
        <v>4366</v>
      </c>
      <c r="L203" s="751"/>
      <c r="M203" s="751"/>
      <c r="N203" s="751"/>
      <c r="O203" s="1287"/>
      <c r="P203" s="9"/>
      <c r="Q203" s="9"/>
      <c r="R203" s="9"/>
      <c r="S203" s="9"/>
      <c r="AU203" s="149"/>
    </row>
    <row r="204" spans="2:47" hidden="1">
      <c r="B204" s="1273"/>
      <c r="C204" s="2196" t="s">
        <v>3083</v>
      </c>
      <c r="D204" s="2196"/>
      <c r="E204" s="834"/>
      <c r="F204" s="296" t="str">
        <f>IF(F175=0,"",F202/F203)</f>
        <v/>
      </c>
      <c r="G204" s="296" t="str">
        <f>IF(G175=0,"",G202/G203)</f>
        <v/>
      </c>
      <c r="H204" s="296"/>
      <c r="I204" s="296" t="str">
        <f>IF(I175=0,"",I202/I203)</f>
        <v/>
      </c>
      <c r="J204" s="349"/>
      <c r="K204" s="751"/>
      <c r="L204" s="751"/>
      <c r="M204" s="751"/>
      <c r="N204" s="751"/>
      <c r="O204" s="1287"/>
      <c r="P204" s="9"/>
      <c r="Q204" s="9"/>
      <c r="R204" s="9"/>
      <c r="S204" s="9"/>
      <c r="AU204" s="149"/>
    </row>
    <row r="205" spans="2:47" hidden="1">
      <c r="B205" s="1273"/>
      <c r="C205" s="2196" t="s">
        <v>3084</v>
      </c>
      <c r="D205" s="2196"/>
      <c r="E205" s="834"/>
      <c r="F205" s="316" t="str">
        <f>IF(F175=0,"",'12. Funding Sources'!I44)</f>
        <v/>
      </c>
      <c r="G205" s="316" t="str">
        <f>IF(G210=0,"",'12. Funding Sources'!I44)</f>
        <v/>
      </c>
      <c r="H205" s="316"/>
      <c r="I205" s="316" t="str">
        <f>IF(I175=0,"",'12. Funding Sources'!I46)</f>
        <v/>
      </c>
      <c r="J205" s="133"/>
      <c r="K205" s="751"/>
      <c r="L205" s="751"/>
      <c r="M205" s="751"/>
      <c r="N205" s="751"/>
      <c r="O205" s="1287"/>
      <c r="P205" s="9"/>
      <c r="Q205" s="9"/>
      <c r="R205" s="9"/>
      <c r="S205" s="9"/>
      <c r="AU205" s="149"/>
    </row>
    <row r="206" spans="2:47" hidden="1">
      <c r="B206" s="1273"/>
      <c r="C206" s="2196" t="s">
        <v>3085</v>
      </c>
      <c r="D206" s="2196"/>
      <c r="E206" s="834"/>
      <c r="F206" s="296" t="str">
        <f>IF(F175=0,"",F204/F205)</f>
        <v/>
      </c>
      <c r="G206" s="296" t="str">
        <f>IF(G210=0,"",IF(G205=0,0,G204/G205))</f>
        <v/>
      </c>
      <c r="H206" s="296"/>
      <c r="I206" s="296" t="str">
        <f>IF(I175=0,"",IF(I205=0,0,I204/I205))</f>
        <v/>
      </c>
      <c r="J206" s="133"/>
      <c r="K206" s="751"/>
      <c r="L206" s="751"/>
      <c r="M206" s="751"/>
      <c r="N206" s="751"/>
      <c r="O206" s="1287"/>
      <c r="P206" s="9"/>
      <c r="Q206" s="9"/>
      <c r="R206" s="9"/>
      <c r="S206" s="9"/>
      <c r="AU206" s="149"/>
    </row>
    <row r="207" spans="2:47" hidden="1">
      <c r="B207" s="1273"/>
      <c r="C207" s="2196" t="s">
        <v>4367</v>
      </c>
      <c r="D207" s="2196"/>
      <c r="E207" s="834"/>
      <c r="F207" s="328" t="str">
        <f>IF(F175=0,"",'12. Funding Sources'!H44)</f>
        <v/>
      </c>
      <c r="G207" s="328" t="str">
        <f>IF(G210=0,"",'12. Funding Sources'!H44)</f>
        <v/>
      </c>
      <c r="H207" s="328"/>
      <c r="I207" s="328" t="str">
        <f>IF(I175=0,"",'12. Funding Sources'!H46)</f>
        <v/>
      </c>
      <c r="J207" s="133"/>
      <c r="K207" s="751"/>
      <c r="L207" s="751"/>
      <c r="M207" s="751"/>
      <c r="N207" s="751"/>
      <c r="O207" s="1287"/>
      <c r="P207" s="9"/>
      <c r="Q207" s="9"/>
      <c r="R207" s="9"/>
      <c r="S207" s="9"/>
    </row>
    <row r="208" spans="2:47" hidden="1">
      <c r="B208" s="1273"/>
      <c r="C208" s="1864" t="s">
        <v>3087</v>
      </c>
      <c r="D208" s="1864"/>
      <c r="E208" s="837"/>
      <c r="F208" s="296" t="str">
        <f>IF(F175=0,"",F206/F207)</f>
        <v/>
      </c>
      <c r="G208" s="296" t="str">
        <f>IF('4. Project Description'!T55,'State HTC Gap'!C43,IF(G210=0,"",X202))</f>
        <v/>
      </c>
      <c r="H208" s="296"/>
      <c r="I208" s="296" t="e">
        <f>IF('4. Project Description'!T55,'State HTC Gap'!G43,AE172)</f>
        <v>#REF!</v>
      </c>
      <c r="J208" s="133"/>
      <c r="K208" s="751"/>
      <c r="L208" s="751"/>
      <c r="M208" s="751"/>
      <c r="N208" s="751"/>
      <c r="O208" s="1287"/>
      <c r="P208" s="9"/>
      <c r="Q208" s="9"/>
      <c r="R208" s="9"/>
      <c r="S208" s="9"/>
    </row>
    <row r="209" spans="2:50" ht="16" hidden="1">
      <c r="B209" s="1273"/>
      <c r="C209" s="1864" t="s">
        <v>4368</v>
      </c>
      <c r="D209" s="1864"/>
      <c r="E209" s="837"/>
      <c r="F209" s="317" t="s">
        <v>4342</v>
      </c>
      <c r="G209" s="317" t="s">
        <v>4343</v>
      </c>
      <c r="H209" s="317"/>
      <c r="I209" s="317" t="s">
        <v>225</v>
      </c>
      <c r="J209" s="133"/>
      <c r="K209" s="751"/>
      <c r="L209" s="751"/>
      <c r="M209" s="751"/>
      <c r="N209" s="751"/>
      <c r="O209" s="1287"/>
      <c r="P209" s="9"/>
      <c r="Q209" s="9"/>
      <c r="R209" s="9"/>
      <c r="S209" s="9"/>
    </row>
    <row r="210" spans="2:50" hidden="1">
      <c r="B210" s="1273"/>
      <c r="C210" s="2196" t="s">
        <v>4369</v>
      </c>
      <c r="D210" s="2196"/>
      <c r="E210" s="834"/>
      <c r="F210" s="313" t="str">
        <f>IF(F175=0,"",IF(OR(Project_Type="Acquisition/Rehab", Project_Type="Adaptive Reuse/New Construction",Project_Type="Adaptive Reuse"),F192,F192))</f>
        <v/>
      </c>
      <c r="G210" s="313">
        <f>IF(G175=0,0,IF(OR(Project_Type="Acquisition/Rehab",Credit_percentage_applied_for="4%", Credit_percentage_applied_for="State + Fed 4%"),G192,0))</f>
        <v>0</v>
      </c>
      <c r="H210" s="313"/>
      <c r="I210" s="313" t="str">
        <f>IF(I175=0,"",I192)</f>
        <v/>
      </c>
      <c r="J210" s="133"/>
      <c r="K210" s="751"/>
      <c r="L210" s="751"/>
      <c r="M210" s="751"/>
      <c r="N210" s="751"/>
      <c r="O210" s="1287"/>
      <c r="P210" s="9"/>
      <c r="Q210" s="9"/>
      <c r="R210" s="9"/>
      <c r="S210" s="9"/>
    </row>
    <row r="211" spans="2:50" hidden="1">
      <c r="B211" s="1273"/>
      <c r="C211" s="2196" t="s">
        <v>4370</v>
      </c>
      <c r="D211" s="2196"/>
      <c r="E211" s="834"/>
      <c r="F211" s="313" t="str">
        <f>IF(F175=0,"",F208)</f>
        <v/>
      </c>
      <c r="G211" s="313" t="str">
        <f>IF(G175=0,"",G208)</f>
        <v/>
      </c>
      <c r="H211" s="313"/>
      <c r="I211" s="313" t="str">
        <f>IF(I175=0,"",I208)</f>
        <v/>
      </c>
      <c r="J211" s="133"/>
      <c r="K211" s="751"/>
      <c r="L211" s="751"/>
      <c r="M211" s="751"/>
      <c r="N211" s="751"/>
      <c r="O211" s="1287"/>
      <c r="P211" s="9"/>
      <c r="Q211" s="9"/>
      <c r="R211" s="9"/>
      <c r="S211" s="9"/>
    </row>
    <row r="212" spans="2:50" hidden="1">
      <c r="B212" s="1273"/>
      <c r="C212" s="2196" t="s">
        <v>4371</v>
      </c>
      <c r="D212" s="2196"/>
      <c r="E212" s="834"/>
      <c r="F212" s="313">
        <f>MIN(F210:F211)</f>
        <v>0</v>
      </c>
      <c r="G212" s="313" t="str">
        <f>IF(G210=0,"",MIN(G210:G211))</f>
        <v/>
      </c>
      <c r="H212" s="313"/>
      <c r="I212" s="313">
        <f>MIN(I210:I211)</f>
        <v>0</v>
      </c>
      <c r="J212" s="133"/>
      <c r="K212" s="751"/>
      <c r="L212" s="751"/>
      <c r="M212" s="751"/>
      <c r="N212" s="751"/>
      <c r="O212" s="1287"/>
      <c r="P212" s="9"/>
      <c r="Q212" s="9"/>
      <c r="R212" s="9"/>
      <c r="S212" s="9"/>
    </row>
    <row r="213" spans="2:50" hidden="1">
      <c r="B213" s="1273"/>
      <c r="C213" s="2196" t="s">
        <v>4372</v>
      </c>
      <c r="D213" s="2196"/>
      <c r="E213" s="834"/>
      <c r="F213" s="318">
        <v>0</v>
      </c>
      <c r="G213" s="318">
        <v>0</v>
      </c>
      <c r="H213" s="318"/>
      <c r="I213" s="318">
        <v>0</v>
      </c>
      <c r="J213" s="133"/>
      <c r="K213" s="751"/>
      <c r="L213" s="751"/>
      <c r="M213" s="751"/>
      <c r="N213" s="751"/>
      <c r="O213" s="1287"/>
      <c r="P213" s="9"/>
      <c r="Q213" s="9"/>
      <c r="R213" s="9"/>
      <c r="S213" s="9"/>
    </row>
    <row r="214" spans="2:50" hidden="1">
      <c r="B214" s="1273"/>
      <c r="C214" s="1864" t="s">
        <v>4373</v>
      </c>
      <c r="D214" s="1864"/>
      <c r="E214" s="837"/>
      <c r="F214" s="313" t="str">
        <f>IF(F175=0,"",F212+F213)</f>
        <v/>
      </c>
      <c r="G214" s="313" t="str">
        <f>IF(G175=0,"",G212+G213)</f>
        <v/>
      </c>
      <c r="H214" s="313"/>
      <c r="I214" s="296" t="str">
        <f>IF(I175=0,"",I212+I213)</f>
        <v/>
      </c>
      <c r="J214" s="133"/>
      <c r="K214" s="751"/>
      <c r="L214" s="751"/>
      <c r="M214" s="751"/>
      <c r="N214" s="751"/>
      <c r="O214" s="1287"/>
      <c r="P214" s="9"/>
      <c r="Q214" s="9"/>
      <c r="R214" s="9"/>
      <c r="S214" s="9"/>
    </row>
    <row r="215" spans="2:50">
      <c r="B215" s="1273"/>
      <c r="C215" s="1292"/>
      <c r="D215" s="1292"/>
      <c r="E215" s="1292"/>
      <c r="F215" s="1292"/>
      <c r="G215" s="1287"/>
      <c r="H215" s="1287"/>
      <c r="I215" s="1287"/>
      <c r="J215" s="1281"/>
      <c r="K215" s="1281"/>
      <c r="L215" s="1281"/>
      <c r="M215" s="1281"/>
      <c r="N215" s="1281"/>
      <c r="O215" s="1287"/>
      <c r="P215" s="9"/>
      <c r="Q215" s="9"/>
      <c r="R215" s="9"/>
      <c r="S215" s="9"/>
    </row>
    <row r="216" spans="2:50" s="944" customFormat="1" ht="19">
      <c r="B216" s="1221"/>
      <c r="C216" s="1166"/>
      <c r="D216" s="1221"/>
      <c r="E216" s="1221"/>
      <c r="F216" s="1392" t="str">
        <f>IFERROR(IF(F173=Permanent_Financing,"Sources &amp; Uses Match", IF(Permanent_Financing-'14. Project Costs'!F173&gt;0, "Sources Exceed Uses", "Uses Exceed Sources"))," ")</f>
        <v>Sources &amp; Uses Match</v>
      </c>
      <c r="G216" s="2201" t="str">
        <f>IF(F216="Sources Exceed Uses","Oversourced by "&amp;TEXT((Permanent_Financing-'14. Project Costs'!F173),"$#,##0.00"),IF('14. Project Costs'!F216="Uses Exceed Sources","Undersourced by "&amp;TEXT(('14. Project Costs'!F173-Permanent_Financing),"$#,##0.00"),""))</f>
        <v/>
      </c>
      <c r="H216" s="2201"/>
      <c r="I216" s="2201"/>
      <c r="J216" s="1452"/>
      <c r="K216" s="1452"/>
      <c r="L216" s="1452"/>
      <c r="M216" s="1452"/>
      <c r="N216" s="1452"/>
      <c r="O216" s="1453"/>
      <c r="P216" s="972"/>
      <c r="Q216" s="972"/>
      <c r="R216" s="972"/>
      <c r="S216" s="972"/>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row>
    <row r="217" spans="2:50">
      <c r="B217" s="1167"/>
      <c r="C217" s="1168"/>
      <c r="D217" s="1167"/>
      <c r="E217" s="1167"/>
      <c r="F217" s="1167"/>
      <c r="G217" s="1178"/>
      <c r="H217" s="1178"/>
      <c r="I217" s="1178"/>
      <c r="J217" s="1174"/>
      <c r="K217" s="1174"/>
      <c r="L217" s="1174"/>
      <c r="M217" s="1174"/>
      <c r="N217" s="1174"/>
      <c r="O217" s="1194"/>
      <c r="P217" s="9"/>
      <c r="Q217" s="9"/>
      <c r="R217" s="9"/>
      <c r="S217" s="9"/>
    </row>
    <row r="218" spans="2:50" ht="19">
      <c r="B218" s="2184" t="s">
        <v>4374</v>
      </c>
      <c r="C218" s="2184"/>
      <c r="D218" s="2184"/>
      <c r="E218" s="8"/>
      <c r="G218" s="9"/>
      <c r="H218" s="9"/>
      <c r="I218" s="9"/>
      <c r="O218" s="638"/>
      <c r="P218" s="9"/>
      <c r="Q218" s="9"/>
      <c r="R218" s="9"/>
      <c r="S218" s="9"/>
    </row>
    <row r="219" spans="2:50" ht="19">
      <c r="B219" s="1273"/>
      <c r="C219" s="1293"/>
      <c r="D219" s="1273"/>
      <c r="E219" s="1273"/>
      <c r="F219" s="1273"/>
      <c r="G219" s="1294"/>
      <c r="H219" s="1294"/>
      <c r="I219" s="1294"/>
      <c r="J219" s="1281"/>
      <c r="K219" s="1281"/>
      <c r="L219" s="1281"/>
      <c r="M219" s="1281"/>
      <c r="N219" s="1281"/>
      <c r="O219" s="1295"/>
      <c r="P219" s="9"/>
      <c r="Q219" s="9"/>
      <c r="R219" s="9"/>
      <c r="S219" s="9"/>
      <c r="AU219" s="149"/>
      <c r="AV219" s="149"/>
      <c r="AW219" s="149"/>
      <c r="AX219" s="149"/>
    </row>
    <row r="220" spans="2:50">
      <c r="B220" s="1273"/>
      <c r="C220" s="2223"/>
      <c r="D220" s="2223"/>
      <c r="E220" s="2223"/>
      <c r="F220" s="2223"/>
      <c r="G220" s="2223"/>
      <c r="H220" s="2223"/>
      <c r="I220" s="2223"/>
      <c r="J220" s="2223"/>
      <c r="K220" s="1290"/>
      <c r="L220" s="1281"/>
      <c r="M220" s="1281"/>
      <c r="N220" s="1281"/>
      <c r="O220" s="1295"/>
      <c r="P220" s="9"/>
      <c r="Q220" s="9"/>
      <c r="R220" s="9"/>
      <c r="S220" s="9"/>
      <c r="AB220" s="871"/>
      <c r="AU220" s="149"/>
      <c r="AV220" s="149"/>
      <c r="AW220" s="149"/>
      <c r="AX220" s="149"/>
    </row>
    <row r="221" spans="2:50">
      <c r="B221" s="1273"/>
      <c r="C221" s="2223"/>
      <c r="D221" s="2223"/>
      <c r="E221" s="2223"/>
      <c r="F221" s="2223"/>
      <c r="G221" s="2223"/>
      <c r="H221" s="2223"/>
      <c r="I221" s="2223"/>
      <c r="J221" s="2223"/>
      <c r="K221" s="1290"/>
      <c r="L221" s="1281"/>
      <c r="M221" s="1281"/>
      <c r="N221" s="1281"/>
      <c r="O221" s="1295"/>
      <c r="P221" s="9" t="s">
        <v>3680</v>
      </c>
      <c r="Q221" s="9" t="s">
        <v>3681</v>
      </c>
      <c r="R221" s="9" t="s">
        <v>3682</v>
      </c>
      <c r="S221" s="9" t="s">
        <v>3685</v>
      </c>
      <c r="AB221" s="871"/>
      <c r="AU221" s="149"/>
      <c r="AV221" s="149"/>
      <c r="AW221" s="149"/>
      <c r="AX221" s="149"/>
    </row>
    <row r="222" spans="2:50">
      <c r="B222" s="1273"/>
      <c r="C222" s="2223"/>
      <c r="D222" s="2223"/>
      <c r="E222" s="2223"/>
      <c r="F222" s="2223"/>
      <c r="G222" s="2223"/>
      <c r="H222" s="2223"/>
      <c r="I222" s="2223"/>
      <c r="J222" s="2223"/>
      <c r="K222" s="1290"/>
      <c r="L222" s="1281"/>
      <c r="M222" s="1281"/>
      <c r="N222" s="1281"/>
      <c r="O222" s="1295" t="s">
        <v>3686</v>
      </c>
      <c r="P222" s="929">
        <f>'12. Funding Sources'!G44</f>
        <v>0</v>
      </c>
      <c r="Q222" s="673">
        <v>0.85</v>
      </c>
      <c r="R222" s="673">
        <f>P222*Q222</f>
        <v>0</v>
      </c>
      <c r="S222" s="673" t="e">
        <f>R222/$R$224</f>
        <v>#DIV/0!</v>
      </c>
      <c r="AU222" s="149"/>
      <c r="AV222" s="149"/>
      <c r="AW222" s="149"/>
      <c r="AX222" s="149"/>
    </row>
    <row r="223" spans="2:50">
      <c r="B223" s="1273"/>
      <c r="C223" s="2223"/>
      <c r="D223" s="2223"/>
      <c r="E223" s="2223"/>
      <c r="F223" s="2223"/>
      <c r="G223" s="2223"/>
      <c r="H223" s="2223"/>
      <c r="I223" s="2223"/>
      <c r="J223" s="2223"/>
      <c r="K223" s="1290"/>
      <c r="L223" s="1281"/>
      <c r="M223" s="1281"/>
      <c r="N223" s="1281"/>
      <c r="O223" s="1295" t="s">
        <v>3688</v>
      </c>
      <c r="P223" s="928">
        <f>'12. Funding Sources'!G46</f>
        <v>0</v>
      </c>
      <c r="Q223" s="673">
        <f>'12. Funding Sources'!I46</f>
        <v>0</v>
      </c>
      <c r="R223" s="673">
        <f>P223*Q223</f>
        <v>0</v>
      </c>
      <c r="S223" s="673" t="e">
        <f>R223/$R$224</f>
        <v>#DIV/0!</v>
      </c>
      <c r="U223" s="404"/>
      <c r="AU223" s="149"/>
      <c r="AV223" s="149"/>
      <c r="AW223" s="149"/>
      <c r="AX223" s="149"/>
    </row>
    <row r="224" spans="2:50">
      <c r="B224" s="1273"/>
      <c r="C224" s="2223"/>
      <c r="D224" s="2223"/>
      <c r="E224" s="2223"/>
      <c r="F224" s="2223"/>
      <c r="G224" s="2223"/>
      <c r="H224" s="2223"/>
      <c r="I224" s="2223"/>
      <c r="J224" s="2223"/>
      <c r="K224" s="1290"/>
      <c r="L224" s="1281"/>
      <c r="M224" s="1281"/>
      <c r="N224" s="1281"/>
      <c r="O224" s="1295"/>
      <c r="P224" s="9"/>
      <c r="Q224" s="9" t="s">
        <v>3690</v>
      </c>
      <c r="R224" s="673">
        <f>+R222+R223</f>
        <v>0</v>
      </c>
      <c r="S224" s="673" t="e">
        <f>SUM(S222:S223)</f>
        <v>#DIV/0!</v>
      </c>
      <c r="AU224" s="149"/>
      <c r="AV224" s="149"/>
      <c r="AW224" s="149"/>
      <c r="AX224" s="149"/>
    </row>
    <row r="225" spans="2:50">
      <c r="B225" s="1273"/>
      <c r="C225" s="2223"/>
      <c r="D225" s="2223"/>
      <c r="E225" s="2223"/>
      <c r="F225" s="2223"/>
      <c r="G225" s="2223"/>
      <c r="H225" s="2223"/>
      <c r="I225" s="2223"/>
      <c r="J225" s="2223"/>
      <c r="K225" s="1290"/>
      <c r="L225" s="1281"/>
      <c r="M225" s="1281"/>
      <c r="N225" s="1281"/>
      <c r="O225" s="1295"/>
      <c r="P225" s="9"/>
      <c r="Q225" s="9"/>
      <c r="R225" s="9"/>
      <c r="S225" s="9"/>
      <c r="U225" s="495"/>
      <c r="AU225" s="149"/>
      <c r="AV225" s="149"/>
      <c r="AW225" s="149"/>
      <c r="AX225" s="149"/>
    </row>
    <row r="226" spans="2:50">
      <c r="B226" s="1273"/>
      <c r="C226" s="2223"/>
      <c r="D226" s="2223"/>
      <c r="E226" s="2223"/>
      <c r="F226" s="2223"/>
      <c r="G226" s="2223"/>
      <c r="H226" s="2223"/>
      <c r="I226" s="2223"/>
      <c r="J226" s="2223"/>
      <c r="K226" s="1290"/>
      <c r="L226" s="1281"/>
      <c r="M226" s="1281"/>
      <c r="N226" s="1281"/>
      <c r="O226" s="1296"/>
      <c r="P226" s="674"/>
      <c r="Q226" s="674"/>
      <c r="R226" s="674"/>
      <c r="S226" s="674"/>
      <c r="U226" s="495"/>
      <c r="AU226" s="149"/>
      <c r="AV226" s="149"/>
      <c r="AW226" s="149"/>
      <c r="AX226" s="149"/>
    </row>
    <row r="227" spans="2:50">
      <c r="B227" s="1273"/>
      <c r="C227" s="2223"/>
      <c r="D227" s="2223"/>
      <c r="E227" s="2223"/>
      <c r="F227" s="2223"/>
      <c r="G227" s="2223"/>
      <c r="H227" s="2223"/>
      <c r="I227" s="2223"/>
      <c r="J227" s="2223"/>
      <c r="K227" s="1290"/>
      <c r="L227" s="1281"/>
      <c r="M227" s="1281"/>
      <c r="N227" s="1281"/>
      <c r="O227" s="1296"/>
      <c r="P227" s="674"/>
      <c r="Q227" s="674"/>
      <c r="R227" s="674"/>
      <c r="S227" s="674"/>
      <c r="U227" s="495"/>
      <c r="AU227" s="149"/>
      <c r="AV227" s="149"/>
      <c r="AW227" s="149"/>
      <c r="AX227" s="149"/>
    </row>
    <row r="228" spans="2:50" s="9" customFormat="1">
      <c r="B228" s="1297"/>
      <c r="C228" s="1297"/>
      <c r="D228" s="1297"/>
      <c r="E228" s="1297"/>
      <c r="F228" s="1297"/>
      <c r="G228" s="1297"/>
      <c r="H228" s="1297"/>
      <c r="I228" s="1298"/>
      <c r="J228" s="1298"/>
      <c r="K228" s="1297"/>
      <c r="L228" s="1297"/>
      <c r="M228" s="1297"/>
      <c r="N228" s="1297"/>
      <c r="O228" s="1298"/>
      <c r="P228" s="674"/>
      <c r="U228" s="1710"/>
    </row>
    <row r="229" spans="2:50">
      <c r="B229" s="351" t="s">
        <v>3371</v>
      </c>
      <c r="R229" s="9"/>
    </row>
    <row r="230" spans="2:50" ht="19">
      <c r="B230" s="8" t="s">
        <v>3372</v>
      </c>
      <c r="G230" s="1109"/>
      <c r="H230" s="1109"/>
      <c r="I230" s="1109"/>
      <c r="J230" s="464"/>
      <c r="R230" s="9"/>
    </row>
    <row r="231" spans="2:50">
      <c r="B231" s="1273"/>
      <c r="C231" s="1273"/>
      <c r="D231" s="1292"/>
      <c r="E231" s="1273"/>
      <c r="F231" s="1273"/>
      <c r="G231" s="1273"/>
      <c r="H231" s="1273"/>
      <c r="I231" s="1273"/>
      <c r="J231" s="1281"/>
      <c r="K231" s="1281"/>
      <c r="L231" s="1281"/>
      <c r="M231" s="1281"/>
      <c r="N231" s="1281"/>
      <c r="O231" s="1281"/>
      <c r="R231" s="9"/>
    </row>
    <row r="232" spans="2:50">
      <c r="B232" s="1273"/>
      <c r="C232" s="2223"/>
      <c r="D232" s="2223"/>
      <c r="E232" s="2223"/>
      <c r="F232" s="2223"/>
      <c r="G232" s="2223"/>
      <c r="H232" s="2223"/>
      <c r="I232" s="2223"/>
      <c r="J232" s="2223"/>
      <c r="K232" s="1290"/>
      <c r="L232" s="1281"/>
      <c r="M232" s="1281"/>
      <c r="N232" s="1281"/>
      <c r="O232" s="1281"/>
      <c r="R232" s="9"/>
    </row>
    <row r="233" spans="2:50">
      <c r="B233" s="1273"/>
      <c r="C233" s="2223"/>
      <c r="D233" s="2223"/>
      <c r="E233" s="2223"/>
      <c r="F233" s="2223"/>
      <c r="G233" s="2223"/>
      <c r="H233" s="2223"/>
      <c r="I233" s="2223"/>
      <c r="J233" s="2223"/>
      <c r="K233" s="1290"/>
      <c r="L233" s="1281"/>
      <c r="M233" s="1281"/>
      <c r="N233" s="1281"/>
      <c r="O233" s="1281"/>
      <c r="R233" s="9"/>
    </row>
    <row r="234" spans="2:50">
      <c r="B234" s="1273"/>
      <c r="C234" s="2223"/>
      <c r="D234" s="2223"/>
      <c r="E234" s="2223"/>
      <c r="F234" s="2223"/>
      <c r="G234" s="2223"/>
      <c r="H234" s="2223"/>
      <c r="I234" s="2223"/>
      <c r="J234" s="2223"/>
      <c r="K234" s="1290"/>
      <c r="L234" s="1281"/>
      <c r="M234" s="1281"/>
      <c r="N234" s="1281"/>
      <c r="O234" s="1281"/>
      <c r="R234" s="9"/>
    </row>
    <row r="235" spans="2:50">
      <c r="B235" s="1273"/>
      <c r="C235" s="2223"/>
      <c r="D235" s="2223"/>
      <c r="E235" s="2223"/>
      <c r="F235" s="2223"/>
      <c r="G235" s="2223"/>
      <c r="H235" s="2223"/>
      <c r="I235" s="2223"/>
      <c r="J235" s="2223"/>
      <c r="K235" s="1290"/>
      <c r="L235" s="1281"/>
      <c r="M235" s="1281"/>
      <c r="N235" s="1281"/>
      <c r="O235" s="1281"/>
      <c r="R235" s="9"/>
    </row>
    <row r="236" spans="2:50" s="131" customFormat="1">
      <c r="B236" s="1299"/>
      <c r="C236" s="1299"/>
      <c r="D236" s="1299"/>
      <c r="E236" s="1299"/>
      <c r="F236" s="1299"/>
      <c r="G236" s="1299"/>
      <c r="H236" s="1299"/>
      <c r="I236" s="1299"/>
      <c r="J236" s="1299"/>
      <c r="K236" s="1299"/>
      <c r="L236" s="1299"/>
      <c r="M236" s="1299"/>
      <c r="N236" s="1299"/>
      <c r="O236" s="1299"/>
    </row>
    <row r="237" spans="2:50">
      <c r="R237" s="9"/>
    </row>
    <row r="238" spans="2:50">
      <c r="R238" s="9"/>
    </row>
    <row r="239" spans="2:50">
      <c r="R239" s="9"/>
    </row>
    <row r="240" spans="2:50">
      <c r="R240" s="9"/>
    </row>
    <row r="241" spans="18:18">
      <c r="R241" s="9"/>
    </row>
    <row r="242" spans="18:18">
      <c r="R242" s="9"/>
    </row>
    <row r="243" spans="18:18">
      <c r="R243" s="9"/>
    </row>
    <row r="244" spans="18:18">
      <c r="R244" s="9"/>
    </row>
  </sheetData>
  <sheetProtection algorithmName="SHA-512" hashValue="uGkzAqpSs6kibX74iaSqdwFfT/WHKY0NjbvVsOn/QZu3QXjWKfhMU+wcg04GVTkwxFxyezlWSRytyJB4tK8JBw==" saltValue="2pMxYXreLuH+xtTTwhLk6w==" spinCount="100000" sheet="1" objects="1" scenarios="1" selectLockedCells="1"/>
  <mergeCells count="174">
    <mergeCell ref="C212:D212"/>
    <mergeCell ref="C213:D213"/>
    <mergeCell ref="C205:D205"/>
    <mergeCell ref="C186:D186"/>
    <mergeCell ref="C187:D187"/>
    <mergeCell ref="C188:D188"/>
    <mergeCell ref="C189:D189"/>
    <mergeCell ref="C207:D207"/>
    <mergeCell ref="C208:D208"/>
    <mergeCell ref="C209:D209"/>
    <mergeCell ref="C210:D210"/>
    <mergeCell ref="C211:D211"/>
    <mergeCell ref="C203:D203"/>
    <mergeCell ref="C198:D198"/>
    <mergeCell ref="C199:D199"/>
    <mergeCell ref="C200:D200"/>
    <mergeCell ref="C201:D201"/>
    <mergeCell ref="C173:D173"/>
    <mergeCell ref="C204:D204"/>
    <mergeCell ref="C232:J235"/>
    <mergeCell ref="C220:J227"/>
    <mergeCell ref="C175:D175"/>
    <mergeCell ref="C176:D176"/>
    <mergeCell ref="C177:D177"/>
    <mergeCell ref="C178:D178"/>
    <mergeCell ref="C179:D179"/>
    <mergeCell ref="C180:D180"/>
    <mergeCell ref="C190:D190"/>
    <mergeCell ref="C191:D191"/>
    <mergeCell ref="C192:D192"/>
    <mergeCell ref="C193:D193"/>
    <mergeCell ref="C195:D195"/>
    <mergeCell ref="C196:D196"/>
    <mergeCell ref="C214:D214"/>
    <mergeCell ref="C197:D197"/>
    <mergeCell ref="C181:D181"/>
    <mergeCell ref="C202:D202"/>
    <mergeCell ref="C206:D206"/>
    <mergeCell ref="C183:D183"/>
    <mergeCell ref="C184:D184"/>
    <mergeCell ref="C185:D185"/>
    <mergeCell ref="C139:D139"/>
    <mergeCell ref="C140:D140"/>
    <mergeCell ref="C143:D143"/>
    <mergeCell ref="C117:D117"/>
    <mergeCell ref="C118:D118"/>
    <mergeCell ref="C119:D119"/>
    <mergeCell ref="C128:D128"/>
    <mergeCell ref="C132:D132"/>
    <mergeCell ref="C133:D133"/>
    <mergeCell ref="C123:D123"/>
    <mergeCell ref="C124:D124"/>
    <mergeCell ref="C125:D125"/>
    <mergeCell ref="C126:D126"/>
    <mergeCell ref="C127:D127"/>
    <mergeCell ref="L9:L10"/>
    <mergeCell ref="J9:J10"/>
    <mergeCell ref="C49:D49"/>
    <mergeCell ref="C51:D51"/>
    <mergeCell ref="D112:E112"/>
    <mergeCell ref="D113:E113"/>
    <mergeCell ref="C136:D136"/>
    <mergeCell ref="C137:D137"/>
    <mergeCell ref="C138:D138"/>
    <mergeCell ref="C114:D114"/>
    <mergeCell ref="C115:D115"/>
    <mergeCell ref="C116:D116"/>
    <mergeCell ref="C101:D101"/>
    <mergeCell ref="C102:D102"/>
    <mergeCell ref="C103:D103"/>
    <mergeCell ref="C105:D105"/>
    <mergeCell ref="C108:D108"/>
    <mergeCell ref="C109:D109"/>
    <mergeCell ref="C91:D91"/>
    <mergeCell ref="C92:D92"/>
    <mergeCell ref="C94:D94"/>
    <mergeCell ref="C95:D95"/>
    <mergeCell ref="C96:D96"/>
    <mergeCell ref="C97:D97"/>
    <mergeCell ref="C36:D36"/>
    <mergeCell ref="C16:D16"/>
    <mergeCell ref="C48:D48"/>
    <mergeCell ref="C87:D87"/>
    <mergeCell ref="C88:D88"/>
    <mergeCell ref="C89:D89"/>
    <mergeCell ref="C72:D72"/>
    <mergeCell ref="C74:D74"/>
    <mergeCell ref="C75:D75"/>
    <mergeCell ref="C77:D77"/>
    <mergeCell ref="C78:D78"/>
    <mergeCell ref="C83:D83"/>
    <mergeCell ref="C84:D84"/>
    <mergeCell ref="C85:D85"/>
    <mergeCell ref="C68:D68"/>
    <mergeCell ref="C70:D70"/>
    <mergeCell ref="C71:D71"/>
    <mergeCell ref="C66:D66"/>
    <mergeCell ref="C56:D56"/>
    <mergeCell ref="C57:D57"/>
    <mergeCell ref="C45:D45"/>
    <mergeCell ref="C46:D46"/>
    <mergeCell ref="C47:D47"/>
    <mergeCell ref="E6:L7"/>
    <mergeCell ref="I8:I10"/>
    <mergeCell ref="G8:G10"/>
    <mergeCell ref="K8:K10"/>
    <mergeCell ref="C67:D67"/>
    <mergeCell ref="C29:D29"/>
    <mergeCell ref="C31:D31"/>
    <mergeCell ref="C33:D33"/>
    <mergeCell ref="C52:D52"/>
    <mergeCell ref="C53:D53"/>
    <mergeCell ref="C54:D54"/>
    <mergeCell ref="C55:D55"/>
    <mergeCell ref="C58:D58"/>
    <mergeCell ref="C59:D59"/>
    <mergeCell ref="C60:D60"/>
    <mergeCell ref="C61:D61"/>
    <mergeCell ref="C62:D62"/>
    <mergeCell ref="C63:D63"/>
    <mergeCell ref="C43:D43"/>
    <mergeCell ref="C44:D44"/>
    <mergeCell ref="C37:D37"/>
    <mergeCell ref="C38:D38"/>
    <mergeCell ref="C65:D65"/>
    <mergeCell ref="C35:D35"/>
    <mergeCell ref="C164:D164"/>
    <mergeCell ref="C146:D146"/>
    <mergeCell ref="C147:D147"/>
    <mergeCell ref="G216:I216"/>
    <mergeCell ref="H8:H10"/>
    <mergeCell ref="C148:D148"/>
    <mergeCell ref="C149:D149"/>
    <mergeCell ref="C150:D150"/>
    <mergeCell ref="C165:D165"/>
    <mergeCell ref="C151:D151"/>
    <mergeCell ref="C155:D155"/>
    <mergeCell ref="C157:D157"/>
    <mergeCell ref="C159:D159"/>
    <mergeCell ref="C160:D160"/>
    <mergeCell ref="C161:D161"/>
    <mergeCell ref="C145:D145"/>
    <mergeCell ref="C120:D120"/>
    <mergeCell ref="C121:D121"/>
    <mergeCell ref="C122:D122"/>
    <mergeCell ref="C129:D129"/>
    <mergeCell ref="C130:D130"/>
    <mergeCell ref="C131:D131"/>
    <mergeCell ref="F8:F10"/>
    <mergeCell ref="C14:D14"/>
    <mergeCell ref="B218:D218"/>
    <mergeCell ref="C34:D34"/>
    <mergeCell ref="C39:D39"/>
    <mergeCell ref="C41:D41"/>
    <mergeCell ref="C42:D42"/>
    <mergeCell ref="M8:M10"/>
    <mergeCell ref="N8:N10"/>
    <mergeCell ref="C21:D21"/>
    <mergeCell ref="C22:D22"/>
    <mergeCell ref="C23:D23"/>
    <mergeCell ref="C24:D24"/>
    <mergeCell ref="C25:D25"/>
    <mergeCell ref="C26:D26"/>
    <mergeCell ref="C27:D27"/>
    <mergeCell ref="C17:D17"/>
    <mergeCell ref="C19:D19"/>
    <mergeCell ref="C20:D20"/>
    <mergeCell ref="C11:D11"/>
    <mergeCell ref="C12:D12"/>
    <mergeCell ref="C13:D13"/>
    <mergeCell ref="C15:D15"/>
    <mergeCell ref="C182:D182"/>
    <mergeCell ref="C162:D162"/>
    <mergeCell ref="C163:D163"/>
  </mergeCells>
  <conditionalFormatting sqref="G13:G14">
    <cfRule type="expression" dxfId="271" priority="4">
      <formula>AND(ISBLANK(G13),NOT(ISBLANK(K13)))</formula>
    </cfRule>
  </conditionalFormatting>
  <conditionalFormatting sqref="G28:G30 G48 G51:G54 G60:G61 G67:G68 G77 G80:G81 G84 G87:G89 G91:G92 G94 G96 G108:G109 G112:G116 G136:G139 G156 G159 G163 G167:G171">
    <cfRule type="expression" dxfId="270" priority="3">
      <formula>AND(ISBLANK(G28),NOT(ISBLANK(K28)))</formula>
    </cfRule>
  </conditionalFormatting>
  <conditionalFormatting sqref="G210:H210">
    <cfRule type="expression" dxfId="269" priority="7">
      <formula>$G$210=0</formula>
    </cfRule>
  </conditionalFormatting>
  <conditionalFormatting sqref="K13:K14">
    <cfRule type="expression" dxfId="268" priority="2">
      <formula>AND(ISBLANK(K13),NOT(ISBLANK(G13)))</formula>
    </cfRule>
  </conditionalFormatting>
  <conditionalFormatting sqref="K24:K25 K28:K30 K42 K48 K51:K54 K60:K61 K67:K68 K74 K77 K80:K81 K84 K87:K89 K91:K92 K94 K96 K108:K109 K112:K116 K136:K139 K156 K159 K163 K167:K171">
    <cfRule type="expression" dxfId="267" priority="1">
      <formula>AND(ISBLANK(K24),NOT(ISBLANK(G24)))</formula>
    </cfRule>
  </conditionalFormatting>
  <dataValidations count="5">
    <dataValidation type="custom" allowBlank="1" showInputMessage="1" showErrorMessage="1" sqref="F1" xr:uid="{D882AE8A-B72B-47FF-8F2D-A8B80C71A4DB}">
      <formula1>"&lt;0&gt;0"</formula1>
    </dataValidation>
    <dataValidation type="custom" allowBlank="1" showInputMessage="1" showErrorMessage="1" errorTitle="Eligible Basis Costs Error" error="The Eligible Basis Costs (Column K) cannot exceed the Residental Construction Costs (Column G) for this line item." sqref="K19 K24:K25 K28:K30 K42 K48 K13:K14 K60:K61 K67:K68 K77 K80:K81 K84 K87:K89 K91:K92 K94 K96 K108:K109 K112:K116 K136:K139 K156 K159 K163 K51:K54 K167:K170 K74" xr:uid="{B22F522D-B802-4493-A73B-177E00E52664}">
      <formula1>K13&lt;=G13</formula1>
    </dataValidation>
    <dataValidation type="custom" allowBlank="1" showInputMessage="1" showErrorMessage="1" errorTitle="Eligible Basis Costs Error" error="The Eligible Basis Costs (Column K) cannot exceed the Residental Construction Costs (Column G) for this line item." sqref="K171" xr:uid="{05135D97-1960-409D-81CA-BE27443601F2}">
      <formula1>AND(K171&gt;0, K171&lt;=G171)</formula1>
    </dataValidation>
    <dataValidation type="custom" allowBlank="1" showInputMessage="1" showErrorMessage="1" errorTitle="Eligible Basis Costs Error" error="The Eligible Basis Costs (Column K) cannot exceed the Residental Construction Costs (Column G) for this line item." sqref="G13:G14 G28:G30 G48 G51:G54 G60:G61 G67:G68 G77 G80:G81 G84 G87:G89 G91:G92 G94 G96 G108:G109 G112:G116 G136:G139 G156 G159 G163 G167:G171" xr:uid="{B7CC81B1-6704-4FDC-A782-BDA24F358DC3}">
      <formula1>G13&gt;=K13</formula1>
    </dataValidation>
    <dataValidation type="custom" allowBlank="1" showInputMessage="1" showErrorMessage="1" errorTitle="Eligible Basis Costs Error" error="The Eligible Basis Costs (Column K) cannot exceed the Residental Construction Costs (Column G) for this line item." sqref="K45" xr:uid="{D779374C-C3D0-4167-A450-8F609D3E7628}">
      <formula1>AND(K45&lt;=G45, NOT(ISBLANK(G45)))</formula1>
    </dataValidation>
  </dataValidations>
  <pageMargins left="0.7" right="0.7" top="0.75" bottom="0.75" header="0.3" footer="0.3"/>
  <pageSetup scale="35" fitToHeight="2" orientation="portrait" r:id="rId1"/>
  <headerFooter>
    <oddHeader>&amp;L&amp;G</oddHeader>
    <oddFooter>&amp;LVersion - 2023.0.01&amp;CWHEDA MULTIFAMILY APPLICATION&amp;R&amp;P of &amp;N</oddFooter>
  </headerFooter>
  <rowBreaks count="1" manualBreakCount="1">
    <brk id="217" max="12" man="1"/>
  </rowBreaks>
  <legacy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2AB08-E928-4924-9095-81AE4146C56E}">
  <sheetPr codeName="Sheet44">
    <pageSetUpPr fitToPage="1"/>
  </sheetPr>
  <dimension ref="B1:AQ75"/>
  <sheetViews>
    <sheetView workbookViewId="0">
      <selection activeCell="H46" sqref="H46"/>
    </sheetView>
  </sheetViews>
  <sheetFormatPr baseColWidth="10" defaultColWidth="9.1640625" defaultRowHeight="15"/>
  <cols>
    <col min="1" max="1" width="4.33203125" style="3" customWidth="1"/>
    <col min="2" max="2" width="5.6640625" style="3" customWidth="1"/>
    <col min="3" max="3" width="9.1640625" style="3" customWidth="1"/>
    <col min="4" max="5" width="9.1640625" style="3"/>
    <col min="6" max="6" width="10.6640625" style="3" customWidth="1"/>
    <col min="7" max="7" width="12" style="3" customWidth="1"/>
    <col min="8" max="8" width="17.6640625" style="3" customWidth="1"/>
    <col min="9" max="10" width="7.33203125" style="3" customWidth="1"/>
    <col min="11" max="11" width="9.1640625" style="3"/>
    <col min="12" max="12" width="10.83203125" style="3" customWidth="1"/>
    <col min="13" max="13" width="9.1640625" style="3"/>
    <col min="14" max="14" width="11.83203125" style="3" customWidth="1"/>
    <col min="15" max="15" width="12" style="3" customWidth="1"/>
    <col min="16" max="16" width="17.6640625" style="3" customWidth="1"/>
    <col min="17" max="17" width="9.1640625" style="3"/>
    <col min="18" max="18" width="9.1640625" style="131"/>
    <col min="19" max="20" width="9.1640625" style="9" customWidth="1"/>
    <col min="21" max="22" width="9.1640625" style="9"/>
    <col min="23" max="16384" width="9.1640625" style="3"/>
  </cols>
  <sheetData>
    <row r="1" spans="2:43" ht="29">
      <c r="B1" s="4" t="str">
        <f>'1. TOC'!B1</f>
        <v>WHEDA 2025 Multifamily Application</v>
      </c>
      <c r="C1"/>
      <c r="H1" s="149"/>
      <c r="I1" s="379" t="str">
        <f>'1. TOC'!L1</f>
        <v>v25.1.9</v>
      </c>
      <c r="J1" s="149"/>
      <c r="K1" s="1086" t="str">
        <f>HYPERLINK("#Table_of_Contents", Table_of_Contents)</f>
        <v>Table of Contents</v>
      </c>
      <c r="L1" s="149"/>
      <c r="M1" s="149"/>
      <c r="N1" s="149"/>
      <c r="O1" s="149"/>
      <c r="P1" s="149"/>
      <c r="Q1" s="131"/>
      <c r="R1" s="9"/>
      <c r="V1" s="3"/>
      <c r="AA1" s="149"/>
      <c r="AB1" s="149"/>
      <c r="AC1" s="149"/>
      <c r="AD1" s="149"/>
      <c r="AE1" s="149"/>
      <c r="AF1" s="149"/>
      <c r="AG1" s="149"/>
      <c r="AH1" s="149"/>
      <c r="AI1" s="149"/>
      <c r="AJ1" s="149"/>
      <c r="AK1" s="149"/>
      <c r="AL1" s="149"/>
      <c r="AM1" s="149"/>
      <c r="AN1" s="149"/>
      <c r="AO1" s="149"/>
      <c r="AP1" s="149"/>
      <c r="AQ1" s="149"/>
    </row>
    <row r="2" spans="2:43" ht="19">
      <c r="B2" s="934" t="str">
        <f>_xlfn.CONCAT(IF(ISBLANK(WHEDA_Project_Number),"",_xlfn.CONCAT(WHEDA_Project_Number,"-")), Project_Name, IF(ISBLANK(Credit_percentage_applied_for),"",_xlfn.CONCAT(" (", Credit_percentage_applied_for," HTC)")))</f>
        <v/>
      </c>
      <c r="C2" s="909"/>
      <c r="D2" s="74"/>
      <c r="E2" s="74"/>
      <c r="F2" s="74"/>
      <c r="G2" s="74"/>
      <c r="H2" s="74"/>
      <c r="I2" s="74"/>
      <c r="J2" s="541"/>
      <c r="K2" s="937"/>
      <c r="L2" s="541"/>
      <c r="M2" s="541"/>
      <c r="N2" s="541"/>
      <c r="O2" s="541"/>
      <c r="P2" s="541"/>
      <c r="Q2" s="734"/>
      <c r="R2" s="9"/>
      <c r="V2" s="3"/>
      <c r="AA2" s="149"/>
      <c r="AB2" s="149"/>
      <c r="AC2" s="149"/>
      <c r="AD2" s="149"/>
      <c r="AE2" s="149"/>
      <c r="AF2" s="149"/>
      <c r="AG2" s="149"/>
      <c r="AH2" s="149"/>
      <c r="AI2" s="149"/>
      <c r="AJ2" s="149"/>
      <c r="AK2" s="149"/>
      <c r="AL2" s="149"/>
      <c r="AM2" s="149"/>
      <c r="AN2" s="149"/>
      <c r="AO2" s="149"/>
      <c r="AP2" s="149"/>
      <c r="AQ2" s="149"/>
    </row>
    <row r="3" spans="2:43" ht="16">
      <c r="C3" s="5"/>
      <c r="H3" s="149"/>
      <c r="I3" s="149"/>
      <c r="J3" s="149"/>
      <c r="K3" s="149"/>
      <c r="L3" s="149"/>
      <c r="M3" s="379"/>
      <c r="N3" s="149"/>
      <c r="O3" s="149"/>
      <c r="P3" s="149"/>
      <c r="Q3" s="131"/>
      <c r="R3" s="9"/>
      <c r="V3" s="3"/>
      <c r="AA3" s="149"/>
      <c r="AB3" s="149"/>
      <c r="AC3" s="149"/>
      <c r="AD3" s="149"/>
      <c r="AE3" s="149"/>
      <c r="AF3" s="149"/>
      <c r="AG3" s="149"/>
      <c r="AH3" s="149"/>
      <c r="AI3" s="149"/>
      <c r="AJ3" s="149"/>
      <c r="AK3" s="149"/>
      <c r="AL3" s="149"/>
      <c r="AM3" s="149"/>
      <c r="AN3" s="149"/>
      <c r="AO3" s="149"/>
      <c r="AP3" s="149"/>
      <c r="AQ3" s="149"/>
    </row>
    <row r="4" spans="2:43" ht="29">
      <c r="B4" s="4" t="s">
        <v>4375</v>
      </c>
      <c r="H4" s="149"/>
      <c r="I4" s="149"/>
      <c r="J4" s="149"/>
      <c r="K4" s="149"/>
      <c r="L4" s="149"/>
      <c r="M4" s="149"/>
      <c r="N4" s="149"/>
      <c r="O4" s="149"/>
      <c r="P4" s="149"/>
      <c r="Q4" s="131"/>
      <c r="R4" s="9"/>
      <c r="V4" s="3"/>
      <c r="AA4" s="149"/>
      <c r="AB4" s="149"/>
      <c r="AC4" s="149"/>
      <c r="AD4" s="149"/>
      <c r="AE4" s="149"/>
      <c r="AF4" s="149"/>
      <c r="AG4" s="149"/>
      <c r="AH4" s="149"/>
      <c r="AI4" s="149"/>
      <c r="AJ4" s="149"/>
      <c r="AK4" s="149"/>
      <c r="AL4" s="149"/>
      <c r="AM4" s="149"/>
      <c r="AN4" s="149"/>
      <c r="AO4" s="149"/>
      <c r="AP4" s="149"/>
      <c r="AQ4" s="149"/>
    </row>
    <row r="5" spans="2:43">
      <c r="B5" s="1167"/>
      <c r="C5" s="1167"/>
      <c r="D5" s="1167"/>
      <c r="E5" s="1167"/>
      <c r="F5" s="1167"/>
      <c r="G5" s="1167"/>
      <c r="H5" s="1167"/>
      <c r="I5" s="1167"/>
      <c r="J5" s="1167"/>
      <c r="K5" s="1167"/>
      <c r="L5" s="1167"/>
      <c r="M5" s="1167"/>
      <c r="N5" s="1167"/>
      <c r="O5" s="1167"/>
      <c r="P5" s="1167"/>
      <c r="Q5" s="1167"/>
      <c r="R5" s="9"/>
      <c r="AB5" s="149"/>
    </row>
    <row r="6" spans="2:43" ht="16">
      <c r="B6" s="1167"/>
      <c r="C6" s="1770" t="s">
        <v>4376</v>
      </c>
      <c r="D6" s="2251"/>
      <c r="E6" s="2251"/>
      <c r="F6" s="2251"/>
      <c r="G6" s="2251"/>
      <c r="H6" s="1771"/>
      <c r="I6" s="1167"/>
      <c r="J6" s="1304"/>
      <c r="K6" s="1770" t="s">
        <v>4377</v>
      </c>
      <c r="L6" s="2251"/>
      <c r="M6" s="2251"/>
      <c r="N6" s="2251"/>
      <c r="O6" s="2251"/>
      <c r="P6" s="1771"/>
      <c r="Q6" s="1167"/>
      <c r="R6" s="9"/>
      <c r="S6" s="930" t="s">
        <v>3061</v>
      </c>
      <c r="AB6" s="149"/>
    </row>
    <row r="7" spans="2:43">
      <c r="B7" s="1167"/>
      <c r="C7" s="1775" t="s">
        <v>4378</v>
      </c>
      <c r="D7" s="1776"/>
      <c r="E7" s="1776"/>
      <c r="F7" s="1776"/>
      <c r="G7" s="1776"/>
      <c r="H7" s="1917"/>
      <c r="I7" s="1167"/>
      <c r="J7" s="1304"/>
      <c r="K7" s="1775" t="s">
        <v>4378</v>
      </c>
      <c r="L7" s="1776"/>
      <c r="M7" s="1776"/>
      <c r="N7" s="1776"/>
      <c r="O7" s="1776"/>
      <c r="P7" s="1917"/>
      <c r="Q7" s="1167"/>
      <c r="R7" s="9"/>
      <c r="S7" s="94" t="s">
        <v>4379</v>
      </c>
      <c r="T7" s="931">
        <f>'11. Unit Mix'!H66</f>
        <v>0</v>
      </c>
      <c r="U7" s="931">
        <f>'11. Unit Mix'!G66</f>
        <v>0</v>
      </c>
      <c r="V7" s="9" t="s">
        <v>4380</v>
      </c>
      <c r="AB7" s="149"/>
    </row>
    <row r="8" spans="2:43">
      <c r="B8" s="1167"/>
      <c r="C8" s="1167" t="s">
        <v>4381</v>
      </c>
      <c r="D8" s="1167"/>
      <c r="E8" s="1167"/>
      <c r="F8" s="1167"/>
      <c r="G8" s="1167"/>
      <c r="H8" s="543">
        <f>+PC_ACQ_ACQ_Subtotal_4</f>
        <v>0</v>
      </c>
      <c r="I8" s="1167"/>
      <c r="J8" s="1304"/>
      <c r="K8" s="1167" t="s">
        <v>4381</v>
      </c>
      <c r="L8" s="1167"/>
      <c r="M8" s="1167"/>
      <c r="N8" s="1167"/>
      <c r="O8" s="1167"/>
      <c r="P8" s="543">
        <f>IF(Credit_percentage_applied_for="State + Fed 4%",H8,0)</f>
        <v>0</v>
      </c>
      <c r="Q8" s="1167"/>
      <c r="R8" s="9"/>
      <c r="S8" s="94" t="s">
        <v>4382</v>
      </c>
      <c r="T8" s="931">
        <f>'11. Unit Mix'!H114</f>
        <v>0</v>
      </c>
      <c r="U8" s="9">
        <f>'11. Unit Mix'!F114</f>
        <v>0</v>
      </c>
      <c r="V8" s="9" t="s">
        <v>4383</v>
      </c>
      <c r="AB8" s="149"/>
    </row>
    <row r="9" spans="2:43">
      <c r="B9" s="1167"/>
      <c r="C9" s="1167" t="s">
        <v>3061</v>
      </c>
      <c r="D9" s="1167"/>
      <c r="E9" s="1167"/>
      <c r="F9" s="1167"/>
      <c r="G9" s="1167"/>
      <c r="H9" s="544">
        <f>IFERROR(MIN(T10,U10),)</f>
        <v>0</v>
      </c>
      <c r="I9" s="1167"/>
      <c r="J9" s="1304"/>
      <c r="K9" s="1167" t="s">
        <v>3061</v>
      </c>
      <c r="L9" s="1167"/>
      <c r="M9" s="1167"/>
      <c r="N9" s="1167"/>
      <c r="O9" s="1167"/>
      <c r="P9" s="544">
        <f>IF(Credit_percentage_applied_for="State + Fed 4%",+H9,0)</f>
        <v>0</v>
      </c>
      <c r="Q9" s="1167"/>
      <c r="R9" s="9"/>
      <c r="S9" s="94" t="s">
        <v>4384</v>
      </c>
      <c r="T9" s="931">
        <f>'11. Unit Mix'!G99</f>
        <v>0</v>
      </c>
      <c r="U9" s="931">
        <f>'11. Unit Mix'!F99</f>
        <v>0</v>
      </c>
      <c r="V9" s="9" t="s">
        <v>4385</v>
      </c>
      <c r="AB9" s="149"/>
    </row>
    <row r="10" spans="2:43">
      <c r="B10" s="1167"/>
      <c r="C10" s="1167" t="s">
        <v>4386</v>
      </c>
      <c r="D10" s="1167"/>
      <c r="E10" s="1167"/>
      <c r="F10" s="1167"/>
      <c r="G10" s="1167"/>
      <c r="H10" s="545">
        <f>+H9*H8</f>
        <v>0</v>
      </c>
      <c r="I10" s="1167"/>
      <c r="J10" s="1304"/>
      <c r="K10" s="1167" t="s">
        <v>4386</v>
      </c>
      <c r="L10" s="1167"/>
      <c r="M10" s="1167"/>
      <c r="N10" s="1167"/>
      <c r="O10" s="1167"/>
      <c r="P10" s="545">
        <f>+P8*P9</f>
        <v>0</v>
      </c>
      <c r="Q10" s="1167"/>
      <c r="R10" s="9"/>
      <c r="S10" s="94" t="s">
        <v>4387</v>
      </c>
      <c r="T10" s="932">
        <f>IFERROR(T7/(T7+T8),)</f>
        <v>0</v>
      </c>
      <c r="U10" s="932">
        <f>IFERROR(U7/(U7+U8),)</f>
        <v>0</v>
      </c>
      <c r="V10" s="9" t="s">
        <v>4388</v>
      </c>
      <c r="AB10" s="149"/>
    </row>
    <row r="11" spans="2:43">
      <c r="B11" s="1167"/>
      <c r="C11" s="1167" t="s">
        <v>211</v>
      </c>
      <c r="D11" s="1167"/>
      <c r="E11" s="1167"/>
      <c r="F11" s="1167"/>
      <c r="G11" s="1167"/>
      <c r="H11" s="546">
        <v>0.04</v>
      </c>
      <c r="I11" s="1167"/>
      <c r="J11" s="1304"/>
      <c r="K11" s="1167" t="s">
        <v>211</v>
      </c>
      <c r="L11" s="1167"/>
      <c r="M11" s="1167"/>
      <c r="N11" s="1167"/>
      <c r="O11" s="1167"/>
      <c r="P11" s="546">
        <v>0.04</v>
      </c>
      <c r="Q11" s="1167"/>
      <c r="R11" s="9"/>
      <c r="AB11" s="149"/>
    </row>
    <row r="12" spans="2:43">
      <c r="B12" s="1167"/>
      <c r="C12" s="698" t="s">
        <v>4389</v>
      </c>
      <c r="D12" s="681"/>
      <c r="E12" s="681"/>
      <c r="F12" s="681"/>
      <c r="G12" s="699"/>
      <c r="H12" s="683">
        <f>+H11*H10</f>
        <v>0</v>
      </c>
      <c r="I12" s="1167"/>
      <c r="J12" s="1304"/>
      <c r="K12" s="698" t="s">
        <v>4390</v>
      </c>
      <c r="L12" s="681"/>
      <c r="M12" s="681"/>
      <c r="N12" s="681"/>
      <c r="O12" s="699"/>
      <c r="P12" s="683">
        <f>IF(Credit_percentage_applied_for='Dropdown Lists'!$G$4,P11*P10,0)</f>
        <v>0</v>
      </c>
      <c r="Q12" s="1167"/>
      <c r="R12" s="9"/>
      <c r="AB12" s="149"/>
    </row>
    <row r="13" spans="2:43">
      <c r="B13" s="1167"/>
      <c r="C13" s="1167"/>
      <c r="D13" s="1167"/>
      <c r="E13" s="1167"/>
      <c r="F13" s="1167"/>
      <c r="G13" s="1167"/>
      <c r="H13" s="1167"/>
      <c r="I13" s="1167"/>
      <c r="J13" s="1304"/>
      <c r="K13" s="1167"/>
      <c r="L13" s="1167"/>
      <c r="M13" s="1167"/>
      <c r="N13" s="1167"/>
      <c r="O13" s="1167"/>
      <c r="P13" s="1167"/>
      <c r="Q13" s="1167"/>
      <c r="R13" s="9"/>
      <c r="AB13" s="149"/>
    </row>
    <row r="14" spans="2:43">
      <c r="B14" s="1167"/>
      <c r="C14" s="1775" t="s">
        <v>4391</v>
      </c>
      <c r="D14" s="1776"/>
      <c r="E14" s="1776"/>
      <c r="F14" s="1776"/>
      <c r="G14" s="1776"/>
      <c r="H14" s="1917"/>
      <c r="I14" s="1167"/>
      <c r="J14" s="1304"/>
      <c r="K14" s="1775" t="s">
        <v>4392</v>
      </c>
      <c r="L14" s="1776"/>
      <c r="M14" s="1776"/>
      <c r="N14" s="1776"/>
      <c r="O14" s="1776"/>
      <c r="P14" s="1917"/>
      <c r="Q14" s="1167"/>
      <c r="R14" s="9"/>
      <c r="AB14" s="149"/>
    </row>
    <row r="15" spans="2:43">
      <c r="B15" s="1167"/>
      <c r="C15" s="1167" t="s">
        <v>4393</v>
      </c>
      <c r="D15" s="1167"/>
      <c r="E15" s="1167"/>
      <c r="F15" s="1167"/>
      <c r="G15" s="1167"/>
      <c r="H15" s="543">
        <f>+'14. Project Costs'!K173</f>
        <v>0</v>
      </c>
      <c r="I15" s="1167"/>
      <c r="J15" s="1304"/>
      <c r="K15" s="1167" t="s">
        <v>4393</v>
      </c>
      <c r="L15" s="1167"/>
      <c r="M15" s="1167"/>
      <c r="N15" s="1167"/>
      <c r="O15" s="1167"/>
      <c r="P15" s="543">
        <f>IF(Credit_percentage_applied_for="State + Fed 4%",'14. Project Costs'!K173,0)</f>
        <v>0</v>
      </c>
      <c r="Q15" s="1167"/>
      <c r="R15" s="9"/>
      <c r="AB15" s="149"/>
    </row>
    <row r="16" spans="2:43">
      <c r="B16" s="1167"/>
      <c r="C16" s="1300" t="s">
        <v>4394</v>
      </c>
      <c r="D16" s="1167"/>
      <c r="E16" s="1167"/>
      <c r="F16" s="1167"/>
      <c r="G16" s="1167"/>
      <c r="H16" s="543">
        <f>-H8</f>
        <v>0</v>
      </c>
      <c r="I16" s="1167"/>
      <c r="J16" s="1304"/>
      <c r="K16" s="1300" t="s">
        <v>4395</v>
      </c>
      <c r="L16" s="1167"/>
      <c r="M16" s="1167"/>
      <c r="N16" s="1167"/>
      <c r="O16" s="1167"/>
      <c r="P16" s="543">
        <f>IF(P15&gt;0,-P8,0)</f>
        <v>0</v>
      </c>
      <c r="Q16" s="1167"/>
      <c r="R16" s="9"/>
      <c r="AB16" s="149"/>
    </row>
    <row r="17" spans="2:28" hidden="1">
      <c r="B17" s="1167"/>
      <c r="C17" s="1300" t="s">
        <v>4396</v>
      </c>
      <c r="D17" s="1167"/>
      <c r="E17" s="1167"/>
      <c r="F17" s="1167"/>
      <c r="G17" s="1167"/>
      <c r="H17" s="543">
        <f>-SUM('12. Funding Sources'!E45,'12. Funding Sources'!E47)*0</f>
        <v>0</v>
      </c>
      <c r="I17" s="1167"/>
      <c r="J17" s="1304"/>
      <c r="K17" s="1300" t="s">
        <v>4396</v>
      </c>
      <c r="L17" s="1167"/>
      <c r="M17" s="1167"/>
      <c r="N17" s="1167"/>
      <c r="O17" s="1167"/>
      <c r="P17" s="543">
        <f>IF(P15&gt;0,-SUM('12. Funding Sources'!E45,'12. Funding Sources'!E47),0)*0</f>
        <v>0</v>
      </c>
      <c r="Q17" s="1167"/>
      <c r="R17" s="9"/>
      <c r="AB17" s="149"/>
    </row>
    <row r="18" spans="2:28">
      <c r="B18" s="1167"/>
      <c r="C18" s="1300" t="s">
        <v>4397</v>
      </c>
      <c r="D18" s="1167"/>
      <c r="E18" s="1167"/>
      <c r="F18" s="1167"/>
      <c r="G18" s="1167"/>
      <c r="H18" s="1303"/>
      <c r="I18" s="1167"/>
      <c r="J18" s="1304"/>
      <c r="K18" s="1300" t="str">
        <f>+C18</f>
        <v>Less: Historic Tax Basis (enter as Negative number)</v>
      </c>
      <c r="L18" s="1167"/>
      <c r="M18" s="1167"/>
      <c r="N18" s="1167"/>
      <c r="O18" s="1167"/>
      <c r="P18" s="1303"/>
      <c r="Q18" s="1167"/>
      <c r="R18" s="9"/>
      <c r="AB18" s="149"/>
    </row>
    <row r="19" spans="2:28">
      <c r="B19" s="1167"/>
      <c r="C19" s="1300" t="s">
        <v>4398</v>
      </c>
      <c r="D19" s="1167"/>
      <c r="E19" s="1167"/>
      <c r="F19" s="1167"/>
      <c r="G19" s="1167"/>
      <c r="H19" s="543">
        <f>-SUM('12. Funding Sources'!E29:E35)</f>
        <v>0</v>
      </c>
      <c r="I19" s="1167"/>
      <c r="J19" s="1304"/>
      <c r="K19" s="1300" t="s">
        <v>4398</v>
      </c>
      <c r="L19" s="1167"/>
      <c r="M19" s="1167"/>
      <c r="N19" s="1167"/>
      <c r="O19" s="1167"/>
      <c r="P19" s="543">
        <f>IF(P15&gt;0,-SUM('12. Funding Sources'!E29:E35),0)</f>
        <v>0</v>
      </c>
      <c r="Q19" s="1167"/>
      <c r="R19" s="9"/>
      <c r="AB19" s="149"/>
    </row>
    <row r="20" spans="2:28">
      <c r="B20" s="1167"/>
      <c r="C20" s="1709" t="s">
        <v>4399</v>
      </c>
      <c r="D20" s="1167"/>
      <c r="E20" s="1167"/>
      <c r="F20" s="1167"/>
      <c r="G20" s="1167"/>
      <c r="H20" s="867">
        <f>+H15+SUM(H16:H19)</f>
        <v>0</v>
      </c>
      <c r="I20" s="1167"/>
      <c r="J20" s="1304"/>
      <c r="K20" s="1709" t="s">
        <v>4399</v>
      </c>
      <c r="L20" s="1167"/>
      <c r="M20" s="1167"/>
      <c r="N20" s="1167"/>
      <c r="O20" s="1167"/>
      <c r="P20" s="867">
        <f>+P15+SUM(P16:P19)</f>
        <v>0</v>
      </c>
      <c r="Q20" s="1167"/>
      <c r="R20" s="9"/>
      <c r="AB20" s="149"/>
    </row>
    <row r="21" spans="2:28">
      <c r="B21" s="1167"/>
      <c r="C21" s="1301" t="s">
        <v>4400</v>
      </c>
      <c r="D21" s="1301"/>
      <c r="E21" s="1301"/>
      <c r="F21" s="1302" t="s">
        <v>4401</v>
      </c>
      <c r="G21" s="1085">
        <v>0</v>
      </c>
      <c r="H21" s="868">
        <f>IFERROR(H20*G21,0)</f>
        <v>0</v>
      </c>
      <c r="I21" s="1167"/>
      <c r="J21" s="1304"/>
      <c r="K21" s="1301" t="s">
        <v>4400</v>
      </c>
      <c r="L21" s="1301"/>
      <c r="M21" s="1301"/>
      <c r="N21" s="1306" t="s">
        <v>4401</v>
      </c>
      <c r="O21" s="1085">
        <v>0</v>
      </c>
      <c r="P21" s="868">
        <f>IFERROR(P20*O21,0)</f>
        <v>0</v>
      </c>
      <c r="Q21" s="1167"/>
      <c r="R21" s="9"/>
    </row>
    <row r="22" spans="2:28">
      <c r="B22" s="1167"/>
      <c r="C22" s="1301" t="s">
        <v>4402</v>
      </c>
      <c r="D22" s="1301"/>
      <c r="E22" s="1301"/>
      <c r="F22" s="1302" t="s">
        <v>4401</v>
      </c>
      <c r="G22" s="1085">
        <v>0</v>
      </c>
      <c r="H22" s="868">
        <f>IFERROR(H20*G22,0)</f>
        <v>0</v>
      </c>
      <c r="I22" s="1167"/>
      <c r="J22" s="1304"/>
      <c r="K22" s="1305" t="s">
        <v>4402</v>
      </c>
      <c r="L22" s="1305"/>
      <c r="M22" s="1305"/>
      <c r="N22" s="1306" t="s">
        <v>4401</v>
      </c>
      <c r="O22" s="1085">
        <v>0</v>
      </c>
      <c r="P22" s="868">
        <f>IFERROR(P20*O22,0)</f>
        <v>0</v>
      </c>
      <c r="Q22" s="1167"/>
      <c r="R22" s="9"/>
    </row>
    <row r="23" spans="2:28">
      <c r="B23" s="1167"/>
      <c r="C23" s="1167" t="s">
        <v>811</v>
      </c>
      <c r="D23" s="1167"/>
      <c r="E23" s="1167"/>
      <c r="F23" s="1167"/>
      <c r="G23" s="1167"/>
      <c r="H23" s="641">
        <f>SUM(H20:H22)</f>
        <v>0</v>
      </c>
      <c r="I23" s="1167"/>
      <c r="J23" s="1304"/>
      <c r="K23" s="1167" t="s">
        <v>811</v>
      </c>
      <c r="L23" s="1167"/>
      <c r="M23" s="1167"/>
      <c r="N23" s="1167"/>
      <c r="O23" s="1167"/>
      <c r="P23" s="641">
        <f>SUM(P20:P22)</f>
        <v>0</v>
      </c>
      <c r="Q23" s="1167"/>
      <c r="R23" s="9"/>
    </row>
    <row r="24" spans="2:28">
      <c r="B24" s="1167"/>
      <c r="C24" s="1167" t="s">
        <v>3061</v>
      </c>
      <c r="D24" s="1167"/>
      <c r="E24" s="1167"/>
      <c r="F24" s="1167"/>
      <c r="G24" s="1167"/>
      <c r="H24" s="548">
        <f>H9</f>
        <v>0</v>
      </c>
      <c r="I24" s="1167"/>
      <c r="J24" s="1304"/>
      <c r="K24" s="1167" t="s">
        <v>3061</v>
      </c>
      <c r="L24" s="1167"/>
      <c r="M24" s="1167"/>
      <c r="N24" s="1167"/>
      <c r="O24" s="1167"/>
      <c r="P24" s="548">
        <f>IF(Credit_percentage_applied_for="State + Fed 4%",+H24,0)</f>
        <v>0</v>
      </c>
      <c r="Q24" s="1167"/>
      <c r="R24" s="9"/>
    </row>
    <row r="25" spans="2:28">
      <c r="B25" s="1167"/>
      <c r="C25" s="1167" t="s">
        <v>4386</v>
      </c>
      <c r="D25" s="1167"/>
      <c r="E25" s="1167"/>
      <c r="F25" s="1167"/>
      <c r="G25" s="1167"/>
      <c r="H25" s="545">
        <f>+H24*H23</f>
        <v>0</v>
      </c>
      <c r="I25" s="1167"/>
      <c r="J25" s="1304"/>
      <c r="K25" s="1167" t="s">
        <v>4386</v>
      </c>
      <c r="L25" s="1167"/>
      <c r="M25" s="1167"/>
      <c r="N25" s="1167"/>
      <c r="O25" s="1167"/>
      <c r="P25" s="545">
        <f>+P24*P23</f>
        <v>0</v>
      </c>
      <c r="Q25" s="1167"/>
      <c r="R25" s="9"/>
    </row>
    <row r="26" spans="2:28">
      <c r="B26" s="1167"/>
      <c r="C26" s="1167" t="s">
        <v>211</v>
      </c>
      <c r="D26" s="1167"/>
      <c r="E26" s="1167"/>
      <c r="F26" s="1167"/>
      <c r="G26" s="1167"/>
      <c r="H26" s="665">
        <f>IF(Credit_percentage_applied_for='Dropdown Lists'!$G$4,4%,Credit_percentage_applied_for)</f>
        <v>0</v>
      </c>
      <c r="I26" s="1167"/>
      <c r="J26" s="1304"/>
      <c r="K26" s="1167" t="s">
        <v>211</v>
      </c>
      <c r="L26" s="1167"/>
      <c r="M26" s="1167"/>
      <c r="N26" s="1167"/>
      <c r="O26" s="1167"/>
      <c r="P26" s="665">
        <f>IF(Credit_percentage_applied_for="State + Fed 4%",IF(Set_Aside="Rural Set-Aside",8%,IF(Set_Aside="Small Urban Set-Aside", 4%,3%)),0)</f>
        <v>0</v>
      </c>
      <c r="Q26" s="1167"/>
      <c r="R26" s="9"/>
    </row>
    <row r="27" spans="2:28">
      <c r="B27" s="1167"/>
      <c r="C27" s="1167" t="s">
        <v>3068</v>
      </c>
      <c r="D27" s="1167"/>
      <c r="E27" s="1167"/>
      <c r="F27" s="1167"/>
      <c r="G27" s="1167"/>
      <c r="H27" s="1303">
        <v>0</v>
      </c>
      <c r="I27" s="1167"/>
      <c r="J27" s="1304"/>
      <c r="K27" s="1167" t="str">
        <f>+C27</f>
        <v>Previous Year's Allocation</v>
      </c>
      <c r="L27" s="1167"/>
      <c r="M27" s="1167"/>
      <c r="N27" s="1167"/>
      <c r="O27" s="1167"/>
      <c r="P27" s="1303">
        <v>0</v>
      </c>
      <c r="Q27" s="1167"/>
      <c r="R27" s="9"/>
    </row>
    <row r="28" spans="2:28">
      <c r="B28" s="1167"/>
      <c r="C28" s="1778" t="s">
        <v>4403</v>
      </c>
      <c r="D28" s="1779"/>
      <c r="E28" s="1779"/>
      <c r="F28" s="1779"/>
      <c r="G28" s="2250"/>
      <c r="H28" s="683">
        <f>(+H26*H25-H27)</f>
        <v>0</v>
      </c>
      <c r="I28" s="1167"/>
      <c r="J28" s="1304"/>
      <c r="K28" s="1778" t="s">
        <v>4404</v>
      </c>
      <c r="L28" s="1779"/>
      <c r="M28" s="1779"/>
      <c r="N28" s="1779"/>
      <c r="O28" s="2250"/>
      <c r="P28" s="683">
        <f>+P26*P25-P27</f>
        <v>0</v>
      </c>
      <c r="Q28" s="1167"/>
      <c r="R28" s="9"/>
    </row>
    <row r="29" spans="2:28">
      <c r="B29" s="1167"/>
      <c r="C29" s="1167"/>
      <c r="D29" s="1167"/>
      <c r="E29" s="1167"/>
      <c r="F29" s="1167"/>
      <c r="G29" s="1167"/>
      <c r="H29" s="1167"/>
      <c r="I29" s="1167"/>
      <c r="J29" s="1304"/>
      <c r="K29" s="1167"/>
      <c r="L29" s="1167"/>
      <c r="M29" s="1167"/>
      <c r="N29" s="1167"/>
      <c r="O29" s="1167"/>
      <c r="P29" s="1167"/>
      <c r="Q29" s="1167"/>
      <c r="R29" s="9"/>
    </row>
    <row r="30" spans="2:28">
      <c r="B30" s="1167"/>
      <c r="C30" s="1775" t="s">
        <v>4405</v>
      </c>
      <c r="D30" s="1776"/>
      <c r="E30" s="1776"/>
      <c r="F30" s="1776"/>
      <c r="G30" s="1776"/>
      <c r="H30" s="1917"/>
      <c r="I30" s="1167"/>
      <c r="J30" s="1304"/>
      <c r="K30" s="1775" t="s">
        <v>4406</v>
      </c>
      <c r="L30" s="1776"/>
      <c r="M30" s="1776"/>
      <c r="N30" s="1776"/>
      <c r="O30" s="1776"/>
      <c r="P30" s="1917"/>
      <c r="Q30" s="1167"/>
      <c r="R30" s="9"/>
    </row>
    <row r="31" spans="2:28">
      <c r="B31" s="1167"/>
      <c r="C31" s="1167"/>
      <c r="D31" s="1167"/>
      <c r="E31" s="1167"/>
      <c r="F31" s="1167"/>
      <c r="G31" s="1167"/>
      <c r="H31" s="1167"/>
      <c r="I31" s="1167"/>
      <c r="J31" s="1304"/>
      <c r="K31" s="1167"/>
      <c r="L31" s="1167"/>
      <c r="M31" s="1167"/>
      <c r="N31" s="1167"/>
      <c r="O31" s="1167"/>
      <c r="P31" s="1167"/>
      <c r="Q31" s="1167"/>
      <c r="R31" s="9"/>
    </row>
    <row r="32" spans="2:28">
      <c r="B32" s="1167"/>
      <c r="C32" s="1167" t="s">
        <v>4407</v>
      </c>
      <c r="D32" s="1167"/>
      <c r="E32" s="1167"/>
      <c r="F32" s="1167"/>
      <c r="G32" s="1167"/>
      <c r="H32" s="549">
        <f>+'14. Project Costs'!F173</f>
        <v>0</v>
      </c>
      <c r="I32" s="1167"/>
      <c r="J32" s="1304"/>
      <c r="K32" s="1167" t="s">
        <v>4407</v>
      </c>
      <c r="L32" s="1167"/>
      <c r="M32" s="1167"/>
      <c r="N32" s="1167"/>
      <c r="O32" s="1167"/>
      <c r="P32" s="549">
        <f>IF(Credit_percentage_applied_for="State + Fed 4%",'14. Project Costs'!F173,0)</f>
        <v>0</v>
      </c>
      <c r="Q32" s="1167"/>
      <c r="R32" s="9"/>
    </row>
    <row r="33" spans="2:30">
      <c r="B33" s="1167"/>
      <c r="C33" s="1300" t="s">
        <v>4408</v>
      </c>
      <c r="D33" s="1167"/>
      <c r="E33" s="1167"/>
      <c r="F33" s="1167"/>
      <c r="G33" s="1167"/>
      <c r="H33" s="549">
        <f>-SUM('12. Funding Sources'!E11:E23)</f>
        <v>0</v>
      </c>
      <c r="I33" s="1167"/>
      <c r="J33" s="1304"/>
      <c r="K33" s="1300" t="s">
        <v>4408</v>
      </c>
      <c r="L33" s="1167"/>
      <c r="M33" s="1167"/>
      <c r="N33" s="1167"/>
      <c r="O33" s="1167"/>
      <c r="P33" s="549">
        <f>IF(P32&gt;0,-SUM('12. Funding Sources'!E11:E23),0)</f>
        <v>0</v>
      </c>
      <c r="Q33" s="1167"/>
      <c r="R33" s="9"/>
    </row>
    <row r="34" spans="2:30">
      <c r="B34" s="1167"/>
      <c r="C34" s="1300" t="s">
        <v>4409</v>
      </c>
      <c r="D34" s="1167"/>
      <c r="E34" s="1167"/>
      <c r="F34" s="1167"/>
      <c r="G34" s="1167"/>
      <c r="H34" s="549">
        <f>-SUM('12. Funding Sources'!E29:E39)</f>
        <v>0</v>
      </c>
      <c r="I34" s="1167"/>
      <c r="J34" s="1304"/>
      <c r="K34" s="1300" t="s">
        <v>4409</v>
      </c>
      <c r="L34" s="1167"/>
      <c r="M34" s="1167"/>
      <c r="N34" s="1167"/>
      <c r="O34" s="1167"/>
      <c r="P34" s="549">
        <f>IF(P32&gt;0,-SUM('12. Funding Sources'!E29:E39),0)</f>
        <v>0</v>
      </c>
      <c r="Q34" s="1167"/>
      <c r="R34" s="9"/>
    </row>
    <row r="35" spans="2:30">
      <c r="B35" s="1167"/>
      <c r="C35" s="1300" t="s">
        <v>4410</v>
      </c>
      <c r="D35" s="1167"/>
      <c r="E35" s="1167"/>
      <c r="F35" s="1167"/>
      <c r="G35" s="1167"/>
      <c r="H35" s="549">
        <f>-'12. Funding Sources'!E45-'12. Funding Sources'!E47</f>
        <v>0</v>
      </c>
      <c r="I35" s="1167"/>
      <c r="J35" s="1304"/>
      <c r="K35" s="1300" t="s">
        <v>4410</v>
      </c>
      <c r="L35" s="1167"/>
      <c r="M35" s="1167"/>
      <c r="N35" s="1167"/>
      <c r="O35" s="1167"/>
      <c r="P35" s="549">
        <f>IF(P32&gt;0,-'12. Funding Sources'!E45-'12. Funding Sources'!E47,0)</f>
        <v>0</v>
      </c>
      <c r="Q35" s="1167"/>
      <c r="R35" s="9"/>
    </row>
    <row r="36" spans="2:30">
      <c r="B36" s="1167"/>
      <c r="C36" s="1300" t="s">
        <v>3077</v>
      </c>
      <c r="D36" s="1167"/>
      <c r="E36" s="1167"/>
      <c r="F36" s="1167"/>
      <c r="G36" s="1167"/>
      <c r="H36" s="549">
        <f>-SUM('12. Funding Sources'!E48:E53)</f>
        <v>0</v>
      </c>
      <c r="I36" s="1167"/>
      <c r="J36" s="1304"/>
      <c r="K36" s="1300" t="s">
        <v>3077</v>
      </c>
      <c r="L36" s="1167"/>
      <c r="M36" s="1167"/>
      <c r="N36" s="1167"/>
      <c r="O36" s="1167"/>
      <c r="P36" s="549">
        <f>IF(P32&gt;0,-SUM('12. Funding Sources'!E48:E53),0)</f>
        <v>0</v>
      </c>
      <c r="Q36" s="1167"/>
      <c r="R36" s="9"/>
    </row>
    <row r="37" spans="2:30">
      <c r="B37" s="1167"/>
      <c r="C37" s="1300" t="s">
        <v>4411</v>
      </c>
      <c r="D37" s="1167"/>
      <c r="E37" s="1167"/>
      <c r="F37" s="1167"/>
      <c r="G37" s="1167"/>
      <c r="H37" s="549">
        <f>-H12*'12. Funding Sources'!H44*'12. Funding Sources'!G44*'12. Funding Sources'!I44</f>
        <v>0</v>
      </c>
      <c r="I37" s="1167"/>
      <c r="J37" s="1304"/>
      <c r="K37" s="1300" t="s">
        <v>4412</v>
      </c>
      <c r="L37" s="1167"/>
      <c r="M37" s="1167"/>
      <c r="N37" s="1167"/>
      <c r="O37" s="1167"/>
      <c r="P37" s="549">
        <f>IF(Credit_percentage_applied_for="State + Fed 4%",-SUM('12. Funding Sources'!E44:E44),0)</f>
        <v>0</v>
      </c>
      <c r="Q37" s="1167"/>
      <c r="R37" s="9"/>
    </row>
    <row r="38" spans="2:30">
      <c r="B38" s="1167"/>
      <c r="C38" s="1305" t="s">
        <v>3080</v>
      </c>
      <c r="D38" s="1305"/>
      <c r="E38" s="1305"/>
      <c r="F38" s="1305"/>
      <c r="G38" s="1305"/>
      <c r="H38" s="550">
        <f>+SUM(H32:H37)</f>
        <v>0</v>
      </c>
      <c r="I38" s="1167"/>
      <c r="J38" s="1304"/>
      <c r="K38" s="1305" t="s">
        <v>3080</v>
      </c>
      <c r="L38" s="1305"/>
      <c r="M38" s="1305"/>
      <c r="N38" s="1305"/>
      <c r="O38" s="1305"/>
      <c r="P38" s="550">
        <f>+SUM(P32:P37)</f>
        <v>0</v>
      </c>
      <c r="Q38" s="1167"/>
      <c r="R38" s="9"/>
    </row>
    <row r="39" spans="2:30">
      <c r="B39" s="1167"/>
      <c r="C39" s="1167" t="s">
        <v>4413</v>
      </c>
      <c r="D39" s="1167"/>
      <c r="E39" s="1167"/>
      <c r="F39" s="1167"/>
      <c r="G39" s="1167"/>
      <c r="H39" s="547">
        <v>10</v>
      </c>
      <c r="I39" s="1167"/>
      <c r="J39" s="1304"/>
      <c r="K39" s="1167" t="s">
        <v>4413</v>
      </c>
      <c r="L39" s="1167"/>
      <c r="M39" s="1167"/>
      <c r="N39" s="1167"/>
      <c r="O39" s="1167"/>
      <c r="P39" s="547" t="str">
        <f>+IF(Credit_percentage_applied_for="State + Fed 4%",6," ")</f>
        <v xml:space="preserve"> </v>
      </c>
      <c r="Q39" s="1167"/>
      <c r="R39" s="9"/>
    </row>
    <row r="40" spans="2:30">
      <c r="B40" s="1167"/>
      <c r="C40" s="1167" t="s">
        <v>4414</v>
      </c>
      <c r="D40" s="1167"/>
      <c r="E40" s="1167"/>
      <c r="F40" s="1167"/>
      <c r="G40" s="1167"/>
      <c r="H40" s="549">
        <f>+H38/H39</f>
        <v>0</v>
      </c>
      <c r="I40" s="1167"/>
      <c r="J40" s="1304"/>
      <c r="K40" s="1167" t="s">
        <v>4414</v>
      </c>
      <c r="L40" s="1167"/>
      <c r="M40" s="1167"/>
      <c r="N40" s="1167"/>
      <c r="O40" s="1167"/>
      <c r="P40" s="1463" t="str">
        <f>IFERROR(P38/P39,"N/A")</f>
        <v>N/A</v>
      </c>
      <c r="Q40" s="1167"/>
      <c r="R40" s="9"/>
    </row>
    <row r="41" spans="2:30">
      <c r="B41" s="1167"/>
      <c r="C41" s="1167" t="s">
        <v>3084</v>
      </c>
      <c r="D41" s="1167"/>
      <c r="E41" s="1167"/>
      <c r="F41" s="1167"/>
      <c r="G41" s="1167"/>
      <c r="H41" s="551">
        <f>+'12. Funding Sources'!I44</f>
        <v>0</v>
      </c>
      <c r="I41" s="1167"/>
      <c r="J41" s="1304"/>
      <c r="K41" s="1167" t="s">
        <v>3084</v>
      </c>
      <c r="L41" s="1167"/>
      <c r="M41" s="1167"/>
      <c r="N41" s="1167"/>
      <c r="O41" s="1167"/>
      <c r="P41" s="551">
        <f>+'12. Funding Sources'!I46</f>
        <v>0</v>
      </c>
      <c r="Q41" s="1167"/>
      <c r="R41" s="9"/>
    </row>
    <row r="42" spans="2:30">
      <c r="B42" s="1167"/>
      <c r="C42" s="1167" t="s">
        <v>4415</v>
      </c>
      <c r="D42" s="1167"/>
      <c r="E42" s="1167"/>
      <c r="F42" s="1167"/>
      <c r="G42" s="1167"/>
      <c r="H42" s="549">
        <f>+IFERROR(H40/H41,)</f>
        <v>0</v>
      </c>
      <c r="I42" s="1167"/>
      <c r="J42" s="1304"/>
      <c r="K42" s="1167" t="s">
        <v>4415</v>
      </c>
      <c r="L42" s="1167"/>
      <c r="M42" s="1167"/>
      <c r="N42" s="1167"/>
      <c r="O42" s="1167"/>
      <c r="P42" s="549">
        <f>+IFERROR(P40/P41,)</f>
        <v>0</v>
      </c>
      <c r="Q42" s="1167"/>
      <c r="R42" s="9"/>
    </row>
    <row r="43" spans="2:30">
      <c r="B43" s="1167"/>
      <c r="C43" s="1167" t="s">
        <v>4367</v>
      </c>
      <c r="D43" s="1167"/>
      <c r="E43" s="1167"/>
      <c r="F43" s="1167"/>
      <c r="G43" s="1167"/>
      <c r="H43" s="548">
        <v>0.99990000000000001</v>
      </c>
      <c r="I43" s="1167"/>
      <c r="J43" s="1304"/>
      <c r="K43" s="1167" t="s">
        <v>4367</v>
      </c>
      <c r="L43" s="1167"/>
      <c r="M43" s="1167"/>
      <c r="N43" s="1167"/>
      <c r="O43" s="1167"/>
      <c r="P43" s="548">
        <f>IF(Credit_percentage_applied_for="State + Fed 4%",+H43,0)</f>
        <v>0</v>
      </c>
      <c r="Q43" s="1167"/>
      <c r="R43" s="9"/>
    </row>
    <row r="44" spans="2:30">
      <c r="B44" s="1167"/>
      <c r="C44" s="681" t="s">
        <v>4370</v>
      </c>
      <c r="D44" s="681"/>
      <c r="E44" s="681"/>
      <c r="F44" s="681"/>
      <c r="G44" s="681"/>
      <c r="H44" s="682">
        <f>(+H42/H43)</f>
        <v>0</v>
      </c>
      <c r="I44" s="1167"/>
      <c r="J44" s="1304"/>
      <c r="K44" s="681" t="s">
        <v>4370</v>
      </c>
      <c r="L44" s="681"/>
      <c r="M44" s="681"/>
      <c r="N44" s="681"/>
      <c r="O44" s="681"/>
      <c r="P44" s="682">
        <f>IF(P43&gt;0,+P42/P43,0)</f>
        <v>0</v>
      </c>
      <c r="Q44" s="1167"/>
      <c r="R44" s="9"/>
      <c r="AB44" s="9"/>
      <c r="AC44" s="9"/>
      <c r="AD44" s="9"/>
    </row>
    <row r="45" spans="2:30">
      <c r="B45" s="1167"/>
      <c r="C45" s="1167"/>
      <c r="D45" s="1167"/>
      <c r="E45" s="1167"/>
      <c r="F45" s="1167"/>
      <c r="G45" s="1167"/>
      <c r="H45" s="552"/>
      <c r="I45" s="1167"/>
      <c r="J45" s="1304"/>
      <c r="K45" s="1167"/>
      <c r="L45" s="1167"/>
      <c r="M45" s="1167"/>
      <c r="N45" s="1167"/>
      <c r="O45" s="1167"/>
      <c r="P45" s="552"/>
      <c r="Q45" s="1167"/>
      <c r="R45" s="9"/>
      <c r="AB45" s="9"/>
      <c r="AC45" s="9"/>
      <c r="AD45" s="9"/>
    </row>
    <row r="46" spans="2:30">
      <c r="B46" s="1167"/>
      <c r="C46" s="2249" t="s">
        <v>4416</v>
      </c>
      <c r="D46" s="2249"/>
      <c r="E46" s="2249"/>
      <c r="F46" s="2249"/>
      <c r="G46" s="2249"/>
      <c r="H46" s="1303">
        <v>0</v>
      </c>
      <c r="I46" s="1167"/>
      <c r="J46" s="1304"/>
      <c r="K46" s="2249" t="s">
        <v>4416</v>
      </c>
      <c r="L46" s="2249"/>
      <c r="M46" s="2249"/>
      <c r="N46" s="2249"/>
      <c r="O46" s="2249"/>
      <c r="P46" s="1303">
        <v>0</v>
      </c>
      <c r="Q46" s="1167"/>
      <c r="R46" s="9"/>
      <c r="AB46" s="9"/>
      <c r="AC46" s="9"/>
      <c r="AD46" s="9"/>
    </row>
    <row r="47" spans="2:30">
      <c r="B47" s="1167"/>
      <c r="C47" s="1709"/>
      <c r="D47" s="1709"/>
      <c r="E47" s="1709"/>
      <c r="F47" s="1709"/>
      <c r="G47" s="1709"/>
      <c r="H47" s="552"/>
      <c r="I47" s="1167"/>
      <c r="J47" s="1304"/>
      <c r="K47" s="1709"/>
      <c r="L47" s="1709"/>
      <c r="M47" s="1709"/>
      <c r="N47" s="1709"/>
      <c r="O47" s="1709"/>
      <c r="P47" s="552"/>
      <c r="Q47" s="1167"/>
      <c r="R47" s="9"/>
      <c r="AB47" s="9"/>
      <c r="AC47" s="9"/>
      <c r="AD47" s="9"/>
    </row>
    <row r="48" spans="2:30">
      <c r="B48" s="1167"/>
      <c r="C48" s="2248" t="s">
        <v>4417</v>
      </c>
      <c r="D48" s="2249"/>
      <c r="E48" s="2249"/>
      <c r="F48" s="2249"/>
      <c r="G48" s="2249"/>
      <c r="H48" s="580">
        <f>IF(OR(ISBLANK(Set_Aside),VALUE(H26)=4%),0,1200000)</f>
        <v>0</v>
      </c>
      <c r="I48" s="1167"/>
      <c r="J48" s="1304"/>
      <c r="K48" s="2248" t="s">
        <v>4418</v>
      </c>
      <c r="L48" s="2249"/>
      <c r="M48" s="2249"/>
      <c r="N48" s="2249"/>
      <c r="O48" s="2249"/>
      <c r="P48" s="580">
        <f>IF(Credit_percentage_applied_for="State + Fed 4%",1200000,0)</f>
        <v>0</v>
      </c>
      <c r="Q48" s="1167"/>
      <c r="R48" s="9"/>
      <c r="AB48" s="9"/>
      <c r="AC48" s="9"/>
      <c r="AD48" s="9"/>
    </row>
    <row r="49" spans="2:30">
      <c r="B49" s="1167"/>
      <c r="C49" s="1167"/>
      <c r="D49" s="1167"/>
      <c r="E49" s="1167"/>
      <c r="F49" s="1167"/>
      <c r="G49" s="1167"/>
      <c r="H49" s="1167"/>
      <c r="I49" s="1167"/>
      <c r="J49" s="1304"/>
      <c r="K49" s="1167"/>
      <c r="L49" s="1167"/>
      <c r="M49" s="1167"/>
      <c r="N49" s="1167"/>
      <c r="O49" s="1167"/>
      <c r="P49" s="1167"/>
      <c r="Q49" s="1167"/>
      <c r="R49" s="9"/>
      <c r="AB49" s="9"/>
      <c r="AC49" s="9"/>
      <c r="AD49" s="9"/>
    </row>
    <row r="50" spans="2:30">
      <c r="B50" s="1167"/>
      <c r="C50" s="651" t="s">
        <v>3087</v>
      </c>
      <c r="D50" s="651"/>
      <c r="E50" s="651"/>
      <c r="F50" s="651"/>
      <c r="G50" s="651"/>
      <c r="H50" s="652">
        <f>ROUNDDOWN(IF(VALUE(H26)=4%,H28+H12,MIN(H44+H12,H28+H12,H48))+H46, 0)</f>
        <v>0</v>
      </c>
      <c r="I50" s="1167"/>
      <c r="J50" s="1304"/>
      <c r="K50" s="651" t="s">
        <v>3087</v>
      </c>
      <c r="L50" s="651"/>
      <c r="M50" s="651"/>
      <c r="N50" s="651"/>
      <c r="O50" s="651"/>
      <c r="P50" s="652">
        <f>ROUNDDOWN(IF(VALUE(P26)&gt;0%, P28+P12, MIN(P44+P12, P28+P12, P48)) + P46, 0)</f>
        <v>0</v>
      </c>
      <c r="Q50" s="1476"/>
      <c r="R50" s="9"/>
      <c r="S50" s="930" t="s">
        <v>4419</v>
      </c>
      <c r="T50" s="930"/>
      <c r="U50" s="930"/>
      <c r="V50" s="930"/>
      <c r="W50" s="955"/>
      <c r="X50" s="955"/>
      <c r="AB50" s="9"/>
      <c r="AC50" s="9"/>
      <c r="AD50" s="9"/>
    </row>
    <row r="51" spans="2:30">
      <c r="B51" s="1167"/>
      <c r="C51" s="1167"/>
      <c r="D51" s="1167"/>
      <c r="E51" s="1167"/>
      <c r="F51" s="1167"/>
      <c r="G51" s="1167"/>
      <c r="H51" s="1167"/>
      <c r="I51" s="1167"/>
      <c r="J51" s="1167"/>
      <c r="K51" s="1167"/>
      <c r="L51" s="1167"/>
      <c r="M51" s="1167"/>
      <c r="N51" s="1167"/>
      <c r="O51" s="1167"/>
      <c r="P51" s="1167"/>
      <c r="Q51" s="1167"/>
      <c r="R51" s="9"/>
      <c r="S51" s="930"/>
      <c r="T51" s="930"/>
      <c r="U51" s="930"/>
      <c r="V51" s="930"/>
      <c r="W51" s="955"/>
      <c r="X51" s="955"/>
      <c r="AB51" s="9"/>
      <c r="AC51" s="9"/>
      <c r="AD51" s="9"/>
    </row>
    <row r="52" spans="2:30">
      <c r="B52" s="1167"/>
      <c r="C52" s="2244" t="s">
        <v>4420</v>
      </c>
      <c r="D52" s="2245"/>
      <c r="E52" s="2245"/>
      <c r="F52" s="2245"/>
      <c r="G52" s="2245"/>
      <c r="H52" s="2245"/>
      <c r="I52" s="2245"/>
      <c r="J52" s="2245"/>
      <c r="K52" s="2245"/>
      <c r="L52" s="2245"/>
      <c r="M52" s="2245"/>
      <c r="N52" s="2245"/>
      <c r="O52" s="2245"/>
      <c r="P52" s="2245"/>
      <c r="Q52" s="1167"/>
      <c r="R52" s="9"/>
      <c r="S52" s="930"/>
      <c r="T52" s="930"/>
      <c r="U52" s="930"/>
      <c r="V52" s="930"/>
      <c r="W52" s="955"/>
      <c r="X52" s="955"/>
      <c r="AB52" s="9"/>
      <c r="AC52" s="9"/>
      <c r="AD52" s="9"/>
    </row>
    <row r="53" spans="2:30">
      <c r="B53" s="1167"/>
      <c r="C53" s="2244"/>
      <c r="D53" s="2245"/>
      <c r="E53" s="2245"/>
      <c r="F53" s="2245"/>
      <c r="G53" s="2245"/>
      <c r="H53" s="2245"/>
      <c r="I53" s="2245"/>
      <c r="J53" s="2245"/>
      <c r="K53" s="2245"/>
      <c r="L53" s="2245"/>
      <c r="M53" s="2245"/>
      <c r="N53" s="2245"/>
      <c r="O53" s="2245"/>
      <c r="P53" s="2245"/>
      <c r="Q53" s="1167"/>
      <c r="R53" s="9"/>
      <c r="S53" s="930"/>
      <c r="T53" s="930"/>
      <c r="U53" s="930"/>
      <c r="V53" s="930"/>
      <c r="W53" s="955"/>
      <c r="X53" s="955"/>
      <c r="AB53" s="9"/>
      <c r="AC53" s="9"/>
      <c r="AD53" s="9"/>
    </row>
    <row r="54" spans="2:30">
      <c r="B54" s="1167"/>
      <c r="C54" s="2246" t="s">
        <v>4421</v>
      </c>
      <c r="D54" s="2247"/>
      <c r="E54" s="2247"/>
      <c r="F54" s="2247"/>
      <c r="G54" s="2247"/>
      <c r="H54" s="2247"/>
      <c r="I54" s="2247"/>
      <c r="J54" s="2247"/>
      <c r="K54" s="2247"/>
      <c r="L54" s="2247"/>
      <c r="M54" s="2247"/>
      <c r="N54" s="2247"/>
      <c r="O54" s="2247"/>
      <c r="P54" s="2247"/>
      <c r="Q54" s="1167"/>
      <c r="R54" s="9"/>
      <c r="S54" s="930"/>
      <c r="T54" s="930"/>
      <c r="U54" s="930"/>
      <c r="V54" s="930"/>
      <c r="W54" s="955"/>
      <c r="X54" s="955"/>
      <c r="AB54" s="9"/>
      <c r="AC54" s="9"/>
      <c r="AD54" s="9"/>
    </row>
    <row r="55" spans="2:30">
      <c r="B55" s="1167"/>
      <c r="C55" s="1167"/>
      <c r="D55" s="1167"/>
      <c r="E55" s="1167"/>
      <c r="F55" s="1167"/>
      <c r="G55" s="1167"/>
      <c r="H55" s="1167"/>
      <c r="I55" s="1167"/>
      <c r="J55" s="1167"/>
      <c r="K55" s="1167"/>
      <c r="L55" s="1167"/>
      <c r="M55" s="1167"/>
      <c r="N55" s="1167"/>
      <c r="O55" s="1167"/>
      <c r="P55" s="1167"/>
      <c r="Q55" s="1167"/>
      <c r="R55" s="9"/>
    </row>
    <row r="56" spans="2:30" ht="19">
      <c r="B56" s="34" t="s">
        <v>3364</v>
      </c>
      <c r="D56" s="39"/>
      <c r="E56" s="29"/>
      <c r="F56" s="41"/>
      <c r="G56" s="41"/>
      <c r="H56" s="41"/>
      <c r="I56" s="9"/>
      <c r="J56" s="9"/>
      <c r="K56" s="9"/>
      <c r="L56" s="9"/>
      <c r="M56" s="9"/>
      <c r="N56" s="9"/>
      <c r="O56" s="9"/>
      <c r="P56" s="9"/>
      <c r="Q56" s="149"/>
      <c r="R56" s="9"/>
    </row>
    <row r="57" spans="2:30">
      <c r="B57" s="1689"/>
      <c r="C57" s="1688" t="s">
        <v>3852</v>
      </c>
      <c r="D57" s="1689"/>
      <c r="E57" s="1689"/>
      <c r="F57" s="1689"/>
      <c r="G57" s="1689"/>
      <c r="H57" s="1689"/>
      <c r="I57" s="1178"/>
      <c r="J57" s="1178"/>
      <c r="K57" s="1178"/>
      <c r="L57" s="1178"/>
      <c r="M57" s="1178"/>
      <c r="N57" s="1178"/>
      <c r="O57" s="1178"/>
      <c r="P57" s="1178"/>
      <c r="Q57" s="1174"/>
      <c r="R57" s="9"/>
    </row>
    <row r="58" spans="2:30">
      <c r="B58" s="1689"/>
      <c r="C58" s="2226"/>
      <c r="D58" s="2227"/>
      <c r="E58" s="2227"/>
      <c r="F58" s="2227"/>
      <c r="G58" s="2227"/>
      <c r="H58" s="2227"/>
      <c r="I58" s="2227"/>
      <c r="J58" s="2227"/>
      <c r="K58" s="2227"/>
      <c r="L58" s="2227"/>
      <c r="M58" s="2227"/>
      <c r="N58" s="2227"/>
      <c r="O58" s="2228"/>
      <c r="P58" s="1178"/>
      <c r="Q58" s="1174"/>
      <c r="R58" s="9"/>
    </row>
    <row r="59" spans="2:30">
      <c r="B59" s="1689"/>
      <c r="C59" s="2229"/>
      <c r="D59" s="2230"/>
      <c r="E59" s="2230"/>
      <c r="F59" s="2230"/>
      <c r="G59" s="2230"/>
      <c r="H59" s="2230"/>
      <c r="I59" s="2230"/>
      <c r="J59" s="2230"/>
      <c r="K59" s="2230"/>
      <c r="L59" s="2230"/>
      <c r="M59" s="2230"/>
      <c r="N59" s="2230"/>
      <c r="O59" s="2231"/>
      <c r="P59" s="1178"/>
      <c r="Q59" s="1174"/>
      <c r="R59" s="9"/>
    </row>
    <row r="60" spans="2:30">
      <c r="B60" s="1689"/>
      <c r="C60" s="2229"/>
      <c r="D60" s="2230"/>
      <c r="E60" s="2230"/>
      <c r="F60" s="2230"/>
      <c r="G60" s="2230"/>
      <c r="H60" s="2230"/>
      <c r="I60" s="2230"/>
      <c r="J60" s="2230"/>
      <c r="K60" s="2230"/>
      <c r="L60" s="2230"/>
      <c r="M60" s="2230"/>
      <c r="N60" s="2230"/>
      <c r="O60" s="2231"/>
      <c r="P60" s="1178"/>
      <c r="Q60" s="1174"/>
      <c r="R60" s="9"/>
    </row>
    <row r="61" spans="2:30">
      <c r="B61" s="1689"/>
      <c r="C61" s="2229"/>
      <c r="D61" s="2230"/>
      <c r="E61" s="2230"/>
      <c r="F61" s="2230"/>
      <c r="G61" s="2230"/>
      <c r="H61" s="2230"/>
      <c r="I61" s="2230"/>
      <c r="J61" s="2230"/>
      <c r="K61" s="2230"/>
      <c r="L61" s="2230"/>
      <c r="M61" s="2230"/>
      <c r="N61" s="2230"/>
      <c r="O61" s="2231"/>
      <c r="P61" s="1178"/>
      <c r="Q61" s="1174"/>
      <c r="R61" s="9"/>
    </row>
    <row r="62" spans="2:30">
      <c r="B62" s="1689"/>
      <c r="C62" s="2229"/>
      <c r="D62" s="2230"/>
      <c r="E62" s="2230"/>
      <c r="F62" s="2230"/>
      <c r="G62" s="2230"/>
      <c r="H62" s="2230"/>
      <c r="I62" s="2230"/>
      <c r="J62" s="2230"/>
      <c r="K62" s="2230"/>
      <c r="L62" s="2230"/>
      <c r="M62" s="2230"/>
      <c r="N62" s="2230"/>
      <c r="O62" s="2231"/>
      <c r="P62" s="1178"/>
      <c r="Q62" s="1174"/>
      <c r="R62" s="9"/>
    </row>
    <row r="63" spans="2:30">
      <c r="B63" s="1689"/>
      <c r="C63" s="2229"/>
      <c r="D63" s="2230"/>
      <c r="E63" s="2230"/>
      <c r="F63" s="2230"/>
      <c r="G63" s="2230"/>
      <c r="H63" s="2230"/>
      <c r="I63" s="2230"/>
      <c r="J63" s="2230"/>
      <c r="K63" s="2230"/>
      <c r="L63" s="2230"/>
      <c r="M63" s="2230"/>
      <c r="N63" s="2230"/>
      <c r="O63" s="2231"/>
      <c r="P63" s="1178"/>
      <c r="Q63" s="1174"/>
      <c r="R63" s="9"/>
    </row>
    <row r="64" spans="2:30">
      <c r="B64" s="1689"/>
      <c r="C64" s="2229"/>
      <c r="D64" s="2230"/>
      <c r="E64" s="2230"/>
      <c r="F64" s="2230"/>
      <c r="G64" s="2230"/>
      <c r="H64" s="2230"/>
      <c r="I64" s="2230"/>
      <c r="J64" s="2230"/>
      <c r="K64" s="2230"/>
      <c r="L64" s="2230"/>
      <c r="M64" s="2230"/>
      <c r="N64" s="2230"/>
      <c r="O64" s="2231"/>
      <c r="P64" s="1178"/>
      <c r="Q64" s="1174"/>
      <c r="R64" s="9"/>
    </row>
    <row r="65" spans="2:18">
      <c r="B65" s="1689"/>
      <c r="C65" s="2232"/>
      <c r="D65" s="2233"/>
      <c r="E65" s="2233"/>
      <c r="F65" s="2233"/>
      <c r="G65" s="2233"/>
      <c r="H65" s="2233"/>
      <c r="I65" s="2233"/>
      <c r="J65" s="2233"/>
      <c r="K65" s="2233"/>
      <c r="L65" s="2233"/>
      <c r="M65" s="2233"/>
      <c r="N65" s="2233"/>
      <c r="O65" s="2234"/>
      <c r="P65" s="1178"/>
      <c r="Q65" s="1174"/>
      <c r="R65" s="9"/>
    </row>
    <row r="66" spans="2:18">
      <c r="B66" s="1689"/>
      <c r="C66" s="1689"/>
      <c r="D66" s="1689"/>
      <c r="E66" s="1689"/>
      <c r="F66" s="1689"/>
      <c r="G66" s="1689"/>
      <c r="H66" s="1689"/>
      <c r="I66" s="1178"/>
      <c r="J66" s="1178"/>
      <c r="K66" s="1178"/>
      <c r="L66" s="1178"/>
      <c r="M66" s="1178"/>
      <c r="N66" s="1178"/>
      <c r="O66" s="1178"/>
      <c r="P66" s="1178"/>
      <c r="Q66" s="1174"/>
      <c r="R66" s="9"/>
    </row>
    <row r="67" spans="2:18">
      <c r="B67" s="42" t="s">
        <v>3371</v>
      </c>
      <c r="C67" s="33"/>
      <c r="D67" s="33"/>
      <c r="E67" s="33"/>
      <c r="F67" s="33"/>
      <c r="G67" s="33"/>
      <c r="H67" s="33"/>
      <c r="I67" s="33"/>
      <c r="J67" s="33"/>
      <c r="K67" s="33"/>
      <c r="L67" s="33"/>
      <c r="M67" s="33"/>
      <c r="N67" s="33"/>
      <c r="O67" s="33"/>
      <c r="P67" s="33"/>
      <c r="Q67" s="33"/>
      <c r="R67" s="9"/>
    </row>
    <row r="68" spans="2:18" ht="19">
      <c r="B68" s="34" t="s">
        <v>3372</v>
      </c>
      <c r="D68" s="29"/>
      <c r="E68" s="29"/>
      <c r="F68" s="41"/>
      <c r="G68" s="41"/>
      <c r="H68" s="41"/>
      <c r="I68" s="149"/>
      <c r="J68" s="149"/>
      <c r="K68" s="149"/>
      <c r="L68" s="149"/>
      <c r="M68" s="149"/>
      <c r="N68" s="149"/>
      <c r="O68" s="149"/>
      <c r="P68" s="149"/>
      <c r="Q68" s="149"/>
      <c r="R68" s="9"/>
    </row>
    <row r="69" spans="2:18">
      <c r="B69" s="1689"/>
      <c r="C69" s="1688"/>
      <c r="D69" s="1689"/>
      <c r="E69" s="1689"/>
      <c r="F69" s="1689"/>
      <c r="G69" s="1689"/>
      <c r="H69" s="1689"/>
      <c r="I69" s="1174"/>
      <c r="J69" s="1174"/>
      <c r="K69" s="1174"/>
      <c r="L69" s="1174"/>
      <c r="M69" s="1174"/>
      <c r="N69" s="1174"/>
      <c r="O69" s="1174"/>
      <c r="P69" s="1174"/>
      <c r="Q69" s="1174"/>
      <c r="R69" s="9"/>
    </row>
    <row r="70" spans="2:18">
      <c r="B70" s="1689"/>
      <c r="C70" s="2235"/>
      <c r="D70" s="2236"/>
      <c r="E70" s="2236"/>
      <c r="F70" s="2236"/>
      <c r="G70" s="2236"/>
      <c r="H70" s="2236"/>
      <c r="I70" s="2236"/>
      <c r="J70" s="2236"/>
      <c r="K70" s="2236"/>
      <c r="L70" s="2236"/>
      <c r="M70" s="2236"/>
      <c r="N70" s="2236"/>
      <c r="O70" s="2237"/>
      <c r="P70" s="1174"/>
      <c r="Q70" s="1174"/>
      <c r="R70" s="9"/>
    </row>
    <row r="71" spans="2:18">
      <c r="B71" s="1689"/>
      <c r="C71" s="2238"/>
      <c r="D71" s="2239"/>
      <c r="E71" s="2239"/>
      <c r="F71" s="2239"/>
      <c r="G71" s="2239"/>
      <c r="H71" s="2239"/>
      <c r="I71" s="2239"/>
      <c r="J71" s="2239"/>
      <c r="K71" s="2239"/>
      <c r="L71" s="2239"/>
      <c r="M71" s="2239"/>
      <c r="N71" s="2239"/>
      <c r="O71" s="2240"/>
      <c r="P71" s="1174"/>
      <c r="Q71" s="1174"/>
      <c r="R71" s="9"/>
    </row>
    <row r="72" spans="2:18">
      <c r="B72" s="1689"/>
      <c r="C72" s="2238"/>
      <c r="D72" s="2239"/>
      <c r="E72" s="2239"/>
      <c r="F72" s="2239"/>
      <c r="G72" s="2239"/>
      <c r="H72" s="2239"/>
      <c r="I72" s="2239"/>
      <c r="J72" s="2239"/>
      <c r="K72" s="2239"/>
      <c r="L72" s="2239"/>
      <c r="M72" s="2239"/>
      <c r="N72" s="2239"/>
      <c r="O72" s="2240"/>
      <c r="P72" s="1174"/>
      <c r="Q72" s="1174"/>
      <c r="R72" s="9"/>
    </row>
    <row r="73" spans="2:18">
      <c r="B73" s="1689"/>
      <c r="C73" s="2241"/>
      <c r="D73" s="2242"/>
      <c r="E73" s="2242"/>
      <c r="F73" s="2242"/>
      <c r="G73" s="2242"/>
      <c r="H73" s="2242"/>
      <c r="I73" s="2242"/>
      <c r="J73" s="2242"/>
      <c r="K73" s="2242"/>
      <c r="L73" s="2242"/>
      <c r="M73" s="2242"/>
      <c r="N73" s="2242"/>
      <c r="O73" s="2243"/>
      <c r="P73" s="1167"/>
      <c r="Q73" s="1167"/>
      <c r="R73" s="9"/>
    </row>
    <row r="74" spans="2:18">
      <c r="B74" s="1689"/>
      <c r="C74" s="1689"/>
      <c r="D74" s="1689"/>
      <c r="E74" s="1689"/>
      <c r="F74" s="1689"/>
      <c r="G74" s="1689"/>
      <c r="H74" s="1689"/>
      <c r="I74" s="1167"/>
      <c r="J74" s="1167"/>
      <c r="K74" s="1167"/>
      <c r="L74" s="1167"/>
      <c r="M74" s="1167"/>
      <c r="N74" s="1167"/>
      <c r="O74" s="1167"/>
      <c r="P74" s="1167"/>
      <c r="Q74" s="1167"/>
      <c r="R74" s="9"/>
    </row>
    <row r="75" spans="2:18">
      <c r="R75" s="9"/>
    </row>
  </sheetData>
  <sheetProtection algorithmName="SHA-512" hashValue="l82+l0KKPXNdZ9bL8lRFzoj71mZ3rIinqc6D9XRN+NDDCb2Ro4MKi32+HKLY1zVxzLU55wD2GcZfiA/E8gKo0A==" saltValue="Fmkj0VftFrpFPNOsf5302A==" spinCount="100000" sheet="1" objects="1" scenarios="1" selectLockedCells="1"/>
  <dataConsolidate/>
  <mergeCells count="18">
    <mergeCell ref="C46:G46"/>
    <mergeCell ref="K46:O46"/>
    <mergeCell ref="K28:O28"/>
    <mergeCell ref="C28:G28"/>
    <mergeCell ref="K6:P6"/>
    <mergeCell ref="C6:H6"/>
    <mergeCell ref="K30:P30"/>
    <mergeCell ref="K14:P14"/>
    <mergeCell ref="C30:H30"/>
    <mergeCell ref="C7:H7"/>
    <mergeCell ref="C14:H14"/>
    <mergeCell ref="K7:P7"/>
    <mergeCell ref="C58:O65"/>
    <mergeCell ref="C70:O73"/>
    <mergeCell ref="C52:P53"/>
    <mergeCell ref="C54:P54"/>
    <mergeCell ref="K48:O48"/>
    <mergeCell ref="C48:G48"/>
  </mergeCells>
  <dataValidations count="3">
    <dataValidation type="custom" allowBlank="1" showInputMessage="1" showErrorMessage="1" sqref="K1:K2" xr:uid="{C9E3C315-4616-4FE7-927A-81655D076925}">
      <formula1>"&lt;0&gt;0"</formula1>
    </dataValidation>
    <dataValidation type="custom" showInputMessage="1" showErrorMessage="1" errorTitle="Incorrect Boost Configuration" error="Please input a QCT/DDA/HFA Boost between 0% and 30%. Note that you may only claim 1 boost type per project." sqref="O22 G22" xr:uid="{66EDA38E-51A5-4B93-8693-5CDB4AAB23BB}">
      <formula1>IF(AND(G21=0,G22&lt;=30%),TRUE,IF(G22&lt;=0,TRUE,FALSE))</formula1>
    </dataValidation>
    <dataValidation type="custom" showInputMessage="1" showErrorMessage="1" errorTitle="Incorrect Boost Configuration" error="Please input a QCT/DDA/HFA Boost between 0% and 30%. Note that you may only claim 1 boost type per project." sqref="G21 O21" xr:uid="{C5B0C897-79A9-4CF3-B3A0-DCA793F60C8D}">
      <formula1>IF(AND(G22=0,G21&lt;=30%),TRUE,IF(G21&lt;=0,TRUE,FALSE))</formula1>
    </dataValidation>
  </dataValidations>
  <pageMargins left="0.7" right="0.7" top="0.75" bottom="0.75" header="0.3" footer="0.3"/>
  <pageSetup scale="51" orientation="portrait" r:id="rId1"/>
  <headerFooter>
    <oddHeader>&amp;L&amp;G</oddHeader>
    <oddFooter>&amp;LVersion - 2023.0.01&amp;CWHEDA MULTIFAMILY APPLICATION&amp;R&amp;P of &amp;N</oddFooter>
  </headerFooter>
  <colBreaks count="1" manualBreakCount="1">
    <brk id="18"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3E94-4826-41CA-BCF2-C0644E44378D}">
  <sheetPr codeName="Sheet15">
    <pageSetUpPr fitToPage="1"/>
  </sheetPr>
  <dimension ref="A1:AS117"/>
  <sheetViews>
    <sheetView workbookViewId="0">
      <selection activeCell="D8" sqref="D8"/>
    </sheetView>
  </sheetViews>
  <sheetFormatPr baseColWidth="10" defaultColWidth="9.1640625" defaultRowHeight="15"/>
  <cols>
    <col min="1" max="1" width="5.83203125" style="97" customWidth="1"/>
    <col min="2" max="2" width="9.1640625" style="29"/>
    <col min="3" max="3" width="57.5" style="29" customWidth="1"/>
    <col min="4" max="4" width="26.1640625" style="29" customWidth="1"/>
    <col min="5" max="5" width="12.5" style="29" customWidth="1"/>
    <col min="6" max="6" width="21" style="29" customWidth="1"/>
    <col min="7" max="7" width="15.83203125" style="29" customWidth="1"/>
    <col min="8" max="8" width="5.5" style="29" customWidth="1"/>
    <col min="9" max="10" width="15.83203125" style="29" customWidth="1"/>
    <col min="11" max="11" width="20.5" style="29" customWidth="1"/>
    <col min="12" max="12" width="19.5" style="29" bestFit="1" customWidth="1"/>
    <col min="13" max="13" width="16.5" style="29" customWidth="1"/>
    <col min="14" max="14" width="24" style="29" bestFit="1" customWidth="1"/>
    <col min="15" max="15" width="17.83203125" style="29" customWidth="1"/>
    <col min="16" max="16384" width="9.1640625" style="29"/>
  </cols>
  <sheetData>
    <row r="1" spans="1:45" s="76" customFormat="1" ht="29">
      <c r="A1" s="97"/>
      <c r="B1" s="4" t="str">
        <f>'1. TOC'!B1</f>
        <v>WHEDA 2025 Multifamily Application</v>
      </c>
      <c r="E1" s="540" t="str">
        <f>'1. TOC'!L1</f>
        <v>v25.1.9</v>
      </c>
      <c r="F1" s="97"/>
      <c r="G1" s="1086" t="str">
        <f>HYPERLINK("#Table_of_Contents", Table_of_Contents)</f>
        <v>Table of Contents</v>
      </c>
      <c r="H1" s="97"/>
      <c r="I1" s="97"/>
      <c r="J1" s="97"/>
      <c r="K1" s="97"/>
      <c r="L1" s="97"/>
      <c r="M1" s="97"/>
      <c r="N1" s="97"/>
      <c r="O1" s="97"/>
      <c r="P1" s="97"/>
    </row>
    <row r="2" spans="1:45" s="76" customFormat="1" ht="19">
      <c r="A2" s="97"/>
      <c r="B2" s="934" t="str">
        <f>_xlfn.CONCAT(IF(ISBLANK(WHEDA_Project_Number),"",_xlfn.CONCAT(WHEDA_Project_Number,"-")), Project_Name, IF(ISBLANK(Credit_percentage_applied_for),"",_xlfn.CONCAT(" (", Credit_percentage_applied_for," HTC)")))</f>
        <v/>
      </c>
      <c r="C2" s="153"/>
      <c r="D2" s="153"/>
      <c r="E2" s="957"/>
      <c r="F2" s="958"/>
      <c r="G2" s="937"/>
      <c r="H2" s="958"/>
      <c r="I2" s="97"/>
      <c r="J2" s="97"/>
      <c r="K2" s="97"/>
      <c r="L2" s="97"/>
      <c r="M2" s="97"/>
      <c r="N2" s="97"/>
      <c r="O2" s="97"/>
      <c r="P2" s="97"/>
    </row>
    <row r="3" spans="1:45" s="76" customFormat="1" ht="19">
      <c r="A3" s="956"/>
      <c r="C3" s="102"/>
      <c r="D3" s="97"/>
      <c r="E3" s="97"/>
      <c r="F3" s="97"/>
      <c r="G3" s="97"/>
      <c r="H3" s="97"/>
      <c r="I3" s="97"/>
      <c r="J3" s="97"/>
      <c r="K3" s="97"/>
      <c r="L3" s="97"/>
      <c r="M3" s="97"/>
      <c r="N3" s="97"/>
      <c r="O3" s="97"/>
      <c r="P3" s="97"/>
    </row>
    <row r="4" spans="1:45" s="97" customFormat="1" ht="29">
      <c r="B4" s="4" t="s">
        <v>3089</v>
      </c>
    </row>
    <row r="5" spans="1:45" s="97" customFormat="1" ht="19">
      <c r="B5" s="8" t="s">
        <v>4422</v>
      </c>
    </row>
    <row r="6" spans="1:45">
      <c r="B6" s="1220"/>
      <c r="C6" s="1688"/>
      <c r="D6" s="1220"/>
      <c r="E6" s="1220"/>
      <c r="F6" s="1307"/>
      <c r="G6" s="1220"/>
      <c r="H6" s="1220"/>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row>
    <row r="7" spans="1:45">
      <c r="B7" s="1220"/>
      <c r="C7" s="2252" t="s">
        <v>3090</v>
      </c>
      <c r="D7" s="2253"/>
      <c r="E7" s="1220"/>
      <c r="F7" s="1307"/>
      <c r="G7" s="1220"/>
      <c r="H7" s="1220"/>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row>
    <row r="8" spans="1:45">
      <c r="B8" s="1220"/>
      <c r="C8" s="1310" t="s">
        <v>3091</v>
      </c>
      <c r="D8" s="305"/>
      <c r="E8" s="1220"/>
      <c r="F8" s="1307"/>
      <c r="G8" s="1220"/>
      <c r="H8" s="1220"/>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row>
    <row r="9" spans="1:45">
      <c r="B9" s="1220"/>
      <c r="C9" s="1310" t="s">
        <v>3093</v>
      </c>
      <c r="D9" s="305"/>
      <c r="E9" s="1220"/>
      <c r="F9" s="1307"/>
      <c r="G9" s="1220"/>
      <c r="H9" s="1220"/>
    </row>
    <row r="10" spans="1:45">
      <c r="B10" s="1220"/>
      <c r="C10" s="1310" t="s">
        <v>3095</v>
      </c>
      <c r="D10" s="305"/>
      <c r="E10" s="1220"/>
      <c r="F10" s="1307"/>
      <c r="G10" s="1220"/>
      <c r="H10" s="1220"/>
    </row>
    <row r="11" spans="1:45">
      <c r="B11" s="1220"/>
      <c r="C11" s="1310" t="s">
        <v>3097</v>
      </c>
      <c r="D11" s="305"/>
      <c r="E11" s="1220"/>
      <c r="F11" s="1307"/>
      <c r="G11" s="1220"/>
      <c r="H11" s="1220"/>
    </row>
    <row r="12" spans="1:45">
      <c r="B12" s="1220"/>
      <c r="C12" s="1311" t="s">
        <v>4423</v>
      </c>
      <c r="D12" s="363">
        <f>F12</f>
        <v>0</v>
      </c>
      <c r="E12" s="1220"/>
      <c r="F12" s="1307">
        <f>SUM(D7:D11)</f>
        <v>0</v>
      </c>
      <c r="G12" s="1220"/>
      <c r="H12" s="1220"/>
    </row>
    <row r="13" spans="1:45">
      <c r="B13" s="1220"/>
      <c r="C13" s="2252" t="s">
        <v>3100</v>
      </c>
      <c r="D13" s="2253"/>
      <c r="E13" s="1220"/>
      <c r="F13" s="1307"/>
      <c r="G13" s="1220"/>
      <c r="H13" s="1220"/>
    </row>
    <row r="14" spans="1:45">
      <c r="B14" s="1220"/>
      <c r="C14" s="1310" t="s">
        <v>3102</v>
      </c>
      <c r="D14" s="305"/>
      <c r="E14" s="1220"/>
      <c r="F14" s="1307"/>
      <c r="G14" s="1220"/>
      <c r="H14" s="1220"/>
    </row>
    <row r="15" spans="1:45">
      <c r="B15" s="1220"/>
      <c r="C15" s="1310" t="s">
        <v>3104</v>
      </c>
      <c r="D15" s="305"/>
      <c r="E15" s="1220"/>
      <c r="F15" s="1307"/>
      <c r="G15" s="1220"/>
      <c r="H15" s="1220"/>
    </row>
    <row r="16" spans="1:45">
      <c r="B16" s="1220"/>
      <c r="C16" s="1310" t="s">
        <v>3106</v>
      </c>
      <c r="D16" s="305"/>
      <c r="E16" s="1220"/>
      <c r="F16" s="1307"/>
      <c r="G16" s="1220"/>
      <c r="H16" s="1220"/>
    </row>
    <row r="17" spans="2:18">
      <c r="B17" s="1220"/>
      <c r="C17" s="1310" t="s">
        <v>3107</v>
      </c>
      <c r="D17" s="314"/>
      <c r="E17" s="1220"/>
      <c r="F17" s="1307"/>
      <c r="G17" s="1220"/>
      <c r="H17" s="1220"/>
    </row>
    <row r="18" spans="2:18">
      <c r="B18" s="1220"/>
      <c r="C18" s="1310" t="s">
        <v>3108</v>
      </c>
      <c r="D18" s="314"/>
      <c r="E18" s="1220"/>
      <c r="F18" s="1307"/>
      <c r="G18" s="1220"/>
      <c r="H18" s="1220"/>
    </row>
    <row r="19" spans="2:18">
      <c r="B19" s="1220"/>
      <c r="C19" s="1310" t="s">
        <v>3109</v>
      </c>
      <c r="D19" s="314"/>
      <c r="E19" s="1220"/>
      <c r="F19" s="1307"/>
      <c r="G19" s="1220"/>
      <c r="H19" s="1220"/>
    </row>
    <row r="20" spans="2:18">
      <c r="B20" s="1220"/>
      <c r="C20" s="1310" t="s">
        <v>3110</v>
      </c>
      <c r="D20" s="305"/>
      <c r="E20" s="1220"/>
      <c r="F20" s="1307"/>
      <c r="G20" s="1220"/>
      <c r="H20" s="1220"/>
    </row>
    <row r="21" spans="2:18">
      <c r="B21" s="1220"/>
      <c r="C21" s="1310" t="s">
        <v>3111</v>
      </c>
      <c r="D21" s="305"/>
      <c r="E21" s="1220"/>
      <c r="F21" s="1307"/>
      <c r="G21" s="1220"/>
      <c r="H21" s="1220"/>
    </row>
    <row r="22" spans="2:18">
      <c r="B22" s="1220"/>
      <c r="C22" s="1310" t="s">
        <v>3112</v>
      </c>
      <c r="D22" s="305"/>
      <c r="E22" s="1220"/>
      <c r="F22" s="1307"/>
      <c r="G22" s="1220"/>
      <c r="H22" s="1220"/>
    </row>
    <row r="23" spans="2:18" ht="16">
      <c r="B23" s="1220"/>
      <c r="C23" s="1310" t="s">
        <v>3113</v>
      </c>
      <c r="D23" s="305"/>
      <c r="E23" s="1220"/>
      <c r="F23" s="1307"/>
      <c r="G23" s="1220"/>
      <c r="H23" s="1220"/>
      <c r="M23" s="43"/>
      <c r="N23" s="43"/>
      <c r="O23" s="44"/>
    </row>
    <row r="24" spans="2:18">
      <c r="B24" s="1220"/>
      <c r="C24" s="1310" t="s">
        <v>3114</v>
      </c>
      <c r="D24" s="305"/>
      <c r="E24" s="1220"/>
      <c r="F24" s="1307" t="s">
        <v>3565</v>
      </c>
      <c r="G24" s="1220"/>
      <c r="H24" s="1220"/>
      <c r="L24" s="2263"/>
      <c r="M24" s="2263"/>
      <c r="N24" s="2263"/>
    </row>
    <row r="25" spans="2:18">
      <c r="B25" s="1220"/>
      <c r="C25" s="1310" t="s">
        <v>3115</v>
      </c>
      <c r="D25" s="305"/>
      <c r="E25" s="1220"/>
      <c r="F25" s="1307"/>
      <c r="G25" s="1220"/>
      <c r="H25" s="1220"/>
      <c r="L25" s="2264"/>
      <c r="M25" s="2265"/>
      <c r="N25" s="2265"/>
      <c r="O25" s="2265"/>
      <c r="P25" s="2265"/>
      <c r="Q25" s="2265"/>
      <c r="R25" s="2265"/>
    </row>
    <row r="26" spans="2:18">
      <c r="B26" s="1220"/>
      <c r="C26" s="1310" t="s">
        <v>3116</v>
      </c>
      <c r="D26" s="305"/>
      <c r="E26" s="1220"/>
      <c r="F26" s="1307"/>
      <c r="G26" s="1220"/>
      <c r="H26" s="1220"/>
      <c r="L26" s="2265"/>
      <c r="M26" s="2265"/>
      <c r="N26" s="2265"/>
      <c r="O26" s="2265"/>
      <c r="P26" s="2265"/>
      <c r="Q26" s="2265"/>
      <c r="R26" s="2265"/>
    </row>
    <row r="27" spans="2:18">
      <c r="B27" s="1220"/>
      <c r="C27" s="1310" t="s">
        <v>3117</v>
      </c>
      <c r="D27" s="305"/>
      <c r="E27" s="1220"/>
      <c r="F27" s="1307"/>
      <c r="G27" s="1220"/>
      <c r="H27" s="1220"/>
      <c r="L27" s="2265"/>
      <c r="M27" s="2265"/>
      <c r="N27" s="2265"/>
      <c r="O27" s="2265"/>
      <c r="P27" s="2265"/>
      <c r="Q27" s="2265"/>
      <c r="R27" s="2265"/>
    </row>
    <row r="28" spans="2:18">
      <c r="B28" s="1220"/>
      <c r="C28" s="1312" t="s">
        <v>4424</v>
      </c>
      <c r="D28" s="363">
        <f>F28</f>
        <v>0</v>
      </c>
      <c r="E28" s="1220"/>
      <c r="F28" s="1307">
        <f>SUM(D13:D27)</f>
        <v>0</v>
      </c>
      <c r="G28" s="1220"/>
      <c r="H28" s="1220"/>
      <c r="L28" s="2265"/>
      <c r="M28" s="2265"/>
      <c r="N28" s="2265"/>
      <c r="O28" s="2265"/>
      <c r="P28" s="2265"/>
      <c r="Q28" s="2265"/>
      <c r="R28" s="2265"/>
    </row>
    <row r="29" spans="2:18">
      <c r="B29" s="1220"/>
      <c r="C29" s="2252" t="s">
        <v>3118</v>
      </c>
      <c r="D29" s="2253"/>
      <c r="E29" s="1220"/>
      <c r="F29" s="1307"/>
      <c r="G29" s="1220"/>
      <c r="H29" s="1220"/>
      <c r="L29" s="2265"/>
      <c r="M29" s="2265"/>
      <c r="N29" s="2265"/>
      <c r="O29" s="2265"/>
      <c r="P29" s="2265"/>
      <c r="Q29" s="2265"/>
      <c r="R29" s="2265"/>
    </row>
    <row r="30" spans="2:18">
      <c r="B30" s="1220"/>
      <c r="C30" s="1310" t="s">
        <v>3119</v>
      </c>
      <c r="D30" s="305"/>
      <c r="E30" s="1220"/>
      <c r="F30" s="1307"/>
      <c r="G30" s="1220"/>
      <c r="H30" s="1220"/>
      <c r="L30" s="2265"/>
      <c r="M30" s="2265"/>
      <c r="N30" s="2265"/>
      <c r="O30" s="2265"/>
      <c r="P30" s="2265"/>
      <c r="Q30" s="2265"/>
      <c r="R30" s="2265"/>
    </row>
    <row r="31" spans="2:18">
      <c r="B31" s="1220"/>
      <c r="C31" s="1310" t="s">
        <v>3120</v>
      </c>
      <c r="D31" s="305"/>
      <c r="E31" s="1220"/>
      <c r="F31" s="1307"/>
      <c r="G31" s="1220"/>
      <c r="H31" s="1220"/>
      <c r="L31" s="2265"/>
      <c r="M31" s="2265"/>
      <c r="N31" s="2265"/>
      <c r="O31" s="2265"/>
      <c r="P31" s="2265"/>
      <c r="Q31" s="2265"/>
      <c r="R31" s="2265"/>
    </row>
    <row r="32" spans="2:18">
      <c r="B32" s="1220"/>
      <c r="C32" s="1310" t="s">
        <v>3121</v>
      </c>
      <c r="D32" s="305"/>
      <c r="E32" s="1220"/>
      <c r="F32" s="1307"/>
      <c r="G32" s="1220"/>
      <c r="H32" s="1220"/>
      <c r="L32" s="2265"/>
      <c r="M32" s="2265"/>
      <c r="N32" s="2265"/>
      <c r="O32" s="2265"/>
      <c r="P32" s="2265"/>
      <c r="Q32" s="2265"/>
      <c r="R32" s="2265"/>
    </row>
    <row r="33" spans="2:18">
      <c r="B33" s="1220"/>
      <c r="C33" s="1310" t="s">
        <v>255</v>
      </c>
      <c r="D33" s="305"/>
      <c r="E33" s="1220"/>
      <c r="F33" s="1307"/>
      <c r="G33" s="1220"/>
      <c r="H33" s="1220"/>
      <c r="L33" s="2265"/>
      <c r="M33" s="2265"/>
      <c r="N33" s="2265"/>
      <c r="O33" s="2265"/>
      <c r="P33" s="2265"/>
      <c r="Q33" s="2265"/>
      <c r="R33" s="2265"/>
    </row>
    <row r="34" spans="2:18">
      <c r="B34" s="1220"/>
      <c r="C34" s="1310" t="s">
        <v>3122</v>
      </c>
      <c r="D34" s="305"/>
      <c r="E34" s="1220"/>
      <c r="F34" s="1307"/>
      <c r="G34" s="1220"/>
      <c r="H34" s="1220"/>
      <c r="L34" s="2265"/>
      <c r="M34" s="2265"/>
      <c r="N34" s="2265"/>
      <c r="O34" s="2265"/>
      <c r="P34" s="2265"/>
      <c r="Q34" s="2265"/>
      <c r="R34" s="2265"/>
    </row>
    <row r="35" spans="2:18">
      <c r="B35" s="1220"/>
      <c r="C35" s="1310" t="s">
        <v>3123</v>
      </c>
      <c r="D35" s="305"/>
      <c r="E35" s="1220"/>
      <c r="F35" s="1307"/>
      <c r="G35" s="1220"/>
      <c r="H35" s="1220"/>
      <c r="L35" s="2265"/>
      <c r="M35" s="2265"/>
      <c r="N35" s="2265"/>
      <c r="O35" s="2265"/>
      <c r="P35" s="2265"/>
      <c r="Q35" s="2265"/>
      <c r="R35" s="2265"/>
    </row>
    <row r="36" spans="2:18">
      <c r="B36" s="1220"/>
      <c r="C36" s="1313" t="s">
        <v>4425</v>
      </c>
      <c r="D36" s="363">
        <f>F36</f>
        <v>0</v>
      </c>
      <c r="E36" s="1220"/>
      <c r="F36" s="1308">
        <f>SUM(D29:D35)</f>
        <v>0</v>
      </c>
      <c r="G36" s="1220"/>
      <c r="H36" s="1220"/>
      <c r="L36" s="2265"/>
      <c r="M36" s="2265"/>
      <c r="N36" s="2265"/>
      <c r="O36" s="2265"/>
      <c r="P36" s="2265"/>
      <c r="Q36" s="2265"/>
      <c r="R36" s="2265"/>
    </row>
    <row r="37" spans="2:18">
      <c r="B37" s="1220"/>
      <c r="C37" s="2252" t="s">
        <v>3124</v>
      </c>
      <c r="D37" s="2253"/>
      <c r="E37" s="1220"/>
      <c r="F37" s="1307"/>
      <c r="G37" s="1220"/>
      <c r="H37" s="1220"/>
      <c r="L37" s="2265"/>
      <c r="M37" s="2265"/>
      <c r="N37" s="2265"/>
      <c r="O37" s="2265"/>
      <c r="P37" s="2265"/>
      <c r="Q37" s="2265"/>
      <c r="R37" s="2265"/>
    </row>
    <row r="38" spans="2:18">
      <c r="B38" s="1220"/>
      <c r="C38" s="1310" t="s">
        <v>3125</v>
      </c>
      <c r="D38" s="305"/>
      <c r="E38" s="1220"/>
      <c r="F38" s="1307"/>
      <c r="G38" s="1220"/>
      <c r="H38" s="1220"/>
      <c r="L38" s="2265"/>
      <c r="M38" s="2265"/>
      <c r="N38" s="2265"/>
      <c r="O38" s="2265"/>
      <c r="P38" s="2265"/>
      <c r="Q38" s="2265"/>
      <c r="R38" s="2265"/>
    </row>
    <row r="39" spans="2:18">
      <c r="B39" s="1220"/>
      <c r="C39" s="1310" t="s">
        <v>3126</v>
      </c>
      <c r="D39" s="305"/>
      <c r="E39" s="1220"/>
      <c r="F39" s="1307"/>
      <c r="G39" s="1220"/>
      <c r="H39" s="1220"/>
      <c r="L39" s="2265"/>
      <c r="M39" s="2265"/>
      <c r="N39" s="2265"/>
      <c r="O39" s="2265"/>
      <c r="P39" s="2265"/>
      <c r="Q39" s="2265"/>
      <c r="R39" s="2265"/>
    </row>
    <row r="40" spans="2:18">
      <c r="B40" s="1220"/>
      <c r="C40" s="1310" t="s">
        <v>3127</v>
      </c>
      <c r="D40" s="305"/>
      <c r="E40" s="1220"/>
      <c r="F40" s="1307"/>
      <c r="G40" s="1220"/>
      <c r="H40" s="1220"/>
    </row>
    <row r="41" spans="2:18">
      <c r="B41" s="1220"/>
      <c r="C41" s="1310" t="s">
        <v>3128</v>
      </c>
      <c r="D41" s="305"/>
      <c r="E41" s="1220"/>
      <c r="F41" s="1307"/>
      <c r="G41" s="1220"/>
      <c r="H41" s="1220"/>
    </row>
    <row r="42" spans="2:18">
      <c r="B42" s="1220"/>
      <c r="C42" s="1310" t="s">
        <v>3129</v>
      </c>
      <c r="D42" s="305"/>
      <c r="E42" s="1220"/>
      <c r="F42" s="1307"/>
      <c r="G42" s="1220"/>
      <c r="H42" s="1220"/>
    </row>
    <row r="43" spans="2:18">
      <c r="B43" s="1220"/>
      <c r="C43" s="1310" t="s">
        <v>3130</v>
      </c>
      <c r="D43" s="305"/>
      <c r="E43" s="1220"/>
      <c r="F43" s="1307"/>
      <c r="G43" s="1220"/>
      <c r="H43" s="1220"/>
    </row>
    <row r="44" spans="2:18">
      <c r="B44" s="1220"/>
      <c r="C44" s="1310" t="s">
        <v>3131</v>
      </c>
      <c r="D44" s="305"/>
      <c r="E44" s="1220"/>
      <c r="F44" s="1307"/>
      <c r="G44" s="1220"/>
      <c r="H44" s="1220"/>
    </row>
    <row r="45" spans="2:18">
      <c r="B45" s="1220"/>
      <c r="C45" s="1310" t="s">
        <v>3132</v>
      </c>
      <c r="D45" s="305"/>
      <c r="E45" s="1220"/>
      <c r="F45" s="1307"/>
      <c r="G45" s="1220"/>
      <c r="H45" s="1220"/>
    </row>
    <row r="46" spans="2:18">
      <c r="B46" s="1220"/>
      <c r="C46" s="1310" t="s">
        <v>3133</v>
      </c>
      <c r="D46" s="305"/>
      <c r="E46" s="1220"/>
      <c r="F46" s="1307"/>
      <c r="G46" s="1220"/>
      <c r="H46" s="1220"/>
    </row>
    <row r="47" spans="2:18">
      <c r="B47" s="1220"/>
      <c r="C47" s="1310" t="s">
        <v>4426</v>
      </c>
      <c r="D47" s="305"/>
      <c r="E47" s="1220"/>
      <c r="F47" s="1307"/>
      <c r="G47" s="1220"/>
      <c r="H47" s="1220"/>
    </row>
    <row r="48" spans="2:18">
      <c r="B48" s="1220"/>
      <c r="C48" s="1310" t="s">
        <v>3135</v>
      </c>
      <c r="D48" s="305"/>
      <c r="E48" s="1220"/>
      <c r="F48" s="1307"/>
      <c r="G48" s="1220"/>
      <c r="H48" s="1220"/>
    </row>
    <row r="49" spans="2:8">
      <c r="B49" s="1220"/>
      <c r="C49" s="1313" t="s">
        <v>4427</v>
      </c>
      <c r="D49" s="363">
        <f>F49</f>
        <v>0</v>
      </c>
      <c r="E49" s="1220"/>
      <c r="F49" s="1307">
        <f>SUM(D37:D48)</f>
        <v>0</v>
      </c>
      <c r="G49" s="1220"/>
      <c r="H49" s="1220"/>
    </row>
    <row r="50" spans="2:8">
      <c r="B50" s="1220"/>
      <c r="C50" s="2252" t="s">
        <v>3136</v>
      </c>
      <c r="D50" s="2253"/>
      <c r="E50" s="1220"/>
      <c r="F50" s="1307"/>
      <c r="G50" s="1220"/>
      <c r="H50" s="1220"/>
    </row>
    <row r="51" spans="2:8">
      <c r="B51" s="1220"/>
      <c r="C51" s="1310" t="s">
        <v>3137</v>
      </c>
      <c r="D51" s="305"/>
      <c r="E51" s="1220"/>
      <c r="F51" s="1307"/>
      <c r="G51" s="1220"/>
      <c r="H51" s="1220"/>
    </row>
    <row r="52" spans="2:8">
      <c r="B52" s="1220"/>
      <c r="C52" s="1310" t="s">
        <v>3138</v>
      </c>
      <c r="D52" s="305"/>
      <c r="E52" s="1220"/>
      <c r="F52" s="1307"/>
      <c r="G52" s="1220"/>
      <c r="H52" s="1220"/>
    </row>
    <row r="53" spans="2:8" hidden="1">
      <c r="B53" s="1220"/>
      <c r="C53" s="1310" t="s">
        <v>3139</v>
      </c>
      <c r="D53" s="305"/>
      <c r="E53" s="1220"/>
      <c r="F53" s="1307"/>
      <c r="G53" s="1220"/>
      <c r="H53" s="1220"/>
    </row>
    <row r="54" spans="2:8">
      <c r="B54" s="1220"/>
      <c r="C54" s="1310" t="s">
        <v>3140</v>
      </c>
      <c r="D54" s="305"/>
      <c r="E54" s="1220"/>
      <c r="F54" s="1307"/>
      <c r="G54" s="1220"/>
      <c r="H54" s="1220"/>
    </row>
    <row r="55" spans="2:8">
      <c r="B55" s="1220"/>
      <c r="C55" s="1310" t="s">
        <v>4428</v>
      </c>
      <c r="D55" s="305"/>
      <c r="E55" s="1220"/>
      <c r="F55" s="1307"/>
      <c r="G55" s="1220"/>
      <c r="H55" s="1220"/>
    </row>
    <row r="56" spans="2:8">
      <c r="B56" s="1220"/>
      <c r="C56" s="1310" t="s">
        <v>3142</v>
      </c>
      <c r="D56" s="305"/>
      <c r="E56" s="1220"/>
      <c r="F56" s="1307"/>
      <c r="G56" s="1220"/>
      <c r="H56" s="1220"/>
    </row>
    <row r="57" spans="2:8">
      <c r="B57" s="1220"/>
      <c r="C57" s="1310" t="s">
        <v>3143</v>
      </c>
      <c r="D57" s="305"/>
      <c r="E57" s="1220"/>
      <c r="F57" s="1307"/>
      <c r="G57" s="1220"/>
      <c r="H57" s="1220"/>
    </row>
    <row r="58" spans="2:8">
      <c r="B58" s="1220"/>
      <c r="C58" s="1310" t="s">
        <v>4429</v>
      </c>
      <c r="D58" s="305"/>
      <c r="E58" s="1220"/>
      <c r="F58" s="1307"/>
      <c r="G58" s="1220"/>
      <c r="H58" s="1220"/>
    </row>
    <row r="59" spans="2:8">
      <c r="B59" s="1220"/>
      <c r="C59" s="1311" t="s">
        <v>4430</v>
      </c>
      <c r="D59" s="363">
        <f>F59</f>
        <v>0</v>
      </c>
      <c r="E59" s="1220"/>
      <c r="F59" s="1307">
        <f>SUM(D50:D58)</f>
        <v>0</v>
      </c>
      <c r="G59" s="1220"/>
      <c r="H59" s="1220"/>
    </row>
    <row r="60" spans="2:8">
      <c r="B60" s="1220"/>
      <c r="C60" s="2267" t="s">
        <v>3145</v>
      </c>
      <c r="D60" s="2268"/>
      <c r="E60" s="1220"/>
      <c r="F60" s="1307"/>
      <c r="G60" s="1220"/>
      <c r="H60" s="1220"/>
    </row>
    <row r="61" spans="2:8">
      <c r="B61" s="1220"/>
      <c r="C61" s="1314" t="s">
        <v>3146</v>
      </c>
      <c r="D61" s="306"/>
      <c r="E61" s="1220"/>
      <c r="F61" s="1307"/>
      <c r="G61" s="1220"/>
      <c r="H61" s="1220"/>
    </row>
    <row r="62" spans="2:8">
      <c r="B62" s="1220"/>
      <c r="C62" s="1314" t="s">
        <v>3147</v>
      </c>
      <c r="D62" s="306"/>
      <c r="E62" s="1220"/>
      <c r="F62" s="1307"/>
      <c r="G62" s="1220"/>
      <c r="H62" s="1220"/>
    </row>
    <row r="63" spans="2:8">
      <c r="B63" s="1220"/>
      <c r="C63" s="1314" t="s">
        <v>3148</v>
      </c>
      <c r="D63" s="306"/>
      <c r="E63" s="1220"/>
      <c r="F63" s="1307"/>
      <c r="G63" s="1220"/>
      <c r="H63" s="1220"/>
    </row>
    <row r="64" spans="2:8">
      <c r="B64" s="1220"/>
      <c r="C64" s="1314" t="s">
        <v>4431</v>
      </c>
      <c r="D64" s="306"/>
      <c r="E64" s="1220"/>
      <c r="F64" s="1307"/>
      <c r="G64" s="1220"/>
      <c r="H64" s="1220"/>
    </row>
    <row r="65" spans="2:8">
      <c r="B65" s="1220"/>
      <c r="C65" s="1314" t="s">
        <v>3150</v>
      </c>
      <c r="D65" s="306"/>
      <c r="E65" s="1220"/>
      <c r="F65" s="1307"/>
      <c r="G65" s="1220"/>
      <c r="H65" s="1220"/>
    </row>
    <row r="66" spans="2:8">
      <c r="B66" s="1220"/>
      <c r="C66" s="1314" t="s">
        <v>3151</v>
      </c>
      <c r="D66" s="306"/>
      <c r="E66" s="1220"/>
      <c r="F66" s="1307"/>
      <c r="G66" s="1220"/>
      <c r="H66" s="1220"/>
    </row>
    <row r="67" spans="2:8">
      <c r="B67" s="1220"/>
      <c r="C67" s="1314" t="s">
        <v>3152</v>
      </c>
      <c r="D67" s="306"/>
      <c r="E67" s="1220"/>
      <c r="F67" s="1307"/>
      <c r="G67" s="1220"/>
      <c r="H67" s="1220"/>
    </row>
    <row r="68" spans="2:8">
      <c r="B68" s="1220"/>
      <c r="C68" s="1314" t="s">
        <v>3153</v>
      </c>
      <c r="D68" s="306"/>
      <c r="E68" s="1220"/>
      <c r="F68" s="1307"/>
      <c r="G68" s="1220"/>
      <c r="H68" s="1220"/>
    </row>
    <row r="69" spans="2:8">
      <c r="B69" s="1220"/>
      <c r="C69" s="1314" t="s">
        <v>3154</v>
      </c>
      <c r="D69" s="306"/>
      <c r="E69" s="1220"/>
      <c r="F69" s="1307"/>
      <c r="G69" s="1220"/>
      <c r="H69" s="1220"/>
    </row>
    <row r="70" spans="2:8">
      <c r="B70" s="1220"/>
      <c r="C70" s="1314" t="s">
        <v>3155</v>
      </c>
      <c r="D70" s="306"/>
      <c r="E70" s="1220"/>
      <c r="F70" s="1307"/>
      <c r="G70" s="1220"/>
      <c r="H70" s="1220"/>
    </row>
    <row r="71" spans="2:8">
      <c r="B71" s="1220"/>
      <c r="C71" s="1314" t="s">
        <v>3156</v>
      </c>
      <c r="D71" s="306"/>
      <c r="E71" s="1220"/>
      <c r="F71" s="1307"/>
      <c r="G71" s="1220"/>
      <c r="H71" s="1220"/>
    </row>
    <row r="72" spans="2:8">
      <c r="B72" s="1220"/>
      <c r="C72" s="1314" t="s">
        <v>3157</v>
      </c>
      <c r="D72" s="306"/>
      <c r="E72" s="1220"/>
      <c r="F72" s="1307"/>
      <c r="G72" s="1220"/>
      <c r="H72" s="1220"/>
    </row>
    <row r="73" spans="2:8">
      <c r="B73" s="1220"/>
      <c r="C73" s="1314" t="s">
        <v>3158</v>
      </c>
      <c r="D73" s="306"/>
      <c r="E73" s="1220"/>
      <c r="F73" s="1307"/>
      <c r="G73" s="1220"/>
      <c r="H73" s="1220"/>
    </row>
    <row r="74" spans="2:8">
      <c r="B74" s="1220"/>
      <c r="C74" s="1314" t="s">
        <v>3159</v>
      </c>
      <c r="D74" s="306"/>
      <c r="E74" s="1220"/>
      <c r="F74" s="1307"/>
      <c r="G74" s="1220"/>
      <c r="H74" s="1220"/>
    </row>
    <row r="75" spans="2:8">
      <c r="B75" s="1220"/>
      <c r="C75" s="1314" t="s">
        <v>3160</v>
      </c>
      <c r="D75" s="306"/>
      <c r="E75" s="1220"/>
      <c r="F75" s="1307"/>
      <c r="G75" s="1220"/>
      <c r="H75" s="1220"/>
    </row>
    <row r="76" spans="2:8">
      <c r="B76" s="1220"/>
      <c r="C76" s="1314" t="s">
        <v>3161</v>
      </c>
      <c r="D76" s="306"/>
      <c r="E76" s="1220"/>
      <c r="F76" s="1307"/>
      <c r="G76" s="1220"/>
      <c r="H76" s="1220"/>
    </row>
    <row r="77" spans="2:8">
      <c r="B77" s="1220"/>
      <c r="C77" s="1314" t="s">
        <v>3162</v>
      </c>
      <c r="D77" s="306"/>
      <c r="E77" s="1220"/>
      <c r="F77" s="1307"/>
      <c r="G77" s="1220"/>
      <c r="H77" s="1220"/>
    </row>
    <row r="78" spans="2:8">
      <c r="B78" s="1220"/>
      <c r="C78" s="1314" t="s">
        <v>3163</v>
      </c>
      <c r="D78" s="306"/>
      <c r="E78" s="1220"/>
      <c r="F78" s="1307"/>
      <c r="G78" s="1220"/>
      <c r="H78" s="1220"/>
    </row>
    <row r="79" spans="2:8">
      <c r="B79" s="1220"/>
      <c r="C79" s="1314" t="s">
        <v>3164</v>
      </c>
      <c r="D79" s="306"/>
      <c r="E79" s="1220"/>
      <c r="F79" s="1307"/>
      <c r="G79" s="1220"/>
      <c r="H79" s="1220"/>
    </row>
    <row r="80" spans="2:8">
      <c r="B80" s="1220"/>
      <c r="C80" s="1314" t="s">
        <v>3165</v>
      </c>
      <c r="D80" s="306"/>
      <c r="E80" s="1220"/>
      <c r="F80" s="1307"/>
      <c r="G80" s="1220"/>
      <c r="H80" s="1220"/>
    </row>
    <row r="81" spans="2:8">
      <c r="B81" s="1220"/>
      <c r="C81" s="1314" t="s">
        <v>3166</v>
      </c>
      <c r="D81" s="306"/>
      <c r="E81" s="1220"/>
      <c r="F81" s="1307"/>
      <c r="G81" s="1220"/>
      <c r="H81" s="1220"/>
    </row>
    <row r="82" spans="2:8">
      <c r="B82" s="1220"/>
      <c r="C82" s="1314" t="s">
        <v>3167</v>
      </c>
      <c r="D82" s="306"/>
      <c r="E82" s="1220"/>
      <c r="F82" s="1307"/>
      <c r="G82" s="1220"/>
      <c r="H82" s="1220"/>
    </row>
    <row r="83" spans="2:8">
      <c r="B83" s="1220"/>
      <c r="C83" s="1314" t="s">
        <v>3168</v>
      </c>
      <c r="D83" s="306"/>
      <c r="E83" s="1220"/>
      <c r="F83" s="1307"/>
      <c r="G83" s="1220"/>
      <c r="H83" s="1220"/>
    </row>
    <row r="84" spans="2:8">
      <c r="B84" s="1220"/>
      <c r="C84" s="1314" t="s">
        <v>3169</v>
      </c>
      <c r="D84" s="306"/>
      <c r="E84" s="1220"/>
      <c r="F84" s="1307"/>
      <c r="G84" s="1220"/>
      <c r="H84" s="1220"/>
    </row>
    <row r="85" spans="2:8">
      <c r="B85" s="1220"/>
      <c r="C85" s="1315" t="s">
        <v>3101</v>
      </c>
      <c r="D85" s="363">
        <f>F85</f>
        <v>0</v>
      </c>
      <c r="E85" s="1220"/>
      <c r="F85" s="1307">
        <f>SUM(D60:D84)</f>
        <v>0</v>
      </c>
      <c r="G85" s="1220"/>
      <c r="H85" s="1220"/>
    </row>
    <row r="86" spans="2:8">
      <c r="B86" s="1220"/>
      <c r="C86" s="1316" t="s">
        <v>3170</v>
      </c>
      <c r="D86" s="305"/>
      <c r="E86" s="1220"/>
      <c r="F86" s="1307"/>
      <c r="G86" s="1220"/>
      <c r="H86" s="1220"/>
    </row>
    <row r="87" spans="2:8">
      <c r="B87" s="1220"/>
      <c r="C87" s="848" t="s">
        <v>4432</v>
      </c>
      <c r="D87" s="1113"/>
      <c r="E87" s="1220"/>
      <c r="F87" s="1307"/>
      <c r="G87" s="1220"/>
      <c r="H87" s="1220"/>
    </row>
    <row r="88" spans="2:8">
      <c r="B88" s="1220"/>
      <c r="C88" s="1317" t="s">
        <v>3103</v>
      </c>
      <c r="D88" s="363">
        <f>SUM(D12,D28,D36,D49,D59,D85, D86)</f>
        <v>0</v>
      </c>
      <c r="E88" s="1220"/>
      <c r="F88" s="1308">
        <f>SUM(D12,D28,D36,D49,D59,D85, Annual_Replacement_Reserve)</f>
        <v>0</v>
      </c>
      <c r="G88" s="1220"/>
      <c r="H88" s="1220"/>
    </row>
    <row r="89" spans="2:8">
      <c r="B89" s="1220"/>
      <c r="C89" s="1317" t="s">
        <v>2574</v>
      </c>
      <c r="D89" s="364">
        <f>F89</f>
        <v>0</v>
      </c>
      <c r="E89" s="1220"/>
      <c r="F89" s="1309">
        <f>Total_Units</f>
        <v>0</v>
      </c>
      <c r="G89" s="1220"/>
      <c r="H89" s="1220"/>
    </row>
    <row r="90" spans="2:8">
      <c r="B90" s="1220"/>
      <c r="C90" s="1317" t="s">
        <v>3105</v>
      </c>
      <c r="D90" s="363">
        <f>F90</f>
        <v>0</v>
      </c>
      <c r="E90" s="1220"/>
      <c r="F90" s="1307">
        <f>IF(F89=0,0, ROUNDDOWN(F88/F89/12,0))</f>
        <v>0</v>
      </c>
      <c r="G90" s="1220"/>
      <c r="H90" s="1220"/>
    </row>
    <row r="91" spans="2:8">
      <c r="B91" s="1220"/>
      <c r="C91" s="1220"/>
      <c r="D91" s="1220"/>
      <c r="E91" s="1220"/>
      <c r="F91" s="1220"/>
      <c r="G91" s="1220"/>
      <c r="H91" s="1220"/>
    </row>
    <row r="92" spans="2:8">
      <c r="B92" s="1220"/>
      <c r="C92" s="1220" t="s">
        <v>4433</v>
      </c>
      <c r="D92" s="1220"/>
      <c r="E92" s="1220"/>
      <c r="F92" s="1220"/>
      <c r="G92" s="1220"/>
      <c r="H92" s="1220"/>
    </row>
    <row r="93" spans="2:8">
      <c r="B93" s="1220"/>
      <c r="C93" s="2266"/>
      <c r="D93" s="2266"/>
      <c r="E93" s="2266"/>
      <c r="F93" s="2266"/>
      <c r="G93" s="2266"/>
      <c r="H93" s="1220"/>
    </row>
    <row r="94" spans="2:8">
      <c r="B94" s="1220"/>
      <c r="C94" s="2266"/>
      <c r="D94" s="2266"/>
      <c r="E94" s="2266"/>
      <c r="F94" s="2266"/>
      <c r="G94" s="2266"/>
      <c r="H94" s="1220"/>
    </row>
    <row r="95" spans="2:8">
      <c r="B95" s="1220"/>
      <c r="C95" s="2266"/>
      <c r="D95" s="2266"/>
      <c r="E95" s="2266"/>
      <c r="F95" s="2266"/>
      <c r="G95" s="2266"/>
      <c r="H95" s="1220"/>
    </row>
    <row r="96" spans="2:8">
      <c r="B96" s="1220"/>
      <c r="C96" s="2266"/>
      <c r="D96" s="2266"/>
      <c r="E96" s="2266"/>
      <c r="F96" s="2266"/>
      <c r="G96" s="2266"/>
      <c r="H96" s="1220"/>
    </row>
    <row r="97" spans="2:8">
      <c r="B97" s="1220"/>
      <c r="C97" s="2266"/>
      <c r="D97" s="2266"/>
      <c r="E97" s="2266"/>
      <c r="F97" s="2266"/>
      <c r="G97" s="2266"/>
      <c r="H97" s="1220"/>
    </row>
    <row r="98" spans="2:8">
      <c r="B98" s="1220"/>
      <c r="C98" s="1220"/>
      <c r="D98" s="1220"/>
      <c r="E98" s="1220"/>
      <c r="F98" s="1220"/>
      <c r="G98" s="1220"/>
      <c r="H98" s="1220"/>
    </row>
    <row r="99" spans="2:8" ht="19">
      <c r="B99" s="34" t="s">
        <v>3364</v>
      </c>
      <c r="C99" s="34"/>
      <c r="D99" s="39"/>
      <c r="F99" s="41"/>
      <c r="G99" s="41"/>
      <c r="H99" s="41"/>
    </row>
    <row r="100" spans="2:8">
      <c r="B100" s="1220"/>
      <c r="C100" s="1261" t="s">
        <v>3852</v>
      </c>
      <c r="D100" s="1220"/>
      <c r="E100" s="1220"/>
      <c r="F100" s="1220"/>
      <c r="G100" s="1220"/>
      <c r="H100" s="1220"/>
    </row>
    <row r="101" spans="2:8">
      <c r="B101" s="1220"/>
      <c r="C101" s="2134"/>
      <c r="D101" s="2134"/>
      <c r="E101" s="2134"/>
      <c r="F101" s="2134"/>
      <c r="G101" s="2134"/>
      <c r="H101" s="1220"/>
    </row>
    <row r="102" spans="2:8">
      <c r="B102" s="1220"/>
      <c r="C102" s="2134"/>
      <c r="D102" s="2134"/>
      <c r="E102" s="2134"/>
      <c r="F102" s="2134"/>
      <c r="G102" s="2134"/>
      <c r="H102" s="1220"/>
    </row>
    <row r="103" spans="2:8">
      <c r="B103" s="1220"/>
      <c r="C103" s="2134"/>
      <c r="D103" s="2134"/>
      <c r="E103" s="2134"/>
      <c r="F103" s="2134"/>
      <c r="G103" s="2134"/>
      <c r="H103" s="1220"/>
    </row>
    <row r="104" spans="2:8">
      <c r="B104" s="1220"/>
      <c r="C104" s="2134"/>
      <c r="D104" s="2134"/>
      <c r="E104" s="2134"/>
      <c r="F104" s="2134"/>
      <c r="G104" s="2134"/>
      <c r="H104" s="1220"/>
    </row>
    <row r="105" spans="2:8">
      <c r="B105" s="1220"/>
      <c r="C105" s="2134"/>
      <c r="D105" s="2134"/>
      <c r="E105" s="2134"/>
      <c r="F105" s="2134"/>
      <c r="G105" s="2134"/>
      <c r="H105" s="1220"/>
    </row>
    <row r="106" spans="2:8">
      <c r="B106" s="1220"/>
      <c r="C106" s="2134"/>
      <c r="D106" s="2134"/>
      <c r="E106" s="2134"/>
      <c r="F106" s="2134"/>
      <c r="G106" s="2134"/>
      <c r="H106" s="1220"/>
    </row>
    <row r="107" spans="2:8">
      <c r="B107" s="1220"/>
      <c r="C107" s="2134"/>
      <c r="D107" s="2134"/>
      <c r="E107" s="2134"/>
      <c r="F107" s="2134"/>
      <c r="G107" s="2134"/>
      <c r="H107" s="1220"/>
    </row>
    <row r="108" spans="2:8">
      <c r="B108" s="1220"/>
      <c r="C108" s="2134"/>
      <c r="D108" s="2134"/>
      <c r="E108" s="2134"/>
      <c r="F108" s="2134"/>
      <c r="G108" s="2134"/>
      <c r="H108" s="1220"/>
    </row>
    <row r="109" spans="2:8">
      <c r="B109" s="1220"/>
      <c r="C109" s="1220"/>
      <c r="D109" s="1220"/>
      <c r="E109" s="1220"/>
      <c r="F109" s="1220"/>
      <c r="G109" s="1220"/>
      <c r="H109" s="1220"/>
    </row>
    <row r="110" spans="2:8">
      <c r="B110" s="42" t="s">
        <v>4434</v>
      </c>
      <c r="C110" s="42"/>
      <c r="D110" s="33"/>
      <c r="E110" s="33"/>
      <c r="F110" s="33"/>
      <c r="G110" s="33"/>
      <c r="H110" s="33"/>
    </row>
    <row r="111" spans="2:8" ht="19">
      <c r="B111" s="34" t="s">
        <v>3372</v>
      </c>
      <c r="C111" s="34"/>
      <c r="F111" s="41"/>
      <c r="G111" s="41"/>
      <c r="H111" s="41"/>
    </row>
    <row r="112" spans="2:8">
      <c r="B112" s="1220"/>
      <c r="C112" s="1261"/>
      <c r="D112" s="1220"/>
      <c r="E112" s="1220"/>
      <c r="F112" s="1220"/>
      <c r="G112" s="1220"/>
      <c r="H112" s="1220"/>
    </row>
    <row r="113" spans="2:8">
      <c r="B113" s="1220"/>
      <c r="C113" s="2254"/>
      <c r="D113" s="2255"/>
      <c r="E113" s="2255"/>
      <c r="F113" s="2255"/>
      <c r="G113" s="2256"/>
      <c r="H113" s="1220"/>
    </row>
    <row r="114" spans="2:8">
      <c r="B114" s="1220"/>
      <c r="C114" s="2257"/>
      <c r="D114" s="2258"/>
      <c r="E114" s="2258"/>
      <c r="F114" s="2258"/>
      <c r="G114" s="2259"/>
      <c r="H114" s="1220"/>
    </row>
    <row r="115" spans="2:8">
      <c r="B115" s="1220"/>
      <c r="C115" s="2257"/>
      <c r="D115" s="2258"/>
      <c r="E115" s="2258"/>
      <c r="F115" s="2258"/>
      <c r="G115" s="2259"/>
      <c r="H115" s="1220"/>
    </row>
    <row r="116" spans="2:8">
      <c r="B116" s="1220"/>
      <c r="C116" s="2260"/>
      <c r="D116" s="2261"/>
      <c r="E116" s="2261"/>
      <c r="F116" s="2261"/>
      <c r="G116" s="2262"/>
      <c r="H116" s="1220"/>
    </row>
    <row r="117" spans="2:8">
      <c r="B117" s="1220"/>
      <c r="C117" s="1220"/>
      <c r="D117" s="1220"/>
      <c r="E117" s="1220"/>
      <c r="F117" s="1220"/>
      <c r="G117" s="1220"/>
      <c r="H117" s="1220"/>
    </row>
  </sheetData>
  <sheetProtection algorithmName="SHA-512" hashValue="SllKBOHMbNMgM3xJ2ZY5b6XIoaFtJ6HIwQ9WBJ2gdhZPlZ+qPEYaafaGYhPC3zs6Yo1WT6jn1jbtaZVieNDrYA==" saltValue="BlW3mxjDp39DySWzS4QqwA==" spinCount="100000" sheet="1" objects="1" scenarios="1" selectLockedCells="1"/>
  <mergeCells count="11">
    <mergeCell ref="C113:G116"/>
    <mergeCell ref="L24:N24"/>
    <mergeCell ref="L25:R39"/>
    <mergeCell ref="C93:G97"/>
    <mergeCell ref="C60:D60"/>
    <mergeCell ref="C101:G108"/>
    <mergeCell ref="C7:D7"/>
    <mergeCell ref="C13:D13"/>
    <mergeCell ref="C29:D29"/>
    <mergeCell ref="C37:D37"/>
    <mergeCell ref="C50:D50"/>
  </mergeCells>
  <dataValidations disablePrompts="1" count="1">
    <dataValidation type="custom" allowBlank="1" showInputMessage="1" showErrorMessage="1" sqref="G1:G2" xr:uid="{DC7856BE-DACB-4023-BB0B-BF1AB11B9D3C}">
      <formula1>"&lt;0&gt;0"</formula1>
    </dataValidation>
  </dataValidations>
  <pageMargins left="0.7" right="0.7" top="0.75" bottom="0.75" header="0.3" footer="0.3"/>
  <pageSetup scale="40" orientation="portrait" r:id="rId1"/>
  <headerFooter>
    <oddHeader>&amp;L&amp;G</oddHeader>
    <oddFooter>&amp;LVersion - 2023.0.01&amp;CWHEDA MULTIFAMILY APPLICATION&amp;R&amp;P of &amp;N</oddFooter>
  </headerFooter>
  <colBreaks count="1" manualBreakCount="1">
    <brk id="8" min="3" max="111"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91C7-57C5-4C9C-97DC-FBB8C9FDD40D}">
  <sheetPr codeName="Sheet16"/>
  <dimension ref="B1:CX454"/>
  <sheetViews>
    <sheetView zoomScaleNormal="100" workbookViewId="0">
      <selection activeCell="E10" sqref="E10"/>
    </sheetView>
  </sheetViews>
  <sheetFormatPr baseColWidth="10" defaultColWidth="9.1640625" defaultRowHeight="15"/>
  <cols>
    <col min="1" max="1" width="4.33203125" style="1125" customWidth="1"/>
    <col min="2" max="2" width="9.1640625" style="1130" customWidth="1"/>
    <col min="3" max="3" width="52.5" style="1127" customWidth="1"/>
    <col min="4" max="8" width="21.1640625" style="1127" customWidth="1"/>
    <col min="9" max="9" width="21.1640625" customWidth="1"/>
    <col min="10" max="12" width="21.1640625" style="1127" customWidth="1"/>
    <col min="13" max="25" width="21.6640625" style="1127" customWidth="1"/>
    <col min="26" max="26" width="21.6640625" style="1129" customWidth="1"/>
    <col min="27" max="34" width="21.6640625" style="1126" customWidth="1"/>
    <col min="35" max="37" width="21.6640625" style="1127" customWidth="1"/>
    <col min="38" max="38" width="26.5" style="1127" customWidth="1"/>
    <col min="39" max="39" width="9.1640625" style="1125"/>
    <col min="40" max="40" width="9.1640625" style="9"/>
    <col min="41" max="41" width="18.1640625" style="9" customWidth="1"/>
    <col min="42" max="42" width="12" style="9" customWidth="1"/>
    <col min="43" max="43" width="9.1640625" style="9"/>
    <col min="44" max="44" width="12.6640625" style="9" bestFit="1" customWidth="1"/>
    <col min="45" max="45" width="9.1640625" style="9"/>
    <col min="46" max="46" width="12.5" style="9" bestFit="1" customWidth="1"/>
    <col min="47" max="51" width="9.1640625" style="9"/>
    <col min="52" max="52" width="9" style="9" customWidth="1"/>
    <col min="53" max="53" width="22" style="9" customWidth="1"/>
    <col min="54" max="57" width="9.1640625" style="9"/>
    <col min="58" max="58" width="11.1640625" style="9" bestFit="1" customWidth="1"/>
    <col min="59" max="59" width="9.1640625" style="9"/>
    <col min="60" max="61" width="9.33203125" style="9" bestFit="1" customWidth="1"/>
    <col min="62" max="62" width="8.33203125" style="9" customWidth="1"/>
    <col min="63" max="63" width="6.6640625" style="9" customWidth="1"/>
    <col min="64" max="64" width="15.6640625" style="9" bestFit="1" customWidth="1"/>
    <col min="65" max="65" width="15.83203125" style="9" customWidth="1"/>
    <col min="66" max="69" width="9.5" style="9" bestFit="1" customWidth="1"/>
    <col min="70" max="70" width="14.33203125" style="9" bestFit="1" customWidth="1"/>
    <col min="71" max="71" width="14.5" style="9" bestFit="1" customWidth="1"/>
    <col min="72" max="72" width="9.5" style="9" bestFit="1" customWidth="1"/>
    <col min="73" max="73" width="9.5" style="9" customWidth="1"/>
    <col min="74" max="75" width="9.5" style="9" bestFit="1" customWidth="1"/>
    <col min="76" max="76" width="13.33203125" style="9" customWidth="1"/>
    <col min="77" max="77" width="14.5" style="9" customWidth="1"/>
    <col min="78" max="78" width="9.1640625" style="9"/>
    <col min="79" max="16384" width="9.1640625" style="1125"/>
  </cols>
  <sheetData>
    <row r="1" spans="2:39" ht="29">
      <c r="B1" s="1151" t="str">
        <f>'1. TOC'!B1</f>
        <v>WHEDA 2025 Multifamily Application</v>
      </c>
      <c r="C1" s="1133"/>
      <c r="D1" s="9"/>
      <c r="E1" s="1152" t="str">
        <f>'1. TOC'!L1</f>
        <v>v25.1.9</v>
      </c>
      <c r="F1" s="1086" t="str">
        <f>HYPERLINK("#Table_of_Contents", Table_of_Contents)</f>
        <v>Table of Contents</v>
      </c>
      <c r="G1" s="1133"/>
      <c r="H1" s="1133"/>
      <c r="I1" s="1472"/>
      <c r="J1" s="1133"/>
      <c r="K1" s="1133"/>
      <c r="L1" s="1133"/>
      <c r="M1" s="1133"/>
      <c r="N1" s="1133"/>
      <c r="O1" s="1134"/>
      <c r="P1" s="1135"/>
      <c r="Q1" s="1135"/>
      <c r="R1" s="1135"/>
      <c r="S1" s="1135"/>
      <c r="T1" s="1135"/>
      <c r="U1" s="1135"/>
      <c r="V1" s="1135"/>
      <c r="W1" s="1135"/>
      <c r="X1" s="1135"/>
      <c r="Y1" s="1135"/>
      <c r="Z1" s="131"/>
      <c r="AA1" s="1135"/>
      <c r="AB1" s="1135"/>
      <c r="AC1" s="1135"/>
      <c r="AD1" s="1135"/>
      <c r="AE1" s="1135"/>
      <c r="AF1" s="1135"/>
      <c r="AG1" s="1135"/>
      <c r="AH1" s="1135"/>
      <c r="AI1" s="1135"/>
      <c r="AJ1" s="1135"/>
      <c r="AK1" s="1135"/>
      <c r="AL1" s="1135"/>
      <c r="AM1" s="9"/>
    </row>
    <row r="2" spans="2:39" ht="19">
      <c r="B2" s="934" t="str">
        <f>_xlfn.CONCAT(IF(ISBLANK(WHEDA_Project_Number),"",_xlfn.CONCAT(WHEDA_Project_Number,"-")), Project_Name, IF(ISBLANK(Credit_percentage_applied_for),"",_xlfn.CONCAT(" (", Credit_percentage_applied_for," HTC)")))</f>
        <v/>
      </c>
      <c r="C2" s="1136"/>
      <c r="D2" s="1133"/>
      <c r="E2" s="1133"/>
      <c r="F2" s="1133"/>
      <c r="G2" s="1133"/>
      <c r="H2" s="1133"/>
      <c r="I2" s="1472"/>
      <c r="J2" s="1133"/>
      <c r="K2" s="1133"/>
      <c r="L2" s="1133"/>
      <c r="M2" s="1133"/>
      <c r="N2" s="1133"/>
      <c r="O2" s="1134"/>
      <c r="P2" s="1137"/>
      <c r="Q2" s="1137"/>
      <c r="R2" s="1137"/>
      <c r="S2" s="1137"/>
      <c r="T2" s="1137"/>
      <c r="U2" s="1137"/>
      <c r="V2" s="1137"/>
      <c r="W2" s="1137"/>
      <c r="X2" s="1137"/>
      <c r="Y2" s="1137"/>
      <c r="Z2" s="734"/>
      <c r="AA2" s="1137"/>
      <c r="AB2" s="1137"/>
      <c r="AC2" s="1137"/>
      <c r="AD2" s="1137"/>
      <c r="AE2" s="1137"/>
      <c r="AF2" s="1137"/>
      <c r="AG2" s="1137"/>
      <c r="AH2" s="1137"/>
      <c r="AI2" s="1137"/>
      <c r="AJ2" s="1137"/>
      <c r="AK2" s="1137"/>
      <c r="AL2" s="1137"/>
      <c r="AM2" s="1137"/>
    </row>
    <row r="3" spans="2:39" ht="16">
      <c r="B3" s="1153"/>
      <c r="C3" s="1138"/>
      <c r="D3" s="1138"/>
      <c r="E3" s="1138"/>
      <c r="F3" s="1138"/>
      <c r="G3" s="1138"/>
      <c r="H3" s="1138"/>
      <c r="I3" s="1471"/>
      <c r="J3" s="1138"/>
      <c r="K3" s="1138"/>
      <c r="L3" s="1138"/>
      <c r="M3" s="1138"/>
      <c r="N3" s="1138"/>
      <c r="O3" s="1139"/>
      <c r="P3" s="1135"/>
      <c r="Q3" s="1135"/>
      <c r="R3" s="1135"/>
      <c r="S3" s="1135"/>
      <c r="T3" s="1135"/>
      <c r="U3" s="1135"/>
      <c r="V3" s="1135"/>
      <c r="W3" s="1135"/>
      <c r="X3" s="1135"/>
      <c r="Y3" s="1135"/>
      <c r="Z3" s="131"/>
      <c r="AA3" s="1135"/>
      <c r="AB3" s="1135"/>
      <c r="AC3" s="1135"/>
      <c r="AD3" s="1135"/>
      <c r="AE3" s="1135"/>
      <c r="AF3" s="1135"/>
      <c r="AG3" s="1135"/>
      <c r="AH3" s="1135"/>
      <c r="AI3" s="1135"/>
      <c r="AJ3" s="1135"/>
      <c r="AK3" s="1135"/>
      <c r="AL3" s="1135"/>
      <c r="AM3" s="9"/>
    </row>
    <row r="4" spans="2:39" ht="29">
      <c r="B4" s="4" t="s">
        <v>4435</v>
      </c>
      <c r="C4" s="1135"/>
      <c r="D4" s="1135"/>
      <c r="E4" s="1135"/>
      <c r="F4" s="1135"/>
      <c r="G4" s="1135"/>
      <c r="H4" s="1135"/>
      <c r="I4" s="149"/>
      <c r="J4" s="149"/>
      <c r="K4" s="149"/>
      <c r="L4" s="149"/>
      <c r="M4" s="149"/>
      <c r="N4" s="149"/>
      <c r="O4" s="149"/>
      <c r="P4" s="149"/>
      <c r="Q4" s="149"/>
      <c r="R4" s="149"/>
      <c r="S4" s="149"/>
      <c r="T4" s="149"/>
      <c r="U4" s="149"/>
      <c r="V4" s="149"/>
      <c r="W4" s="149"/>
      <c r="X4" s="149"/>
      <c r="Y4" s="149"/>
      <c r="Z4" s="131"/>
      <c r="AA4" s="1135"/>
      <c r="AB4" s="1135"/>
      <c r="AC4" s="1135"/>
      <c r="AD4" s="1135"/>
      <c r="AE4" s="1135"/>
      <c r="AF4" s="1135"/>
      <c r="AG4" s="1135"/>
      <c r="AH4" s="1135"/>
      <c r="AI4" s="1135"/>
      <c r="AJ4" s="1135"/>
      <c r="AK4" s="1135"/>
      <c r="AL4" s="1135"/>
      <c r="AM4" s="9"/>
    </row>
    <row r="5" spans="2:39" ht="19">
      <c r="B5" s="1154" t="s">
        <v>4436</v>
      </c>
      <c r="C5" s="1135"/>
      <c r="D5" s="1135"/>
      <c r="E5" s="1135"/>
      <c r="F5" s="1135"/>
      <c r="G5" s="1135"/>
      <c r="H5" s="1135"/>
      <c r="I5" s="9"/>
      <c r="J5" s="149"/>
      <c r="K5" s="149"/>
      <c r="L5" s="149"/>
      <c r="M5" s="149"/>
      <c r="N5" s="149"/>
      <c r="O5" s="149"/>
      <c r="P5" s="149"/>
      <c r="Q5" s="149"/>
      <c r="R5" s="149"/>
      <c r="S5" s="149"/>
      <c r="T5" s="149"/>
      <c r="U5" s="149"/>
      <c r="V5" s="149"/>
      <c r="W5" s="149"/>
      <c r="X5" s="149"/>
      <c r="Y5" s="149"/>
      <c r="Z5" s="131"/>
      <c r="AA5" s="1135"/>
      <c r="AB5" s="1135"/>
      <c r="AC5" s="1135"/>
      <c r="AD5" s="1135"/>
      <c r="AE5" s="1135"/>
      <c r="AF5" s="1135"/>
      <c r="AG5" s="1135"/>
      <c r="AH5" s="1135"/>
      <c r="AI5" s="1135"/>
      <c r="AJ5" s="1135"/>
      <c r="AK5" s="1135"/>
      <c r="AL5" s="1135"/>
      <c r="AM5" s="9"/>
    </row>
    <row r="6" spans="2:39">
      <c r="B6" s="1287"/>
      <c r="C6" s="1318" t="s">
        <v>4437</v>
      </c>
      <c r="D6" s="1319"/>
      <c r="E6" s="1319"/>
      <c r="F6" s="1319"/>
      <c r="G6" s="1329"/>
      <c r="H6" s="1329"/>
      <c r="I6" s="149"/>
      <c r="J6" s="149"/>
      <c r="K6" s="149"/>
      <c r="L6" s="149"/>
      <c r="M6" s="149"/>
      <c r="N6" s="149"/>
      <c r="O6" s="149"/>
      <c r="P6" s="149"/>
      <c r="Q6" s="149"/>
      <c r="R6" s="149"/>
      <c r="S6" s="149"/>
      <c r="T6" s="149"/>
      <c r="U6" s="149"/>
      <c r="V6" s="149"/>
      <c r="W6" s="149"/>
      <c r="X6" s="149"/>
      <c r="Y6" s="149"/>
      <c r="Z6" s="131"/>
      <c r="AA6" s="1135"/>
      <c r="AB6" s="1135"/>
      <c r="AC6" s="1135"/>
      <c r="AD6" s="1135"/>
      <c r="AE6" s="1135"/>
      <c r="AF6" s="1135"/>
      <c r="AG6" s="1135"/>
      <c r="AH6" s="1135"/>
      <c r="AI6" s="1135"/>
      <c r="AJ6" s="1135"/>
      <c r="AK6" s="1135"/>
      <c r="AL6" s="1135"/>
      <c r="AM6" s="9"/>
    </row>
    <row r="7" spans="2:39">
      <c r="B7" s="1287"/>
      <c r="C7" s="1488" t="s">
        <v>4438</v>
      </c>
      <c r="D7" s="1319"/>
      <c r="E7" s="1319"/>
      <c r="F7" s="1319"/>
      <c r="G7" s="1329"/>
      <c r="H7" s="1329"/>
      <c r="I7" s="149"/>
      <c r="J7" s="149"/>
      <c r="K7" s="149"/>
      <c r="L7" s="149"/>
      <c r="M7" s="149"/>
      <c r="N7" s="149"/>
      <c r="O7" s="149"/>
      <c r="P7" s="149"/>
      <c r="Q7" s="149"/>
      <c r="R7" s="149"/>
      <c r="S7" s="149"/>
      <c r="T7" s="149"/>
      <c r="U7" s="149"/>
      <c r="V7" s="149"/>
      <c r="W7" s="149"/>
      <c r="X7" s="149"/>
      <c r="Y7" s="149"/>
      <c r="Z7" s="131"/>
      <c r="AA7" s="1135"/>
      <c r="AB7" s="1135"/>
      <c r="AC7" s="1135"/>
      <c r="AD7" s="1135"/>
      <c r="AE7" s="1135"/>
      <c r="AF7" s="1135"/>
      <c r="AG7" s="1135"/>
      <c r="AH7" s="1135"/>
      <c r="AI7" s="1135"/>
      <c r="AJ7" s="1135"/>
      <c r="AK7" s="1135"/>
      <c r="AL7" s="1135"/>
      <c r="AM7" s="9"/>
    </row>
    <row r="8" spans="2:39">
      <c r="B8" s="1287"/>
      <c r="C8" s="1220" t="s">
        <v>4439</v>
      </c>
      <c r="D8" s="1319"/>
      <c r="E8" s="1319"/>
      <c r="F8" s="1319"/>
      <c r="G8" s="1329"/>
      <c r="H8" s="1329"/>
      <c r="I8" s="149"/>
      <c r="J8" s="149"/>
      <c r="K8" s="149"/>
      <c r="L8" s="149"/>
      <c r="M8" s="149"/>
      <c r="N8" s="149"/>
      <c r="O8" s="149"/>
      <c r="P8" s="149"/>
      <c r="Q8" s="149"/>
      <c r="R8" s="149"/>
      <c r="S8" s="149"/>
      <c r="T8" s="149"/>
      <c r="U8" s="149"/>
      <c r="V8" s="149"/>
      <c r="W8" s="149"/>
      <c r="X8" s="149"/>
      <c r="Y8" s="149"/>
      <c r="Z8" s="131"/>
      <c r="AA8" s="1135"/>
      <c r="AB8" s="1135"/>
      <c r="AC8" s="1135"/>
      <c r="AD8" s="1135"/>
      <c r="AE8" s="1135"/>
      <c r="AF8" s="1135"/>
      <c r="AG8" s="1135"/>
      <c r="AH8" s="1135"/>
      <c r="AI8" s="1135"/>
      <c r="AJ8" s="1135"/>
      <c r="AK8" s="1135"/>
      <c r="AL8" s="1135"/>
      <c r="AM8" s="9"/>
    </row>
    <row r="9" spans="2:39" ht="16">
      <c r="B9" s="1287"/>
      <c r="C9" s="1155" t="s">
        <v>4440</v>
      </c>
      <c r="D9" s="1156" t="s">
        <v>2604</v>
      </c>
      <c r="E9" s="1157" t="s">
        <v>4441</v>
      </c>
      <c r="F9" s="1157" t="s">
        <v>4442</v>
      </c>
      <c r="G9" s="1329"/>
      <c r="H9" s="1329"/>
      <c r="I9" s="9" t="s">
        <v>4443</v>
      </c>
      <c r="J9" s="149"/>
      <c r="K9" s="149"/>
      <c r="L9" s="149"/>
      <c r="M9" s="149"/>
      <c r="N9" s="149"/>
      <c r="O9" s="149"/>
      <c r="P9" s="149"/>
      <c r="Q9" s="149"/>
      <c r="R9" s="149"/>
      <c r="S9" s="149"/>
      <c r="T9" s="149"/>
      <c r="U9" s="149"/>
      <c r="V9" s="149"/>
      <c r="W9" s="149"/>
      <c r="X9" s="149"/>
      <c r="Y9" s="149"/>
      <c r="Z9" s="131"/>
      <c r="AA9" s="1135"/>
      <c r="AB9" s="1135"/>
      <c r="AC9" s="1135"/>
      <c r="AD9" s="1135"/>
      <c r="AE9" s="1135"/>
      <c r="AF9" s="1135"/>
      <c r="AG9" s="1135"/>
      <c r="AH9" s="1135"/>
      <c r="AI9" s="1135"/>
      <c r="AJ9" s="1135"/>
      <c r="AK9" s="1135"/>
      <c r="AL9" s="1135"/>
      <c r="AM9" s="9"/>
    </row>
    <row r="10" spans="2:39" ht="32">
      <c r="B10" s="1287"/>
      <c r="C10" s="1320" t="s">
        <v>4444</v>
      </c>
      <c r="D10" s="1547">
        <f>I10</f>
        <v>0</v>
      </c>
      <c r="E10" s="1140">
        <v>7.0000000000000007E-2</v>
      </c>
      <c r="F10" s="1141">
        <v>0.02</v>
      </c>
      <c r="G10" s="1329"/>
      <c r="H10" s="1329"/>
      <c r="I10" s="9">
        <f>'11. Unit Mix'!H130</f>
        <v>0</v>
      </c>
      <c r="J10" s="149"/>
      <c r="K10" s="149"/>
      <c r="L10" s="149"/>
      <c r="M10" s="149"/>
      <c r="N10" s="1467"/>
      <c r="O10" s="149"/>
      <c r="P10" s="149"/>
      <c r="Q10" s="149"/>
      <c r="R10" s="149"/>
      <c r="S10" s="149"/>
      <c r="T10" s="149"/>
      <c r="U10" s="149"/>
      <c r="V10" s="149"/>
      <c r="W10" s="149"/>
      <c r="X10" s="149"/>
      <c r="Y10" s="149"/>
      <c r="Z10" s="131"/>
      <c r="AA10" s="1135"/>
      <c r="AB10" s="1135"/>
      <c r="AC10" s="1135"/>
      <c r="AD10" s="1135"/>
      <c r="AE10" s="1135"/>
      <c r="AF10" s="1135"/>
      <c r="AG10" s="1135"/>
      <c r="AH10" s="1135"/>
      <c r="AI10" s="1135"/>
      <c r="AJ10" s="1135"/>
      <c r="AK10" s="1135"/>
      <c r="AL10" s="1135"/>
      <c r="AM10" s="9"/>
    </row>
    <row r="11" spans="2:39">
      <c r="B11" s="1287"/>
      <c r="C11" s="1321" t="s">
        <v>4445</v>
      </c>
      <c r="D11" s="1548">
        <v>0</v>
      </c>
      <c r="E11" s="1140">
        <v>0.2</v>
      </c>
      <c r="F11" s="1141">
        <v>0.02</v>
      </c>
      <c r="G11" s="1329"/>
      <c r="H11" s="1329"/>
      <c r="I11" s="9"/>
      <c r="J11" s="149"/>
      <c r="K11" s="149"/>
      <c r="L11" s="149"/>
      <c r="M11" s="149"/>
      <c r="N11" s="1467"/>
      <c r="O11" s="149"/>
      <c r="P11" s="149"/>
      <c r="Q11" s="149"/>
      <c r="R11" s="149"/>
      <c r="S11" s="149"/>
      <c r="T11" s="149"/>
      <c r="U11" s="149"/>
      <c r="V11" s="149"/>
      <c r="W11" s="149"/>
      <c r="X11" s="149"/>
      <c r="Y11" s="149"/>
      <c r="Z11" s="131"/>
      <c r="AA11" s="1135"/>
      <c r="AB11" s="1135"/>
      <c r="AC11" s="1135"/>
      <c r="AD11" s="1135"/>
      <c r="AE11" s="1135"/>
      <c r="AF11" s="1135"/>
      <c r="AG11" s="1135"/>
      <c r="AH11" s="1135"/>
      <c r="AI11" s="1135"/>
      <c r="AJ11" s="1135"/>
      <c r="AK11" s="1135"/>
      <c r="AL11" s="1135"/>
      <c r="AM11" s="9"/>
    </row>
    <row r="12" spans="2:39">
      <c r="B12" s="1287"/>
      <c r="C12" s="1321" t="s">
        <v>4446</v>
      </c>
      <c r="D12" s="1548"/>
      <c r="E12" s="1140"/>
      <c r="F12" s="1141"/>
      <c r="G12" s="1329"/>
      <c r="H12" s="1329"/>
      <c r="I12" s="9"/>
      <c r="J12" s="149"/>
      <c r="K12" s="149"/>
      <c r="L12" s="149"/>
      <c r="M12" s="149"/>
      <c r="N12" s="1467"/>
      <c r="O12" s="149"/>
      <c r="P12" s="149"/>
      <c r="Q12" s="149"/>
      <c r="R12" s="149"/>
      <c r="S12" s="149"/>
      <c r="T12" s="149"/>
      <c r="U12" s="149"/>
      <c r="V12" s="149"/>
      <c r="W12" s="149"/>
      <c r="X12" s="149"/>
      <c r="Y12" s="149"/>
      <c r="Z12" s="131"/>
      <c r="AA12" s="1135"/>
      <c r="AB12" s="1135"/>
      <c r="AC12" s="1135"/>
      <c r="AD12" s="1135"/>
      <c r="AE12" s="1135"/>
      <c r="AF12" s="1135"/>
      <c r="AG12" s="1135"/>
      <c r="AH12" s="1135"/>
      <c r="AI12" s="1135"/>
      <c r="AJ12" s="1135"/>
      <c r="AK12" s="1135"/>
      <c r="AL12" s="1135"/>
      <c r="AM12" s="9"/>
    </row>
    <row r="13" spans="2:39">
      <c r="B13" s="1287"/>
      <c r="C13" s="1321" t="s">
        <v>4447</v>
      </c>
      <c r="D13" s="1548"/>
      <c r="E13" s="1140">
        <v>7.0000000000000007E-2</v>
      </c>
      <c r="F13" s="1141">
        <v>0.02</v>
      </c>
      <c r="G13" s="1329"/>
      <c r="H13" s="1329"/>
      <c r="I13" s="1158">
        <f>SUM(D11:D17)</f>
        <v>0</v>
      </c>
      <c r="J13" s="149"/>
      <c r="K13" s="149"/>
      <c r="L13" s="149"/>
      <c r="M13" s="149"/>
      <c r="N13" s="1467"/>
      <c r="O13" s="149"/>
      <c r="P13" s="149"/>
      <c r="Q13" s="149"/>
      <c r="R13" s="149"/>
      <c r="S13" s="149"/>
      <c r="T13" s="149"/>
      <c r="U13" s="149"/>
      <c r="V13" s="149"/>
      <c r="W13" s="149"/>
      <c r="X13" s="149"/>
      <c r="Y13" s="149"/>
      <c r="Z13" s="131"/>
      <c r="AA13" s="1135"/>
      <c r="AB13" s="1135"/>
      <c r="AC13" s="1135"/>
      <c r="AD13" s="1135"/>
      <c r="AE13" s="1135"/>
      <c r="AF13" s="1135"/>
      <c r="AG13" s="1135"/>
      <c r="AH13" s="1135"/>
      <c r="AI13" s="1135"/>
      <c r="AJ13" s="1135"/>
      <c r="AK13" s="1135"/>
      <c r="AL13" s="1135"/>
      <c r="AM13" s="9"/>
    </row>
    <row r="14" spans="2:39">
      <c r="B14" s="1287"/>
      <c r="C14" s="1321" t="s">
        <v>4448</v>
      </c>
      <c r="D14" s="1548"/>
      <c r="E14" s="1140">
        <v>7.0000000000000007E-2</v>
      </c>
      <c r="F14" s="1141">
        <v>0.02</v>
      </c>
      <c r="G14" s="1329"/>
      <c r="H14" s="1329"/>
      <c r="I14" s="9"/>
      <c r="J14" s="149"/>
      <c r="K14" s="149"/>
      <c r="L14" s="149"/>
      <c r="M14" s="149"/>
      <c r="N14" s="1467"/>
      <c r="O14" s="149"/>
      <c r="P14" s="149"/>
      <c r="Q14" s="149"/>
      <c r="R14" s="149"/>
      <c r="S14" s="149"/>
      <c r="T14" s="149"/>
      <c r="U14" s="149"/>
      <c r="V14" s="149"/>
      <c r="W14" s="149"/>
      <c r="X14" s="149"/>
      <c r="Y14" s="149"/>
      <c r="Z14" s="131"/>
      <c r="AA14" s="1135"/>
      <c r="AB14" s="1135"/>
      <c r="AC14" s="1135"/>
      <c r="AD14" s="1135"/>
      <c r="AE14" s="1135"/>
      <c r="AF14" s="1135"/>
      <c r="AG14" s="1135"/>
      <c r="AH14" s="1135"/>
      <c r="AI14" s="1135"/>
      <c r="AJ14" s="1135"/>
      <c r="AK14" s="1135"/>
      <c r="AL14" s="1135"/>
      <c r="AM14" s="9"/>
    </row>
    <row r="15" spans="2:39" hidden="1">
      <c r="B15" s="1287"/>
      <c r="C15" s="1321" t="s">
        <v>4449</v>
      </c>
      <c r="D15" s="1548"/>
      <c r="E15" s="1140">
        <v>7.0000000000000007E-2</v>
      </c>
      <c r="F15" s="1141">
        <v>0.02</v>
      </c>
      <c r="G15" s="1287" t="s">
        <v>4450</v>
      </c>
      <c r="H15" s="1329"/>
      <c r="I15" s="9"/>
      <c r="J15" s="149"/>
      <c r="K15" s="149"/>
      <c r="L15" s="149"/>
      <c r="M15" s="149"/>
      <c r="N15" s="1467"/>
      <c r="O15" s="149"/>
      <c r="P15" s="149"/>
      <c r="Q15" s="149"/>
      <c r="R15" s="149"/>
      <c r="S15" s="149"/>
      <c r="T15" s="149"/>
      <c r="U15" s="149"/>
      <c r="V15" s="149"/>
      <c r="W15" s="149"/>
      <c r="X15" s="149"/>
      <c r="Y15" s="149"/>
      <c r="Z15" s="131"/>
      <c r="AA15" s="1135"/>
      <c r="AB15" s="1135"/>
      <c r="AC15" s="1135"/>
      <c r="AD15" s="1135"/>
      <c r="AE15" s="1135"/>
      <c r="AF15" s="1135"/>
      <c r="AG15" s="1135"/>
      <c r="AH15" s="1135"/>
      <c r="AI15" s="1135"/>
      <c r="AJ15" s="1135"/>
      <c r="AK15" s="1135"/>
      <c r="AL15" s="1135"/>
      <c r="AM15" s="9"/>
    </row>
    <row r="16" spans="2:39" ht="16.5" hidden="1" customHeight="1">
      <c r="B16" s="1287"/>
      <c r="C16" s="1321" t="s">
        <v>4451</v>
      </c>
      <c r="D16" s="1549">
        <v>0</v>
      </c>
      <c r="E16" s="1142"/>
      <c r="F16" s="1143">
        <v>0.02</v>
      </c>
      <c r="G16" s="1330"/>
      <c r="H16" s="1329"/>
      <c r="I16" s="9"/>
      <c r="J16" s="149"/>
      <c r="K16" s="149"/>
      <c r="L16" s="149"/>
      <c r="M16" s="149"/>
      <c r="N16" s="1467"/>
      <c r="O16" s="149"/>
      <c r="P16" s="149"/>
      <c r="Q16" s="149"/>
      <c r="R16" s="149"/>
      <c r="S16" s="149"/>
      <c r="T16" s="149"/>
      <c r="U16" s="149"/>
      <c r="V16" s="149"/>
      <c r="W16" s="149"/>
      <c r="X16" s="149"/>
      <c r="Y16" s="149"/>
      <c r="Z16" s="131"/>
      <c r="AA16" s="1135"/>
      <c r="AB16" s="1135"/>
      <c r="AC16" s="1135"/>
      <c r="AD16" s="1135"/>
      <c r="AE16" s="1135"/>
      <c r="AF16" s="1135"/>
      <c r="AG16" s="1135"/>
      <c r="AH16" s="1135"/>
      <c r="AI16" s="1135"/>
      <c r="AJ16" s="1135"/>
      <c r="AK16" s="1135"/>
      <c r="AL16" s="1135"/>
      <c r="AM16" s="9"/>
    </row>
    <row r="17" spans="2:38">
      <c r="B17" s="1287"/>
      <c r="C17" s="1321" t="s">
        <v>4452</v>
      </c>
      <c r="D17" s="1548"/>
      <c r="E17" s="1140">
        <v>7.0000000000000007E-2</v>
      </c>
      <c r="F17" s="1141">
        <v>0.02</v>
      </c>
      <c r="G17" s="1329"/>
      <c r="H17" s="1329"/>
      <c r="I17" s="9"/>
      <c r="J17" s="149"/>
      <c r="K17" s="149"/>
      <c r="L17" s="149"/>
      <c r="M17" s="149"/>
      <c r="N17" s="1467"/>
      <c r="O17" s="149"/>
      <c r="P17" s="149"/>
      <c r="Q17" s="149"/>
      <c r="R17" s="149"/>
      <c r="S17" s="149"/>
      <c r="T17" s="149"/>
      <c r="U17" s="149"/>
      <c r="V17" s="149"/>
      <c r="W17" s="149"/>
      <c r="X17" s="149"/>
      <c r="Y17" s="149"/>
      <c r="Z17" s="131"/>
      <c r="AA17" s="1135"/>
      <c r="AB17" s="1135"/>
      <c r="AC17" s="1135"/>
      <c r="AD17" s="1135"/>
      <c r="AE17" s="1135"/>
      <c r="AF17" s="1135"/>
      <c r="AG17" s="1135"/>
      <c r="AH17" s="1135"/>
      <c r="AI17" s="1135"/>
      <c r="AJ17" s="1135"/>
      <c r="AK17" s="1135"/>
      <c r="AL17" s="1135"/>
    </row>
    <row r="18" spans="2:38">
      <c r="B18" s="1287"/>
      <c r="C18" s="1321" t="s">
        <v>4453</v>
      </c>
      <c r="D18" s="1550">
        <f>IF(D12="Yes",SUM(D10:D17),(SUM(D10:D17)-D11))</f>
        <v>0</v>
      </c>
      <c r="E18" s="1321"/>
      <c r="F18" s="1321"/>
      <c r="G18" s="1329"/>
      <c r="H18" s="1329"/>
      <c r="I18" s="1158">
        <f>SUM(D10:D17)</f>
        <v>0</v>
      </c>
      <c r="J18" s="149"/>
      <c r="K18" s="149"/>
      <c r="L18" s="149"/>
      <c r="M18" s="149"/>
      <c r="N18" s="1467"/>
      <c r="O18" s="149"/>
      <c r="P18" s="149"/>
      <c r="Q18" s="149"/>
      <c r="R18" s="149"/>
      <c r="S18" s="149"/>
      <c r="T18" s="149"/>
      <c r="U18" s="149"/>
      <c r="V18" s="149"/>
      <c r="W18" s="149"/>
      <c r="X18" s="149"/>
      <c r="Y18" s="149"/>
      <c r="Z18" s="131"/>
      <c r="AA18" s="1135"/>
      <c r="AB18" s="1135"/>
      <c r="AC18" s="1135"/>
      <c r="AD18" s="1135"/>
      <c r="AE18" s="1135"/>
      <c r="AF18" s="1135"/>
      <c r="AG18" s="1135"/>
      <c r="AH18" s="1135"/>
      <c r="AI18" s="1135"/>
      <c r="AJ18" s="1135"/>
      <c r="AK18" s="1135"/>
      <c r="AL18" s="1135"/>
    </row>
    <row r="19" spans="2:38">
      <c r="B19" s="1287"/>
      <c r="C19" s="1321" t="s">
        <v>4454</v>
      </c>
      <c r="D19" s="1550">
        <f t="shared" ref="D19:D27" si="0">I19</f>
        <v>0</v>
      </c>
      <c r="E19" s="1321"/>
      <c r="F19" s="1321"/>
      <c r="G19" s="1329"/>
      <c r="H19" s="1329"/>
      <c r="I19" s="1158">
        <f>-D10*E10</f>
        <v>0</v>
      </c>
      <c r="J19" s="149"/>
      <c r="K19" s="149"/>
      <c r="L19" s="149"/>
      <c r="M19" s="149"/>
      <c r="N19" s="1467"/>
      <c r="O19" s="149"/>
      <c r="P19" s="149"/>
      <c r="Q19" s="149"/>
      <c r="R19" s="149"/>
      <c r="S19" s="149"/>
      <c r="T19" s="149"/>
      <c r="U19" s="149"/>
      <c r="V19" s="149"/>
      <c r="W19" s="149"/>
      <c r="X19" s="149"/>
      <c r="Y19" s="149"/>
      <c r="Z19" s="131"/>
      <c r="AA19" s="1135"/>
      <c r="AB19" s="1135"/>
      <c r="AC19" s="1135"/>
      <c r="AD19" s="1135"/>
      <c r="AE19" s="1135"/>
      <c r="AF19" s="1135"/>
      <c r="AG19" s="1135"/>
      <c r="AH19" s="1135"/>
      <c r="AI19" s="1135"/>
      <c r="AJ19" s="1135"/>
      <c r="AK19" s="1135"/>
      <c r="AL19" s="1135"/>
    </row>
    <row r="20" spans="2:38">
      <c r="B20" s="1287"/>
      <c r="C20" s="1321" t="s">
        <v>4455</v>
      </c>
      <c r="D20" s="1550">
        <f t="shared" si="0"/>
        <v>0</v>
      </c>
      <c r="E20" s="1321"/>
      <c r="F20" s="1321"/>
      <c r="G20" s="1329"/>
      <c r="H20" s="1329"/>
      <c r="I20" s="1158">
        <f>-D11*E11</f>
        <v>0</v>
      </c>
      <c r="J20" s="149"/>
      <c r="K20" s="149"/>
      <c r="L20" s="149"/>
      <c r="M20" s="149"/>
      <c r="N20" s="1467"/>
      <c r="O20" s="149"/>
      <c r="P20" s="149"/>
      <c r="Q20" s="149"/>
      <c r="R20" s="149"/>
      <c r="S20" s="149"/>
      <c r="T20" s="149"/>
      <c r="U20" s="149"/>
      <c r="V20" s="149"/>
      <c r="W20" s="149"/>
      <c r="X20" s="149"/>
      <c r="Y20" s="149"/>
      <c r="Z20" s="131"/>
      <c r="AA20" s="1135"/>
      <c r="AB20" s="1135"/>
      <c r="AC20" s="1135"/>
      <c r="AD20" s="1135"/>
      <c r="AE20" s="1135"/>
      <c r="AF20" s="1135"/>
      <c r="AG20" s="1135"/>
      <c r="AH20" s="1135"/>
      <c r="AI20" s="1135"/>
      <c r="AJ20" s="1135"/>
      <c r="AK20" s="1135"/>
      <c r="AL20" s="1135"/>
    </row>
    <row r="21" spans="2:38">
      <c r="B21" s="1287"/>
      <c r="C21" s="1321" t="s">
        <v>4456</v>
      </c>
      <c r="D21" s="1550">
        <f t="shared" si="0"/>
        <v>0</v>
      </c>
      <c r="E21" s="1321"/>
      <c r="F21" s="1321"/>
      <c r="G21" s="1329"/>
      <c r="H21" s="1329"/>
      <c r="I21" s="1158">
        <f>-1*(D13*E13 + D14*E14+D15*E15+D17*E17)</f>
        <v>0</v>
      </c>
      <c r="J21" s="149"/>
      <c r="K21" s="149"/>
      <c r="L21" s="149"/>
      <c r="M21" s="149"/>
      <c r="N21" s="1467"/>
      <c r="O21" s="149"/>
      <c r="P21" s="149"/>
      <c r="Q21" s="149"/>
      <c r="R21" s="149"/>
      <c r="S21" s="149"/>
      <c r="T21" s="149"/>
      <c r="U21" s="149"/>
      <c r="V21" s="149"/>
      <c r="W21" s="149"/>
      <c r="X21" s="149"/>
      <c r="Y21" s="149"/>
      <c r="Z21" s="131"/>
      <c r="AA21" s="1135"/>
      <c r="AB21" s="1135"/>
      <c r="AC21" s="1135"/>
      <c r="AD21" s="1135"/>
      <c r="AE21" s="1135"/>
      <c r="AF21" s="1135"/>
      <c r="AG21" s="1135"/>
      <c r="AH21" s="1135"/>
      <c r="AI21" s="1135"/>
      <c r="AJ21" s="1135"/>
      <c r="AK21" s="1135"/>
      <c r="AL21" s="1135"/>
    </row>
    <row r="22" spans="2:38">
      <c r="B22" s="1287"/>
      <c r="C22" s="1322" t="s">
        <v>4457</v>
      </c>
      <c r="D22" s="1550">
        <f>I22</f>
        <v>0</v>
      </c>
      <c r="E22" s="1321"/>
      <c r="F22" s="1321"/>
      <c r="G22" s="1329"/>
      <c r="H22" s="1329"/>
      <c r="I22" s="1158">
        <f>D18+SUM(D19:D21)</f>
        <v>0</v>
      </c>
      <c r="J22" s="149"/>
      <c r="K22" s="149"/>
      <c r="L22" s="149"/>
      <c r="M22" s="149"/>
      <c r="N22" s="1467"/>
      <c r="O22" s="149"/>
      <c r="P22" s="149"/>
      <c r="Q22" s="149"/>
      <c r="R22" s="149"/>
      <c r="S22" s="149"/>
      <c r="T22" s="149"/>
      <c r="U22" s="149"/>
      <c r="V22" s="149"/>
      <c r="W22" s="149"/>
      <c r="X22" s="149"/>
      <c r="Y22" s="149"/>
      <c r="Z22" s="131"/>
      <c r="AA22" s="1135"/>
      <c r="AB22" s="1135"/>
      <c r="AC22" s="1135"/>
      <c r="AD22" s="1135"/>
      <c r="AE22" s="1135"/>
      <c r="AF22" s="1135"/>
      <c r="AG22" s="1135"/>
      <c r="AH22" s="1135"/>
      <c r="AI22" s="1135"/>
      <c r="AJ22" s="1135"/>
      <c r="AK22" s="1135"/>
      <c r="AL22" s="1135"/>
    </row>
    <row r="23" spans="2:38" ht="16">
      <c r="B23" s="1287"/>
      <c r="C23" s="1323" t="s">
        <v>4458</v>
      </c>
      <c r="D23" s="1550">
        <f t="shared" si="0"/>
        <v>0</v>
      </c>
      <c r="E23" s="1321"/>
      <c r="F23" s="1141">
        <v>0.03</v>
      </c>
      <c r="G23" s="1329"/>
      <c r="H23" s="1329"/>
      <c r="I23" s="9">
        <f>Total_Operating_Expenses</f>
        <v>0</v>
      </c>
      <c r="J23" s="149"/>
      <c r="K23" s="149"/>
      <c r="L23" s="149"/>
      <c r="M23" s="149"/>
      <c r="N23" s="1467"/>
      <c r="O23" s="149"/>
      <c r="P23" s="149"/>
      <c r="Q23" s="149"/>
      <c r="R23" s="149"/>
      <c r="S23" s="149"/>
      <c r="T23" s="149"/>
      <c r="U23" s="149"/>
      <c r="V23" s="149"/>
      <c r="W23" s="149"/>
      <c r="X23" s="149"/>
      <c r="Y23" s="149"/>
      <c r="Z23" s="131"/>
      <c r="AA23" s="1135"/>
      <c r="AB23" s="1135"/>
      <c r="AC23" s="1135"/>
      <c r="AD23" s="1135"/>
      <c r="AE23" s="1135"/>
      <c r="AF23" s="1135"/>
      <c r="AG23" s="1135"/>
      <c r="AH23" s="1135"/>
      <c r="AI23" s="1135"/>
      <c r="AJ23" s="1135"/>
      <c r="AK23" s="1135"/>
      <c r="AL23" s="1135"/>
    </row>
    <row r="24" spans="2:38" ht="15" customHeight="1">
      <c r="B24" s="1287"/>
      <c r="C24" s="1322" t="s">
        <v>4459</v>
      </c>
      <c r="D24" s="1550">
        <f t="shared" si="0"/>
        <v>0</v>
      </c>
      <c r="E24" s="1321"/>
      <c r="F24" s="1321"/>
      <c r="G24" s="1329"/>
      <c r="H24" s="1329"/>
      <c r="I24" s="1158">
        <f>D22-D23</f>
        <v>0</v>
      </c>
      <c r="J24" s="149"/>
      <c r="K24" s="149"/>
      <c r="L24" s="149"/>
      <c r="M24" s="149"/>
      <c r="N24" s="1467"/>
      <c r="O24" s="149"/>
      <c r="P24" s="149"/>
      <c r="Q24" s="149"/>
      <c r="R24" s="149"/>
      <c r="S24" s="149"/>
      <c r="T24" s="149"/>
      <c r="U24" s="149"/>
      <c r="V24" s="149"/>
      <c r="W24" s="149"/>
      <c r="X24" s="149"/>
      <c r="Y24" s="149"/>
      <c r="Z24" s="131"/>
      <c r="AA24" s="1135"/>
      <c r="AB24" s="1135"/>
      <c r="AC24" s="1135"/>
      <c r="AD24" s="1135"/>
      <c r="AE24" s="1135"/>
      <c r="AF24" s="1135"/>
      <c r="AG24" s="1135"/>
      <c r="AH24" s="1135"/>
      <c r="AI24" s="1135"/>
      <c r="AJ24" s="1135"/>
      <c r="AK24" s="1135"/>
      <c r="AL24" s="1135"/>
    </row>
    <row r="25" spans="2:38" ht="16">
      <c r="B25" s="1287"/>
      <c r="C25" s="1324" t="s">
        <v>4460</v>
      </c>
      <c r="D25" s="1550">
        <f>I25</f>
        <v>0</v>
      </c>
      <c r="E25" s="1321"/>
      <c r="F25" s="1321"/>
      <c r="G25" s="1329"/>
      <c r="H25" s="1329"/>
      <c r="I25" s="1159">
        <f>SUM('12. Funding Sources'!N11:N14,'12. Funding Sources'!N16:N20)</f>
        <v>0</v>
      </c>
      <c r="J25" s="149"/>
      <c r="K25" s="149"/>
      <c r="L25" s="149"/>
      <c r="M25" s="149"/>
      <c r="N25" s="1467"/>
      <c r="O25" s="149"/>
      <c r="P25" s="149"/>
      <c r="Q25" s="149"/>
      <c r="R25" s="149"/>
      <c r="S25" s="149"/>
      <c r="T25" s="149"/>
      <c r="U25" s="149"/>
      <c r="V25" s="149"/>
      <c r="W25" s="149"/>
      <c r="X25" s="149"/>
      <c r="Y25" s="149"/>
      <c r="Z25" s="131"/>
      <c r="AA25" s="1135"/>
      <c r="AB25" s="1135"/>
      <c r="AC25" s="1135"/>
      <c r="AD25" s="1135"/>
      <c r="AE25" s="1135"/>
      <c r="AF25" s="1135"/>
      <c r="AG25" s="1135"/>
      <c r="AH25" s="1135"/>
      <c r="AI25" s="1135"/>
      <c r="AJ25" s="1135"/>
      <c r="AK25" s="1135"/>
      <c r="AL25" s="1135"/>
    </row>
    <row r="26" spans="2:38" ht="15" customHeight="1">
      <c r="B26" s="1287"/>
      <c r="C26" s="1322" t="s">
        <v>4461</v>
      </c>
      <c r="D26" s="1550">
        <f t="shared" si="0"/>
        <v>0</v>
      </c>
      <c r="E26" s="1321"/>
      <c r="F26" s="1321"/>
      <c r="G26" s="1329"/>
      <c r="H26" s="1329"/>
      <c r="I26" s="1158">
        <f>I24-I25</f>
        <v>0</v>
      </c>
      <c r="J26" s="149"/>
      <c r="K26" s="149"/>
      <c r="L26" s="149"/>
      <c r="M26" s="149"/>
      <c r="N26" s="1467"/>
      <c r="O26" s="149"/>
      <c r="P26" s="149"/>
      <c r="Q26" s="149"/>
      <c r="R26" s="149"/>
      <c r="S26" s="149"/>
      <c r="T26" s="149"/>
      <c r="U26" s="149"/>
      <c r="V26" s="149"/>
      <c r="W26" s="149"/>
      <c r="X26" s="149"/>
      <c r="Y26" s="149"/>
      <c r="Z26" s="131"/>
      <c r="AA26" s="1135"/>
      <c r="AB26" s="1135"/>
      <c r="AC26" s="1135"/>
      <c r="AD26" s="1135"/>
      <c r="AE26" s="1135"/>
      <c r="AF26" s="1135"/>
      <c r="AG26" s="1135"/>
      <c r="AH26" s="1135"/>
      <c r="AI26" s="1135"/>
      <c r="AJ26" s="1135"/>
      <c r="AK26" s="1135"/>
      <c r="AL26" s="1135"/>
    </row>
    <row r="27" spans="2:38" ht="15" customHeight="1">
      <c r="B27" s="1287"/>
      <c r="C27" s="1325" t="s">
        <v>4462</v>
      </c>
      <c r="D27" s="1144">
        <f t="shared" si="0"/>
        <v>0</v>
      </c>
      <c r="E27" s="1326"/>
      <c r="F27" s="1321"/>
      <c r="G27" s="1329"/>
      <c r="H27" s="1329"/>
      <c r="I27" s="9">
        <f>IF(I25=0, 0, ROUND(I24/I25, 3))</f>
        <v>0</v>
      </c>
      <c r="J27" s="149"/>
      <c r="K27" s="149"/>
      <c r="L27" s="149"/>
      <c r="M27" s="149"/>
      <c r="N27" s="1467"/>
      <c r="O27" s="149"/>
      <c r="P27" s="149"/>
      <c r="Q27" s="149"/>
      <c r="R27" s="149"/>
      <c r="S27" s="149"/>
      <c r="T27" s="149"/>
      <c r="U27" s="149"/>
      <c r="V27" s="149"/>
      <c r="W27" s="149"/>
      <c r="X27" s="149"/>
      <c r="Y27" s="149"/>
      <c r="Z27" s="131"/>
      <c r="AA27" s="1135"/>
      <c r="AB27" s="1135"/>
      <c r="AC27" s="1135"/>
      <c r="AD27" s="1135"/>
      <c r="AE27" s="1135"/>
      <c r="AF27" s="1135"/>
      <c r="AG27" s="1135"/>
      <c r="AH27" s="1135"/>
      <c r="AI27" s="1135"/>
      <c r="AJ27" s="1135"/>
      <c r="AK27" s="1135"/>
      <c r="AL27" s="1135"/>
    </row>
    <row r="28" spans="2:38" ht="15" customHeight="1">
      <c r="B28" s="1287"/>
      <c r="C28" s="1327" t="s">
        <v>3266</v>
      </c>
      <c r="D28" s="1321"/>
      <c r="E28" s="1321"/>
      <c r="F28" s="1141">
        <v>0.03</v>
      </c>
      <c r="G28" s="1329"/>
      <c r="H28" s="1329"/>
      <c r="I28" s="149"/>
      <c r="J28" s="149"/>
      <c r="K28" s="149"/>
      <c r="L28" s="149"/>
      <c r="M28" s="149"/>
      <c r="N28" s="149"/>
      <c r="O28" s="149"/>
      <c r="P28" s="149"/>
      <c r="Q28" s="149"/>
      <c r="R28" s="149"/>
      <c r="S28" s="149"/>
      <c r="T28" s="149"/>
      <c r="U28" s="149"/>
      <c r="V28" s="149"/>
      <c r="W28" s="149"/>
      <c r="X28" s="149"/>
      <c r="Y28" s="149"/>
      <c r="Z28" s="131"/>
      <c r="AA28" s="1135"/>
      <c r="AB28" s="1135"/>
      <c r="AC28" s="1135"/>
      <c r="AD28" s="1135"/>
      <c r="AE28" s="1135"/>
      <c r="AF28" s="1135"/>
      <c r="AG28" s="1135"/>
      <c r="AH28" s="1135"/>
      <c r="AI28" s="1135"/>
      <c r="AJ28" s="1135"/>
      <c r="AK28" s="1135"/>
      <c r="AL28" s="1135"/>
    </row>
    <row r="29" spans="2:38" ht="15" customHeight="1">
      <c r="B29" s="1287"/>
      <c r="C29" s="1327" t="s">
        <v>3267</v>
      </c>
      <c r="D29" s="1321"/>
      <c r="E29" s="1321"/>
      <c r="F29" s="1141">
        <v>0.03</v>
      </c>
      <c r="G29" s="1329"/>
      <c r="H29" s="1329"/>
      <c r="I29" s="149"/>
      <c r="J29" s="149"/>
      <c r="K29" s="149"/>
      <c r="L29" s="149"/>
      <c r="M29" s="149"/>
      <c r="N29" s="149"/>
      <c r="O29" s="149"/>
      <c r="P29" s="149"/>
      <c r="Q29" s="149"/>
      <c r="R29" s="149"/>
      <c r="S29" s="149"/>
      <c r="T29" s="149"/>
      <c r="U29" s="149"/>
      <c r="V29" s="149"/>
      <c r="W29" s="149"/>
      <c r="X29" s="149"/>
      <c r="Y29" s="149"/>
      <c r="Z29" s="131"/>
      <c r="AA29" s="1135"/>
      <c r="AB29" s="1135"/>
      <c r="AC29" s="1135"/>
      <c r="AD29" s="1135"/>
      <c r="AE29" s="1135"/>
      <c r="AF29" s="1135"/>
      <c r="AG29" s="1135"/>
      <c r="AH29" s="1135"/>
      <c r="AI29" s="1135"/>
      <c r="AJ29" s="1135"/>
      <c r="AK29" s="1135"/>
      <c r="AL29" s="1135"/>
    </row>
    <row r="30" spans="2:38" ht="15" customHeight="1">
      <c r="B30" s="1287"/>
      <c r="C30" s="1327" t="s">
        <v>4463</v>
      </c>
      <c r="D30" s="1321"/>
      <c r="E30" s="1321"/>
      <c r="F30" s="1141">
        <v>0.03</v>
      </c>
      <c r="G30" s="1329"/>
      <c r="H30" s="1329"/>
      <c r="I30" s="149"/>
      <c r="J30" s="149"/>
      <c r="K30" s="149"/>
      <c r="L30" s="149"/>
      <c r="M30" s="149"/>
      <c r="N30" s="149"/>
      <c r="O30" s="149"/>
      <c r="P30" s="149"/>
      <c r="Q30" s="149"/>
      <c r="R30" s="149"/>
      <c r="S30" s="149"/>
      <c r="T30" s="149"/>
      <c r="U30" s="149"/>
      <c r="V30" s="149"/>
      <c r="W30" s="149"/>
      <c r="X30" s="149"/>
      <c r="Y30" s="149"/>
      <c r="Z30" s="131"/>
      <c r="AA30" s="1135"/>
      <c r="AB30" s="1135"/>
      <c r="AC30" s="1135"/>
      <c r="AD30" s="1135"/>
      <c r="AE30" s="1135"/>
      <c r="AF30" s="1135"/>
      <c r="AG30" s="1135"/>
      <c r="AH30" s="1135"/>
      <c r="AI30" s="1135"/>
      <c r="AJ30" s="1135"/>
      <c r="AK30" s="1135"/>
      <c r="AL30" s="1135"/>
    </row>
    <row r="31" spans="2:38" ht="15" customHeight="1">
      <c r="B31" s="1287"/>
      <c r="C31" s="1327" t="s">
        <v>3270</v>
      </c>
      <c r="D31" s="1321"/>
      <c r="E31" s="1321"/>
      <c r="F31" s="1141">
        <v>0.03</v>
      </c>
      <c r="G31" s="1329"/>
      <c r="H31" s="1329"/>
      <c r="I31" s="149"/>
      <c r="J31" s="149"/>
      <c r="K31" s="149"/>
      <c r="L31" s="149"/>
      <c r="M31" s="149"/>
      <c r="N31" s="149"/>
      <c r="O31" s="149"/>
      <c r="P31" s="149"/>
      <c r="Q31" s="149"/>
      <c r="R31" s="149"/>
      <c r="S31" s="149"/>
      <c r="T31" s="149"/>
      <c r="U31" s="149"/>
      <c r="V31" s="149"/>
      <c r="W31" s="149"/>
      <c r="X31" s="149"/>
      <c r="Y31" s="149"/>
      <c r="Z31" s="131"/>
      <c r="AA31" s="1135"/>
      <c r="AB31" s="1135"/>
      <c r="AC31" s="1135"/>
      <c r="AD31" s="1135"/>
      <c r="AE31" s="1135"/>
      <c r="AF31" s="1135"/>
      <c r="AG31" s="1135"/>
      <c r="AH31" s="1135"/>
      <c r="AI31" s="1135"/>
      <c r="AJ31" s="1135"/>
      <c r="AK31" s="1135"/>
      <c r="AL31" s="1135"/>
    </row>
    <row r="32" spans="2:38" ht="15" customHeight="1">
      <c r="B32" s="1287"/>
      <c r="C32" s="1327" t="s">
        <v>4464</v>
      </c>
      <c r="D32" s="1321"/>
      <c r="E32" s="1321"/>
      <c r="F32" s="1141">
        <v>0.03</v>
      </c>
      <c r="G32" s="1329"/>
      <c r="H32" s="1329"/>
      <c r="I32" s="149"/>
      <c r="J32" s="149"/>
      <c r="K32" s="149"/>
      <c r="L32" s="149"/>
      <c r="M32" s="149"/>
      <c r="N32" s="149"/>
      <c r="O32" s="149"/>
      <c r="P32" s="149"/>
      <c r="Q32" s="149"/>
      <c r="R32" s="149"/>
      <c r="S32" s="149"/>
      <c r="T32" s="149"/>
      <c r="U32" s="149"/>
      <c r="V32" s="149"/>
      <c r="W32" s="149"/>
      <c r="X32" s="149"/>
      <c r="Y32" s="149"/>
      <c r="Z32" s="131"/>
      <c r="AA32" s="1135"/>
      <c r="AB32" s="1135"/>
      <c r="AC32" s="1135"/>
      <c r="AD32" s="1135"/>
      <c r="AE32" s="1135"/>
      <c r="AF32" s="1135"/>
      <c r="AG32" s="1135"/>
      <c r="AH32" s="1135"/>
      <c r="AI32" s="1135"/>
      <c r="AJ32" s="1135"/>
      <c r="AK32" s="1135"/>
      <c r="AL32" s="1135"/>
    </row>
    <row r="33" spans="2:38" ht="15" customHeight="1">
      <c r="B33" s="1287"/>
      <c r="C33" s="1327" t="s">
        <v>3272</v>
      </c>
      <c r="D33" s="1321"/>
      <c r="E33" s="1321"/>
      <c r="F33" s="1141">
        <v>0.03</v>
      </c>
      <c r="G33" s="1329"/>
      <c r="H33" s="1329"/>
      <c r="I33" s="149"/>
      <c r="J33" s="149"/>
      <c r="K33" s="149"/>
      <c r="L33" s="149"/>
      <c r="M33" s="149"/>
      <c r="N33" s="149"/>
      <c r="O33" s="149"/>
      <c r="P33" s="149"/>
      <c r="Q33" s="149"/>
      <c r="R33" s="149"/>
      <c r="S33" s="149"/>
      <c r="T33" s="149"/>
      <c r="U33" s="149"/>
      <c r="V33" s="149"/>
      <c r="W33" s="149"/>
      <c r="X33" s="149"/>
      <c r="Y33" s="149"/>
      <c r="Z33" s="131"/>
      <c r="AA33" s="1135"/>
      <c r="AB33" s="1135"/>
      <c r="AC33" s="1135"/>
      <c r="AD33" s="1135"/>
      <c r="AE33" s="1135"/>
      <c r="AF33" s="1135"/>
      <c r="AG33" s="1135"/>
      <c r="AH33" s="1135"/>
      <c r="AI33" s="1135"/>
      <c r="AJ33" s="1135"/>
      <c r="AK33" s="1135"/>
      <c r="AL33" s="1135"/>
    </row>
    <row r="34" spans="2:38" ht="15" customHeight="1">
      <c r="B34" s="1287"/>
      <c r="C34" s="1327" t="s">
        <v>3273</v>
      </c>
      <c r="D34" s="1321"/>
      <c r="E34" s="1321"/>
      <c r="F34" s="1141">
        <v>0.03</v>
      </c>
      <c r="G34" s="1329"/>
      <c r="H34" s="1329"/>
      <c r="I34" s="149"/>
      <c r="J34" s="149"/>
      <c r="K34" s="149"/>
      <c r="L34" s="149"/>
      <c r="M34" s="149"/>
      <c r="N34" s="149"/>
      <c r="O34" s="149"/>
      <c r="P34" s="149"/>
      <c r="Q34" s="149"/>
      <c r="R34" s="149"/>
      <c r="S34" s="149"/>
      <c r="T34" s="149"/>
      <c r="U34" s="149"/>
      <c r="V34" s="149"/>
      <c r="W34" s="149"/>
      <c r="X34" s="149"/>
      <c r="Y34" s="149"/>
      <c r="Z34" s="131"/>
      <c r="AA34" s="1135"/>
      <c r="AB34" s="1135"/>
      <c r="AC34" s="1135"/>
      <c r="AD34" s="1135"/>
      <c r="AE34" s="1135"/>
      <c r="AF34" s="1135"/>
      <c r="AG34" s="1135"/>
      <c r="AH34" s="1135"/>
      <c r="AI34" s="1135"/>
      <c r="AJ34" s="1135"/>
      <c r="AK34" s="1135"/>
      <c r="AL34" s="1135"/>
    </row>
    <row r="35" spans="2:38">
      <c r="B35" s="1287"/>
      <c r="C35" s="1327" t="s">
        <v>2989</v>
      </c>
      <c r="D35" s="1321"/>
      <c r="E35" s="1321"/>
      <c r="F35" s="1141">
        <v>0.03</v>
      </c>
      <c r="G35" s="1329"/>
      <c r="H35" s="1329"/>
      <c r="I35" s="149"/>
      <c r="J35" s="149"/>
      <c r="K35" s="149"/>
      <c r="L35" s="149"/>
      <c r="M35" s="149"/>
      <c r="N35" s="149"/>
      <c r="O35" s="149"/>
      <c r="P35" s="149"/>
      <c r="Q35" s="149"/>
      <c r="R35" s="149"/>
      <c r="S35" s="149"/>
      <c r="T35" s="149"/>
      <c r="U35" s="149"/>
      <c r="V35" s="149"/>
      <c r="W35" s="149"/>
      <c r="X35" s="149"/>
      <c r="Y35" s="149"/>
      <c r="Z35" s="131"/>
      <c r="AA35" s="1135"/>
      <c r="AB35" s="1135"/>
      <c r="AC35" s="1135"/>
      <c r="AD35" s="1135"/>
      <c r="AE35" s="1135"/>
      <c r="AF35" s="1135"/>
      <c r="AG35" s="1135"/>
      <c r="AH35" s="1135"/>
      <c r="AI35" s="1135"/>
      <c r="AJ35" s="1135"/>
      <c r="AK35" s="1135"/>
      <c r="AL35" s="1135"/>
    </row>
    <row r="36" spans="2:38">
      <c r="B36" s="1287"/>
      <c r="C36" s="1328" t="s">
        <v>4465</v>
      </c>
      <c r="D36" s="1329"/>
      <c r="E36" s="1329"/>
      <c r="F36" s="1329"/>
      <c r="G36" s="1329"/>
      <c r="H36" s="1329"/>
      <c r="I36" s="149"/>
      <c r="J36" s="149"/>
      <c r="K36" s="149"/>
      <c r="L36" s="149"/>
      <c r="M36" s="149"/>
      <c r="N36" s="149"/>
      <c r="O36" s="149"/>
      <c r="P36" s="149"/>
      <c r="Q36" s="149"/>
      <c r="R36" s="149"/>
      <c r="S36" s="149"/>
      <c r="T36" s="149"/>
      <c r="U36" s="149"/>
      <c r="V36" s="149"/>
      <c r="W36" s="149"/>
      <c r="X36" s="149"/>
      <c r="Y36" s="149"/>
      <c r="Z36" s="131"/>
      <c r="AA36" s="1135"/>
      <c r="AB36" s="1135"/>
      <c r="AC36" s="1135"/>
      <c r="AD36" s="1135"/>
      <c r="AE36" s="1135"/>
      <c r="AF36" s="1135"/>
      <c r="AG36" s="1135"/>
      <c r="AH36" s="1135"/>
      <c r="AI36" s="1135"/>
      <c r="AJ36" s="1135"/>
      <c r="AK36" s="1135"/>
      <c r="AL36" s="1135"/>
    </row>
    <row r="37" spans="2:38">
      <c r="B37" s="1287"/>
      <c r="C37" s="1329" t="s">
        <v>4466</v>
      </c>
      <c r="D37" s="1329"/>
      <c r="E37" s="1329"/>
      <c r="F37" s="1329"/>
      <c r="G37" s="1329"/>
      <c r="H37" s="1329"/>
      <c r="I37" s="9"/>
      <c r="J37" s="149"/>
      <c r="K37" s="149"/>
      <c r="L37" s="149"/>
      <c r="M37" s="149"/>
      <c r="N37" s="149"/>
      <c r="O37" s="149"/>
      <c r="P37" s="149"/>
      <c r="Q37" s="149"/>
      <c r="R37" s="149"/>
      <c r="S37" s="149"/>
      <c r="T37" s="149"/>
      <c r="U37" s="149"/>
      <c r="V37" s="149"/>
      <c r="W37" s="149"/>
      <c r="X37" s="149"/>
      <c r="Y37" s="149"/>
      <c r="Z37" s="131"/>
      <c r="AA37" s="1135"/>
      <c r="AB37" s="1135"/>
      <c r="AC37" s="1135"/>
      <c r="AD37" s="1135"/>
      <c r="AE37" s="1135"/>
      <c r="AF37" s="1135"/>
      <c r="AG37" s="1135"/>
      <c r="AH37" s="1135"/>
      <c r="AI37" s="1135"/>
      <c r="AJ37" s="1135"/>
      <c r="AK37" s="1135"/>
      <c r="AL37" s="1135"/>
    </row>
    <row r="38" spans="2:38">
      <c r="B38" s="1287"/>
      <c r="C38" s="2270"/>
      <c r="D38" s="2271"/>
      <c r="E38" s="2271"/>
      <c r="F38" s="2271"/>
      <c r="G38" s="2272"/>
      <c r="H38" s="1329"/>
      <c r="I38" s="9"/>
      <c r="J38" s="149"/>
      <c r="K38" s="149"/>
      <c r="L38" s="149"/>
      <c r="M38" s="149"/>
      <c r="N38" s="149"/>
      <c r="O38" s="149"/>
      <c r="P38" s="149"/>
      <c r="Q38" s="149"/>
      <c r="R38" s="149"/>
      <c r="S38" s="149"/>
      <c r="T38" s="149"/>
      <c r="U38" s="149"/>
      <c r="V38" s="149"/>
      <c r="W38" s="149"/>
      <c r="X38" s="149"/>
      <c r="Y38" s="149"/>
      <c r="Z38" s="131"/>
      <c r="AA38" s="1135"/>
      <c r="AB38" s="1135"/>
      <c r="AC38" s="1135"/>
      <c r="AD38" s="1135"/>
      <c r="AE38" s="1135"/>
      <c r="AF38" s="1135"/>
      <c r="AG38" s="1135"/>
      <c r="AH38" s="1135"/>
      <c r="AI38" s="1135"/>
      <c r="AJ38" s="1135"/>
      <c r="AK38" s="1135"/>
      <c r="AL38" s="1135"/>
    </row>
    <row r="39" spans="2:38">
      <c r="B39" s="1287"/>
      <c r="C39" s="2273"/>
      <c r="D39" s="2274"/>
      <c r="E39" s="2274"/>
      <c r="F39" s="2274"/>
      <c r="G39" s="2275"/>
      <c r="H39" s="1329"/>
      <c r="I39" s="9"/>
      <c r="J39" s="149"/>
      <c r="K39" s="149"/>
      <c r="L39" s="149"/>
      <c r="M39" s="149"/>
      <c r="N39" s="149"/>
      <c r="O39" s="149"/>
      <c r="P39" s="149"/>
      <c r="Q39" s="149"/>
      <c r="R39" s="149"/>
      <c r="S39" s="149"/>
      <c r="T39" s="149"/>
      <c r="U39" s="149"/>
      <c r="V39" s="149"/>
      <c r="W39" s="149"/>
      <c r="X39" s="149"/>
      <c r="Y39" s="149"/>
      <c r="Z39" s="131"/>
      <c r="AA39" s="1135"/>
      <c r="AB39" s="1135"/>
      <c r="AC39" s="1135"/>
      <c r="AD39" s="1135"/>
      <c r="AE39" s="1135"/>
      <c r="AF39" s="1135"/>
      <c r="AG39" s="1135"/>
      <c r="AH39" s="1135"/>
      <c r="AI39" s="1135"/>
      <c r="AJ39" s="1135"/>
      <c r="AK39" s="1135"/>
      <c r="AL39" s="1135"/>
    </row>
    <row r="40" spans="2:38">
      <c r="B40" s="1287"/>
      <c r="C40" s="2273"/>
      <c r="D40" s="2274"/>
      <c r="E40" s="2274"/>
      <c r="F40" s="2274"/>
      <c r="G40" s="2275"/>
      <c r="H40" s="1329"/>
      <c r="I40" s="9"/>
      <c r="J40" s="149"/>
      <c r="K40" s="149"/>
      <c r="L40" s="149"/>
      <c r="M40" s="149"/>
      <c r="N40" s="149"/>
      <c r="O40" s="149"/>
      <c r="P40" s="149"/>
      <c r="Q40" s="149"/>
      <c r="R40" s="149"/>
      <c r="S40" s="149"/>
      <c r="T40" s="149"/>
      <c r="U40" s="149"/>
      <c r="V40" s="149"/>
      <c r="W40" s="149"/>
      <c r="X40" s="149"/>
      <c r="Y40" s="149"/>
      <c r="Z40" s="131"/>
      <c r="AA40" s="1135"/>
      <c r="AB40" s="1135"/>
      <c r="AC40" s="1135"/>
      <c r="AD40" s="1135"/>
      <c r="AE40" s="1135"/>
      <c r="AF40" s="1135"/>
      <c r="AG40" s="1135"/>
      <c r="AH40" s="1135"/>
      <c r="AI40" s="1135"/>
      <c r="AJ40" s="1135"/>
      <c r="AK40" s="1135"/>
      <c r="AL40" s="1135"/>
    </row>
    <row r="41" spans="2:38">
      <c r="B41" s="1287"/>
      <c r="C41" s="2273"/>
      <c r="D41" s="2274"/>
      <c r="E41" s="2274"/>
      <c r="F41" s="2274"/>
      <c r="G41" s="2275"/>
      <c r="H41" s="1329"/>
      <c r="I41" s="9"/>
      <c r="J41" s="149"/>
      <c r="K41" s="149"/>
      <c r="L41" s="149"/>
      <c r="M41" s="149"/>
      <c r="N41" s="149"/>
      <c r="O41" s="149"/>
      <c r="P41" s="149"/>
      <c r="Q41" s="149"/>
      <c r="R41" s="149"/>
      <c r="S41" s="149"/>
      <c r="T41" s="149"/>
      <c r="U41" s="149"/>
      <c r="V41" s="149"/>
      <c r="W41" s="149"/>
      <c r="X41" s="149"/>
      <c r="Y41" s="149"/>
      <c r="Z41" s="131"/>
      <c r="AA41" s="1135"/>
      <c r="AB41" s="1135"/>
      <c r="AC41" s="1135"/>
      <c r="AD41" s="1135"/>
      <c r="AE41" s="1135"/>
      <c r="AF41" s="1135"/>
      <c r="AG41" s="1135"/>
      <c r="AH41" s="1135"/>
      <c r="AI41" s="1135"/>
      <c r="AJ41" s="1135"/>
      <c r="AK41" s="1135"/>
      <c r="AL41" s="1135"/>
    </row>
    <row r="42" spans="2:38">
      <c r="B42" s="1287"/>
      <c r="C42" s="2273"/>
      <c r="D42" s="2274"/>
      <c r="E42" s="2274"/>
      <c r="F42" s="2274"/>
      <c r="G42" s="2275"/>
      <c r="H42" s="1329"/>
      <c r="I42" s="9"/>
      <c r="J42" s="149"/>
      <c r="K42" s="149"/>
      <c r="L42" s="149"/>
      <c r="M42" s="149"/>
      <c r="N42" s="149"/>
      <c r="O42" s="149"/>
      <c r="P42" s="149"/>
      <c r="Q42" s="149"/>
      <c r="R42" s="149"/>
      <c r="S42" s="149"/>
      <c r="T42" s="149"/>
      <c r="U42" s="149"/>
      <c r="V42" s="149"/>
      <c r="W42" s="149"/>
      <c r="X42" s="149"/>
      <c r="Y42" s="149"/>
      <c r="Z42" s="131"/>
      <c r="AA42" s="1135"/>
      <c r="AB42" s="1135"/>
      <c r="AC42" s="1135"/>
      <c r="AD42" s="1135"/>
      <c r="AE42" s="1135"/>
      <c r="AF42" s="1135"/>
      <c r="AG42" s="1135"/>
      <c r="AH42" s="1135"/>
      <c r="AI42" s="1135"/>
      <c r="AJ42" s="1135"/>
      <c r="AK42" s="1135"/>
      <c r="AL42" s="1135"/>
    </row>
    <row r="43" spans="2:38">
      <c r="B43" s="1287"/>
      <c r="C43" s="2276"/>
      <c r="D43" s="2277"/>
      <c r="E43" s="2277"/>
      <c r="F43" s="2277"/>
      <c r="G43" s="2278"/>
      <c r="H43" s="1329"/>
      <c r="I43" s="9"/>
      <c r="J43" s="149"/>
      <c r="K43" s="149"/>
      <c r="L43" s="149"/>
      <c r="M43" s="149"/>
      <c r="N43" s="149"/>
      <c r="O43" s="149"/>
      <c r="P43" s="149"/>
      <c r="Q43" s="149"/>
      <c r="R43" s="149"/>
      <c r="S43" s="149"/>
      <c r="T43" s="149"/>
      <c r="U43" s="149"/>
      <c r="V43" s="149"/>
      <c r="W43" s="149"/>
      <c r="X43" s="149"/>
      <c r="Y43" s="149"/>
      <c r="Z43" s="131"/>
      <c r="AA43" s="1135"/>
      <c r="AB43" s="1135"/>
      <c r="AC43" s="1135"/>
      <c r="AD43" s="1135"/>
      <c r="AE43" s="1135"/>
      <c r="AF43" s="1135"/>
      <c r="AG43" s="1135"/>
      <c r="AH43" s="1135"/>
      <c r="AI43" s="1135"/>
      <c r="AJ43" s="1135"/>
      <c r="AK43" s="1135"/>
      <c r="AL43" s="1135"/>
    </row>
    <row r="44" spans="2:38">
      <c r="B44" s="1287"/>
      <c r="C44" s="1287"/>
      <c r="D44" s="1287"/>
      <c r="E44" s="1287"/>
      <c r="F44" s="1287"/>
      <c r="G44" s="1287"/>
      <c r="H44" s="1329"/>
      <c r="I44" s="9"/>
      <c r="J44" s="149"/>
      <c r="K44" s="149"/>
      <c r="L44" s="149"/>
      <c r="M44" s="149"/>
      <c r="N44" s="149"/>
      <c r="O44" s="149"/>
      <c r="P44" s="149"/>
      <c r="Q44" s="149"/>
      <c r="R44" s="149"/>
      <c r="S44" s="149"/>
      <c r="T44" s="149"/>
      <c r="U44" s="149"/>
      <c r="V44" s="149"/>
      <c r="W44" s="149"/>
      <c r="X44" s="149"/>
      <c r="Y44" s="149"/>
      <c r="Z44" s="131"/>
      <c r="AA44" s="1135"/>
      <c r="AB44" s="1135"/>
      <c r="AC44" s="1135"/>
      <c r="AD44" s="1135"/>
      <c r="AE44" s="1135"/>
      <c r="AF44" s="1135"/>
      <c r="AG44" s="1135"/>
      <c r="AH44" s="1135"/>
      <c r="AI44" s="1135"/>
      <c r="AJ44" s="1135"/>
      <c r="AK44" s="1135"/>
      <c r="AL44" s="1135"/>
    </row>
    <row r="45" spans="2:38">
      <c r="B45" s="1287"/>
      <c r="C45" s="1491" t="s">
        <v>4467</v>
      </c>
      <c r="D45" s="1546">
        <f>IF(D10&gt;0,D17/D10,0)</f>
        <v>0</v>
      </c>
      <c r="E45" s="1287"/>
      <c r="F45" s="1287"/>
      <c r="G45" s="1287"/>
      <c r="H45" s="1329"/>
      <c r="I45" s="9"/>
      <c r="J45" s="149"/>
      <c r="K45" s="149"/>
      <c r="L45" s="149"/>
      <c r="M45" s="149"/>
      <c r="N45" s="149"/>
      <c r="O45" s="149"/>
      <c r="P45" s="149"/>
      <c r="Q45" s="149"/>
      <c r="R45" s="149"/>
      <c r="S45" s="149"/>
      <c r="T45" s="149"/>
      <c r="U45" s="149"/>
      <c r="V45" s="149"/>
      <c r="W45" s="149"/>
      <c r="X45" s="149"/>
      <c r="Y45" s="149"/>
      <c r="Z45" s="131"/>
      <c r="AA45" s="1135"/>
      <c r="AB45" s="1135"/>
      <c r="AC45" s="1135"/>
      <c r="AD45" s="1135"/>
      <c r="AE45" s="1135"/>
      <c r="AF45" s="1135"/>
      <c r="AG45" s="1135"/>
      <c r="AH45" s="1135"/>
      <c r="AI45" s="1135"/>
      <c r="AJ45" s="1135"/>
      <c r="AK45" s="1135"/>
      <c r="AL45" s="1135"/>
    </row>
    <row r="46" spans="2:38">
      <c r="B46" s="1287"/>
      <c r="C46" s="2270"/>
      <c r="D46" s="2274"/>
      <c r="E46" s="2271"/>
      <c r="F46" s="2271"/>
      <c r="G46" s="2272"/>
      <c r="H46" s="1329"/>
      <c r="I46" s="9"/>
      <c r="J46" s="149"/>
      <c r="K46" s="149"/>
      <c r="L46" s="149"/>
      <c r="M46" s="149"/>
      <c r="N46" s="149"/>
      <c r="O46" s="149"/>
      <c r="P46" s="149"/>
      <c r="Q46" s="149"/>
      <c r="R46" s="149"/>
      <c r="S46" s="149"/>
      <c r="T46" s="149"/>
      <c r="U46" s="149"/>
      <c r="V46" s="149"/>
      <c r="W46" s="149"/>
      <c r="X46" s="149"/>
      <c r="Y46" s="149"/>
      <c r="Z46" s="131"/>
      <c r="AA46" s="1135"/>
      <c r="AB46" s="1135"/>
      <c r="AC46" s="1135"/>
      <c r="AD46" s="1135"/>
      <c r="AE46" s="1135"/>
      <c r="AF46" s="1135"/>
      <c r="AG46" s="1135"/>
      <c r="AH46" s="1135"/>
      <c r="AI46" s="1135"/>
      <c r="AJ46" s="1135"/>
      <c r="AK46" s="1135"/>
      <c r="AL46" s="1135"/>
    </row>
    <row r="47" spans="2:38">
      <c r="B47" s="1287"/>
      <c r="C47" s="2273"/>
      <c r="D47" s="2274"/>
      <c r="E47" s="2274"/>
      <c r="F47" s="2274"/>
      <c r="G47" s="2275"/>
      <c r="H47" s="1329"/>
      <c r="I47" s="9"/>
      <c r="J47" s="149"/>
      <c r="K47" s="149"/>
      <c r="L47" s="149"/>
      <c r="M47" s="149"/>
      <c r="N47" s="149"/>
      <c r="O47" s="149"/>
      <c r="P47" s="149"/>
      <c r="Q47" s="149"/>
      <c r="R47" s="149"/>
      <c r="S47" s="149"/>
      <c r="T47" s="149"/>
      <c r="U47" s="149"/>
      <c r="V47" s="149"/>
      <c r="W47" s="149"/>
      <c r="X47" s="149"/>
      <c r="Y47" s="149"/>
      <c r="Z47" s="131"/>
      <c r="AA47" s="1135"/>
      <c r="AB47" s="1135"/>
      <c r="AC47" s="1135"/>
      <c r="AD47" s="1135"/>
      <c r="AE47" s="1135"/>
      <c r="AF47" s="1135"/>
      <c r="AG47" s="1135"/>
      <c r="AH47" s="1135"/>
      <c r="AI47" s="1135"/>
      <c r="AJ47" s="1135"/>
      <c r="AK47" s="1135"/>
      <c r="AL47" s="1135"/>
    </row>
    <row r="48" spans="2:38">
      <c r="B48" s="1287"/>
      <c r="C48" s="2273"/>
      <c r="D48" s="2274"/>
      <c r="E48" s="2274"/>
      <c r="F48" s="2274"/>
      <c r="G48" s="2275"/>
      <c r="H48" s="1329"/>
      <c r="I48" s="9"/>
      <c r="J48" s="149"/>
      <c r="K48" s="149"/>
      <c r="L48" s="149"/>
      <c r="M48" s="149"/>
      <c r="N48" s="149"/>
      <c r="O48" s="149"/>
      <c r="P48" s="149"/>
      <c r="Q48" s="149"/>
      <c r="R48" s="149"/>
      <c r="S48" s="149"/>
      <c r="T48" s="149"/>
      <c r="U48" s="149"/>
      <c r="V48" s="149"/>
      <c r="W48" s="149"/>
      <c r="X48" s="149"/>
      <c r="Y48" s="149"/>
      <c r="Z48" s="131"/>
      <c r="AA48" s="1135"/>
      <c r="AB48" s="1135"/>
      <c r="AC48" s="1135"/>
      <c r="AD48" s="1135"/>
      <c r="AE48" s="1135"/>
      <c r="AF48" s="1135"/>
      <c r="AG48" s="1135"/>
      <c r="AH48" s="1135"/>
      <c r="AI48" s="1135"/>
      <c r="AJ48" s="1135"/>
      <c r="AK48" s="1135"/>
      <c r="AL48" s="1135"/>
    </row>
    <row r="49" spans="2:39">
      <c r="B49" s="1287"/>
      <c r="C49" s="2273"/>
      <c r="D49" s="2274"/>
      <c r="E49" s="2274"/>
      <c r="F49" s="2274"/>
      <c r="G49" s="2275"/>
      <c r="H49" s="1329"/>
      <c r="I49" s="149"/>
      <c r="J49" s="149"/>
      <c r="K49" s="149"/>
      <c r="L49" s="149"/>
      <c r="M49" s="149"/>
      <c r="N49" s="149"/>
      <c r="O49" s="149"/>
      <c r="P49" s="149"/>
      <c r="Q49" s="149"/>
      <c r="R49" s="149"/>
      <c r="S49" s="149"/>
      <c r="T49" s="149"/>
      <c r="U49" s="149"/>
      <c r="V49" s="149"/>
      <c r="W49" s="149"/>
      <c r="X49" s="149"/>
      <c r="Y49" s="149"/>
      <c r="Z49" s="131"/>
      <c r="AA49" s="1135"/>
      <c r="AB49" s="1135"/>
      <c r="AC49" s="1135"/>
      <c r="AD49" s="1135"/>
      <c r="AE49" s="1135"/>
      <c r="AF49" s="1135"/>
      <c r="AG49" s="1135"/>
      <c r="AH49" s="1135"/>
      <c r="AI49" s="1135"/>
      <c r="AJ49" s="1135"/>
      <c r="AK49" s="1135"/>
      <c r="AL49" s="1135"/>
      <c r="AM49" s="9"/>
    </row>
    <row r="50" spans="2:39">
      <c r="B50" s="1287"/>
      <c r="C50" s="2273"/>
      <c r="D50" s="2274"/>
      <c r="E50" s="2274"/>
      <c r="F50" s="2274"/>
      <c r="G50" s="2275"/>
      <c r="H50" s="1329"/>
      <c r="I50" s="149"/>
      <c r="J50" s="149"/>
      <c r="K50" s="149"/>
      <c r="L50" s="149"/>
      <c r="M50" s="149"/>
      <c r="N50" s="149"/>
      <c r="O50" s="149"/>
      <c r="P50" s="149"/>
      <c r="Q50" s="149"/>
      <c r="R50" s="149"/>
      <c r="S50" s="149"/>
      <c r="T50" s="149"/>
      <c r="U50" s="149"/>
      <c r="V50" s="149"/>
      <c r="W50" s="149"/>
      <c r="X50" s="149"/>
      <c r="Y50" s="149"/>
      <c r="Z50" s="131"/>
      <c r="AA50" s="1135"/>
      <c r="AB50" s="1135"/>
      <c r="AC50" s="1135"/>
      <c r="AD50" s="1135"/>
      <c r="AE50" s="1135"/>
      <c r="AF50" s="1135"/>
      <c r="AG50" s="1135"/>
      <c r="AH50" s="1135"/>
      <c r="AI50" s="1135"/>
      <c r="AJ50" s="1135"/>
      <c r="AK50" s="1135"/>
      <c r="AL50" s="1135"/>
      <c r="AM50" s="9"/>
    </row>
    <row r="51" spans="2:39">
      <c r="B51" s="1287"/>
      <c r="C51" s="2276"/>
      <c r="D51" s="2277"/>
      <c r="E51" s="2277"/>
      <c r="F51" s="2277"/>
      <c r="G51" s="2278"/>
      <c r="H51" s="1329"/>
      <c r="I51" s="149"/>
      <c r="J51" s="149"/>
      <c r="K51" s="149"/>
      <c r="L51" s="149"/>
      <c r="M51" s="149"/>
      <c r="N51" s="149"/>
      <c r="O51" s="149"/>
      <c r="P51" s="149"/>
      <c r="Q51" s="149"/>
      <c r="R51" s="149"/>
      <c r="S51" s="149"/>
      <c r="T51" s="149"/>
      <c r="U51" s="149"/>
      <c r="V51" s="149"/>
      <c r="W51" s="149"/>
      <c r="X51" s="149"/>
      <c r="Y51" s="149"/>
      <c r="Z51" s="131"/>
      <c r="AA51" s="1135"/>
      <c r="AB51" s="1135"/>
      <c r="AC51" s="1135"/>
      <c r="AD51" s="1135"/>
      <c r="AE51" s="1135"/>
      <c r="AF51" s="1135"/>
      <c r="AG51" s="1135"/>
      <c r="AH51" s="1135"/>
      <c r="AI51" s="1135"/>
      <c r="AJ51" s="1135"/>
      <c r="AK51" s="1135"/>
      <c r="AL51" s="1135"/>
      <c r="AM51" s="9"/>
    </row>
    <row r="52" spans="2:39">
      <c r="B52" s="1287"/>
      <c r="C52" s="1287"/>
      <c r="D52" s="1287"/>
      <c r="E52" s="1287"/>
      <c r="F52" s="1287"/>
      <c r="G52" s="1287"/>
      <c r="H52" s="1329"/>
      <c r="I52" s="149"/>
      <c r="J52" s="149"/>
      <c r="K52" s="149"/>
      <c r="L52" s="149"/>
      <c r="M52" s="149"/>
      <c r="N52" s="149"/>
      <c r="O52" s="149"/>
      <c r="P52" s="149"/>
      <c r="Q52" s="149"/>
      <c r="R52" s="149"/>
      <c r="S52" s="149"/>
      <c r="T52" s="149"/>
      <c r="U52" s="149"/>
      <c r="V52" s="149"/>
      <c r="W52" s="149"/>
      <c r="X52" s="149"/>
      <c r="Y52" s="149"/>
      <c r="Z52" s="131"/>
      <c r="AA52" s="1135"/>
      <c r="AB52" s="1135"/>
      <c r="AC52" s="1135"/>
      <c r="AD52" s="1135"/>
      <c r="AE52" s="1135"/>
      <c r="AF52" s="1135"/>
      <c r="AG52" s="1135"/>
      <c r="AH52" s="1135"/>
      <c r="AI52" s="1135"/>
      <c r="AJ52" s="1135"/>
      <c r="AK52" s="1135"/>
      <c r="AL52" s="1135"/>
      <c r="AM52" s="9"/>
    </row>
    <row r="53" spans="2:39">
      <c r="B53" s="1287"/>
      <c r="C53" s="1329"/>
      <c r="D53" s="1329"/>
      <c r="E53" s="1329"/>
      <c r="F53" s="1329"/>
      <c r="G53" s="1329"/>
      <c r="H53" s="1329"/>
      <c r="I53" s="149"/>
      <c r="J53" s="149"/>
      <c r="K53" s="149"/>
      <c r="L53" s="149"/>
      <c r="M53" s="149"/>
      <c r="N53" s="149"/>
      <c r="O53" s="149"/>
      <c r="P53" s="149"/>
      <c r="Q53" s="149"/>
      <c r="R53" s="149"/>
      <c r="S53" s="149"/>
      <c r="T53" s="149"/>
      <c r="U53" s="149"/>
      <c r="V53" s="149"/>
      <c r="W53" s="149"/>
      <c r="X53" s="149"/>
      <c r="Y53" s="149"/>
      <c r="Z53" s="131"/>
      <c r="AA53" s="1135"/>
      <c r="AB53" s="1135"/>
      <c r="AC53" s="1135"/>
      <c r="AD53" s="1135"/>
      <c r="AE53" s="1135"/>
      <c r="AF53" s="1135"/>
      <c r="AG53" s="1135"/>
      <c r="AH53" s="1135"/>
      <c r="AI53" s="1135"/>
      <c r="AJ53" s="1135"/>
      <c r="AK53" s="1135"/>
      <c r="AL53" s="1135"/>
      <c r="AM53" s="9"/>
    </row>
    <row r="54" spans="2:39" ht="19">
      <c r="B54" s="1160" t="s">
        <v>889</v>
      </c>
      <c r="C54" s="9"/>
      <c r="D54" s="1135"/>
      <c r="E54" s="1135"/>
      <c r="F54" s="1135"/>
      <c r="G54" s="1135"/>
      <c r="H54" s="1135"/>
      <c r="I54" s="149"/>
      <c r="J54" s="149"/>
      <c r="K54" s="149"/>
      <c r="L54" s="149"/>
      <c r="M54" s="149"/>
      <c r="N54" s="149"/>
      <c r="O54" s="149"/>
      <c r="P54" s="149"/>
      <c r="Q54" s="149"/>
      <c r="R54" s="149"/>
      <c r="S54" s="149"/>
      <c r="T54" s="149"/>
      <c r="U54" s="149"/>
      <c r="V54" s="149"/>
      <c r="W54" s="149"/>
      <c r="X54" s="149"/>
      <c r="Y54" s="149"/>
      <c r="Z54" s="149"/>
      <c r="AA54" s="1135"/>
      <c r="AB54" s="1135"/>
      <c r="AC54" s="1135"/>
      <c r="AD54" s="1135"/>
      <c r="AE54" s="1135"/>
      <c r="AF54" s="1135"/>
      <c r="AG54" s="1135"/>
      <c r="AH54" s="1135"/>
      <c r="AI54" s="1135"/>
      <c r="AJ54" s="1135"/>
      <c r="AK54" s="1135"/>
      <c r="AL54" s="1135"/>
      <c r="AM54" s="9"/>
    </row>
    <row r="55" spans="2:39">
      <c r="B55" s="1464"/>
      <c r="C55" s="1567" t="s">
        <v>4468</v>
      </c>
      <c r="D55" s="1299"/>
      <c r="E55" s="1299"/>
      <c r="F55" s="1299"/>
      <c r="G55" s="1299"/>
      <c r="H55" s="1273"/>
      <c r="I55" s="1281"/>
      <c r="J55" s="1281"/>
      <c r="K55" s="1281"/>
      <c r="L55" s="1281"/>
      <c r="M55" s="1281"/>
      <c r="N55" s="1281"/>
      <c r="O55" s="1281"/>
      <c r="P55" s="1281"/>
      <c r="Q55" s="1281"/>
      <c r="R55" s="1281"/>
      <c r="S55" s="1281"/>
      <c r="T55" s="1281"/>
      <c r="U55" s="1281"/>
      <c r="V55" s="1281"/>
      <c r="W55" s="1281"/>
      <c r="X55" s="1281"/>
      <c r="Y55" s="1281"/>
      <c r="Z55" s="1299"/>
      <c r="AA55" s="1299"/>
      <c r="AB55" s="1299"/>
      <c r="AC55" s="1299"/>
      <c r="AD55" s="1299"/>
      <c r="AE55" s="1299"/>
      <c r="AF55" s="1299"/>
      <c r="AG55" s="1299"/>
      <c r="AH55" s="1299"/>
      <c r="AI55" s="1299"/>
      <c r="AJ55" s="1299"/>
      <c r="AK55" s="1299"/>
      <c r="AL55" s="1299"/>
      <c r="AM55" s="1299"/>
    </row>
    <row r="56" spans="2:39">
      <c r="B56" s="1464"/>
      <c r="C56" s="1568" t="s">
        <v>4469</v>
      </c>
      <c r="D56" s="1569" t="str">
        <f>IFERROR(D57+1," ")</f>
        <v xml:space="preserve"> </v>
      </c>
      <c r="E56" s="1299"/>
      <c r="F56" s="1299"/>
      <c r="G56" s="1299"/>
      <c r="H56" s="1273"/>
      <c r="I56" s="1281"/>
      <c r="J56" s="1281"/>
      <c r="K56" s="1281"/>
      <c r="L56" s="1281"/>
      <c r="M56" s="1281"/>
      <c r="N56" s="1281"/>
      <c r="O56" s="1281"/>
      <c r="P56" s="1281"/>
      <c r="Q56" s="1281"/>
      <c r="R56" s="1281"/>
      <c r="S56" s="1281"/>
      <c r="T56" s="1281"/>
      <c r="U56" s="1281"/>
      <c r="V56" s="1281"/>
      <c r="W56" s="1281"/>
      <c r="X56" s="1281"/>
      <c r="Y56" s="1281"/>
      <c r="Z56" s="1299"/>
      <c r="AA56" s="1299"/>
      <c r="AB56" s="1299"/>
      <c r="AC56" s="1299"/>
      <c r="AD56" s="1299"/>
      <c r="AE56" s="1299"/>
      <c r="AF56" s="1299"/>
      <c r="AG56" s="1299"/>
      <c r="AH56" s="1299"/>
      <c r="AI56" s="1299"/>
      <c r="AJ56" s="1299"/>
      <c r="AK56" s="1299"/>
      <c r="AL56" s="1299"/>
      <c r="AM56" s="1299"/>
    </row>
    <row r="57" spans="2:39">
      <c r="B57" s="1464"/>
      <c r="C57" s="1568" t="s">
        <v>4470</v>
      </c>
      <c r="D57" s="1569" t="str">
        <f>IF(Construction_Complete=0," ",YEAR(Construction_Complete))</f>
        <v xml:space="preserve"> </v>
      </c>
      <c r="E57" s="1273"/>
      <c r="F57" s="1273"/>
      <c r="G57" s="1273"/>
      <c r="H57" s="1273"/>
      <c r="I57" s="1281"/>
      <c r="J57" s="1281"/>
      <c r="K57" s="1281"/>
      <c r="L57" s="1281"/>
      <c r="M57" s="1281"/>
      <c r="N57" s="1281"/>
      <c r="O57" s="1281"/>
      <c r="P57" s="1281"/>
      <c r="Q57" s="1281"/>
      <c r="R57" s="1281"/>
      <c r="S57" s="1281"/>
      <c r="T57" s="1281"/>
      <c r="U57" s="1281"/>
      <c r="V57" s="1281"/>
      <c r="W57" s="1281"/>
      <c r="X57" s="1281"/>
      <c r="Y57" s="1281"/>
      <c r="Z57" s="1299"/>
      <c r="AA57" s="1299"/>
      <c r="AB57" s="1299"/>
      <c r="AC57" s="1299"/>
      <c r="AD57" s="1299"/>
      <c r="AE57" s="1299"/>
      <c r="AF57" s="1299"/>
      <c r="AG57" s="1299"/>
      <c r="AH57" s="1299"/>
      <c r="AI57" s="1299"/>
      <c r="AJ57" s="1299"/>
      <c r="AK57" s="1299"/>
      <c r="AL57" s="1299"/>
      <c r="AM57" s="1299"/>
    </row>
    <row r="58" spans="2:39">
      <c r="B58" s="1464"/>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99"/>
      <c r="AA58" s="1299"/>
      <c r="AB58" s="1299"/>
      <c r="AC58" s="1299"/>
      <c r="AD58" s="1299"/>
      <c r="AE58" s="1299"/>
      <c r="AF58" s="1299"/>
      <c r="AG58" s="1299"/>
      <c r="AH58" s="1299"/>
      <c r="AI58" s="1299"/>
      <c r="AJ58" s="1299"/>
      <c r="AK58" s="1299"/>
      <c r="AL58" s="1299"/>
      <c r="AM58" s="1299"/>
    </row>
    <row r="59" spans="2:39" hidden="1">
      <c r="B59" s="1465"/>
      <c r="C59" s="1570"/>
      <c r="D59" s="1571"/>
      <c r="E59" s="1571"/>
      <c r="F59" s="1572"/>
      <c r="G59" s="1572"/>
      <c r="H59" s="1571"/>
      <c r="I59" s="1571"/>
      <c r="J59" s="1571"/>
      <c r="K59" s="1571"/>
      <c r="L59" s="1571"/>
      <c r="M59" s="1571"/>
      <c r="N59" s="1571"/>
      <c r="O59" s="1571"/>
      <c r="P59" s="1571"/>
      <c r="Q59" s="1571"/>
      <c r="R59" s="1571"/>
      <c r="S59" s="1571"/>
      <c r="T59" s="1571"/>
      <c r="U59" s="1571"/>
      <c r="V59" s="1571"/>
      <c r="W59" s="1571"/>
      <c r="X59" s="1571"/>
      <c r="Y59" s="1571"/>
      <c r="Z59" s="750"/>
      <c r="AA59" s="3"/>
      <c r="AB59" s="3"/>
      <c r="AC59" s="3"/>
      <c r="AD59" s="3"/>
      <c r="AE59" s="3"/>
      <c r="AF59" s="3"/>
      <c r="AG59" s="3"/>
      <c r="AH59" s="3"/>
      <c r="AI59"/>
      <c r="AJ59"/>
      <c r="AK59"/>
      <c r="AL59"/>
      <c r="AM59" s="1178"/>
    </row>
    <row r="60" spans="2:39">
      <c r="B60" s="1464"/>
      <c r="C60" s="1573" t="s">
        <v>4471</v>
      </c>
      <c r="D60" s="1573">
        <v>1</v>
      </c>
      <c r="E60" s="1573">
        <f>D60+1</f>
        <v>2</v>
      </c>
      <c r="F60" s="1573">
        <f>E60+1</f>
        <v>3</v>
      </c>
      <c r="G60" s="1573">
        <f>F60+1</f>
        <v>4</v>
      </c>
      <c r="H60" s="1573">
        <f t="shared" ref="H60:Y60" si="1">G60+1</f>
        <v>5</v>
      </c>
      <c r="I60" s="1573">
        <f t="shared" si="1"/>
        <v>6</v>
      </c>
      <c r="J60" s="1573">
        <f t="shared" si="1"/>
        <v>7</v>
      </c>
      <c r="K60" s="1573">
        <f t="shared" si="1"/>
        <v>8</v>
      </c>
      <c r="L60" s="1573">
        <f t="shared" si="1"/>
        <v>9</v>
      </c>
      <c r="M60" s="1573">
        <f t="shared" si="1"/>
        <v>10</v>
      </c>
      <c r="N60" s="1573">
        <f t="shared" si="1"/>
        <v>11</v>
      </c>
      <c r="O60" s="1573">
        <f t="shared" si="1"/>
        <v>12</v>
      </c>
      <c r="P60" s="1573">
        <f t="shared" si="1"/>
        <v>13</v>
      </c>
      <c r="Q60" s="1573">
        <f t="shared" si="1"/>
        <v>14</v>
      </c>
      <c r="R60" s="1573">
        <f t="shared" si="1"/>
        <v>15</v>
      </c>
      <c r="S60" s="1573">
        <f t="shared" si="1"/>
        <v>16</v>
      </c>
      <c r="T60" s="1573">
        <f t="shared" si="1"/>
        <v>17</v>
      </c>
      <c r="U60" s="1573">
        <f t="shared" si="1"/>
        <v>18</v>
      </c>
      <c r="V60" s="1573">
        <f t="shared" si="1"/>
        <v>19</v>
      </c>
      <c r="W60" s="1573">
        <f t="shared" si="1"/>
        <v>20</v>
      </c>
      <c r="X60" s="1573">
        <f t="shared" si="1"/>
        <v>21</v>
      </c>
      <c r="Y60" s="1573">
        <f t="shared" si="1"/>
        <v>22</v>
      </c>
      <c r="Z60" s="1573">
        <f t="shared" ref="Z60" si="2">Y60+1</f>
        <v>23</v>
      </c>
      <c r="AA60" s="1573">
        <f t="shared" ref="AA60" si="3">Z60+1</f>
        <v>24</v>
      </c>
      <c r="AB60" s="1573">
        <f t="shared" ref="AB60" si="4">AA60+1</f>
        <v>25</v>
      </c>
      <c r="AC60" s="1573">
        <f t="shared" ref="AC60" si="5">AB60+1</f>
        <v>26</v>
      </c>
      <c r="AD60" s="1573">
        <f t="shared" ref="AD60" si="6">AC60+1</f>
        <v>27</v>
      </c>
      <c r="AE60" s="1573">
        <f t="shared" ref="AE60" si="7">AD60+1</f>
        <v>28</v>
      </c>
      <c r="AF60" s="1573">
        <f t="shared" ref="AF60" si="8">AE60+1</f>
        <v>29</v>
      </c>
      <c r="AG60" s="1573">
        <f t="shared" ref="AG60" si="9">AF60+1</f>
        <v>30</v>
      </c>
      <c r="AH60" s="1573">
        <f t="shared" ref="AH60" si="10">AG60+1</f>
        <v>31</v>
      </c>
      <c r="AI60" s="1573">
        <f t="shared" ref="AI60" si="11">AH60+1</f>
        <v>32</v>
      </c>
      <c r="AJ60" s="1573">
        <f t="shared" ref="AJ60" si="12">AI60+1</f>
        <v>33</v>
      </c>
      <c r="AK60" s="1573">
        <f t="shared" ref="AK60" si="13">AJ60+1</f>
        <v>34</v>
      </c>
      <c r="AL60" s="1573">
        <f t="shared" ref="AL60" si="14">AK60+1</f>
        <v>35</v>
      </c>
      <c r="AM60" s="1178"/>
    </row>
    <row r="61" spans="2:39" hidden="1">
      <c r="B61" s="1464"/>
      <c r="C61" s="1570"/>
      <c r="D61" s="1571" t="str">
        <f>+D56</f>
        <v xml:space="preserve"> </v>
      </c>
      <c r="E61" s="1571" t="str">
        <f t="shared" ref="E61:Y61" si="15">IFERROR(D61+1," ")</f>
        <v xml:space="preserve"> </v>
      </c>
      <c r="F61" s="1571" t="str">
        <f t="shared" si="15"/>
        <v xml:space="preserve"> </v>
      </c>
      <c r="G61" s="1571" t="str">
        <f t="shared" si="15"/>
        <v xml:space="preserve"> </v>
      </c>
      <c r="H61" s="1571" t="str">
        <f t="shared" si="15"/>
        <v xml:space="preserve"> </v>
      </c>
      <c r="I61" s="1571" t="str">
        <f t="shared" si="15"/>
        <v xml:space="preserve"> </v>
      </c>
      <c r="J61" s="1571" t="str">
        <f t="shared" si="15"/>
        <v xml:space="preserve"> </v>
      </c>
      <c r="K61" s="1571" t="str">
        <f t="shared" si="15"/>
        <v xml:space="preserve"> </v>
      </c>
      <c r="L61" s="1571" t="str">
        <f t="shared" si="15"/>
        <v xml:space="preserve"> </v>
      </c>
      <c r="M61" s="1571" t="str">
        <f t="shared" si="15"/>
        <v xml:space="preserve"> </v>
      </c>
      <c r="N61" s="1571" t="str">
        <f t="shared" si="15"/>
        <v xml:space="preserve"> </v>
      </c>
      <c r="O61" s="1571" t="str">
        <f t="shared" si="15"/>
        <v xml:space="preserve"> </v>
      </c>
      <c r="P61" s="1571" t="str">
        <f t="shared" si="15"/>
        <v xml:space="preserve"> </v>
      </c>
      <c r="Q61" s="1571" t="str">
        <f t="shared" si="15"/>
        <v xml:space="preserve"> </v>
      </c>
      <c r="R61" s="1571" t="str">
        <f t="shared" si="15"/>
        <v xml:space="preserve"> </v>
      </c>
      <c r="S61" s="1571" t="str">
        <f t="shared" si="15"/>
        <v xml:space="preserve"> </v>
      </c>
      <c r="T61" s="1571" t="str">
        <f t="shared" si="15"/>
        <v xml:space="preserve"> </v>
      </c>
      <c r="U61" s="1571" t="str">
        <f t="shared" si="15"/>
        <v xml:space="preserve"> </v>
      </c>
      <c r="V61" s="1571" t="str">
        <f t="shared" si="15"/>
        <v xml:space="preserve"> </v>
      </c>
      <c r="W61" s="1571" t="str">
        <f t="shared" si="15"/>
        <v xml:space="preserve"> </v>
      </c>
      <c r="X61" s="1571" t="str">
        <f t="shared" si="15"/>
        <v xml:space="preserve"> </v>
      </c>
      <c r="Y61" s="1571" t="str">
        <f t="shared" si="15"/>
        <v xml:space="preserve"> </v>
      </c>
      <c r="Z61" s="1571" t="str">
        <f t="shared" ref="Z61" si="16">IFERROR(Y61+1," ")</f>
        <v xml:space="preserve"> </v>
      </c>
      <c r="AA61" s="1571" t="str">
        <f t="shared" ref="AA61" si="17">IFERROR(Z61+1," ")</f>
        <v xml:space="preserve"> </v>
      </c>
      <c r="AB61" s="1571" t="str">
        <f t="shared" ref="AB61" si="18">IFERROR(AA61+1," ")</f>
        <v xml:space="preserve"> </v>
      </c>
      <c r="AC61" s="1571" t="str">
        <f t="shared" ref="AC61" si="19">IFERROR(AB61+1," ")</f>
        <v xml:space="preserve"> </v>
      </c>
      <c r="AD61" s="1571" t="str">
        <f t="shared" ref="AD61" si="20">IFERROR(AC61+1," ")</f>
        <v xml:space="preserve"> </v>
      </c>
      <c r="AE61" s="1571" t="str">
        <f t="shared" ref="AE61" si="21">IFERROR(AD61+1," ")</f>
        <v xml:space="preserve"> </v>
      </c>
      <c r="AF61" s="1571" t="str">
        <f t="shared" ref="AF61" si="22">IFERROR(AE61+1," ")</f>
        <v xml:space="preserve"> </v>
      </c>
      <c r="AG61" s="1571" t="str">
        <f t="shared" ref="AG61" si="23">IFERROR(AF61+1," ")</f>
        <v xml:space="preserve"> </v>
      </c>
      <c r="AH61" s="1571" t="str">
        <f t="shared" ref="AH61" si="24">IFERROR(AG61+1," ")</f>
        <v xml:space="preserve"> </v>
      </c>
      <c r="AI61" s="1571" t="str">
        <f t="shared" ref="AI61" si="25">IFERROR(AH61+1," ")</f>
        <v xml:space="preserve"> </v>
      </c>
      <c r="AJ61" s="1571" t="str">
        <f t="shared" ref="AJ61" si="26">IFERROR(AI61+1," ")</f>
        <v xml:space="preserve"> </v>
      </c>
      <c r="AK61" s="1571" t="str">
        <f t="shared" ref="AK61" si="27">IFERROR(AJ61+1," ")</f>
        <v xml:space="preserve"> </v>
      </c>
      <c r="AL61" s="1571" t="str">
        <f t="shared" ref="AL61" si="28">IFERROR(AK61+1," ")</f>
        <v xml:space="preserve"> </v>
      </c>
      <c r="AM61" s="1178"/>
    </row>
    <row r="62" spans="2:39">
      <c r="B62" s="1464"/>
      <c r="C62" s="1574" t="s">
        <v>4472</v>
      </c>
      <c r="D62" s="1550">
        <f>D18-D16-D17</f>
        <v>0</v>
      </c>
      <c r="E62" s="1575">
        <f>D62*(100%+$F$10)</f>
        <v>0</v>
      </c>
      <c r="F62" s="1575">
        <f t="shared" ref="F62:Y62" si="29">E62*(100%+$F$10)</f>
        <v>0</v>
      </c>
      <c r="G62" s="1575">
        <f>F62*(100%+$F$10)</f>
        <v>0</v>
      </c>
      <c r="H62" s="1575">
        <f t="shared" si="29"/>
        <v>0</v>
      </c>
      <c r="I62" s="1576">
        <f t="shared" si="29"/>
        <v>0</v>
      </c>
      <c r="J62" s="1575">
        <f t="shared" si="29"/>
        <v>0</v>
      </c>
      <c r="K62" s="1575">
        <f t="shared" si="29"/>
        <v>0</v>
      </c>
      <c r="L62" s="1575">
        <f t="shared" si="29"/>
        <v>0</v>
      </c>
      <c r="M62" s="1575">
        <f t="shared" si="29"/>
        <v>0</v>
      </c>
      <c r="N62" s="1575">
        <f t="shared" si="29"/>
        <v>0</v>
      </c>
      <c r="O62" s="1575">
        <f t="shared" si="29"/>
        <v>0</v>
      </c>
      <c r="P62" s="1575">
        <f t="shared" si="29"/>
        <v>0</v>
      </c>
      <c r="Q62" s="1575">
        <f t="shared" si="29"/>
        <v>0</v>
      </c>
      <c r="R62" s="1575">
        <f t="shared" si="29"/>
        <v>0</v>
      </c>
      <c r="S62" s="1575">
        <f t="shared" si="29"/>
        <v>0</v>
      </c>
      <c r="T62" s="1575">
        <f t="shared" si="29"/>
        <v>0</v>
      </c>
      <c r="U62" s="1575">
        <f t="shared" si="29"/>
        <v>0</v>
      </c>
      <c r="V62" s="1575">
        <f t="shared" si="29"/>
        <v>0</v>
      </c>
      <c r="W62" s="1575">
        <f t="shared" si="29"/>
        <v>0</v>
      </c>
      <c r="X62" s="1575">
        <f t="shared" si="29"/>
        <v>0</v>
      </c>
      <c r="Y62" s="1575">
        <f t="shared" si="29"/>
        <v>0</v>
      </c>
      <c r="Z62" s="1575">
        <f t="shared" ref="Z62" si="30">Y62*(100%+$F$10)</f>
        <v>0</v>
      </c>
      <c r="AA62" s="1575">
        <f t="shared" ref="AA62" si="31">Z62*(100%+$F$10)</f>
        <v>0</v>
      </c>
      <c r="AB62" s="1575">
        <f t="shared" ref="AB62" si="32">AA62*(100%+$F$10)</f>
        <v>0</v>
      </c>
      <c r="AC62" s="1575">
        <f t="shared" ref="AC62" si="33">AB62*(100%+$F$10)</f>
        <v>0</v>
      </c>
      <c r="AD62" s="1575">
        <f t="shared" ref="AD62" si="34">AC62*(100%+$F$10)</f>
        <v>0</v>
      </c>
      <c r="AE62" s="1575">
        <f t="shared" ref="AE62" si="35">AD62*(100%+$F$10)</f>
        <v>0</v>
      </c>
      <c r="AF62" s="1575">
        <f t="shared" ref="AF62" si="36">AE62*(100%+$F$10)</f>
        <v>0</v>
      </c>
      <c r="AG62" s="1575">
        <f t="shared" ref="AG62" si="37">AF62*(100%+$F$10)</f>
        <v>0</v>
      </c>
      <c r="AH62" s="1575">
        <f t="shared" ref="AH62" si="38">AG62*(100%+$F$10)</f>
        <v>0</v>
      </c>
      <c r="AI62" s="1575">
        <f t="shared" ref="AI62" si="39">AH62*(100%+$F$10)</f>
        <v>0</v>
      </c>
      <c r="AJ62" s="1575">
        <f t="shared" ref="AJ62" si="40">AI62*(100%+$F$10)</f>
        <v>0</v>
      </c>
      <c r="AK62" s="1575">
        <f t="shared" ref="AK62" si="41">AJ62*(100%+$F$10)</f>
        <v>0</v>
      </c>
      <c r="AL62" s="1575">
        <f t="shared" ref="AL62" si="42">AK62*(100%+$F$10)</f>
        <v>0</v>
      </c>
      <c r="AM62" s="1178"/>
    </row>
    <row r="63" spans="2:39">
      <c r="B63" s="1464"/>
      <c r="C63" s="1574" t="s">
        <v>4473</v>
      </c>
      <c r="D63" s="1550">
        <f>+IF(ISTEXT(C46),D17,0)</f>
        <v>0</v>
      </c>
      <c r="E63" s="1550">
        <f t="shared" ref="E63:Y63" si="43">+IF(D63&gt;0,D63*(1+$F$17),0)</f>
        <v>0</v>
      </c>
      <c r="F63" s="1550">
        <f t="shared" si="43"/>
        <v>0</v>
      </c>
      <c r="G63" s="1550">
        <f t="shared" si="43"/>
        <v>0</v>
      </c>
      <c r="H63" s="1550">
        <f t="shared" si="43"/>
        <v>0</v>
      </c>
      <c r="I63" s="1550">
        <f t="shared" si="43"/>
        <v>0</v>
      </c>
      <c r="J63" s="1550">
        <f t="shared" si="43"/>
        <v>0</v>
      </c>
      <c r="K63" s="1550">
        <f t="shared" si="43"/>
        <v>0</v>
      </c>
      <c r="L63" s="1550">
        <f t="shared" si="43"/>
        <v>0</v>
      </c>
      <c r="M63" s="1550">
        <f t="shared" si="43"/>
        <v>0</v>
      </c>
      <c r="N63" s="1550">
        <f t="shared" si="43"/>
        <v>0</v>
      </c>
      <c r="O63" s="1550">
        <f t="shared" si="43"/>
        <v>0</v>
      </c>
      <c r="P63" s="1550">
        <f t="shared" si="43"/>
        <v>0</v>
      </c>
      <c r="Q63" s="1550">
        <f t="shared" si="43"/>
        <v>0</v>
      </c>
      <c r="R63" s="1550">
        <f t="shared" si="43"/>
        <v>0</v>
      </c>
      <c r="S63" s="1550">
        <f t="shared" si="43"/>
        <v>0</v>
      </c>
      <c r="T63" s="1550">
        <f t="shared" si="43"/>
        <v>0</v>
      </c>
      <c r="U63" s="1550">
        <f t="shared" si="43"/>
        <v>0</v>
      </c>
      <c r="V63" s="1550">
        <f t="shared" si="43"/>
        <v>0</v>
      </c>
      <c r="W63" s="1550">
        <f t="shared" si="43"/>
        <v>0</v>
      </c>
      <c r="X63" s="1550">
        <f t="shared" si="43"/>
        <v>0</v>
      </c>
      <c r="Y63" s="1550">
        <f t="shared" si="43"/>
        <v>0</v>
      </c>
      <c r="Z63" s="1550">
        <f t="shared" ref="Z63" si="44">+IF(Y63&gt;0,Y63*(1+$F$17),0)</f>
        <v>0</v>
      </c>
      <c r="AA63" s="1550">
        <f t="shared" ref="AA63" si="45">+IF(Z63&gt;0,Z63*(1+$F$17),0)</f>
        <v>0</v>
      </c>
      <c r="AB63" s="1550">
        <f t="shared" ref="AB63" si="46">+IF(AA63&gt;0,AA63*(1+$F$17),0)</f>
        <v>0</v>
      </c>
      <c r="AC63" s="1550">
        <f t="shared" ref="AC63" si="47">+IF(AB63&gt;0,AB63*(1+$F$17),0)</f>
        <v>0</v>
      </c>
      <c r="AD63" s="1550">
        <f t="shared" ref="AD63" si="48">+IF(AC63&gt;0,AC63*(1+$F$17),0)</f>
        <v>0</v>
      </c>
      <c r="AE63" s="1550">
        <f t="shared" ref="AE63" si="49">+IF(AD63&gt;0,AD63*(1+$F$17),0)</f>
        <v>0</v>
      </c>
      <c r="AF63" s="1550">
        <f t="shared" ref="AF63" si="50">+IF(AE63&gt;0,AE63*(1+$F$17),0)</f>
        <v>0</v>
      </c>
      <c r="AG63" s="1550">
        <f t="shared" ref="AG63" si="51">+IF(AF63&gt;0,AF63*(1+$F$17),0)</f>
        <v>0</v>
      </c>
      <c r="AH63" s="1550">
        <f t="shared" ref="AH63" si="52">+IF(AG63&gt;0,AG63*(1+$F$17),0)</f>
        <v>0</v>
      </c>
      <c r="AI63" s="1550">
        <f t="shared" ref="AI63" si="53">+IF(AH63&gt;0,AH63*(1+$F$17),0)</f>
        <v>0</v>
      </c>
      <c r="AJ63" s="1550">
        <f t="shared" ref="AJ63" si="54">+IF(AI63&gt;0,AI63*(1+$F$17),0)</f>
        <v>0</v>
      </c>
      <c r="AK63" s="1550">
        <f t="shared" ref="AK63" si="55">+IF(AJ63&gt;0,AJ63*(1+$F$17),0)</f>
        <v>0</v>
      </c>
      <c r="AL63" s="1550">
        <f t="shared" ref="AL63" si="56">+IF(AK63&gt;0,AK63*(1+$F$17),0)</f>
        <v>0</v>
      </c>
      <c r="AM63" s="1178"/>
    </row>
    <row r="64" spans="2:39">
      <c r="B64" s="1464"/>
      <c r="C64" s="1577" t="s">
        <v>4454</v>
      </c>
      <c r="D64" s="1550">
        <f>D10*-E10</f>
        <v>0</v>
      </c>
      <c r="E64" s="1575">
        <f>D64*(100%+$F$10)</f>
        <v>0</v>
      </c>
      <c r="F64" s="1575">
        <f t="shared" ref="F64:Y64" si="57">E64*(100%+$F$10)</f>
        <v>0</v>
      </c>
      <c r="G64" s="1575">
        <f t="shared" si="57"/>
        <v>0</v>
      </c>
      <c r="H64" s="1575">
        <f t="shared" si="57"/>
        <v>0</v>
      </c>
      <c r="I64" s="1576">
        <f t="shared" si="57"/>
        <v>0</v>
      </c>
      <c r="J64" s="1575">
        <f t="shared" si="57"/>
        <v>0</v>
      </c>
      <c r="K64" s="1575">
        <f t="shared" si="57"/>
        <v>0</v>
      </c>
      <c r="L64" s="1575">
        <f t="shared" si="57"/>
        <v>0</v>
      </c>
      <c r="M64" s="1575">
        <f t="shared" si="57"/>
        <v>0</v>
      </c>
      <c r="N64" s="1575">
        <f t="shared" si="57"/>
        <v>0</v>
      </c>
      <c r="O64" s="1575">
        <f t="shared" si="57"/>
        <v>0</v>
      </c>
      <c r="P64" s="1575">
        <f t="shared" si="57"/>
        <v>0</v>
      </c>
      <c r="Q64" s="1575">
        <f t="shared" si="57"/>
        <v>0</v>
      </c>
      <c r="R64" s="1575">
        <f t="shared" si="57"/>
        <v>0</v>
      </c>
      <c r="S64" s="1575">
        <f t="shared" si="57"/>
        <v>0</v>
      </c>
      <c r="T64" s="1575">
        <f t="shared" si="57"/>
        <v>0</v>
      </c>
      <c r="U64" s="1575">
        <f t="shared" si="57"/>
        <v>0</v>
      </c>
      <c r="V64" s="1575">
        <f t="shared" si="57"/>
        <v>0</v>
      </c>
      <c r="W64" s="1575">
        <f t="shared" si="57"/>
        <v>0</v>
      </c>
      <c r="X64" s="1575">
        <f t="shared" si="57"/>
        <v>0</v>
      </c>
      <c r="Y64" s="1575">
        <f t="shared" si="57"/>
        <v>0</v>
      </c>
      <c r="Z64" s="1575">
        <f t="shared" ref="Z64" si="58">Y64*(100%+$F$10)</f>
        <v>0</v>
      </c>
      <c r="AA64" s="1575">
        <f t="shared" ref="AA64" si="59">Z64*(100%+$F$10)</f>
        <v>0</v>
      </c>
      <c r="AB64" s="1575">
        <f t="shared" ref="AB64" si="60">AA64*(100%+$F$10)</f>
        <v>0</v>
      </c>
      <c r="AC64" s="1575">
        <f t="shared" ref="AC64" si="61">AB64*(100%+$F$10)</f>
        <v>0</v>
      </c>
      <c r="AD64" s="1575">
        <f t="shared" ref="AD64" si="62">AC64*(100%+$F$10)</f>
        <v>0</v>
      </c>
      <c r="AE64" s="1575">
        <f t="shared" ref="AE64" si="63">AD64*(100%+$F$10)</f>
        <v>0</v>
      </c>
      <c r="AF64" s="1575">
        <f t="shared" ref="AF64" si="64">AE64*(100%+$F$10)</f>
        <v>0</v>
      </c>
      <c r="AG64" s="1575">
        <f t="shared" ref="AG64" si="65">AF64*(100%+$F$10)</f>
        <v>0</v>
      </c>
      <c r="AH64" s="1575">
        <f t="shared" ref="AH64" si="66">AG64*(100%+$F$10)</f>
        <v>0</v>
      </c>
      <c r="AI64" s="1575">
        <f t="shared" ref="AI64" si="67">AH64*(100%+$F$10)</f>
        <v>0</v>
      </c>
      <c r="AJ64" s="1575">
        <f t="shared" ref="AJ64" si="68">AI64*(100%+$F$10)</f>
        <v>0</v>
      </c>
      <c r="AK64" s="1575">
        <f t="shared" ref="AK64" si="69">AJ64*(100%+$F$10)</f>
        <v>0</v>
      </c>
      <c r="AL64" s="1575">
        <f t="shared" ref="AL64" si="70">AK64*(100%+$F$10)</f>
        <v>0</v>
      </c>
      <c r="AM64" s="1178"/>
    </row>
    <row r="65" spans="2:39" ht="15.75" customHeight="1">
      <c r="B65" s="1464"/>
      <c r="C65" s="1577" t="s">
        <v>4455</v>
      </c>
      <c r="D65" s="1550">
        <f>IF(D12="Yes",(D11*-E11),0)</f>
        <v>0</v>
      </c>
      <c r="E65" s="1575">
        <f>D65*(100%+$F$11)</f>
        <v>0</v>
      </c>
      <c r="F65" s="1575">
        <f t="shared" ref="F65:Y65" si="71">E65*(100%+$F$11)</f>
        <v>0</v>
      </c>
      <c r="G65" s="1575">
        <f t="shared" si="71"/>
        <v>0</v>
      </c>
      <c r="H65" s="1575">
        <f t="shared" si="71"/>
        <v>0</v>
      </c>
      <c r="I65" s="1576">
        <f t="shared" si="71"/>
        <v>0</v>
      </c>
      <c r="J65" s="1575">
        <f t="shared" si="71"/>
        <v>0</v>
      </c>
      <c r="K65" s="1575">
        <f t="shared" si="71"/>
        <v>0</v>
      </c>
      <c r="L65" s="1575">
        <f t="shared" si="71"/>
        <v>0</v>
      </c>
      <c r="M65" s="1575">
        <f t="shared" si="71"/>
        <v>0</v>
      </c>
      <c r="N65" s="1575">
        <f t="shared" si="71"/>
        <v>0</v>
      </c>
      <c r="O65" s="1575">
        <f t="shared" si="71"/>
        <v>0</v>
      </c>
      <c r="P65" s="1575">
        <f t="shared" si="71"/>
        <v>0</v>
      </c>
      <c r="Q65" s="1575">
        <f t="shared" si="71"/>
        <v>0</v>
      </c>
      <c r="R65" s="1575">
        <f t="shared" si="71"/>
        <v>0</v>
      </c>
      <c r="S65" s="1575">
        <f t="shared" si="71"/>
        <v>0</v>
      </c>
      <c r="T65" s="1575">
        <f t="shared" si="71"/>
        <v>0</v>
      </c>
      <c r="U65" s="1575">
        <f t="shared" si="71"/>
        <v>0</v>
      </c>
      <c r="V65" s="1575">
        <f t="shared" si="71"/>
        <v>0</v>
      </c>
      <c r="W65" s="1575">
        <f t="shared" si="71"/>
        <v>0</v>
      </c>
      <c r="X65" s="1575">
        <f t="shared" si="71"/>
        <v>0</v>
      </c>
      <c r="Y65" s="1575">
        <f t="shared" si="71"/>
        <v>0</v>
      </c>
      <c r="Z65" s="1575">
        <f t="shared" ref="Z65" si="72">Y65*(100%+$F$11)</f>
        <v>0</v>
      </c>
      <c r="AA65" s="1575">
        <f t="shared" ref="AA65" si="73">Z65*(100%+$F$11)</f>
        <v>0</v>
      </c>
      <c r="AB65" s="1575">
        <f t="shared" ref="AB65" si="74">AA65*(100%+$F$11)</f>
        <v>0</v>
      </c>
      <c r="AC65" s="1575">
        <f t="shared" ref="AC65" si="75">AB65*(100%+$F$11)</f>
        <v>0</v>
      </c>
      <c r="AD65" s="1575">
        <f t="shared" ref="AD65" si="76">AC65*(100%+$F$11)</f>
        <v>0</v>
      </c>
      <c r="AE65" s="1575">
        <f t="shared" ref="AE65" si="77">AD65*(100%+$F$11)</f>
        <v>0</v>
      </c>
      <c r="AF65" s="1575">
        <f t="shared" ref="AF65" si="78">AE65*(100%+$F$11)</f>
        <v>0</v>
      </c>
      <c r="AG65" s="1575">
        <f t="shared" ref="AG65" si="79">AF65*(100%+$F$11)</f>
        <v>0</v>
      </c>
      <c r="AH65" s="1575">
        <f t="shared" ref="AH65" si="80">AG65*(100%+$F$11)</f>
        <v>0</v>
      </c>
      <c r="AI65" s="1575">
        <f t="shared" ref="AI65" si="81">AH65*(100%+$F$11)</f>
        <v>0</v>
      </c>
      <c r="AJ65" s="1575">
        <f t="shared" ref="AJ65" si="82">AI65*(100%+$F$11)</f>
        <v>0</v>
      </c>
      <c r="AK65" s="1575">
        <f t="shared" ref="AK65" si="83">AJ65*(100%+$F$11)</f>
        <v>0</v>
      </c>
      <c r="AL65" s="1575">
        <f t="shared" ref="AL65" si="84">AK65*(100%+$F$11)</f>
        <v>0</v>
      </c>
      <c r="AM65" s="1178"/>
    </row>
    <row r="66" spans="2:39">
      <c r="B66" s="1464"/>
      <c r="C66" s="1577" t="s">
        <v>4474</v>
      </c>
      <c r="D66" s="1550">
        <f>D13*-E13</f>
        <v>0</v>
      </c>
      <c r="E66" s="1575">
        <f>D66*(100%+$F$13)</f>
        <v>0</v>
      </c>
      <c r="F66" s="1575">
        <f t="shared" ref="F66:Y66" si="85">E66*(100%+$F$13)</f>
        <v>0</v>
      </c>
      <c r="G66" s="1575">
        <f t="shared" si="85"/>
        <v>0</v>
      </c>
      <c r="H66" s="1575">
        <f t="shared" si="85"/>
        <v>0</v>
      </c>
      <c r="I66" s="1576">
        <f t="shared" si="85"/>
        <v>0</v>
      </c>
      <c r="J66" s="1575">
        <f t="shared" si="85"/>
        <v>0</v>
      </c>
      <c r="K66" s="1575">
        <f t="shared" si="85"/>
        <v>0</v>
      </c>
      <c r="L66" s="1575">
        <f t="shared" si="85"/>
        <v>0</v>
      </c>
      <c r="M66" s="1575">
        <f t="shared" si="85"/>
        <v>0</v>
      </c>
      <c r="N66" s="1575">
        <f t="shared" si="85"/>
        <v>0</v>
      </c>
      <c r="O66" s="1575">
        <f t="shared" si="85"/>
        <v>0</v>
      </c>
      <c r="P66" s="1575">
        <f t="shared" si="85"/>
        <v>0</v>
      </c>
      <c r="Q66" s="1575">
        <f t="shared" si="85"/>
        <v>0</v>
      </c>
      <c r="R66" s="1575">
        <f t="shared" si="85"/>
        <v>0</v>
      </c>
      <c r="S66" s="1575">
        <f t="shared" si="85"/>
        <v>0</v>
      </c>
      <c r="T66" s="1575">
        <f t="shared" si="85"/>
        <v>0</v>
      </c>
      <c r="U66" s="1575">
        <f t="shared" si="85"/>
        <v>0</v>
      </c>
      <c r="V66" s="1575">
        <f t="shared" si="85"/>
        <v>0</v>
      </c>
      <c r="W66" s="1575">
        <f t="shared" si="85"/>
        <v>0</v>
      </c>
      <c r="X66" s="1575">
        <f t="shared" si="85"/>
        <v>0</v>
      </c>
      <c r="Y66" s="1575">
        <f t="shared" si="85"/>
        <v>0</v>
      </c>
      <c r="Z66" s="1575">
        <f t="shared" ref="Z66" si="86">Y66*(100%+$F$13)</f>
        <v>0</v>
      </c>
      <c r="AA66" s="1575">
        <f t="shared" ref="AA66" si="87">Z66*(100%+$F$13)</f>
        <v>0</v>
      </c>
      <c r="AB66" s="1575">
        <f t="shared" ref="AB66" si="88">AA66*(100%+$F$13)</f>
        <v>0</v>
      </c>
      <c r="AC66" s="1575">
        <f t="shared" ref="AC66" si="89">AB66*(100%+$F$13)</f>
        <v>0</v>
      </c>
      <c r="AD66" s="1575">
        <f t="shared" ref="AD66" si="90">AC66*(100%+$F$13)</f>
        <v>0</v>
      </c>
      <c r="AE66" s="1575">
        <f t="shared" ref="AE66" si="91">AD66*(100%+$F$13)</f>
        <v>0</v>
      </c>
      <c r="AF66" s="1575">
        <f t="shared" ref="AF66" si="92">AE66*(100%+$F$13)</f>
        <v>0</v>
      </c>
      <c r="AG66" s="1575">
        <f t="shared" ref="AG66" si="93">AF66*(100%+$F$13)</f>
        <v>0</v>
      </c>
      <c r="AH66" s="1575">
        <f t="shared" ref="AH66" si="94">AG66*(100%+$F$13)</f>
        <v>0</v>
      </c>
      <c r="AI66" s="1575">
        <f t="shared" ref="AI66" si="95">AH66*(100%+$F$13)</f>
        <v>0</v>
      </c>
      <c r="AJ66" s="1575">
        <f t="shared" ref="AJ66" si="96">AI66*(100%+$F$13)</f>
        <v>0</v>
      </c>
      <c r="AK66" s="1575">
        <f t="shared" ref="AK66" si="97">AJ66*(100%+$F$13)</f>
        <v>0</v>
      </c>
      <c r="AL66" s="1575">
        <f t="shared" ref="AL66" si="98">AK66*(100%+$F$13)</f>
        <v>0</v>
      </c>
      <c r="AM66" s="1178"/>
    </row>
    <row r="67" spans="2:39">
      <c r="B67" s="1464"/>
      <c r="C67" s="1577" t="s">
        <v>4475</v>
      </c>
      <c r="D67" s="1550">
        <f>D14*-E14</f>
        <v>0</v>
      </c>
      <c r="E67" s="1575">
        <f>D67*(100% + $F$14)</f>
        <v>0</v>
      </c>
      <c r="F67" s="1575">
        <f t="shared" ref="F67:Y67" si="99">E67*(100% + $F$14)</f>
        <v>0</v>
      </c>
      <c r="G67" s="1575">
        <f t="shared" si="99"/>
        <v>0</v>
      </c>
      <c r="H67" s="1575">
        <f t="shared" si="99"/>
        <v>0</v>
      </c>
      <c r="I67" s="1576">
        <f t="shared" si="99"/>
        <v>0</v>
      </c>
      <c r="J67" s="1575">
        <f t="shared" si="99"/>
        <v>0</v>
      </c>
      <c r="K67" s="1575">
        <f t="shared" si="99"/>
        <v>0</v>
      </c>
      <c r="L67" s="1575">
        <f t="shared" si="99"/>
        <v>0</v>
      </c>
      <c r="M67" s="1575">
        <f t="shared" si="99"/>
        <v>0</v>
      </c>
      <c r="N67" s="1575">
        <f t="shared" si="99"/>
        <v>0</v>
      </c>
      <c r="O67" s="1575">
        <f t="shared" si="99"/>
        <v>0</v>
      </c>
      <c r="P67" s="1575">
        <f t="shared" si="99"/>
        <v>0</v>
      </c>
      <c r="Q67" s="1575">
        <f t="shared" si="99"/>
        <v>0</v>
      </c>
      <c r="R67" s="1575">
        <f t="shared" si="99"/>
        <v>0</v>
      </c>
      <c r="S67" s="1575">
        <f t="shared" si="99"/>
        <v>0</v>
      </c>
      <c r="T67" s="1575">
        <f t="shared" si="99"/>
        <v>0</v>
      </c>
      <c r="U67" s="1575">
        <f t="shared" si="99"/>
        <v>0</v>
      </c>
      <c r="V67" s="1575">
        <f t="shared" si="99"/>
        <v>0</v>
      </c>
      <c r="W67" s="1575">
        <f t="shared" si="99"/>
        <v>0</v>
      </c>
      <c r="X67" s="1575">
        <f t="shared" si="99"/>
        <v>0</v>
      </c>
      <c r="Y67" s="1575">
        <f t="shared" si="99"/>
        <v>0</v>
      </c>
      <c r="Z67" s="1575">
        <f t="shared" ref="Z67" si="100">Y67*(100% + $F$14)</f>
        <v>0</v>
      </c>
      <c r="AA67" s="1575">
        <f t="shared" ref="AA67" si="101">Z67*(100% + $F$14)</f>
        <v>0</v>
      </c>
      <c r="AB67" s="1575">
        <f t="shared" ref="AB67" si="102">AA67*(100% + $F$14)</f>
        <v>0</v>
      </c>
      <c r="AC67" s="1575">
        <f t="shared" ref="AC67" si="103">AB67*(100% + $F$14)</f>
        <v>0</v>
      </c>
      <c r="AD67" s="1575">
        <f t="shared" ref="AD67" si="104">AC67*(100% + $F$14)</f>
        <v>0</v>
      </c>
      <c r="AE67" s="1575">
        <f t="shared" ref="AE67" si="105">AD67*(100% + $F$14)</f>
        <v>0</v>
      </c>
      <c r="AF67" s="1575">
        <f t="shared" ref="AF67" si="106">AE67*(100% + $F$14)</f>
        <v>0</v>
      </c>
      <c r="AG67" s="1575">
        <f t="shared" ref="AG67" si="107">AF67*(100% + $F$14)</f>
        <v>0</v>
      </c>
      <c r="AH67" s="1575">
        <f t="shared" ref="AH67" si="108">AG67*(100% + $F$14)</f>
        <v>0</v>
      </c>
      <c r="AI67" s="1575">
        <f t="shared" ref="AI67" si="109">AH67*(100% + $F$14)</f>
        <v>0</v>
      </c>
      <c r="AJ67" s="1575">
        <f t="shared" ref="AJ67" si="110">AI67*(100% + $F$14)</f>
        <v>0</v>
      </c>
      <c r="AK67" s="1575">
        <f t="shared" ref="AK67" si="111">AJ67*(100% + $F$14)</f>
        <v>0</v>
      </c>
      <c r="AL67" s="1575">
        <f t="shared" ref="AL67" si="112">AK67*(100% + $F$14)</f>
        <v>0</v>
      </c>
      <c r="AM67" s="1178"/>
    </row>
    <row r="68" spans="2:39">
      <c r="B68" s="1464"/>
      <c r="C68" s="1577" t="s">
        <v>4476</v>
      </c>
      <c r="D68" s="1550">
        <f>D15*-E15</f>
        <v>0</v>
      </c>
      <c r="E68" s="1575">
        <f>D68*(100% + $F$15)</f>
        <v>0</v>
      </c>
      <c r="F68" s="1575">
        <f t="shared" ref="F68:Y68" si="113">E68*(100% + $F$15)</f>
        <v>0</v>
      </c>
      <c r="G68" s="1575">
        <f t="shared" si="113"/>
        <v>0</v>
      </c>
      <c r="H68" s="1575">
        <f t="shared" si="113"/>
        <v>0</v>
      </c>
      <c r="I68" s="1576">
        <f t="shared" si="113"/>
        <v>0</v>
      </c>
      <c r="J68" s="1575">
        <f t="shared" si="113"/>
        <v>0</v>
      </c>
      <c r="K68" s="1575">
        <f t="shared" si="113"/>
        <v>0</v>
      </c>
      <c r="L68" s="1575">
        <f t="shared" si="113"/>
        <v>0</v>
      </c>
      <c r="M68" s="1575">
        <f t="shared" si="113"/>
        <v>0</v>
      </c>
      <c r="N68" s="1575">
        <f t="shared" si="113"/>
        <v>0</v>
      </c>
      <c r="O68" s="1575">
        <f t="shared" si="113"/>
        <v>0</v>
      </c>
      <c r="P68" s="1575">
        <f t="shared" si="113"/>
        <v>0</v>
      </c>
      <c r="Q68" s="1575">
        <f t="shared" si="113"/>
        <v>0</v>
      </c>
      <c r="R68" s="1575">
        <f t="shared" si="113"/>
        <v>0</v>
      </c>
      <c r="S68" s="1575">
        <f t="shared" si="113"/>
        <v>0</v>
      </c>
      <c r="T68" s="1575">
        <f t="shared" si="113"/>
        <v>0</v>
      </c>
      <c r="U68" s="1575">
        <f t="shared" si="113"/>
        <v>0</v>
      </c>
      <c r="V68" s="1575">
        <f t="shared" si="113"/>
        <v>0</v>
      </c>
      <c r="W68" s="1575">
        <f t="shared" si="113"/>
        <v>0</v>
      </c>
      <c r="X68" s="1575">
        <f t="shared" si="113"/>
        <v>0</v>
      </c>
      <c r="Y68" s="1575">
        <f t="shared" si="113"/>
        <v>0</v>
      </c>
      <c r="Z68" s="1575">
        <f t="shared" ref="Z68" si="114">Y68*(100% + $F$15)</f>
        <v>0</v>
      </c>
      <c r="AA68" s="1575">
        <f t="shared" ref="AA68" si="115">Z68*(100% + $F$15)</f>
        <v>0</v>
      </c>
      <c r="AB68" s="1575">
        <f t="shared" ref="AB68" si="116">AA68*(100% + $F$15)</f>
        <v>0</v>
      </c>
      <c r="AC68" s="1575">
        <f t="shared" ref="AC68" si="117">AB68*(100% + $F$15)</f>
        <v>0</v>
      </c>
      <c r="AD68" s="1575">
        <f t="shared" ref="AD68" si="118">AC68*(100% + $F$15)</f>
        <v>0</v>
      </c>
      <c r="AE68" s="1575">
        <f t="shared" ref="AE68" si="119">AD68*(100% + $F$15)</f>
        <v>0</v>
      </c>
      <c r="AF68" s="1575">
        <f t="shared" ref="AF68" si="120">AE68*(100% + $F$15)</f>
        <v>0</v>
      </c>
      <c r="AG68" s="1575">
        <f t="shared" ref="AG68" si="121">AF68*(100% + $F$15)</f>
        <v>0</v>
      </c>
      <c r="AH68" s="1575">
        <f t="shared" ref="AH68" si="122">AG68*(100% + $F$15)</f>
        <v>0</v>
      </c>
      <c r="AI68" s="1575">
        <f t="shared" ref="AI68" si="123">AH68*(100% + $F$15)</f>
        <v>0</v>
      </c>
      <c r="AJ68" s="1575">
        <f t="shared" ref="AJ68" si="124">AI68*(100% + $F$15)</f>
        <v>0</v>
      </c>
      <c r="AK68" s="1575">
        <f t="shared" ref="AK68" si="125">AJ68*(100% + $F$15)</f>
        <v>0</v>
      </c>
      <c r="AL68" s="1575">
        <f t="shared" ref="AL68" si="126">AK68*(100% + $F$15)</f>
        <v>0</v>
      </c>
      <c r="AM68" s="1178"/>
    </row>
    <row r="69" spans="2:39">
      <c r="B69" s="1464"/>
      <c r="C69" s="1577" t="s">
        <v>4477</v>
      </c>
      <c r="D69" s="1550">
        <f>D17*-E17</f>
        <v>0</v>
      </c>
      <c r="E69" s="1575">
        <f>D69*(100% + $F$17)</f>
        <v>0</v>
      </c>
      <c r="F69" s="1575">
        <f t="shared" ref="F69:Y69" si="127">E69*(100% + $F$17)</f>
        <v>0</v>
      </c>
      <c r="G69" s="1575">
        <f t="shared" si="127"/>
        <v>0</v>
      </c>
      <c r="H69" s="1575">
        <f t="shared" si="127"/>
        <v>0</v>
      </c>
      <c r="I69" s="1576">
        <f t="shared" si="127"/>
        <v>0</v>
      </c>
      <c r="J69" s="1575">
        <f t="shared" si="127"/>
        <v>0</v>
      </c>
      <c r="K69" s="1575">
        <f t="shared" si="127"/>
        <v>0</v>
      </c>
      <c r="L69" s="1575">
        <f t="shared" si="127"/>
        <v>0</v>
      </c>
      <c r="M69" s="1575">
        <f t="shared" si="127"/>
        <v>0</v>
      </c>
      <c r="N69" s="1575">
        <f t="shared" si="127"/>
        <v>0</v>
      </c>
      <c r="O69" s="1575">
        <f t="shared" si="127"/>
        <v>0</v>
      </c>
      <c r="P69" s="1575">
        <f t="shared" si="127"/>
        <v>0</v>
      </c>
      <c r="Q69" s="1575">
        <f t="shared" si="127"/>
        <v>0</v>
      </c>
      <c r="R69" s="1575">
        <f t="shared" si="127"/>
        <v>0</v>
      </c>
      <c r="S69" s="1575">
        <f t="shared" si="127"/>
        <v>0</v>
      </c>
      <c r="T69" s="1575">
        <f t="shared" si="127"/>
        <v>0</v>
      </c>
      <c r="U69" s="1575">
        <f t="shared" si="127"/>
        <v>0</v>
      </c>
      <c r="V69" s="1575">
        <f t="shared" si="127"/>
        <v>0</v>
      </c>
      <c r="W69" s="1575">
        <f t="shared" si="127"/>
        <v>0</v>
      </c>
      <c r="X69" s="1575">
        <f t="shared" si="127"/>
        <v>0</v>
      </c>
      <c r="Y69" s="1575">
        <f t="shared" si="127"/>
        <v>0</v>
      </c>
      <c r="Z69" s="1575">
        <f t="shared" ref="Z69" si="128">Y69*(100% + $F$17)</f>
        <v>0</v>
      </c>
      <c r="AA69" s="1575">
        <f t="shared" ref="AA69" si="129">Z69*(100% + $F$17)</f>
        <v>0</v>
      </c>
      <c r="AB69" s="1575">
        <f t="shared" ref="AB69" si="130">AA69*(100% + $F$17)</f>
        <v>0</v>
      </c>
      <c r="AC69" s="1575">
        <f t="shared" ref="AC69" si="131">AB69*(100% + $F$17)</f>
        <v>0</v>
      </c>
      <c r="AD69" s="1575">
        <f t="shared" ref="AD69" si="132">AC69*(100% + $F$17)</f>
        <v>0</v>
      </c>
      <c r="AE69" s="1575">
        <f t="shared" ref="AE69" si="133">AD69*(100% + $F$17)</f>
        <v>0</v>
      </c>
      <c r="AF69" s="1575">
        <f t="shared" ref="AF69" si="134">AE69*(100% + $F$17)</f>
        <v>0</v>
      </c>
      <c r="AG69" s="1575">
        <f t="shared" ref="AG69" si="135">AF69*(100% + $F$17)</f>
        <v>0</v>
      </c>
      <c r="AH69" s="1575">
        <f t="shared" ref="AH69" si="136">AG69*(100% + $F$17)</f>
        <v>0</v>
      </c>
      <c r="AI69" s="1575">
        <f t="shared" ref="AI69" si="137">AH69*(100% + $F$17)</f>
        <v>0</v>
      </c>
      <c r="AJ69" s="1575">
        <f t="shared" ref="AJ69" si="138">AI69*(100% + $F$17)</f>
        <v>0</v>
      </c>
      <c r="AK69" s="1575">
        <f t="shared" ref="AK69" si="139">AJ69*(100% + $F$17)</f>
        <v>0</v>
      </c>
      <c r="AL69" s="1575">
        <f t="shared" ref="AL69" si="140">AK69*(100% + $F$17)</f>
        <v>0</v>
      </c>
      <c r="AM69" s="1178"/>
    </row>
    <row r="70" spans="2:39">
      <c r="B70" s="1464"/>
      <c r="C70" s="1578" t="s">
        <v>4478</v>
      </c>
      <c r="D70" s="1550">
        <f>SUM(D64:D69)</f>
        <v>0</v>
      </c>
      <c r="E70" s="1550">
        <f t="shared" ref="E70:Y70" si="141">SUM(E64:E69)</f>
        <v>0</v>
      </c>
      <c r="F70" s="1550">
        <f t="shared" si="141"/>
        <v>0</v>
      </c>
      <c r="G70" s="1550">
        <f t="shared" si="141"/>
        <v>0</v>
      </c>
      <c r="H70" s="1550">
        <f t="shared" si="141"/>
        <v>0</v>
      </c>
      <c r="I70" s="1550">
        <f t="shared" si="141"/>
        <v>0</v>
      </c>
      <c r="J70" s="1550">
        <f t="shared" si="141"/>
        <v>0</v>
      </c>
      <c r="K70" s="1550">
        <f t="shared" si="141"/>
        <v>0</v>
      </c>
      <c r="L70" s="1550">
        <f t="shared" si="141"/>
        <v>0</v>
      </c>
      <c r="M70" s="1550">
        <f t="shared" si="141"/>
        <v>0</v>
      </c>
      <c r="N70" s="1550">
        <f t="shared" si="141"/>
        <v>0</v>
      </c>
      <c r="O70" s="1550">
        <f t="shared" si="141"/>
        <v>0</v>
      </c>
      <c r="P70" s="1550">
        <f t="shared" si="141"/>
        <v>0</v>
      </c>
      <c r="Q70" s="1550">
        <f t="shared" si="141"/>
        <v>0</v>
      </c>
      <c r="R70" s="1550">
        <f t="shared" si="141"/>
        <v>0</v>
      </c>
      <c r="S70" s="1550">
        <f t="shared" si="141"/>
        <v>0</v>
      </c>
      <c r="T70" s="1550">
        <f t="shared" si="141"/>
        <v>0</v>
      </c>
      <c r="U70" s="1550">
        <f t="shared" si="141"/>
        <v>0</v>
      </c>
      <c r="V70" s="1550">
        <f t="shared" si="141"/>
        <v>0</v>
      </c>
      <c r="W70" s="1550">
        <f t="shared" si="141"/>
        <v>0</v>
      </c>
      <c r="X70" s="1550">
        <f t="shared" si="141"/>
        <v>0</v>
      </c>
      <c r="Y70" s="1550">
        <f t="shared" si="141"/>
        <v>0</v>
      </c>
      <c r="Z70" s="1550">
        <f t="shared" ref="Z70:AL70" si="142">SUM(Z64:Z69)</f>
        <v>0</v>
      </c>
      <c r="AA70" s="1550">
        <f t="shared" si="142"/>
        <v>0</v>
      </c>
      <c r="AB70" s="1550">
        <f t="shared" si="142"/>
        <v>0</v>
      </c>
      <c r="AC70" s="1550">
        <f t="shared" si="142"/>
        <v>0</v>
      </c>
      <c r="AD70" s="1550">
        <f t="shared" si="142"/>
        <v>0</v>
      </c>
      <c r="AE70" s="1550">
        <f t="shared" si="142"/>
        <v>0</v>
      </c>
      <c r="AF70" s="1550">
        <f t="shared" si="142"/>
        <v>0</v>
      </c>
      <c r="AG70" s="1550">
        <f t="shared" si="142"/>
        <v>0</v>
      </c>
      <c r="AH70" s="1550">
        <f t="shared" si="142"/>
        <v>0</v>
      </c>
      <c r="AI70" s="1550">
        <f t="shared" si="142"/>
        <v>0</v>
      </c>
      <c r="AJ70" s="1550">
        <f t="shared" si="142"/>
        <v>0</v>
      </c>
      <c r="AK70" s="1550">
        <f t="shared" si="142"/>
        <v>0</v>
      </c>
      <c r="AL70" s="1550">
        <f t="shared" si="142"/>
        <v>0</v>
      </c>
      <c r="AM70" s="1178"/>
    </row>
    <row r="71" spans="2:39">
      <c r="B71" s="1464"/>
      <c r="C71" s="1578" t="s">
        <v>4479</v>
      </c>
      <c r="D71" s="1550">
        <f>SUM(D62:D63)+D70</f>
        <v>0</v>
      </c>
      <c r="E71" s="1550">
        <f t="shared" ref="E71:Y71" si="143">SUM(E62:E63)+E70</f>
        <v>0</v>
      </c>
      <c r="F71" s="1550">
        <f t="shared" si="143"/>
        <v>0</v>
      </c>
      <c r="G71" s="1550">
        <f t="shared" si="143"/>
        <v>0</v>
      </c>
      <c r="H71" s="1550">
        <f t="shared" si="143"/>
        <v>0</v>
      </c>
      <c r="I71" s="1550">
        <f t="shared" si="143"/>
        <v>0</v>
      </c>
      <c r="J71" s="1550">
        <f t="shared" si="143"/>
        <v>0</v>
      </c>
      <c r="K71" s="1550">
        <f t="shared" si="143"/>
        <v>0</v>
      </c>
      <c r="L71" s="1550">
        <f t="shared" si="143"/>
        <v>0</v>
      </c>
      <c r="M71" s="1550">
        <f t="shared" si="143"/>
        <v>0</v>
      </c>
      <c r="N71" s="1550">
        <f t="shared" si="143"/>
        <v>0</v>
      </c>
      <c r="O71" s="1550">
        <f t="shared" si="143"/>
        <v>0</v>
      </c>
      <c r="P71" s="1550">
        <f t="shared" si="143"/>
        <v>0</v>
      </c>
      <c r="Q71" s="1550">
        <f t="shared" si="143"/>
        <v>0</v>
      </c>
      <c r="R71" s="1550">
        <f t="shared" si="143"/>
        <v>0</v>
      </c>
      <c r="S71" s="1550">
        <f t="shared" si="143"/>
        <v>0</v>
      </c>
      <c r="T71" s="1550">
        <f t="shared" si="143"/>
        <v>0</v>
      </c>
      <c r="U71" s="1550">
        <f t="shared" si="143"/>
        <v>0</v>
      </c>
      <c r="V71" s="1550">
        <f t="shared" si="143"/>
        <v>0</v>
      </c>
      <c r="W71" s="1550">
        <f t="shared" si="143"/>
        <v>0</v>
      </c>
      <c r="X71" s="1550">
        <f t="shared" si="143"/>
        <v>0</v>
      </c>
      <c r="Y71" s="1550">
        <f t="shared" si="143"/>
        <v>0</v>
      </c>
      <c r="Z71" s="1550">
        <f t="shared" ref="Z71:AL71" si="144">SUM(Z62:Z63)+Z70</f>
        <v>0</v>
      </c>
      <c r="AA71" s="1550">
        <f t="shared" si="144"/>
        <v>0</v>
      </c>
      <c r="AB71" s="1550">
        <f t="shared" si="144"/>
        <v>0</v>
      </c>
      <c r="AC71" s="1550">
        <f t="shared" si="144"/>
        <v>0</v>
      </c>
      <c r="AD71" s="1550">
        <f t="shared" si="144"/>
        <v>0</v>
      </c>
      <c r="AE71" s="1550">
        <f t="shared" si="144"/>
        <v>0</v>
      </c>
      <c r="AF71" s="1550">
        <f t="shared" si="144"/>
        <v>0</v>
      </c>
      <c r="AG71" s="1550">
        <f t="shared" si="144"/>
        <v>0</v>
      </c>
      <c r="AH71" s="1550">
        <f t="shared" si="144"/>
        <v>0</v>
      </c>
      <c r="AI71" s="1550">
        <f t="shared" si="144"/>
        <v>0</v>
      </c>
      <c r="AJ71" s="1550">
        <f t="shared" si="144"/>
        <v>0</v>
      </c>
      <c r="AK71" s="1550">
        <f t="shared" si="144"/>
        <v>0</v>
      </c>
      <c r="AL71" s="1550">
        <f t="shared" si="144"/>
        <v>0</v>
      </c>
      <c r="AM71" s="1178"/>
    </row>
    <row r="72" spans="2:39">
      <c r="B72" s="1464"/>
      <c r="C72" s="1273"/>
      <c r="D72" s="1273"/>
      <c r="E72" s="1273"/>
      <c r="F72" s="1273"/>
      <c r="G72" s="1273"/>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c r="AL72" s="1273"/>
      <c r="AM72" s="1294"/>
    </row>
    <row r="73" spans="2:39">
      <c r="B73" s="1464"/>
      <c r="C73" s="1573" t="s">
        <v>4480</v>
      </c>
      <c r="D73" s="1573">
        <v>1</v>
      </c>
      <c r="E73" s="1573">
        <f>D73+1</f>
        <v>2</v>
      </c>
      <c r="F73" s="1573">
        <f>E73+1</f>
        <v>3</v>
      </c>
      <c r="G73" s="1573">
        <f>F73+1</f>
        <v>4</v>
      </c>
      <c r="H73" s="1573">
        <f t="shared" ref="H73" si="145">G73+1</f>
        <v>5</v>
      </c>
      <c r="I73" s="1573">
        <f t="shared" ref="I73" si="146">H73+1</f>
        <v>6</v>
      </c>
      <c r="J73" s="1573">
        <f t="shared" ref="J73" si="147">I73+1</f>
        <v>7</v>
      </c>
      <c r="K73" s="1573">
        <f t="shared" ref="K73" si="148">J73+1</f>
        <v>8</v>
      </c>
      <c r="L73" s="1573">
        <f t="shared" ref="L73" si="149">K73+1</f>
        <v>9</v>
      </c>
      <c r="M73" s="1573">
        <f t="shared" ref="M73" si="150">L73+1</f>
        <v>10</v>
      </c>
      <c r="N73" s="1573">
        <f t="shared" ref="N73" si="151">M73+1</f>
        <v>11</v>
      </c>
      <c r="O73" s="1573">
        <f t="shared" ref="O73" si="152">N73+1</f>
        <v>12</v>
      </c>
      <c r="P73" s="1573">
        <f t="shared" ref="P73" si="153">O73+1</f>
        <v>13</v>
      </c>
      <c r="Q73" s="1573">
        <f t="shared" ref="Q73" si="154">P73+1</f>
        <v>14</v>
      </c>
      <c r="R73" s="1573">
        <f t="shared" ref="R73" si="155">Q73+1</f>
        <v>15</v>
      </c>
      <c r="S73" s="1573">
        <f t="shared" ref="S73" si="156">R73+1</f>
        <v>16</v>
      </c>
      <c r="T73" s="1573">
        <f t="shared" ref="T73" si="157">S73+1</f>
        <v>17</v>
      </c>
      <c r="U73" s="1573">
        <f t="shared" ref="U73" si="158">T73+1</f>
        <v>18</v>
      </c>
      <c r="V73" s="1573">
        <f t="shared" ref="V73" si="159">U73+1</f>
        <v>19</v>
      </c>
      <c r="W73" s="1573">
        <f t="shared" ref="W73" si="160">V73+1</f>
        <v>20</v>
      </c>
      <c r="X73" s="1573">
        <f t="shared" ref="X73" si="161">W73+1</f>
        <v>21</v>
      </c>
      <c r="Y73" s="1573">
        <f t="shared" ref="Y73" si="162">X73+1</f>
        <v>22</v>
      </c>
      <c r="Z73" s="1573">
        <f t="shared" ref="Z73" si="163">Y73+1</f>
        <v>23</v>
      </c>
      <c r="AA73" s="1573">
        <f t="shared" ref="AA73" si="164">Z73+1</f>
        <v>24</v>
      </c>
      <c r="AB73" s="1573">
        <f t="shared" ref="AB73" si="165">AA73+1</f>
        <v>25</v>
      </c>
      <c r="AC73" s="1573">
        <f t="shared" ref="AC73" si="166">AB73+1</f>
        <v>26</v>
      </c>
      <c r="AD73" s="1573">
        <f t="shared" ref="AD73" si="167">AC73+1</f>
        <v>27</v>
      </c>
      <c r="AE73" s="1573">
        <f t="shared" ref="AE73" si="168">AD73+1</f>
        <v>28</v>
      </c>
      <c r="AF73" s="1573">
        <f t="shared" ref="AF73" si="169">AE73+1</f>
        <v>29</v>
      </c>
      <c r="AG73" s="1573">
        <f t="shared" ref="AG73" si="170">AF73+1</f>
        <v>30</v>
      </c>
      <c r="AH73" s="1573">
        <f t="shared" ref="AH73" si="171">AG73+1</f>
        <v>31</v>
      </c>
      <c r="AI73" s="1573">
        <f t="shared" ref="AI73" si="172">AH73+1</f>
        <v>32</v>
      </c>
      <c r="AJ73" s="1573">
        <f t="shared" ref="AJ73" si="173">AI73+1</f>
        <v>33</v>
      </c>
      <c r="AK73" s="1573">
        <f t="shared" ref="AK73" si="174">AJ73+1</f>
        <v>34</v>
      </c>
      <c r="AL73" s="1573">
        <f t="shared" ref="AL73" si="175">AK73+1</f>
        <v>35</v>
      </c>
      <c r="AM73" s="1178"/>
    </row>
    <row r="74" spans="2:39">
      <c r="B74" s="1464"/>
      <c r="C74" s="1578" t="s">
        <v>3266</v>
      </c>
      <c r="D74" s="1550">
        <f>Subtotal__Rent_Expense</f>
        <v>0</v>
      </c>
      <c r="E74" s="1575">
        <f t="shared" ref="E74:Y74" si="176">D74*(100%+$F28)</f>
        <v>0</v>
      </c>
      <c r="F74" s="1575">
        <f t="shared" si="176"/>
        <v>0</v>
      </c>
      <c r="G74" s="1575">
        <f t="shared" si="176"/>
        <v>0</v>
      </c>
      <c r="H74" s="1575">
        <f t="shared" si="176"/>
        <v>0</v>
      </c>
      <c r="I74" s="1576">
        <f t="shared" si="176"/>
        <v>0</v>
      </c>
      <c r="J74" s="1575">
        <f t="shared" si="176"/>
        <v>0</v>
      </c>
      <c r="K74" s="1575">
        <f t="shared" si="176"/>
        <v>0</v>
      </c>
      <c r="L74" s="1575">
        <f t="shared" si="176"/>
        <v>0</v>
      </c>
      <c r="M74" s="1575">
        <f t="shared" si="176"/>
        <v>0</v>
      </c>
      <c r="N74" s="1575">
        <f t="shared" si="176"/>
        <v>0</v>
      </c>
      <c r="O74" s="1575">
        <f t="shared" si="176"/>
        <v>0</v>
      </c>
      <c r="P74" s="1575">
        <f t="shared" si="176"/>
        <v>0</v>
      </c>
      <c r="Q74" s="1575">
        <f t="shared" si="176"/>
        <v>0</v>
      </c>
      <c r="R74" s="1575">
        <f t="shared" si="176"/>
        <v>0</v>
      </c>
      <c r="S74" s="1575">
        <f t="shared" si="176"/>
        <v>0</v>
      </c>
      <c r="T74" s="1575">
        <f t="shared" si="176"/>
        <v>0</v>
      </c>
      <c r="U74" s="1575">
        <f t="shared" si="176"/>
        <v>0</v>
      </c>
      <c r="V74" s="1575">
        <f t="shared" si="176"/>
        <v>0</v>
      </c>
      <c r="W74" s="1575">
        <f t="shared" si="176"/>
        <v>0</v>
      </c>
      <c r="X74" s="1575">
        <f t="shared" si="176"/>
        <v>0</v>
      </c>
      <c r="Y74" s="1575">
        <f t="shared" si="176"/>
        <v>0</v>
      </c>
      <c r="Z74" s="1575">
        <f t="shared" ref="Z74:Z78" si="177">Y74*(100%+$F28)</f>
        <v>0</v>
      </c>
      <c r="AA74" s="1575">
        <f t="shared" ref="AA74:AA78" si="178">Z74*(100%+$F28)</f>
        <v>0</v>
      </c>
      <c r="AB74" s="1575">
        <f t="shared" ref="AB74:AB78" si="179">AA74*(100%+$F28)</f>
        <v>0</v>
      </c>
      <c r="AC74" s="1575">
        <f t="shared" ref="AC74:AC78" si="180">AB74*(100%+$F28)</f>
        <v>0</v>
      </c>
      <c r="AD74" s="1575">
        <f t="shared" ref="AD74:AD78" si="181">AC74*(100%+$F28)</f>
        <v>0</v>
      </c>
      <c r="AE74" s="1575">
        <f t="shared" ref="AE74:AE78" si="182">AD74*(100%+$F28)</f>
        <v>0</v>
      </c>
      <c r="AF74" s="1575">
        <f t="shared" ref="AF74:AF78" si="183">AE74*(100%+$F28)</f>
        <v>0</v>
      </c>
      <c r="AG74" s="1575">
        <f t="shared" ref="AG74:AG78" si="184">AF74*(100%+$F28)</f>
        <v>0</v>
      </c>
      <c r="AH74" s="1575">
        <f t="shared" ref="AH74:AH78" si="185">AG74*(100%+$F28)</f>
        <v>0</v>
      </c>
      <c r="AI74" s="1575">
        <f t="shared" ref="AI74:AI78" si="186">AH74*(100%+$F28)</f>
        <v>0</v>
      </c>
      <c r="AJ74" s="1575">
        <f t="shared" ref="AJ74:AJ78" si="187">AI74*(100%+$F28)</f>
        <v>0</v>
      </c>
      <c r="AK74" s="1575">
        <f t="shared" ref="AK74:AK78" si="188">AJ74*(100%+$F28)</f>
        <v>0</v>
      </c>
      <c r="AL74" s="1575">
        <f t="shared" ref="AL74:AL78" si="189">AK74*(100%+$F28)</f>
        <v>0</v>
      </c>
      <c r="AM74" s="1178"/>
    </row>
    <row r="75" spans="2:39">
      <c r="B75" s="1464"/>
      <c r="C75" s="1578" t="s">
        <v>4481</v>
      </c>
      <c r="D75" s="1579">
        <f>SUM('16. Projected Operating Costs'!D17:D19)</f>
        <v>0</v>
      </c>
      <c r="E75" s="1575">
        <f t="shared" ref="E75:Y75" si="190">D75*(100%+$F29)</f>
        <v>0</v>
      </c>
      <c r="F75" s="1575">
        <f t="shared" si="190"/>
        <v>0</v>
      </c>
      <c r="G75" s="1575">
        <f t="shared" si="190"/>
        <v>0</v>
      </c>
      <c r="H75" s="1575">
        <f t="shared" si="190"/>
        <v>0</v>
      </c>
      <c r="I75" s="1576">
        <f t="shared" si="190"/>
        <v>0</v>
      </c>
      <c r="J75" s="1575">
        <f t="shared" si="190"/>
        <v>0</v>
      </c>
      <c r="K75" s="1575">
        <f t="shared" si="190"/>
        <v>0</v>
      </c>
      <c r="L75" s="1575">
        <f t="shared" si="190"/>
        <v>0</v>
      </c>
      <c r="M75" s="1575">
        <f t="shared" si="190"/>
        <v>0</v>
      </c>
      <c r="N75" s="1575">
        <f t="shared" si="190"/>
        <v>0</v>
      </c>
      <c r="O75" s="1575">
        <f t="shared" si="190"/>
        <v>0</v>
      </c>
      <c r="P75" s="1575">
        <f t="shared" si="190"/>
        <v>0</v>
      </c>
      <c r="Q75" s="1575">
        <f t="shared" si="190"/>
        <v>0</v>
      </c>
      <c r="R75" s="1575">
        <f t="shared" si="190"/>
        <v>0</v>
      </c>
      <c r="S75" s="1575">
        <f t="shared" si="190"/>
        <v>0</v>
      </c>
      <c r="T75" s="1575">
        <f t="shared" si="190"/>
        <v>0</v>
      </c>
      <c r="U75" s="1575">
        <f t="shared" si="190"/>
        <v>0</v>
      </c>
      <c r="V75" s="1575">
        <f t="shared" si="190"/>
        <v>0</v>
      </c>
      <c r="W75" s="1575">
        <f t="shared" si="190"/>
        <v>0</v>
      </c>
      <c r="X75" s="1575">
        <f t="shared" si="190"/>
        <v>0</v>
      </c>
      <c r="Y75" s="1575">
        <f t="shared" si="190"/>
        <v>0</v>
      </c>
      <c r="Z75" s="1575">
        <f t="shared" si="177"/>
        <v>0</v>
      </c>
      <c r="AA75" s="1575">
        <f t="shared" si="178"/>
        <v>0</v>
      </c>
      <c r="AB75" s="1575">
        <f t="shared" si="179"/>
        <v>0</v>
      </c>
      <c r="AC75" s="1575">
        <f t="shared" si="180"/>
        <v>0</v>
      </c>
      <c r="AD75" s="1575">
        <f t="shared" si="181"/>
        <v>0</v>
      </c>
      <c r="AE75" s="1575">
        <f t="shared" si="182"/>
        <v>0</v>
      </c>
      <c r="AF75" s="1575">
        <f t="shared" si="183"/>
        <v>0</v>
      </c>
      <c r="AG75" s="1575">
        <f t="shared" si="184"/>
        <v>0</v>
      </c>
      <c r="AH75" s="1575">
        <f t="shared" si="185"/>
        <v>0</v>
      </c>
      <c r="AI75" s="1575">
        <f t="shared" si="186"/>
        <v>0</v>
      </c>
      <c r="AJ75" s="1575">
        <f t="shared" si="187"/>
        <v>0</v>
      </c>
      <c r="AK75" s="1575">
        <f t="shared" si="188"/>
        <v>0</v>
      </c>
      <c r="AL75" s="1575">
        <f t="shared" si="189"/>
        <v>0</v>
      </c>
      <c r="AM75" s="1178"/>
    </row>
    <row r="76" spans="2:39">
      <c r="B76" s="1464"/>
      <c r="C76" s="1578" t="s">
        <v>4482</v>
      </c>
      <c r="D76" s="1579">
        <f>Subtotal__Administrative_Expenses-D75</f>
        <v>0</v>
      </c>
      <c r="E76" s="1575">
        <f t="shared" ref="E76:Y76" si="191">D76*(100%+$F30)</f>
        <v>0</v>
      </c>
      <c r="F76" s="1575">
        <f t="shared" si="191"/>
        <v>0</v>
      </c>
      <c r="G76" s="1575">
        <f t="shared" si="191"/>
        <v>0</v>
      </c>
      <c r="H76" s="1575">
        <f t="shared" si="191"/>
        <v>0</v>
      </c>
      <c r="I76" s="1576">
        <f t="shared" si="191"/>
        <v>0</v>
      </c>
      <c r="J76" s="1575">
        <f t="shared" si="191"/>
        <v>0</v>
      </c>
      <c r="K76" s="1575">
        <f t="shared" si="191"/>
        <v>0</v>
      </c>
      <c r="L76" s="1575">
        <f t="shared" si="191"/>
        <v>0</v>
      </c>
      <c r="M76" s="1575">
        <f t="shared" si="191"/>
        <v>0</v>
      </c>
      <c r="N76" s="1575">
        <f t="shared" si="191"/>
        <v>0</v>
      </c>
      <c r="O76" s="1575">
        <f t="shared" si="191"/>
        <v>0</v>
      </c>
      <c r="P76" s="1575">
        <f t="shared" si="191"/>
        <v>0</v>
      </c>
      <c r="Q76" s="1575">
        <f t="shared" si="191"/>
        <v>0</v>
      </c>
      <c r="R76" s="1575">
        <f t="shared" si="191"/>
        <v>0</v>
      </c>
      <c r="S76" s="1575">
        <f t="shared" si="191"/>
        <v>0</v>
      </c>
      <c r="T76" s="1575">
        <f t="shared" si="191"/>
        <v>0</v>
      </c>
      <c r="U76" s="1575">
        <f t="shared" si="191"/>
        <v>0</v>
      </c>
      <c r="V76" s="1575">
        <f t="shared" si="191"/>
        <v>0</v>
      </c>
      <c r="W76" s="1575">
        <f t="shared" si="191"/>
        <v>0</v>
      </c>
      <c r="X76" s="1575">
        <f t="shared" si="191"/>
        <v>0</v>
      </c>
      <c r="Y76" s="1575">
        <f t="shared" si="191"/>
        <v>0</v>
      </c>
      <c r="Z76" s="1575">
        <f t="shared" si="177"/>
        <v>0</v>
      </c>
      <c r="AA76" s="1575">
        <f t="shared" si="178"/>
        <v>0</v>
      </c>
      <c r="AB76" s="1575">
        <f t="shared" si="179"/>
        <v>0</v>
      </c>
      <c r="AC76" s="1575">
        <f t="shared" si="180"/>
        <v>0</v>
      </c>
      <c r="AD76" s="1575">
        <f t="shared" si="181"/>
        <v>0</v>
      </c>
      <c r="AE76" s="1575">
        <f t="shared" si="182"/>
        <v>0</v>
      </c>
      <c r="AF76" s="1575">
        <f t="shared" si="183"/>
        <v>0</v>
      </c>
      <c r="AG76" s="1575">
        <f t="shared" si="184"/>
        <v>0</v>
      </c>
      <c r="AH76" s="1575">
        <f t="shared" si="185"/>
        <v>0</v>
      </c>
      <c r="AI76" s="1575">
        <f t="shared" si="186"/>
        <v>0</v>
      </c>
      <c r="AJ76" s="1575">
        <f t="shared" si="187"/>
        <v>0</v>
      </c>
      <c r="AK76" s="1575">
        <f t="shared" si="188"/>
        <v>0</v>
      </c>
      <c r="AL76" s="1575">
        <f t="shared" si="189"/>
        <v>0</v>
      </c>
      <c r="AM76" s="1178"/>
    </row>
    <row r="77" spans="2:39">
      <c r="B77" s="1464"/>
      <c r="C77" s="1578" t="s">
        <v>3270</v>
      </c>
      <c r="D77" s="1579">
        <f>Subtotal__Utilities_Expenses</f>
        <v>0</v>
      </c>
      <c r="E77" s="1575">
        <f t="shared" ref="E77:Y77" si="192">D77*(100%+$F31)</f>
        <v>0</v>
      </c>
      <c r="F77" s="1575">
        <f t="shared" si="192"/>
        <v>0</v>
      </c>
      <c r="G77" s="1575">
        <f t="shared" si="192"/>
        <v>0</v>
      </c>
      <c r="H77" s="1575">
        <f t="shared" si="192"/>
        <v>0</v>
      </c>
      <c r="I77" s="1576">
        <f t="shared" si="192"/>
        <v>0</v>
      </c>
      <c r="J77" s="1575">
        <f t="shared" si="192"/>
        <v>0</v>
      </c>
      <c r="K77" s="1575">
        <f t="shared" si="192"/>
        <v>0</v>
      </c>
      <c r="L77" s="1575">
        <f t="shared" si="192"/>
        <v>0</v>
      </c>
      <c r="M77" s="1575">
        <f t="shared" si="192"/>
        <v>0</v>
      </c>
      <c r="N77" s="1575">
        <f t="shared" si="192"/>
        <v>0</v>
      </c>
      <c r="O77" s="1575">
        <f t="shared" si="192"/>
        <v>0</v>
      </c>
      <c r="P77" s="1575">
        <f t="shared" si="192"/>
        <v>0</v>
      </c>
      <c r="Q77" s="1575">
        <f t="shared" si="192"/>
        <v>0</v>
      </c>
      <c r="R77" s="1575">
        <f t="shared" si="192"/>
        <v>0</v>
      </c>
      <c r="S77" s="1575">
        <f t="shared" si="192"/>
        <v>0</v>
      </c>
      <c r="T77" s="1575">
        <f t="shared" si="192"/>
        <v>0</v>
      </c>
      <c r="U77" s="1575">
        <f t="shared" si="192"/>
        <v>0</v>
      </c>
      <c r="V77" s="1575">
        <f t="shared" si="192"/>
        <v>0</v>
      </c>
      <c r="W77" s="1575">
        <f t="shared" si="192"/>
        <v>0</v>
      </c>
      <c r="X77" s="1575">
        <f t="shared" si="192"/>
        <v>0</v>
      </c>
      <c r="Y77" s="1575">
        <f t="shared" si="192"/>
        <v>0</v>
      </c>
      <c r="Z77" s="1575">
        <f t="shared" si="177"/>
        <v>0</v>
      </c>
      <c r="AA77" s="1575">
        <f t="shared" si="178"/>
        <v>0</v>
      </c>
      <c r="AB77" s="1575">
        <f t="shared" si="179"/>
        <v>0</v>
      </c>
      <c r="AC77" s="1575">
        <f t="shared" si="180"/>
        <v>0</v>
      </c>
      <c r="AD77" s="1575">
        <f t="shared" si="181"/>
        <v>0</v>
      </c>
      <c r="AE77" s="1575">
        <f t="shared" si="182"/>
        <v>0</v>
      </c>
      <c r="AF77" s="1575">
        <f t="shared" si="183"/>
        <v>0</v>
      </c>
      <c r="AG77" s="1575">
        <f t="shared" si="184"/>
        <v>0</v>
      </c>
      <c r="AH77" s="1575">
        <f t="shared" si="185"/>
        <v>0</v>
      </c>
      <c r="AI77" s="1575">
        <f t="shared" si="186"/>
        <v>0</v>
      </c>
      <c r="AJ77" s="1575">
        <f t="shared" si="187"/>
        <v>0</v>
      </c>
      <c r="AK77" s="1575">
        <f t="shared" si="188"/>
        <v>0</v>
      </c>
      <c r="AL77" s="1575">
        <f t="shared" si="189"/>
        <v>0</v>
      </c>
      <c r="AM77" s="1178"/>
    </row>
    <row r="78" spans="2:39">
      <c r="B78" s="1464"/>
      <c r="C78" s="1578" t="s">
        <v>4464</v>
      </c>
      <c r="D78" s="1579">
        <f>Subtotal__Operating___Maintenance_Expenses</f>
        <v>0</v>
      </c>
      <c r="E78" s="1575">
        <f t="shared" ref="E78:Y78" si="193">D78*(100%+$F32)</f>
        <v>0</v>
      </c>
      <c r="F78" s="1575">
        <f t="shared" si="193"/>
        <v>0</v>
      </c>
      <c r="G78" s="1575">
        <f t="shared" si="193"/>
        <v>0</v>
      </c>
      <c r="H78" s="1575">
        <f t="shared" si="193"/>
        <v>0</v>
      </c>
      <c r="I78" s="1576">
        <f t="shared" si="193"/>
        <v>0</v>
      </c>
      <c r="J78" s="1575">
        <f t="shared" si="193"/>
        <v>0</v>
      </c>
      <c r="K78" s="1575">
        <f t="shared" si="193"/>
        <v>0</v>
      </c>
      <c r="L78" s="1575">
        <f t="shared" si="193"/>
        <v>0</v>
      </c>
      <c r="M78" s="1575">
        <f t="shared" si="193"/>
        <v>0</v>
      </c>
      <c r="N78" s="1575">
        <f t="shared" si="193"/>
        <v>0</v>
      </c>
      <c r="O78" s="1575">
        <f t="shared" si="193"/>
        <v>0</v>
      </c>
      <c r="P78" s="1575">
        <f t="shared" si="193"/>
        <v>0</v>
      </c>
      <c r="Q78" s="1575">
        <f t="shared" si="193"/>
        <v>0</v>
      </c>
      <c r="R78" s="1575">
        <f t="shared" si="193"/>
        <v>0</v>
      </c>
      <c r="S78" s="1575">
        <f t="shared" si="193"/>
        <v>0</v>
      </c>
      <c r="T78" s="1575">
        <f t="shared" si="193"/>
        <v>0</v>
      </c>
      <c r="U78" s="1575">
        <f t="shared" si="193"/>
        <v>0</v>
      </c>
      <c r="V78" s="1575">
        <f t="shared" si="193"/>
        <v>0</v>
      </c>
      <c r="W78" s="1575">
        <f t="shared" si="193"/>
        <v>0</v>
      </c>
      <c r="X78" s="1575">
        <f t="shared" si="193"/>
        <v>0</v>
      </c>
      <c r="Y78" s="1575">
        <f t="shared" si="193"/>
        <v>0</v>
      </c>
      <c r="Z78" s="1575">
        <f t="shared" si="177"/>
        <v>0</v>
      </c>
      <c r="AA78" s="1575">
        <f t="shared" si="178"/>
        <v>0</v>
      </c>
      <c r="AB78" s="1575">
        <f t="shared" si="179"/>
        <v>0</v>
      </c>
      <c r="AC78" s="1575">
        <f t="shared" si="180"/>
        <v>0</v>
      </c>
      <c r="AD78" s="1575">
        <f t="shared" si="181"/>
        <v>0</v>
      </c>
      <c r="AE78" s="1575">
        <f t="shared" si="182"/>
        <v>0</v>
      </c>
      <c r="AF78" s="1575">
        <f t="shared" si="183"/>
        <v>0</v>
      </c>
      <c r="AG78" s="1575">
        <f t="shared" si="184"/>
        <v>0</v>
      </c>
      <c r="AH78" s="1575">
        <f t="shared" si="185"/>
        <v>0</v>
      </c>
      <c r="AI78" s="1575">
        <f t="shared" si="186"/>
        <v>0</v>
      </c>
      <c r="AJ78" s="1575">
        <f t="shared" si="187"/>
        <v>0</v>
      </c>
      <c r="AK78" s="1575">
        <f t="shared" si="188"/>
        <v>0</v>
      </c>
      <c r="AL78" s="1575">
        <f t="shared" si="189"/>
        <v>0</v>
      </c>
      <c r="AM78" s="1178"/>
    </row>
    <row r="79" spans="2:39">
      <c r="B79" s="1464"/>
      <c r="C79" s="1578" t="str">
        <f>+'16. Projected Operating Costs'!C51</f>
        <v>Real Estate &amp; Personal Property  Taxes</v>
      </c>
      <c r="D79" s="1579">
        <f>+Real_Estate___Personal_Property__Taxes</f>
        <v>0</v>
      </c>
      <c r="E79" s="1575">
        <f t="shared" ref="E79:Y80" si="194">D79*(100%+$F32)</f>
        <v>0</v>
      </c>
      <c r="F79" s="1575">
        <f t="shared" ref="F79" si="195">E79*(100%+$F32)</f>
        <v>0</v>
      </c>
      <c r="G79" s="1575">
        <f t="shared" ref="G79" si="196">F79*(100%+$F32)</f>
        <v>0</v>
      </c>
      <c r="H79" s="1575">
        <f t="shared" ref="H79" si="197">G79*(100%+$F32)</f>
        <v>0</v>
      </c>
      <c r="I79" s="1576">
        <f t="shared" ref="I79" si="198">H79*(100%+$F32)</f>
        <v>0</v>
      </c>
      <c r="J79" s="1575">
        <f t="shared" ref="J79" si="199">I79*(100%+$F32)</f>
        <v>0</v>
      </c>
      <c r="K79" s="1575">
        <f t="shared" ref="K79" si="200">J79*(100%+$F32)</f>
        <v>0</v>
      </c>
      <c r="L79" s="1575">
        <f t="shared" ref="L79" si="201">K79*(100%+$F32)</f>
        <v>0</v>
      </c>
      <c r="M79" s="1575">
        <f t="shared" ref="M79" si="202">L79*(100%+$F32)</f>
        <v>0</v>
      </c>
      <c r="N79" s="1575">
        <f t="shared" ref="N79" si="203">M79*(100%+$F32)</f>
        <v>0</v>
      </c>
      <c r="O79" s="1575">
        <f t="shared" ref="O79" si="204">N79*(100%+$F32)</f>
        <v>0</v>
      </c>
      <c r="P79" s="1575">
        <f t="shared" ref="P79" si="205">O79*(100%+$F32)</f>
        <v>0</v>
      </c>
      <c r="Q79" s="1575">
        <f t="shared" ref="Q79" si="206">P79*(100%+$F32)</f>
        <v>0</v>
      </c>
      <c r="R79" s="1575">
        <f t="shared" ref="R79" si="207">Q79*(100%+$F32)</f>
        <v>0</v>
      </c>
      <c r="S79" s="1575">
        <f t="shared" ref="S79" si="208">R79*(100%+$F32)</f>
        <v>0</v>
      </c>
      <c r="T79" s="1575">
        <f t="shared" ref="T79" si="209">S79*(100%+$F32)</f>
        <v>0</v>
      </c>
      <c r="U79" s="1575">
        <f t="shared" ref="U79" si="210">T79*(100%+$F32)</f>
        <v>0</v>
      </c>
      <c r="V79" s="1575">
        <f t="shared" ref="V79" si="211">U79*(100%+$F32)</f>
        <v>0</v>
      </c>
      <c r="W79" s="1575">
        <f t="shared" ref="W79" si="212">V79*(100%+$F32)</f>
        <v>0</v>
      </c>
      <c r="X79" s="1575">
        <f t="shared" ref="X79" si="213">W79*(100%+$F32)</f>
        <v>0</v>
      </c>
      <c r="Y79" s="1575">
        <f t="shared" ref="Y79" si="214">X79*(100%+$F32)</f>
        <v>0</v>
      </c>
      <c r="Z79" s="1575">
        <f t="shared" ref="Z79:Z82" si="215">Y79*(100%+$F32)</f>
        <v>0</v>
      </c>
      <c r="AA79" s="1575">
        <f t="shared" ref="AA79:AA82" si="216">Z79*(100%+$F32)</f>
        <v>0</v>
      </c>
      <c r="AB79" s="1575">
        <f t="shared" ref="AB79:AB82" si="217">AA79*(100%+$F32)</f>
        <v>0</v>
      </c>
      <c r="AC79" s="1575">
        <f t="shared" ref="AC79:AC82" si="218">AB79*(100%+$F32)</f>
        <v>0</v>
      </c>
      <c r="AD79" s="1575">
        <f t="shared" ref="AD79:AD82" si="219">AC79*(100%+$F32)</f>
        <v>0</v>
      </c>
      <c r="AE79" s="1575">
        <f t="shared" ref="AE79:AE82" si="220">AD79*(100%+$F32)</f>
        <v>0</v>
      </c>
      <c r="AF79" s="1575">
        <f t="shared" ref="AF79:AF82" si="221">AE79*(100%+$F32)</f>
        <v>0</v>
      </c>
      <c r="AG79" s="1575">
        <f t="shared" ref="AG79:AG82" si="222">AF79*(100%+$F32)</f>
        <v>0</v>
      </c>
      <c r="AH79" s="1575">
        <f t="shared" ref="AH79:AH82" si="223">AG79*(100%+$F32)</f>
        <v>0</v>
      </c>
      <c r="AI79" s="1575">
        <f t="shared" ref="AI79:AI82" si="224">AH79*(100%+$F32)</f>
        <v>0</v>
      </c>
      <c r="AJ79" s="1575">
        <f t="shared" ref="AJ79:AJ82" si="225">AI79*(100%+$F32)</f>
        <v>0</v>
      </c>
      <c r="AK79" s="1575">
        <f t="shared" ref="AK79:AK82" si="226">AJ79*(100%+$F32)</f>
        <v>0</v>
      </c>
      <c r="AL79" s="1575">
        <f t="shared" ref="AL79:AL82" si="227">AK79*(100%+$F32)</f>
        <v>0</v>
      </c>
      <c r="AM79" s="1178"/>
    </row>
    <row r="80" spans="2:39">
      <c r="B80" s="1464"/>
      <c r="C80" s="1578" t="s">
        <v>4483</v>
      </c>
      <c r="D80" s="1579">
        <f>Subtotal__Taxes_and_Insurance-D79</f>
        <v>0</v>
      </c>
      <c r="E80" s="1575">
        <f t="shared" si="194"/>
        <v>0</v>
      </c>
      <c r="F80" s="1575">
        <f t="shared" si="194"/>
        <v>0</v>
      </c>
      <c r="G80" s="1575">
        <f t="shared" si="194"/>
        <v>0</v>
      </c>
      <c r="H80" s="1575">
        <f t="shared" si="194"/>
        <v>0</v>
      </c>
      <c r="I80" s="1576">
        <f t="shared" si="194"/>
        <v>0</v>
      </c>
      <c r="J80" s="1575">
        <f t="shared" si="194"/>
        <v>0</v>
      </c>
      <c r="K80" s="1575">
        <f t="shared" si="194"/>
        <v>0</v>
      </c>
      <c r="L80" s="1575">
        <f t="shared" si="194"/>
        <v>0</v>
      </c>
      <c r="M80" s="1575">
        <f t="shared" si="194"/>
        <v>0</v>
      </c>
      <c r="N80" s="1575">
        <f t="shared" si="194"/>
        <v>0</v>
      </c>
      <c r="O80" s="1575">
        <f t="shared" si="194"/>
        <v>0</v>
      </c>
      <c r="P80" s="1575">
        <f t="shared" si="194"/>
        <v>0</v>
      </c>
      <c r="Q80" s="1575">
        <f t="shared" si="194"/>
        <v>0</v>
      </c>
      <c r="R80" s="1575">
        <f t="shared" si="194"/>
        <v>0</v>
      </c>
      <c r="S80" s="1575">
        <f t="shared" si="194"/>
        <v>0</v>
      </c>
      <c r="T80" s="1575">
        <f t="shared" si="194"/>
        <v>0</v>
      </c>
      <c r="U80" s="1575">
        <f t="shared" si="194"/>
        <v>0</v>
      </c>
      <c r="V80" s="1575">
        <f t="shared" si="194"/>
        <v>0</v>
      </c>
      <c r="W80" s="1575">
        <f t="shared" si="194"/>
        <v>0</v>
      </c>
      <c r="X80" s="1575">
        <f t="shared" si="194"/>
        <v>0</v>
      </c>
      <c r="Y80" s="1575">
        <f t="shared" si="194"/>
        <v>0</v>
      </c>
      <c r="Z80" s="1575">
        <f t="shared" si="215"/>
        <v>0</v>
      </c>
      <c r="AA80" s="1575">
        <f t="shared" si="216"/>
        <v>0</v>
      </c>
      <c r="AB80" s="1575">
        <f t="shared" si="217"/>
        <v>0</v>
      </c>
      <c r="AC80" s="1575">
        <f t="shared" si="218"/>
        <v>0</v>
      </c>
      <c r="AD80" s="1575">
        <f t="shared" si="219"/>
        <v>0</v>
      </c>
      <c r="AE80" s="1575">
        <f t="shared" si="220"/>
        <v>0</v>
      </c>
      <c r="AF80" s="1575">
        <f t="shared" si="221"/>
        <v>0</v>
      </c>
      <c r="AG80" s="1575">
        <f t="shared" si="222"/>
        <v>0</v>
      </c>
      <c r="AH80" s="1575">
        <f t="shared" si="223"/>
        <v>0</v>
      </c>
      <c r="AI80" s="1575">
        <f t="shared" si="224"/>
        <v>0</v>
      </c>
      <c r="AJ80" s="1575">
        <f t="shared" si="225"/>
        <v>0</v>
      </c>
      <c r="AK80" s="1575">
        <f t="shared" si="226"/>
        <v>0</v>
      </c>
      <c r="AL80" s="1575">
        <f t="shared" si="227"/>
        <v>0</v>
      </c>
      <c r="AM80" s="1178"/>
    </row>
    <row r="81" spans="2:41">
      <c r="B81" s="1464"/>
      <c r="C81" s="1578" t="s">
        <v>3273</v>
      </c>
      <c r="D81" s="1579">
        <f>Subtotal__Service_Expense</f>
        <v>0</v>
      </c>
      <c r="E81" s="1575">
        <f t="shared" ref="E81:Y81" si="228">D81*(100%+$F34)</f>
        <v>0</v>
      </c>
      <c r="F81" s="1575">
        <f t="shared" si="228"/>
        <v>0</v>
      </c>
      <c r="G81" s="1575">
        <f t="shared" si="228"/>
        <v>0</v>
      </c>
      <c r="H81" s="1575">
        <f t="shared" si="228"/>
        <v>0</v>
      </c>
      <c r="I81" s="1576">
        <f t="shared" si="228"/>
        <v>0</v>
      </c>
      <c r="J81" s="1575">
        <f t="shared" si="228"/>
        <v>0</v>
      </c>
      <c r="K81" s="1575">
        <f t="shared" si="228"/>
        <v>0</v>
      </c>
      <c r="L81" s="1575">
        <f t="shared" si="228"/>
        <v>0</v>
      </c>
      <c r="M81" s="1575">
        <f t="shared" si="228"/>
        <v>0</v>
      </c>
      <c r="N81" s="1575">
        <f t="shared" si="228"/>
        <v>0</v>
      </c>
      <c r="O81" s="1575">
        <f t="shared" si="228"/>
        <v>0</v>
      </c>
      <c r="P81" s="1575">
        <f t="shared" si="228"/>
        <v>0</v>
      </c>
      <c r="Q81" s="1575">
        <f t="shared" si="228"/>
        <v>0</v>
      </c>
      <c r="R81" s="1575">
        <f t="shared" si="228"/>
        <v>0</v>
      </c>
      <c r="S81" s="1575">
        <f t="shared" si="228"/>
        <v>0</v>
      </c>
      <c r="T81" s="1575">
        <f t="shared" si="228"/>
        <v>0</v>
      </c>
      <c r="U81" s="1575">
        <f t="shared" si="228"/>
        <v>0</v>
      </c>
      <c r="V81" s="1575">
        <f t="shared" si="228"/>
        <v>0</v>
      </c>
      <c r="W81" s="1575">
        <f t="shared" si="228"/>
        <v>0</v>
      </c>
      <c r="X81" s="1575">
        <f t="shared" si="228"/>
        <v>0</v>
      </c>
      <c r="Y81" s="1575">
        <f t="shared" si="228"/>
        <v>0</v>
      </c>
      <c r="Z81" s="1575">
        <f t="shared" si="215"/>
        <v>0</v>
      </c>
      <c r="AA81" s="1575">
        <f t="shared" si="216"/>
        <v>0</v>
      </c>
      <c r="AB81" s="1575">
        <f t="shared" si="217"/>
        <v>0</v>
      </c>
      <c r="AC81" s="1575">
        <f t="shared" si="218"/>
        <v>0</v>
      </c>
      <c r="AD81" s="1575">
        <f t="shared" si="219"/>
        <v>0</v>
      </c>
      <c r="AE81" s="1575">
        <f t="shared" si="220"/>
        <v>0</v>
      </c>
      <c r="AF81" s="1575">
        <f t="shared" si="221"/>
        <v>0</v>
      </c>
      <c r="AG81" s="1575">
        <f t="shared" si="222"/>
        <v>0</v>
      </c>
      <c r="AH81" s="1575">
        <f t="shared" si="223"/>
        <v>0</v>
      </c>
      <c r="AI81" s="1575">
        <f t="shared" si="224"/>
        <v>0</v>
      </c>
      <c r="AJ81" s="1575">
        <f t="shared" si="225"/>
        <v>0</v>
      </c>
      <c r="AK81" s="1575">
        <f t="shared" si="226"/>
        <v>0</v>
      </c>
      <c r="AL81" s="1575">
        <f t="shared" si="227"/>
        <v>0</v>
      </c>
      <c r="AM81" s="1178"/>
    </row>
    <row r="82" spans="2:41">
      <c r="B82" s="1464"/>
      <c r="C82" s="1578" t="s">
        <v>2989</v>
      </c>
      <c r="D82" s="1579">
        <f>Annual_Replacement_Reserve</f>
        <v>0</v>
      </c>
      <c r="E82" s="1575">
        <f t="shared" ref="E82:Y82" si="229">D82*(100%+$F35)</f>
        <v>0</v>
      </c>
      <c r="F82" s="1575">
        <f t="shared" si="229"/>
        <v>0</v>
      </c>
      <c r="G82" s="1575">
        <f t="shared" si="229"/>
        <v>0</v>
      </c>
      <c r="H82" s="1575">
        <f t="shared" si="229"/>
        <v>0</v>
      </c>
      <c r="I82" s="1576">
        <f t="shared" si="229"/>
        <v>0</v>
      </c>
      <c r="J82" s="1575">
        <f t="shared" si="229"/>
        <v>0</v>
      </c>
      <c r="K82" s="1575">
        <f t="shared" si="229"/>
        <v>0</v>
      </c>
      <c r="L82" s="1575">
        <f t="shared" si="229"/>
        <v>0</v>
      </c>
      <c r="M82" s="1575">
        <f t="shared" si="229"/>
        <v>0</v>
      </c>
      <c r="N82" s="1575">
        <f t="shared" si="229"/>
        <v>0</v>
      </c>
      <c r="O82" s="1575">
        <f t="shared" si="229"/>
        <v>0</v>
      </c>
      <c r="P82" s="1575">
        <f t="shared" si="229"/>
        <v>0</v>
      </c>
      <c r="Q82" s="1575">
        <f t="shared" si="229"/>
        <v>0</v>
      </c>
      <c r="R82" s="1575">
        <f t="shared" si="229"/>
        <v>0</v>
      </c>
      <c r="S82" s="1575">
        <f t="shared" si="229"/>
        <v>0</v>
      </c>
      <c r="T82" s="1575">
        <f t="shared" si="229"/>
        <v>0</v>
      </c>
      <c r="U82" s="1575">
        <f t="shared" si="229"/>
        <v>0</v>
      </c>
      <c r="V82" s="1575">
        <f t="shared" si="229"/>
        <v>0</v>
      </c>
      <c r="W82" s="1575">
        <f t="shared" si="229"/>
        <v>0</v>
      </c>
      <c r="X82" s="1575">
        <f t="shared" si="229"/>
        <v>0</v>
      </c>
      <c r="Y82" s="1575">
        <f t="shared" si="229"/>
        <v>0</v>
      </c>
      <c r="Z82" s="1575">
        <f t="shared" si="215"/>
        <v>0</v>
      </c>
      <c r="AA82" s="1575">
        <f t="shared" si="216"/>
        <v>0</v>
      </c>
      <c r="AB82" s="1575">
        <f t="shared" si="217"/>
        <v>0</v>
      </c>
      <c r="AC82" s="1575">
        <f t="shared" si="218"/>
        <v>0</v>
      </c>
      <c r="AD82" s="1575">
        <f t="shared" si="219"/>
        <v>0</v>
      </c>
      <c r="AE82" s="1575">
        <f t="shared" si="220"/>
        <v>0</v>
      </c>
      <c r="AF82" s="1575">
        <f t="shared" si="221"/>
        <v>0</v>
      </c>
      <c r="AG82" s="1575">
        <f t="shared" si="222"/>
        <v>0</v>
      </c>
      <c r="AH82" s="1575">
        <f t="shared" si="223"/>
        <v>0</v>
      </c>
      <c r="AI82" s="1575">
        <f t="shared" si="224"/>
        <v>0</v>
      </c>
      <c r="AJ82" s="1575">
        <f t="shared" si="225"/>
        <v>0</v>
      </c>
      <c r="AK82" s="1575">
        <f t="shared" si="226"/>
        <v>0</v>
      </c>
      <c r="AL82" s="1575">
        <f t="shared" si="227"/>
        <v>0</v>
      </c>
      <c r="AM82" s="1178"/>
    </row>
    <row r="83" spans="2:41">
      <c r="B83" s="1464"/>
      <c r="C83" s="1574" t="s">
        <v>3103</v>
      </c>
      <c r="D83" s="1550">
        <f>SUM(D74:D82)</f>
        <v>0</v>
      </c>
      <c r="E83" s="1550">
        <f t="shared" ref="E83:Y83" si="230">SUM(E74:E82)</f>
        <v>0</v>
      </c>
      <c r="F83" s="1550">
        <f t="shared" si="230"/>
        <v>0</v>
      </c>
      <c r="G83" s="1550">
        <f t="shared" si="230"/>
        <v>0</v>
      </c>
      <c r="H83" s="1550">
        <f t="shared" si="230"/>
        <v>0</v>
      </c>
      <c r="I83" s="1550">
        <f t="shared" si="230"/>
        <v>0</v>
      </c>
      <c r="J83" s="1550">
        <f t="shared" si="230"/>
        <v>0</v>
      </c>
      <c r="K83" s="1550">
        <f t="shared" si="230"/>
        <v>0</v>
      </c>
      <c r="L83" s="1550">
        <f t="shared" si="230"/>
        <v>0</v>
      </c>
      <c r="M83" s="1550">
        <f t="shared" si="230"/>
        <v>0</v>
      </c>
      <c r="N83" s="1550">
        <f t="shared" si="230"/>
        <v>0</v>
      </c>
      <c r="O83" s="1550">
        <f t="shared" si="230"/>
        <v>0</v>
      </c>
      <c r="P83" s="1550">
        <f t="shared" si="230"/>
        <v>0</v>
      </c>
      <c r="Q83" s="1550">
        <f t="shared" si="230"/>
        <v>0</v>
      </c>
      <c r="R83" s="1550">
        <f t="shared" si="230"/>
        <v>0</v>
      </c>
      <c r="S83" s="1550">
        <f t="shared" si="230"/>
        <v>0</v>
      </c>
      <c r="T83" s="1550">
        <f t="shared" si="230"/>
        <v>0</v>
      </c>
      <c r="U83" s="1550">
        <f t="shared" si="230"/>
        <v>0</v>
      </c>
      <c r="V83" s="1550">
        <f t="shared" si="230"/>
        <v>0</v>
      </c>
      <c r="W83" s="1550">
        <f t="shared" si="230"/>
        <v>0</v>
      </c>
      <c r="X83" s="1550">
        <f t="shared" si="230"/>
        <v>0</v>
      </c>
      <c r="Y83" s="1550">
        <f t="shared" si="230"/>
        <v>0</v>
      </c>
      <c r="Z83" s="1550">
        <f t="shared" ref="Z83:AL83" si="231">SUM(Z74:Z82)</f>
        <v>0</v>
      </c>
      <c r="AA83" s="1550">
        <f t="shared" si="231"/>
        <v>0</v>
      </c>
      <c r="AB83" s="1550">
        <f t="shared" si="231"/>
        <v>0</v>
      </c>
      <c r="AC83" s="1550">
        <f t="shared" si="231"/>
        <v>0</v>
      </c>
      <c r="AD83" s="1550">
        <f t="shared" si="231"/>
        <v>0</v>
      </c>
      <c r="AE83" s="1550">
        <f t="shared" si="231"/>
        <v>0</v>
      </c>
      <c r="AF83" s="1550">
        <f t="shared" si="231"/>
        <v>0</v>
      </c>
      <c r="AG83" s="1550">
        <f t="shared" si="231"/>
        <v>0</v>
      </c>
      <c r="AH83" s="1550">
        <f t="shared" si="231"/>
        <v>0</v>
      </c>
      <c r="AI83" s="1550">
        <f t="shared" si="231"/>
        <v>0</v>
      </c>
      <c r="AJ83" s="1550">
        <f t="shared" si="231"/>
        <v>0</v>
      </c>
      <c r="AK83" s="1550">
        <f t="shared" si="231"/>
        <v>0</v>
      </c>
      <c r="AL83" s="1550">
        <f t="shared" si="231"/>
        <v>0</v>
      </c>
      <c r="AM83" s="1178"/>
    </row>
    <row r="84" spans="2:41" ht="17.25" customHeight="1">
      <c r="B84" s="1464"/>
      <c r="C84" s="1580"/>
      <c r="D84" s="1580"/>
      <c r="E84" s="1580"/>
      <c r="F84" s="1580"/>
      <c r="G84" s="1580"/>
      <c r="H84" s="1580"/>
      <c r="I84" s="1580"/>
      <c r="J84" s="1580"/>
      <c r="K84" s="1580"/>
      <c r="L84" s="1580"/>
      <c r="M84" s="1580"/>
      <c r="N84" s="1580"/>
      <c r="O84" s="1580"/>
      <c r="P84" s="1580"/>
      <c r="Q84" s="1580"/>
      <c r="R84" s="1580"/>
      <c r="S84" s="1580"/>
      <c r="T84" s="1580"/>
      <c r="U84" s="1580"/>
      <c r="V84" s="1580"/>
      <c r="W84" s="1580"/>
      <c r="X84" s="1580"/>
      <c r="Y84" s="1580"/>
      <c r="Z84" s="1580"/>
      <c r="AA84" s="1580"/>
      <c r="AB84" s="1580"/>
      <c r="AC84" s="1580"/>
      <c r="AD84" s="1580"/>
      <c r="AE84" s="1580"/>
      <c r="AF84" s="1580"/>
      <c r="AG84" s="1580"/>
      <c r="AH84" s="1580"/>
      <c r="AI84" s="1580"/>
      <c r="AJ84" s="1580"/>
      <c r="AK84" s="1580"/>
      <c r="AL84" s="1580"/>
      <c r="AM84" s="1294"/>
    </row>
    <row r="85" spans="2:41" ht="16.5" customHeight="1">
      <c r="B85" s="1464"/>
      <c r="C85" s="1573" t="s">
        <v>4484</v>
      </c>
      <c r="D85" s="1573">
        <v>1</v>
      </c>
      <c r="E85" s="1573">
        <f>D85+1</f>
        <v>2</v>
      </c>
      <c r="F85" s="1573">
        <f>E85+1</f>
        <v>3</v>
      </c>
      <c r="G85" s="1573">
        <f>F85+1</f>
        <v>4</v>
      </c>
      <c r="H85" s="1573">
        <f t="shared" ref="H85" si="232">G85+1</f>
        <v>5</v>
      </c>
      <c r="I85" s="1573">
        <f t="shared" ref="I85" si="233">H85+1</f>
        <v>6</v>
      </c>
      <c r="J85" s="1573">
        <f t="shared" ref="J85" si="234">I85+1</f>
        <v>7</v>
      </c>
      <c r="K85" s="1573">
        <f t="shared" ref="K85" si="235">J85+1</f>
        <v>8</v>
      </c>
      <c r="L85" s="1573">
        <f t="shared" ref="L85" si="236">K85+1</f>
        <v>9</v>
      </c>
      <c r="M85" s="1573">
        <f t="shared" ref="M85" si="237">L85+1</f>
        <v>10</v>
      </c>
      <c r="N85" s="1573">
        <f t="shared" ref="N85" si="238">M85+1</f>
        <v>11</v>
      </c>
      <c r="O85" s="1573">
        <f t="shared" ref="O85" si="239">N85+1</f>
        <v>12</v>
      </c>
      <c r="P85" s="1573">
        <f t="shared" ref="P85" si="240">O85+1</f>
        <v>13</v>
      </c>
      <c r="Q85" s="1573">
        <f t="shared" ref="Q85" si="241">P85+1</f>
        <v>14</v>
      </c>
      <c r="R85" s="1573">
        <f t="shared" ref="R85" si="242">Q85+1</f>
        <v>15</v>
      </c>
      <c r="S85" s="1573">
        <f t="shared" ref="S85" si="243">R85+1</f>
        <v>16</v>
      </c>
      <c r="T85" s="1573">
        <f t="shared" ref="T85" si="244">S85+1</f>
        <v>17</v>
      </c>
      <c r="U85" s="1573">
        <f t="shared" ref="U85" si="245">T85+1</f>
        <v>18</v>
      </c>
      <c r="V85" s="1573">
        <f t="shared" ref="V85" si="246">U85+1</f>
        <v>19</v>
      </c>
      <c r="W85" s="1573">
        <f t="shared" ref="W85" si="247">V85+1</f>
        <v>20</v>
      </c>
      <c r="X85" s="1573">
        <f t="shared" ref="X85" si="248">W85+1</f>
        <v>21</v>
      </c>
      <c r="Y85" s="1573">
        <f t="shared" ref="Y85" si="249">X85+1</f>
        <v>22</v>
      </c>
      <c r="Z85" s="1573">
        <f t="shared" ref="Z85" si="250">Y85+1</f>
        <v>23</v>
      </c>
      <c r="AA85" s="1573">
        <f t="shared" ref="AA85" si="251">Z85+1</f>
        <v>24</v>
      </c>
      <c r="AB85" s="1573">
        <f t="shared" ref="AB85" si="252">AA85+1</f>
        <v>25</v>
      </c>
      <c r="AC85" s="1573">
        <f t="shared" ref="AC85" si="253">AB85+1</f>
        <v>26</v>
      </c>
      <c r="AD85" s="1573">
        <f t="shared" ref="AD85" si="254">AC85+1</f>
        <v>27</v>
      </c>
      <c r="AE85" s="1573">
        <f t="shared" ref="AE85" si="255">AD85+1</f>
        <v>28</v>
      </c>
      <c r="AF85" s="1573">
        <f t="shared" ref="AF85" si="256">AE85+1</f>
        <v>29</v>
      </c>
      <c r="AG85" s="1573">
        <f t="shared" ref="AG85" si="257">AF85+1</f>
        <v>30</v>
      </c>
      <c r="AH85" s="1573">
        <f t="shared" ref="AH85" si="258">AG85+1</f>
        <v>31</v>
      </c>
      <c r="AI85" s="1573">
        <f t="shared" ref="AI85" si="259">AH85+1</f>
        <v>32</v>
      </c>
      <c r="AJ85" s="1573">
        <f t="shared" ref="AJ85" si="260">AI85+1</f>
        <v>33</v>
      </c>
      <c r="AK85" s="1573">
        <f t="shared" ref="AK85" si="261">AJ85+1</f>
        <v>34</v>
      </c>
      <c r="AL85" s="1573">
        <f t="shared" ref="AL85" si="262">AK85+1</f>
        <v>35</v>
      </c>
      <c r="AM85" s="1178"/>
    </row>
    <row r="86" spans="2:41">
      <c r="B86" s="1464"/>
      <c r="C86" s="1574" t="s">
        <v>4485</v>
      </c>
      <c r="D86" s="1550">
        <f>D71-D83</f>
        <v>0</v>
      </c>
      <c r="E86" s="1550">
        <f>E71-E83</f>
        <v>0</v>
      </c>
      <c r="F86" s="1550">
        <f t="shared" ref="F86:AL86" si="263">F71-F83</f>
        <v>0</v>
      </c>
      <c r="G86" s="1550">
        <f t="shared" si="263"/>
        <v>0</v>
      </c>
      <c r="H86" s="1550">
        <f t="shared" si="263"/>
        <v>0</v>
      </c>
      <c r="I86" s="1550">
        <f t="shared" si="263"/>
        <v>0</v>
      </c>
      <c r="J86" s="1550">
        <f t="shared" si="263"/>
        <v>0</v>
      </c>
      <c r="K86" s="1550">
        <f t="shared" si="263"/>
        <v>0</v>
      </c>
      <c r="L86" s="1550">
        <f t="shared" si="263"/>
        <v>0</v>
      </c>
      <c r="M86" s="1550">
        <f t="shared" si="263"/>
        <v>0</v>
      </c>
      <c r="N86" s="1550">
        <f t="shared" si="263"/>
        <v>0</v>
      </c>
      <c r="O86" s="1550">
        <f t="shared" si="263"/>
        <v>0</v>
      </c>
      <c r="P86" s="1550">
        <f t="shared" si="263"/>
        <v>0</v>
      </c>
      <c r="Q86" s="1550">
        <f t="shared" si="263"/>
        <v>0</v>
      </c>
      <c r="R86" s="1550">
        <f t="shared" si="263"/>
        <v>0</v>
      </c>
      <c r="S86" s="1550">
        <f t="shared" si="263"/>
        <v>0</v>
      </c>
      <c r="T86" s="1550">
        <f t="shared" si="263"/>
        <v>0</v>
      </c>
      <c r="U86" s="1550">
        <f t="shared" si="263"/>
        <v>0</v>
      </c>
      <c r="V86" s="1550">
        <f t="shared" si="263"/>
        <v>0</v>
      </c>
      <c r="W86" s="1550">
        <f t="shared" si="263"/>
        <v>0</v>
      </c>
      <c r="X86" s="1550">
        <f t="shared" si="263"/>
        <v>0</v>
      </c>
      <c r="Y86" s="1550">
        <f t="shared" si="263"/>
        <v>0</v>
      </c>
      <c r="Z86" s="1550">
        <f t="shared" si="263"/>
        <v>0</v>
      </c>
      <c r="AA86" s="1550">
        <f t="shared" si="263"/>
        <v>0</v>
      </c>
      <c r="AB86" s="1550">
        <f t="shared" si="263"/>
        <v>0</v>
      </c>
      <c r="AC86" s="1550">
        <f t="shared" si="263"/>
        <v>0</v>
      </c>
      <c r="AD86" s="1550">
        <f t="shared" si="263"/>
        <v>0</v>
      </c>
      <c r="AE86" s="1550">
        <f t="shared" si="263"/>
        <v>0</v>
      </c>
      <c r="AF86" s="1550">
        <f t="shared" si="263"/>
        <v>0</v>
      </c>
      <c r="AG86" s="1550">
        <f t="shared" si="263"/>
        <v>0</v>
      </c>
      <c r="AH86" s="1550">
        <f t="shared" si="263"/>
        <v>0</v>
      </c>
      <c r="AI86" s="1550">
        <f t="shared" si="263"/>
        <v>0</v>
      </c>
      <c r="AJ86" s="1550">
        <f t="shared" si="263"/>
        <v>0</v>
      </c>
      <c r="AK86" s="1550">
        <f t="shared" si="263"/>
        <v>0</v>
      </c>
      <c r="AL86" s="1550">
        <f t="shared" si="263"/>
        <v>0</v>
      </c>
      <c r="AM86" s="1178"/>
    </row>
    <row r="87" spans="2:41">
      <c r="B87" s="1464"/>
      <c r="C87" s="1287"/>
      <c r="D87" s="1287"/>
      <c r="E87" s="1287"/>
      <c r="F87" s="1287"/>
      <c r="G87" s="1287"/>
      <c r="H87" s="1287"/>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c r="AK87" s="1287"/>
      <c r="AL87" s="1287"/>
      <c r="AM87" s="1294"/>
    </row>
    <row r="88" spans="2:41">
      <c r="B88" s="1464"/>
      <c r="C88" s="1287"/>
      <c r="D88" s="1287"/>
      <c r="E88" s="1287"/>
      <c r="F88" s="1287"/>
      <c r="G88" s="1287"/>
      <c r="H88" s="1287"/>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c r="AK88" s="1287"/>
      <c r="AL88" s="1287"/>
      <c r="AM88" s="1294"/>
    </row>
    <row r="89" spans="2:41">
      <c r="B89" s="1626"/>
      <c r="C89" s="1573" t="s">
        <v>4486</v>
      </c>
      <c r="D89" s="1573">
        <v>1</v>
      </c>
      <c r="E89" s="1573">
        <f t="shared" ref="E89:AL89" si="264">D89+1</f>
        <v>2</v>
      </c>
      <c r="F89" s="1573">
        <f t="shared" si="264"/>
        <v>3</v>
      </c>
      <c r="G89" s="1573">
        <f t="shared" si="264"/>
        <v>4</v>
      </c>
      <c r="H89" s="1573">
        <f t="shared" si="264"/>
        <v>5</v>
      </c>
      <c r="I89" s="1573">
        <f t="shared" si="264"/>
        <v>6</v>
      </c>
      <c r="J89" s="1573">
        <f t="shared" si="264"/>
        <v>7</v>
      </c>
      <c r="K89" s="1573">
        <f t="shared" si="264"/>
        <v>8</v>
      </c>
      <c r="L89" s="1573">
        <f t="shared" si="264"/>
        <v>9</v>
      </c>
      <c r="M89" s="1573">
        <f t="shared" si="264"/>
        <v>10</v>
      </c>
      <c r="N89" s="1573">
        <f t="shared" si="264"/>
        <v>11</v>
      </c>
      <c r="O89" s="1573">
        <f t="shared" si="264"/>
        <v>12</v>
      </c>
      <c r="P89" s="1573">
        <f t="shared" si="264"/>
        <v>13</v>
      </c>
      <c r="Q89" s="1573">
        <f t="shared" si="264"/>
        <v>14</v>
      </c>
      <c r="R89" s="1573">
        <f t="shared" si="264"/>
        <v>15</v>
      </c>
      <c r="S89" s="1573">
        <f t="shared" si="264"/>
        <v>16</v>
      </c>
      <c r="T89" s="1573">
        <f t="shared" si="264"/>
        <v>17</v>
      </c>
      <c r="U89" s="1573">
        <f t="shared" si="264"/>
        <v>18</v>
      </c>
      <c r="V89" s="1573">
        <f t="shared" si="264"/>
        <v>19</v>
      </c>
      <c r="W89" s="1573">
        <f t="shared" si="264"/>
        <v>20</v>
      </c>
      <c r="X89" s="1573">
        <f t="shared" si="264"/>
        <v>21</v>
      </c>
      <c r="Y89" s="1573">
        <f t="shared" si="264"/>
        <v>22</v>
      </c>
      <c r="Z89" s="1573">
        <f t="shared" si="264"/>
        <v>23</v>
      </c>
      <c r="AA89" s="1573">
        <f t="shared" si="264"/>
        <v>24</v>
      </c>
      <c r="AB89" s="1573">
        <f t="shared" si="264"/>
        <v>25</v>
      </c>
      <c r="AC89" s="1573">
        <f t="shared" si="264"/>
        <v>26</v>
      </c>
      <c r="AD89" s="1573">
        <f t="shared" si="264"/>
        <v>27</v>
      </c>
      <c r="AE89" s="1573">
        <f t="shared" si="264"/>
        <v>28</v>
      </c>
      <c r="AF89" s="1573">
        <f t="shared" si="264"/>
        <v>29</v>
      </c>
      <c r="AG89" s="1573">
        <f t="shared" si="264"/>
        <v>30</v>
      </c>
      <c r="AH89" s="1573">
        <f t="shared" si="264"/>
        <v>31</v>
      </c>
      <c r="AI89" s="1573">
        <f t="shared" si="264"/>
        <v>32</v>
      </c>
      <c r="AJ89" s="1573">
        <f t="shared" si="264"/>
        <v>33</v>
      </c>
      <c r="AK89" s="1573">
        <f t="shared" si="264"/>
        <v>34</v>
      </c>
      <c r="AL89" s="1573">
        <f t="shared" si="264"/>
        <v>35</v>
      </c>
      <c r="AM89" s="1178"/>
      <c r="AN89" s="9" t="s">
        <v>4487</v>
      </c>
      <c r="AO89" s="9" t="s">
        <v>4488</v>
      </c>
    </row>
    <row r="90" spans="2:41">
      <c r="B90" s="1627">
        <v>1</v>
      </c>
      <c r="C90" s="1574" t="str">
        <f>_xlfn.XLOOKUP(B90,'17. Cash Flow and Reserves'!$AU$121:$AU$130,'17. Cash Flow and Reserves'!$AS$121:$AS$130,"No Additional Must Pay Loans")</f>
        <v>No Additional Must Pay Loans</v>
      </c>
      <c r="D90" s="1581">
        <f>_xlfn.XLOOKUP(B90,'17. Cash Flow and Reserves'!$AU$121:$AU$133,'12. Funding Sources'!$N$11:$N$23,0)</f>
        <v>0</v>
      </c>
      <c r="E90" s="1581">
        <f t="shared" ref="E90:AK90" si="265">IF(F85&lt;=$AN$90,D90,IF(F85=$AN$90+1,$AO$90-($D$90*D85),0))</f>
        <v>0</v>
      </c>
      <c r="F90" s="1581">
        <f t="shared" si="265"/>
        <v>0</v>
      </c>
      <c r="G90" s="1581">
        <f t="shared" si="265"/>
        <v>0</v>
      </c>
      <c r="H90" s="1581">
        <f t="shared" si="265"/>
        <v>0</v>
      </c>
      <c r="I90" s="1581">
        <f t="shared" si="265"/>
        <v>0</v>
      </c>
      <c r="J90" s="1581">
        <f t="shared" si="265"/>
        <v>0</v>
      </c>
      <c r="K90" s="1581">
        <f t="shared" si="265"/>
        <v>0</v>
      </c>
      <c r="L90" s="1581">
        <f t="shared" si="265"/>
        <v>0</v>
      </c>
      <c r="M90" s="1581">
        <f t="shared" si="265"/>
        <v>0</v>
      </c>
      <c r="N90" s="1581">
        <f t="shared" si="265"/>
        <v>0</v>
      </c>
      <c r="O90" s="1581">
        <f t="shared" si="265"/>
        <v>0</v>
      </c>
      <c r="P90" s="1581">
        <f t="shared" si="265"/>
        <v>0</v>
      </c>
      <c r="Q90" s="1581">
        <f t="shared" si="265"/>
        <v>0</v>
      </c>
      <c r="R90" s="1581">
        <f t="shared" si="265"/>
        <v>0</v>
      </c>
      <c r="S90" s="1581">
        <f t="shared" si="265"/>
        <v>0</v>
      </c>
      <c r="T90" s="1581">
        <f t="shared" si="265"/>
        <v>0</v>
      </c>
      <c r="U90" s="1581">
        <f t="shared" si="265"/>
        <v>0</v>
      </c>
      <c r="V90" s="1581">
        <f t="shared" si="265"/>
        <v>0</v>
      </c>
      <c r="W90" s="1581">
        <f t="shared" si="265"/>
        <v>0</v>
      </c>
      <c r="X90" s="1581">
        <f t="shared" si="265"/>
        <v>0</v>
      </c>
      <c r="Y90" s="1581">
        <f t="shared" si="265"/>
        <v>0</v>
      </c>
      <c r="Z90" s="1581">
        <f t="shared" si="265"/>
        <v>0</v>
      </c>
      <c r="AA90" s="1581">
        <f t="shared" si="265"/>
        <v>0</v>
      </c>
      <c r="AB90" s="1581">
        <f t="shared" si="265"/>
        <v>0</v>
      </c>
      <c r="AC90" s="1581">
        <f t="shared" si="265"/>
        <v>0</v>
      </c>
      <c r="AD90" s="1581">
        <f t="shared" si="265"/>
        <v>0</v>
      </c>
      <c r="AE90" s="1581">
        <f t="shared" si="265"/>
        <v>0</v>
      </c>
      <c r="AF90" s="1581">
        <f t="shared" si="265"/>
        <v>0</v>
      </c>
      <c r="AG90" s="1581">
        <f t="shared" si="265"/>
        <v>0</v>
      </c>
      <c r="AH90" s="1581">
        <f t="shared" si="265"/>
        <v>0</v>
      </c>
      <c r="AI90" s="1581">
        <f t="shared" si="265"/>
        <v>0</v>
      </c>
      <c r="AJ90" s="1581">
        <f t="shared" si="265"/>
        <v>0</v>
      </c>
      <c r="AK90" s="1581">
        <f t="shared" si="265"/>
        <v>0</v>
      </c>
      <c r="AL90" s="1581">
        <f>IF(AM87&lt;=$AN$90,AK90,IF(AM87=$AN$90+1,$AO$90-($D$90*AK85),0))</f>
        <v>0</v>
      </c>
      <c r="AM90" s="1178"/>
      <c r="AN90" s="9">
        <f>_xlfn.XLOOKUP(B90,'17. Cash Flow and Reserves'!$AU$121:$AU$130,'12. Funding Sources'!$L$11:$L$20,36)</f>
        <v>36</v>
      </c>
      <c r="AO90" s="9">
        <f>_xlfn.XLOOKUP(B90,'17. Cash Flow and Reserves'!$AU$121:$AU$130,'12. Funding Sources'!$N$11:$N$20,0)*AN90</f>
        <v>0</v>
      </c>
    </row>
    <row r="91" spans="2:41">
      <c r="B91" s="1626"/>
      <c r="C91" s="1574" t="s">
        <v>4489</v>
      </c>
      <c r="D91" s="1582">
        <f t="shared" ref="D91:AL91" si="266">IF(D90=0, 0, D86/D90)</f>
        <v>0</v>
      </c>
      <c r="E91" s="1582">
        <f t="shared" si="266"/>
        <v>0</v>
      </c>
      <c r="F91" s="1582">
        <f t="shared" si="266"/>
        <v>0</v>
      </c>
      <c r="G91" s="1582">
        <f t="shared" si="266"/>
        <v>0</v>
      </c>
      <c r="H91" s="1582">
        <f t="shared" si="266"/>
        <v>0</v>
      </c>
      <c r="I91" s="1582">
        <f t="shared" si="266"/>
        <v>0</v>
      </c>
      <c r="J91" s="1582">
        <f t="shared" si="266"/>
        <v>0</v>
      </c>
      <c r="K91" s="1582">
        <f t="shared" si="266"/>
        <v>0</v>
      </c>
      <c r="L91" s="1582">
        <f t="shared" si="266"/>
        <v>0</v>
      </c>
      <c r="M91" s="1582">
        <f t="shared" si="266"/>
        <v>0</v>
      </c>
      <c r="N91" s="1582">
        <f t="shared" si="266"/>
        <v>0</v>
      </c>
      <c r="O91" s="1582">
        <f t="shared" si="266"/>
        <v>0</v>
      </c>
      <c r="P91" s="1582">
        <f t="shared" si="266"/>
        <v>0</v>
      </c>
      <c r="Q91" s="1582">
        <f t="shared" si="266"/>
        <v>0</v>
      </c>
      <c r="R91" s="1582">
        <f t="shared" si="266"/>
        <v>0</v>
      </c>
      <c r="S91" s="1582">
        <f t="shared" si="266"/>
        <v>0</v>
      </c>
      <c r="T91" s="1582">
        <f t="shared" si="266"/>
        <v>0</v>
      </c>
      <c r="U91" s="1582">
        <f t="shared" si="266"/>
        <v>0</v>
      </c>
      <c r="V91" s="1582">
        <f t="shared" si="266"/>
        <v>0</v>
      </c>
      <c r="W91" s="1582">
        <f t="shared" si="266"/>
        <v>0</v>
      </c>
      <c r="X91" s="1582">
        <f t="shared" si="266"/>
        <v>0</v>
      </c>
      <c r="Y91" s="1582">
        <f t="shared" si="266"/>
        <v>0</v>
      </c>
      <c r="Z91" s="1582">
        <f t="shared" si="266"/>
        <v>0</v>
      </c>
      <c r="AA91" s="1582">
        <f t="shared" si="266"/>
        <v>0</v>
      </c>
      <c r="AB91" s="1582">
        <f t="shared" si="266"/>
        <v>0</v>
      </c>
      <c r="AC91" s="1582">
        <f t="shared" si="266"/>
        <v>0</v>
      </c>
      <c r="AD91" s="1582">
        <f t="shared" si="266"/>
        <v>0</v>
      </c>
      <c r="AE91" s="1582">
        <f t="shared" si="266"/>
        <v>0</v>
      </c>
      <c r="AF91" s="1582">
        <f t="shared" si="266"/>
        <v>0</v>
      </c>
      <c r="AG91" s="1582">
        <f t="shared" si="266"/>
        <v>0</v>
      </c>
      <c r="AH91" s="1582">
        <f t="shared" si="266"/>
        <v>0</v>
      </c>
      <c r="AI91" s="1582">
        <f t="shared" si="266"/>
        <v>0</v>
      </c>
      <c r="AJ91" s="1582">
        <f t="shared" si="266"/>
        <v>0</v>
      </c>
      <c r="AK91" s="1582">
        <f t="shared" si="266"/>
        <v>0</v>
      </c>
      <c r="AL91" s="1582">
        <f t="shared" si="266"/>
        <v>0</v>
      </c>
      <c r="AM91" s="1178"/>
    </row>
    <row r="92" spans="2:41">
      <c r="B92" s="1626"/>
      <c r="C92" s="1574" t="s">
        <v>4490</v>
      </c>
      <c r="D92" s="1583">
        <f t="shared" ref="D92:AL92" si="267">D86-D90</f>
        <v>0</v>
      </c>
      <c r="E92" s="1583">
        <f t="shared" si="267"/>
        <v>0</v>
      </c>
      <c r="F92" s="1583">
        <f t="shared" si="267"/>
        <v>0</v>
      </c>
      <c r="G92" s="1583">
        <f t="shared" si="267"/>
        <v>0</v>
      </c>
      <c r="H92" s="1583">
        <f t="shared" si="267"/>
        <v>0</v>
      </c>
      <c r="I92" s="1583">
        <f t="shared" si="267"/>
        <v>0</v>
      </c>
      <c r="J92" s="1583">
        <f t="shared" si="267"/>
        <v>0</v>
      </c>
      <c r="K92" s="1583">
        <f t="shared" si="267"/>
        <v>0</v>
      </c>
      <c r="L92" s="1583">
        <f t="shared" si="267"/>
        <v>0</v>
      </c>
      <c r="M92" s="1583">
        <f t="shared" si="267"/>
        <v>0</v>
      </c>
      <c r="N92" s="1583">
        <f t="shared" si="267"/>
        <v>0</v>
      </c>
      <c r="O92" s="1583">
        <f t="shared" si="267"/>
        <v>0</v>
      </c>
      <c r="P92" s="1583">
        <f t="shared" si="267"/>
        <v>0</v>
      </c>
      <c r="Q92" s="1583">
        <f t="shared" si="267"/>
        <v>0</v>
      </c>
      <c r="R92" s="1583">
        <f t="shared" si="267"/>
        <v>0</v>
      </c>
      <c r="S92" s="1583">
        <f t="shared" si="267"/>
        <v>0</v>
      </c>
      <c r="T92" s="1583">
        <f t="shared" si="267"/>
        <v>0</v>
      </c>
      <c r="U92" s="1583">
        <f t="shared" si="267"/>
        <v>0</v>
      </c>
      <c r="V92" s="1583">
        <f t="shared" si="267"/>
        <v>0</v>
      </c>
      <c r="W92" s="1583">
        <f t="shared" si="267"/>
        <v>0</v>
      </c>
      <c r="X92" s="1583">
        <f t="shared" si="267"/>
        <v>0</v>
      </c>
      <c r="Y92" s="1583">
        <f t="shared" si="267"/>
        <v>0</v>
      </c>
      <c r="Z92" s="1583">
        <f t="shared" si="267"/>
        <v>0</v>
      </c>
      <c r="AA92" s="1583">
        <f t="shared" si="267"/>
        <v>0</v>
      </c>
      <c r="AB92" s="1583">
        <f t="shared" si="267"/>
        <v>0</v>
      </c>
      <c r="AC92" s="1583">
        <f t="shared" si="267"/>
        <v>0</v>
      </c>
      <c r="AD92" s="1583">
        <f t="shared" si="267"/>
        <v>0</v>
      </c>
      <c r="AE92" s="1583">
        <f t="shared" si="267"/>
        <v>0</v>
      </c>
      <c r="AF92" s="1583">
        <f t="shared" si="267"/>
        <v>0</v>
      </c>
      <c r="AG92" s="1583">
        <f t="shared" si="267"/>
        <v>0</v>
      </c>
      <c r="AH92" s="1583">
        <f t="shared" si="267"/>
        <v>0</v>
      </c>
      <c r="AI92" s="1583">
        <f t="shared" si="267"/>
        <v>0</v>
      </c>
      <c r="AJ92" s="1583">
        <f t="shared" si="267"/>
        <v>0</v>
      </c>
      <c r="AK92" s="1583">
        <f t="shared" si="267"/>
        <v>0</v>
      </c>
      <c r="AL92" s="1583">
        <f t="shared" si="267"/>
        <v>0</v>
      </c>
      <c r="AM92" s="1178"/>
    </row>
    <row r="93" spans="2:41">
      <c r="B93" s="1626"/>
      <c r="C93" s="1574" t="s">
        <v>4491</v>
      </c>
      <c r="D93" s="1584"/>
      <c r="E93" s="1585"/>
      <c r="F93" s="1585"/>
      <c r="G93" s="1585"/>
      <c r="H93" s="1585"/>
      <c r="I93" s="1585"/>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178"/>
    </row>
    <row r="94" spans="2:41" ht="15.5" customHeight="1">
      <c r="B94" s="1626"/>
      <c r="C94" s="1574" t="s">
        <v>4492</v>
      </c>
      <c r="D94" s="1583">
        <f t="shared" ref="D94:Y94" si="268">D92-D93</f>
        <v>0</v>
      </c>
      <c r="E94" s="1583">
        <f t="shared" si="268"/>
        <v>0</v>
      </c>
      <c r="F94" s="1583">
        <f t="shared" si="268"/>
        <v>0</v>
      </c>
      <c r="G94" s="1583">
        <f t="shared" si="268"/>
        <v>0</v>
      </c>
      <c r="H94" s="1583">
        <f t="shared" si="268"/>
        <v>0</v>
      </c>
      <c r="I94" s="1583">
        <f t="shared" si="268"/>
        <v>0</v>
      </c>
      <c r="J94" s="1583">
        <f t="shared" si="268"/>
        <v>0</v>
      </c>
      <c r="K94" s="1583">
        <f t="shared" si="268"/>
        <v>0</v>
      </c>
      <c r="L94" s="1583">
        <f t="shared" si="268"/>
        <v>0</v>
      </c>
      <c r="M94" s="1583">
        <f t="shared" si="268"/>
        <v>0</v>
      </c>
      <c r="N94" s="1583">
        <f t="shared" si="268"/>
        <v>0</v>
      </c>
      <c r="O94" s="1583">
        <f t="shared" si="268"/>
        <v>0</v>
      </c>
      <c r="P94" s="1583">
        <f t="shared" si="268"/>
        <v>0</v>
      </c>
      <c r="Q94" s="1583">
        <f t="shared" si="268"/>
        <v>0</v>
      </c>
      <c r="R94" s="1583">
        <f t="shared" si="268"/>
        <v>0</v>
      </c>
      <c r="S94" s="1583">
        <f t="shared" si="268"/>
        <v>0</v>
      </c>
      <c r="T94" s="1583">
        <f t="shared" si="268"/>
        <v>0</v>
      </c>
      <c r="U94" s="1583">
        <f t="shared" si="268"/>
        <v>0</v>
      </c>
      <c r="V94" s="1583">
        <f t="shared" si="268"/>
        <v>0</v>
      </c>
      <c r="W94" s="1583">
        <f t="shared" si="268"/>
        <v>0</v>
      </c>
      <c r="X94" s="1583">
        <f t="shared" si="268"/>
        <v>0</v>
      </c>
      <c r="Y94" s="1583">
        <f t="shared" si="268"/>
        <v>0</v>
      </c>
      <c r="Z94" s="1583">
        <f t="shared" ref="Z94:AJ94" si="269">Z92-Z93</f>
        <v>0</v>
      </c>
      <c r="AA94" s="1583">
        <f t="shared" si="269"/>
        <v>0</v>
      </c>
      <c r="AB94" s="1583">
        <f t="shared" si="269"/>
        <v>0</v>
      </c>
      <c r="AC94" s="1583">
        <f t="shared" si="269"/>
        <v>0</v>
      </c>
      <c r="AD94" s="1583">
        <f t="shared" si="269"/>
        <v>0</v>
      </c>
      <c r="AE94" s="1583">
        <f t="shared" si="269"/>
        <v>0</v>
      </c>
      <c r="AF94" s="1583">
        <f t="shared" si="269"/>
        <v>0</v>
      </c>
      <c r="AG94" s="1583">
        <f t="shared" si="269"/>
        <v>0</v>
      </c>
      <c r="AH94" s="1583">
        <f t="shared" si="269"/>
        <v>0</v>
      </c>
      <c r="AI94" s="1583">
        <f t="shared" si="269"/>
        <v>0</v>
      </c>
      <c r="AJ94" s="1583">
        <f t="shared" si="269"/>
        <v>0</v>
      </c>
      <c r="AK94" s="1583">
        <f t="shared" ref="AK94:AL94" si="270">AK92-AK93</f>
        <v>0</v>
      </c>
      <c r="AL94" s="1583">
        <f t="shared" si="270"/>
        <v>0</v>
      </c>
      <c r="AM94" s="1178"/>
    </row>
    <row r="95" spans="2:41" ht="14.5" customHeight="1">
      <c r="B95" s="1626"/>
      <c r="C95" s="1273"/>
      <c r="D95" s="1273"/>
      <c r="E95" s="1167"/>
      <c r="F95" s="1273"/>
      <c r="G95" s="1273"/>
      <c r="H95" s="1273"/>
      <c r="I95" s="1273"/>
      <c r="J95" s="1273"/>
      <c r="K95" s="1273"/>
      <c r="L95" s="1273"/>
      <c r="M95" s="1273"/>
      <c r="N95" s="1273"/>
      <c r="O95" s="1273"/>
      <c r="P95" s="1273"/>
      <c r="Q95" s="1273"/>
      <c r="R95" s="1273"/>
      <c r="S95" s="1273"/>
      <c r="T95" s="1273"/>
      <c r="U95" s="1273"/>
      <c r="V95" s="1273"/>
      <c r="W95" s="1273"/>
      <c r="X95" s="1273"/>
      <c r="Y95" s="1586"/>
      <c r="Z95" s="1586"/>
      <c r="AA95" s="1586"/>
      <c r="AB95" s="1586"/>
      <c r="AC95" s="1586"/>
      <c r="AD95" s="1586"/>
      <c r="AE95" s="1586"/>
      <c r="AF95" s="1586"/>
      <c r="AG95" s="1586"/>
      <c r="AH95" s="1586"/>
      <c r="AI95" s="1586"/>
      <c r="AJ95" s="1586"/>
      <c r="AK95" s="1586"/>
      <c r="AL95" s="1273"/>
      <c r="AM95" s="1294"/>
    </row>
    <row r="96" spans="2:41" ht="14.5" customHeight="1">
      <c r="B96" s="1626">
        <v>2</v>
      </c>
      <c r="C96" s="1570" t="str">
        <f>_xlfn.XLOOKUP(B96,'17. Cash Flow and Reserves'!$AU$121:$AU$130,'17. Cash Flow and Reserves'!$AS$121:$AS$130,"No Additional Must Pay Loans")</f>
        <v>No Additional Must Pay Loans</v>
      </c>
      <c r="D96" s="1581">
        <f>_xlfn.XLOOKUP(B96,'17. Cash Flow and Reserves'!$AU$121:$AU$133,'12. Funding Sources'!$N$11:$N$23,0)</f>
        <v>0</v>
      </c>
      <c r="E96" s="1581">
        <f t="shared" ref="E96:AK96" si="271">IF(F85&lt;=$AN$96,D96,IF(F85=$AN$96+1,$AO$96-($D$96*D85),0))</f>
        <v>0</v>
      </c>
      <c r="F96" s="1581">
        <f t="shared" si="271"/>
        <v>0</v>
      </c>
      <c r="G96" s="1581">
        <f t="shared" si="271"/>
        <v>0</v>
      </c>
      <c r="H96" s="1581">
        <f t="shared" si="271"/>
        <v>0</v>
      </c>
      <c r="I96" s="1581">
        <f t="shared" si="271"/>
        <v>0</v>
      </c>
      <c r="J96" s="1581">
        <f t="shared" si="271"/>
        <v>0</v>
      </c>
      <c r="K96" s="1581">
        <f t="shared" si="271"/>
        <v>0</v>
      </c>
      <c r="L96" s="1581">
        <f t="shared" si="271"/>
        <v>0</v>
      </c>
      <c r="M96" s="1581">
        <f t="shared" si="271"/>
        <v>0</v>
      </c>
      <c r="N96" s="1581">
        <f t="shared" si="271"/>
        <v>0</v>
      </c>
      <c r="O96" s="1581">
        <f t="shared" si="271"/>
        <v>0</v>
      </c>
      <c r="P96" s="1581">
        <f t="shared" si="271"/>
        <v>0</v>
      </c>
      <c r="Q96" s="1581">
        <f t="shared" si="271"/>
        <v>0</v>
      </c>
      <c r="R96" s="1581">
        <f t="shared" si="271"/>
        <v>0</v>
      </c>
      <c r="S96" s="1581">
        <f t="shared" si="271"/>
        <v>0</v>
      </c>
      <c r="T96" s="1581">
        <f t="shared" si="271"/>
        <v>0</v>
      </c>
      <c r="U96" s="1581">
        <f t="shared" si="271"/>
        <v>0</v>
      </c>
      <c r="V96" s="1581">
        <f t="shared" si="271"/>
        <v>0</v>
      </c>
      <c r="W96" s="1581">
        <f t="shared" si="271"/>
        <v>0</v>
      </c>
      <c r="X96" s="1581">
        <f t="shared" si="271"/>
        <v>0</v>
      </c>
      <c r="Y96" s="1581">
        <f t="shared" si="271"/>
        <v>0</v>
      </c>
      <c r="Z96" s="1581">
        <f t="shared" si="271"/>
        <v>0</v>
      </c>
      <c r="AA96" s="1581">
        <f t="shared" si="271"/>
        <v>0</v>
      </c>
      <c r="AB96" s="1581">
        <f t="shared" si="271"/>
        <v>0</v>
      </c>
      <c r="AC96" s="1581">
        <f t="shared" si="271"/>
        <v>0</v>
      </c>
      <c r="AD96" s="1581">
        <f t="shared" si="271"/>
        <v>0</v>
      </c>
      <c r="AE96" s="1581">
        <f t="shared" si="271"/>
        <v>0</v>
      </c>
      <c r="AF96" s="1581">
        <f t="shared" si="271"/>
        <v>0</v>
      </c>
      <c r="AG96" s="1581">
        <f t="shared" si="271"/>
        <v>0</v>
      </c>
      <c r="AH96" s="1581">
        <f t="shared" si="271"/>
        <v>0</v>
      </c>
      <c r="AI96" s="1581">
        <f t="shared" si="271"/>
        <v>0</v>
      </c>
      <c r="AJ96" s="1581">
        <f t="shared" si="271"/>
        <v>0</v>
      </c>
      <c r="AK96" s="1581">
        <f t="shared" si="271"/>
        <v>0</v>
      </c>
      <c r="AL96" s="1581">
        <f>IF(AM87&lt;=$AN$96,AK96,IF(AM87=$AN$96+1,$AO$96-($D$96*AK85),0))</f>
        <v>0</v>
      </c>
      <c r="AM96" s="1178"/>
      <c r="AN96" s="9">
        <f>_xlfn.XLOOKUP(B96,'17. Cash Flow and Reserves'!$AU$121:$AU$130,'12. Funding Sources'!$L$11:$L$20,36)</f>
        <v>36</v>
      </c>
      <c r="AO96" s="9">
        <f>_xlfn.XLOOKUP(B96,'17. Cash Flow and Reserves'!$AU$121:$AU$130,'12. Funding Sources'!$N$11:$N$20,0)*AN96</f>
        <v>0</v>
      </c>
    </row>
    <row r="97" spans="2:41" ht="14.5" customHeight="1">
      <c r="B97" s="1626"/>
      <c r="C97" s="1570" t="s">
        <v>4489</v>
      </c>
      <c r="D97" s="1582">
        <f>(IF(D96&gt;0,D86/(D90+D96),IF(D91&gt;0,D91,0)))</f>
        <v>0</v>
      </c>
      <c r="E97" s="1582">
        <f t="shared" ref="E97:AL97" si="272">+IFERROR(IF(E96&gt;0,E86/(E90+E96),0),"N/A")</f>
        <v>0</v>
      </c>
      <c r="F97" s="1582">
        <f t="shared" si="272"/>
        <v>0</v>
      </c>
      <c r="G97" s="1582">
        <f t="shared" si="272"/>
        <v>0</v>
      </c>
      <c r="H97" s="1582">
        <f t="shared" si="272"/>
        <v>0</v>
      </c>
      <c r="I97" s="1582">
        <f t="shared" si="272"/>
        <v>0</v>
      </c>
      <c r="J97" s="1582">
        <f t="shared" si="272"/>
        <v>0</v>
      </c>
      <c r="K97" s="1582">
        <f t="shared" si="272"/>
        <v>0</v>
      </c>
      <c r="L97" s="1582">
        <f t="shared" si="272"/>
        <v>0</v>
      </c>
      <c r="M97" s="1582">
        <f t="shared" si="272"/>
        <v>0</v>
      </c>
      <c r="N97" s="1582">
        <f t="shared" si="272"/>
        <v>0</v>
      </c>
      <c r="O97" s="1582">
        <f t="shared" si="272"/>
        <v>0</v>
      </c>
      <c r="P97" s="1582">
        <f t="shared" si="272"/>
        <v>0</v>
      </c>
      <c r="Q97" s="1582">
        <f t="shared" si="272"/>
        <v>0</v>
      </c>
      <c r="R97" s="1582">
        <f t="shared" si="272"/>
        <v>0</v>
      </c>
      <c r="S97" s="1582">
        <f t="shared" si="272"/>
        <v>0</v>
      </c>
      <c r="T97" s="1582">
        <f t="shared" si="272"/>
        <v>0</v>
      </c>
      <c r="U97" s="1582">
        <f t="shared" si="272"/>
        <v>0</v>
      </c>
      <c r="V97" s="1582">
        <f t="shared" si="272"/>
        <v>0</v>
      </c>
      <c r="W97" s="1582">
        <f t="shared" si="272"/>
        <v>0</v>
      </c>
      <c r="X97" s="1582">
        <f t="shared" si="272"/>
        <v>0</v>
      </c>
      <c r="Y97" s="1582">
        <f t="shared" si="272"/>
        <v>0</v>
      </c>
      <c r="Z97" s="1582">
        <f t="shared" si="272"/>
        <v>0</v>
      </c>
      <c r="AA97" s="1582">
        <f t="shared" si="272"/>
        <v>0</v>
      </c>
      <c r="AB97" s="1582">
        <f t="shared" si="272"/>
        <v>0</v>
      </c>
      <c r="AC97" s="1582">
        <f t="shared" si="272"/>
        <v>0</v>
      </c>
      <c r="AD97" s="1582">
        <f t="shared" si="272"/>
        <v>0</v>
      </c>
      <c r="AE97" s="1582">
        <f t="shared" si="272"/>
        <v>0</v>
      </c>
      <c r="AF97" s="1582">
        <f t="shared" si="272"/>
        <v>0</v>
      </c>
      <c r="AG97" s="1582">
        <f t="shared" si="272"/>
        <v>0</v>
      </c>
      <c r="AH97" s="1582">
        <f t="shared" si="272"/>
        <v>0</v>
      </c>
      <c r="AI97" s="1582">
        <f t="shared" si="272"/>
        <v>0</v>
      </c>
      <c r="AJ97" s="1582">
        <f t="shared" si="272"/>
        <v>0</v>
      </c>
      <c r="AK97" s="1582">
        <f t="shared" si="272"/>
        <v>0</v>
      </c>
      <c r="AL97" s="1582">
        <f t="shared" si="272"/>
        <v>0</v>
      </c>
      <c r="AM97" s="1178"/>
    </row>
    <row r="98" spans="2:41" ht="14.5" customHeight="1">
      <c r="B98" s="1626"/>
      <c r="C98" s="1570" t="s">
        <v>4493</v>
      </c>
      <c r="D98" s="1583">
        <f>D94-D96</f>
        <v>0</v>
      </c>
      <c r="E98" s="1583">
        <f>E94-E96</f>
        <v>0</v>
      </c>
      <c r="F98" s="1583">
        <f t="shared" ref="F98:Y98" si="273">F94-F96</f>
        <v>0</v>
      </c>
      <c r="G98" s="1583">
        <f t="shared" si="273"/>
        <v>0</v>
      </c>
      <c r="H98" s="1583">
        <f t="shared" si="273"/>
        <v>0</v>
      </c>
      <c r="I98" s="1583">
        <f t="shared" si="273"/>
        <v>0</v>
      </c>
      <c r="J98" s="1583">
        <f t="shared" si="273"/>
        <v>0</v>
      </c>
      <c r="K98" s="1583">
        <f t="shared" si="273"/>
        <v>0</v>
      </c>
      <c r="L98" s="1583">
        <f t="shared" si="273"/>
        <v>0</v>
      </c>
      <c r="M98" s="1583">
        <f t="shared" si="273"/>
        <v>0</v>
      </c>
      <c r="N98" s="1583">
        <f t="shared" si="273"/>
        <v>0</v>
      </c>
      <c r="O98" s="1583">
        <f t="shared" si="273"/>
        <v>0</v>
      </c>
      <c r="P98" s="1583">
        <f t="shared" si="273"/>
        <v>0</v>
      </c>
      <c r="Q98" s="1583">
        <f t="shared" si="273"/>
        <v>0</v>
      </c>
      <c r="R98" s="1583">
        <f t="shared" si="273"/>
        <v>0</v>
      </c>
      <c r="S98" s="1583">
        <f t="shared" si="273"/>
        <v>0</v>
      </c>
      <c r="T98" s="1583">
        <f t="shared" si="273"/>
        <v>0</v>
      </c>
      <c r="U98" s="1583">
        <f t="shared" si="273"/>
        <v>0</v>
      </c>
      <c r="V98" s="1583">
        <f t="shared" si="273"/>
        <v>0</v>
      </c>
      <c r="W98" s="1583">
        <f t="shared" si="273"/>
        <v>0</v>
      </c>
      <c r="X98" s="1583">
        <f t="shared" si="273"/>
        <v>0</v>
      </c>
      <c r="Y98" s="1583">
        <f t="shared" si="273"/>
        <v>0</v>
      </c>
      <c r="Z98" s="1583">
        <f t="shared" ref="Z98:AJ98" si="274">Z94-Z96</f>
        <v>0</v>
      </c>
      <c r="AA98" s="1583">
        <f t="shared" si="274"/>
        <v>0</v>
      </c>
      <c r="AB98" s="1583">
        <f t="shared" si="274"/>
        <v>0</v>
      </c>
      <c r="AC98" s="1583">
        <f t="shared" si="274"/>
        <v>0</v>
      </c>
      <c r="AD98" s="1583">
        <f t="shared" si="274"/>
        <v>0</v>
      </c>
      <c r="AE98" s="1583">
        <f t="shared" si="274"/>
        <v>0</v>
      </c>
      <c r="AF98" s="1583">
        <f t="shared" si="274"/>
        <v>0</v>
      </c>
      <c r="AG98" s="1583">
        <f t="shared" si="274"/>
        <v>0</v>
      </c>
      <c r="AH98" s="1583">
        <f t="shared" si="274"/>
        <v>0</v>
      </c>
      <c r="AI98" s="1583">
        <f t="shared" si="274"/>
        <v>0</v>
      </c>
      <c r="AJ98" s="1583">
        <f t="shared" si="274"/>
        <v>0</v>
      </c>
      <c r="AK98" s="1583">
        <f t="shared" ref="AK98:AL98" si="275">AK94-AK96</f>
        <v>0</v>
      </c>
      <c r="AL98" s="1583">
        <f t="shared" si="275"/>
        <v>0</v>
      </c>
      <c r="AM98" s="1178"/>
    </row>
    <row r="99" spans="2:41" ht="14.5" customHeight="1">
      <c r="B99" s="1626"/>
      <c r="C99" s="1587"/>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9"/>
      <c r="Z99" s="1589"/>
      <c r="AA99" s="1589"/>
      <c r="AB99" s="1589"/>
      <c r="AC99" s="1589"/>
      <c r="AD99" s="1589"/>
      <c r="AE99" s="1589"/>
      <c r="AF99" s="1589"/>
      <c r="AG99" s="1589"/>
      <c r="AH99" s="1589"/>
      <c r="AI99" s="1589"/>
      <c r="AJ99" s="1589"/>
      <c r="AK99" s="1589"/>
      <c r="AL99" s="1589"/>
      <c r="AM99" s="1178"/>
    </row>
    <row r="100" spans="2:41" ht="14.5" customHeight="1">
      <c r="B100" s="1626">
        <v>3</v>
      </c>
      <c r="C100" s="1570" t="str">
        <f>_xlfn.XLOOKUP(B100,'17. Cash Flow and Reserves'!$AU$121:$AU$130,'17. Cash Flow and Reserves'!$AS$121:$AS$130,"No Additional Must Pay Loans")</f>
        <v>No Additional Must Pay Loans</v>
      </c>
      <c r="D100" s="1581">
        <f>_xlfn.XLOOKUP(B100,'17. Cash Flow and Reserves'!$AU$121:$AU$133,'12. Funding Sources'!$N$11:$N$23,0)</f>
        <v>0</v>
      </c>
      <c r="E100" s="1581">
        <f t="shared" ref="E100:AK100" si="276">IF(F85&lt;=$AN$100,D100,IF(F85=$AN$100+1,$AO$100-($D$100*D85),0))</f>
        <v>0</v>
      </c>
      <c r="F100" s="1581">
        <f t="shared" si="276"/>
        <v>0</v>
      </c>
      <c r="G100" s="1581">
        <f t="shared" si="276"/>
        <v>0</v>
      </c>
      <c r="H100" s="1581">
        <f t="shared" si="276"/>
        <v>0</v>
      </c>
      <c r="I100" s="1581">
        <f t="shared" si="276"/>
        <v>0</v>
      </c>
      <c r="J100" s="1581">
        <f t="shared" si="276"/>
        <v>0</v>
      </c>
      <c r="K100" s="1581">
        <f t="shared" si="276"/>
        <v>0</v>
      </c>
      <c r="L100" s="1581">
        <f t="shared" si="276"/>
        <v>0</v>
      </c>
      <c r="M100" s="1581">
        <f t="shared" si="276"/>
        <v>0</v>
      </c>
      <c r="N100" s="1581">
        <f t="shared" si="276"/>
        <v>0</v>
      </c>
      <c r="O100" s="1581">
        <f t="shared" si="276"/>
        <v>0</v>
      </c>
      <c r="P100" s="1581">
        <f t="shared" si="276"/>
        <v>0</v>
      </c>
      <c r="Q100" s="1581">
        <f t="shared" si="276"/>
        <v>0</v>
      </c>
      <c r="R100" s="1581">
        <f t="shared" si="276"/>
        <v>0</v>
      </c>
      <c r="S100" s="1581">
        <f t="shared" si="276"/>
        <v>0</v>
      </c>
      <c r="T100" s="1581">
        <f t="shared" si="276"/>
        <v>0</v>
      </c>
      <c r="U100" s="1581">
        <f t="shared" si="276"/>
        <v>0</v>
      </c>
      <c r="V100" s="1581">
        <f t="shared" si="276"/>
        <v>0</v>
      </c>
      <c r="W100" s="1581">
        <f t="shared" si="276"/>
        <v>0</v>
      </c>
      <c r="X100" s="1581">
        <f t="shared" si="276"/>
        <v>0</v>
      </c>
      <c r="Y100" s="1581">
        <f t="shared" si="276"/>
        <v>0</v>
      </c>
      <c r="Z100" s="1581">
        <f t="shared" si="276"/>
        <v>0</v>
      </c>
      <c r="AA100" s="1581">
        <f t="shared" si="276"/>
        <v>0</v>
      </c>
      <c r="AB100" s="1581">
        <f t="shared" si="276"/>
        <v>0</v>
      </c>
      <c r="AC100" s="1581">
        <f t="shared" si="276"/>
        <v>0</v>
      </c>
      <c r="AD100" s="1581">
        <f t="shared" si="276"/>
        <v>0</v>
      </c>
      <c r="AE100" s="1581">
        <f t="shared" si="276"/>
        <v>0</v>
      </c>
      <c r="AF100" s="1581">
        <f t="shared" si="276"/>
        <v>0</v>
      </c>
      <c r="AG100" s="1581">
        <f t="shared" si="276"/>
        <v>0</v>
      </c>
      <c r="AH100" s="1581">
        <f t="shared" si="276"/>
        <v>0</v>
      </c>
      <c r="AI100" s="1581">
        <f t="shared" si="276"/>
        <v>0</v>
      </c>
      <c r="AJ100" s="1581">
        <f t="shared" si="276"/>
        <v>0</v>
      </c>
      <c r="AK100" s="1581">
        <f t="shared" si="276"/>
        <v>0</v>
      </c>
      <c r="AL100" s="1581">
        <f>IF(AM87&lt;=$AN$100,AK100,IF(AM87=$AN$100+1,$AO$100-($D$100*AK85),0))</f>
        <v>0</v>
      </c>
      <c r="AM100" s="1178"/>
      <c r="AN100" s="9">
        <f>_xlfn.XLOOKUP(B100,'17. Cash Flow and Reserves'!$AU$121:$AU$130,'12. Funding Sources'!$L$11:$L$20,36)</f>
        <v>36</v>
      </c>
      <c r="AO100" s="9">
        <f>_xlfn.XLOOKUP(B100,'17. Cash Flow and Reserves'!$AU$121:$AU$130,'12. Funding Sources'!$N$11:$N$20,0)*AN100</f>
        <v>0</v>
      </c>
    </row>
    <row r="101" spans="2:41" ht="14.5" customHeight="1">
      <c r="B101" s="1626"/>
      <c r="C101" s="1570" t="s">
        <v>4489</v>
      </c>
      <c r="D101" s="1582">
        <f>(IF(D100&gt;0,D86/(D96+D100),IF(D97&gt;0,D97,0)))</f>
        <v>0</v>
      </c>
      <c r="E101" s="1582">
        <f t="shared" ref="E101:AL101" si="277">+IFERROR(IF(E100&gt;0,E86/(E90+E96+E100),0),"N/A")</f>
        <v>0</v>
      </c>
      <c r="F101" s="1582">
        <f t="shared" si="277"/>
        <v>0</v>
      </c>
      <c r="G101" s="1582">
        <f t="shared" si="277"/>
        <v>0</v>
      </c>
      <c r="H101" s="1582">
        <f t="shared" si="277"/>
        <v>0</v>
      </c>
      <c r="I101" s="1582">
        <f t="shared" si="277"/>
        <v>0</v>
      </c>
      <c r="J101" s="1582">
        <f t="shared" si="277"/>
        <v>0</v>
      </c>
      <c r="K101" s="1582">
        <f t="shared" si="277"/>
        <v>0</v>
      </c>
      <c r="L101" s="1582">
        <f t="shared" si="277"/>
        <v>0</v>
      </c>
      <c r="M101" s="1582">
        <f t="shared" si="277"/>
        <v>0</v>
      </c>
      <c r="N101" s="1582">
        <f t="shared" si="277"/>
        <v>0</v>
      </c>
      <c r="O101" s="1582">
        <f t="shared" si="277"/>
        <v>0</v>
      </c>
      <c r="P101" s="1582">
        <f t="shared" si="277"/>
        <v>0</v>
      </c>
      <c r="Q101" s="1582">
        <f t="shared" si="277"/>
        <v>0</v>
      </c>
      <c r="R101" s="1582">
        <f t="shared" si="277"/>
        <v>0</v>
      </c>
      <c r="S101" s="1582">
        <f t="shared" si="277"/>
        <v>0</v>
      </c>
      <c r="T101" s="1582">
        <f t="shared" si="277"/>
        <v>0</v>
      </c>
      <c r="U101" s="1582">
        <f t="shared" si="277"/>
        <v>0</v>
      </c>
      <c r="V101" s="1582">
        <f t="shared" si="277"/>
        <v>0</v>
      </c>
      <c r="W101" s="1582">
        <f t="shared" si="277"/>
        <v>0</v>
      </c>
      <c r="X101" s="1582">
        <f t="shared" si="277"/>
        <v>0</v>
      </c>
      <c r="Y101" s="1582">
        <f t="shared" si="277"/>
        <v>0</v>
      </c>
      <c r="Z101" s="1582">
        <f t="shared" si="277"/>
        <v>0</v>
      </c>
      <c r="AA101" s="1582">
        <f t="shared" si="277"/>
        <v>0</v>
      </c>
      <c r="AB101" s="1582">
        <f t="shared" si="277"/>
        <v>0</v>
      </c>
      <c r="AC101" s="1582">
        <f t="shared" si="277"/>
        <v>0</v>
      </c>
      <c r="AD101" s="1582">
        <f t="shared" si="277"/>
        <v>0</v>
      </c>
      <c r="AE101" s="1582">
        <f t="shared" si="277"/>
        <v>0</v>
      </c>
      <c r="AF101" s="1582">
        <f t="shared" si="277"/>
        <v>0</v>
      </c>
      <c r="AG101" s="1582">
        <f t="shared" si="277"/>
        <v>0</v>
      </c>
      <c r="AH101" s="1582">
        <f t="shared" si="277"/>
        <v>0</v>
      </c>
      <c r="AI101" s="1582">
        <f t="shared" si="277"/>
        <v>0</v>
      </c>
      <c r="AJ101" s="1582">
        <f t="shared" si="277"/>
        <v>0</v>
      </c>
      <c r="AK101" s="1582">
        <f t="shared" si="277"/>
        <v>0</v>
      </c>
      <c r="AL101" s="1582">
        <f t="shared" si="277"/>
        <v>0</v>
      </c>
      <c r="AM101" s="1178"/>
    </row>
    <row r="102" spans="2:41" ht="14.5" customHeight="1">
      <c r="B102" s="1626"/>
      <c r="C102" s="1570" t="s">
        <v>4493</v>
      </c>
      <c r="D102" s="1583">
        <f t="shared" ref="D102:Y102" si="278">D98-D100</f>
        <v>0</v>
      </c>
      <c r="E102" s="1583">
        <f t="shared" si="278"/>
        <v>0</v>
      </c>
      <c r="F102" s="1583">
        <f t="shared" si="278"/>
        <v>0</v>
      </c>
      <c r="G102" s="1583">
        <f t="shared" si="278"/>
        <v>0</v>
      </c>
      <c r="H102" s="1583">
        <f t="shared" si="278"/>
        <v>0</v>
      </c>
      <c r="I102" s="1583">
        <f t="shared" si="278"/>
        <v>0</v>
      </c>
      <c r="J102" s="1583">
        <f t="shared" si="278"/>
        <v>0</v>
      </c>
      <c r="K102" s="1583">
        <f t="shared" si="278"/>
        <v>0</v>
      </c>
      <c r="L102" s="1583">
        <f t="shared" si="278"/>
        <v>0</v>
      </c>
      <c r="M102" s="1583">
        <f t="shared" si="278"/>
        <v>0</v>
      </c>
      <c r="N102" s="1583">
        <f t="shared" si="278"/>
        <v>0</v>
      </c>
      <c r="O102" s="1583">
        <f t="shared" si="278"/>
        <v>0</v>
      </c>
      <c r="P102" s="1583">
        <f t="shared" si="278"/>
        <v>0</v>
      </c>
      <c r="Q102" s="1583">
        <f t="shared" si="278"/>
        <v>0</v>
      </c>
      <c r="R102" s="1583">
        <f t="shared" si="278"/>
        <v>0</v>
      </c>
      <c r="S102" s="1583">
        <f t="shared" si="278"/>
        <v>0</v>
      </c>
      <c r="T102" s="1583">
        <f t="shared" si="278"/>
        <v>0</v>
      </c>
      <c r="U102" s="1583">
        <f t="shared" si="278"/>
        <v>0</v>
      </c>
      <c r="V102" s="1583">
        <f t="shared" si="278"/>
        <v>0</v>
      </c>
      <c r="W102" s="1583">
        <f t="shared" si="278"/>
        <v>0</v>
      </c>
      <c r="X102" s="1583">
        <f t="shared" si="278"/>
        <v>0</v>
      </c>
      <c r="Y102" s="1583">
        <f t="shared" si="278"/>
        <v>0</v>
      </c>
      <c r="Z102" s="1583">
        <f t="shared" ref="Z102:AJ102" si="279">Z98-Z100</f>
        <v>0</v>
      </c>
      <c r="AA102" s="1583">
        <f t="shared" si="279"/>
        <v>0</v>
      </c>
      <c r="AB102" s="1583">
        <f t="shared" si="279"/>
        <v>0</v>
      </c>
      <c r="AC102" s="1583">
        <f t="shared" si="279"/>
        <v>0</v>
      </c>
      <c r="AD102" s="1583">
        <f t="shared" si="279"/>
        <v>0</v>
      </c>
      <c r="AE102" s="1583">
        <f t="shared" si="279"/>
        <v>0</v>
      </c>
      <c r="AF102" s="1583">
        <f t="shared" si="279"/>
        <v>0</v>
      </c>
      <c r="AG102" s="1583">
        <f t="shared" si="279"/>
        <v>0</v>
      </c>
      <c r="AH102" s="1583">
        <f t="shared" si="279"/>
        <v>0</v>
      </c>
      <c r="AI102" s="1583">
        <f t="shared" si="279"/>
        <v>0</v>
      </c>
      <c r="AJ102" s="1583">
        <f t="shared" si="279"/>
        <v>0</v>
      </c>
      <c r="AK102" s="1583">
        <f t="shared" ref="AK102:AL102" si="280">AK98-AK100</f>
        <v>0</v>
      </c>
      <c r="AL102" s="1583">
        <f t="shared" si="280"/>
        <v>0</v>
      </c>
      <c r="AM102" s="1178"/>
    </row>
    <row r="103" spans="2:41" ht="14.5" customHeight="1">
      <c r="B103" s="1626"/>
      <c r="C103" s="1587"/>
      <c r="D103" s="1588"/>
      <c r="E103" s="1588"/>
      <c r="F103" s="1588"/>
      <c r="G103" s="1588"/>
      <c r="H103" s="1588"/>
      <c r="I103" s="1588"/>
      <c r="J103" s="1588"/>
      <c r="K103" s="1588"/>
      <c r="L103" s="1588"/>
      <c r="M103" s="1588"/>
      <c r="N103" s="1588"/>
      <c r="O103" s="1588"/>
      <c r="P103" s="1588"/>
      <c r="Q103" s="1588"/>
      <c r="R103" s="1588"/>
      <c r="S103" s="1588"/>
      <c r="T103" s="1588"/>
      <c r="U103" s="1588"/>
      <c r="V103" s="1588"/>
      <c r="W103" s="1588"/>
      <c r="X103" s="1588"/>
      <c r="Y103" s="1589"/>
      <c r="Z103" s="1589"/>
      <c r="AA103" s="1589"/>
      <c r="AB103" s="1589"/>
      <c r="AC103" s="1589"/>
      <c r="AD103" s="1589"/>
      <c r="AE103" s="1589"/>
      <c r="AF103" s="1589"/>
      <c r="AG103" s="1589"/>
      <c r="AH103" s="1589"/>
      <c r="AI103" s="1589"/>
      <c r="AJ103" s="1589"/>
      <c r="AK103" s="1589"/>
      <c r="AL103" s="1589"/>
      <c r="AM103" s="1178"/>
    </row>
    <row r="104" spans="2:41" ht="14.5" customHeight="1">
      <c r="B104" s="1626">
        <v>4</v>
      </c>
      <c r="C104" s="1570" t="str">
        <f>_xlfn.XLOOKUP(B104,'17. Cash Flow and Reserves'!$AU$121:$AU$130,'17. Cash Flow and Reserves'!$AS$121:$AS$130,"No Additional Must Pay Loans")</f>
        <v>No Additional Must Pay Loans</v>
      </c>
      <c r="D104" s="1581">
        <f>_xlfn.XLOOKUP(B104,'17. Cash Flow and Reserves'!$AU$121:$AU$133,'12. Funding Sources'!$N$11:$N$23,0)</f>
        <v>0</v>
      </c>
      <c r="E104" s="1581">
        <f t="shared" ref="E104:AK104" si="281">IF(F85&lt;=$AN$104,D104,IF(F85=$AN$104+1,$AO$104-($D$104*D85),0))</f>
        <v>0</v>
      </c>
      <c r="F104" s="1581">
        <f t="shared" si="281"/>
        <v>0</v>
      </c>
      <c r="G104" s="1581">
        <f t="shared" si="281"/>
        <v>0</v>
      </c>
      <c r="H104" s="1581">
        <f t="shared" si="281"/>
        <v>0</v>
      </c>
      <c r="I104" s="1581">
        <f t="shared" si="281"/>
        <v>0</v>
      </c>
      <c r="J104" s="1581">
        <f t="shared" si="281"/>
        <v>0</v>
      </c>
      <c r="K104" s="1581">
        <f t="shared" si="281"/>
        <v>0</v>
      </c>
      <c r="L104" s="1581">
        <f t="shared" si="281"/>
        <v>0</v>
      </c>
      <c r="M104" s="1581">
        <f t="shared" si="281"/>
        <v>0</v>
      </c>
      <c r="N104" s="1581">
        <f t="shared" si="281"/>
        <v>0</v>
      </c>
      <c r="O104" s="1581">
        <f t="shared" si="281"/>
        <v>0</v>
      </c>
      <c r="P104" s="1581">
        <f t="shared" si="281"/>
        <v>0</v>
      </c>
      <c r="Q104" s="1581">
        <f t="shared" si="281"/>
        <v>0</v>
      </c>
      <c r="R104" s="1581">
        <f t="shared" si="281"/>
        <v>0</v>
      </c>
      <c r="S104" s="1581">
        <f t="shared" si="281"/>
        <v>0</v>
      </c>
      <c r="T104" s="1581">
        <f t="shared" si="281"/>
        <v>0</v>
      </c>
      <c r="U104" s="1581">
        <f t="shared" si="281"/>
        <v>0</v>
      </c>
      <c r="V104" s="1581">
        <f t="shared" si="281"/>
        <v>0</v>
      </c>
      <c r="W104" s="1581">
        <f t="shared" si="281"/>
        <v>0</v>
      </c>
      <c r="X104" s="1581">
        <f t="shared" si="281"/>
        <v>0</v>
      </c>
      <c r="Y104" s="1581">
        <f t="shared" si="281"/>
        <v>0</v>
      </c>
      <c r="Z104" s="1581">
        <f t="shared" si="281"/>
        <v>0</v>
      </c>
      <c r="AA104" s="1581">
        <f t="shared" si="281"/>
        <v>0</v>
      </c>
      <c r="AB104" s="1581">
        <f t="shared" si="281"/>
        <v>0</v>
      </c>
      <c r="AC104" s="1581">
        <f t="shared" si="281"/>
        <v>0</v>
      </c>
      <c r="AD104" s="1581">
        <f t="shared" si="281"/>
        <v>0</v>
      </c>
      <c r="AE104" s="1581">
        <f t="shared" si="281"/>
        <v>0</v>
      </c>
      <c r="AF104" s="1581">
        <f t="shared" si="281"/>
        <v>0</v>
      </c>
      <c r="AG104" s="1581">
        <f t="shared" si="281"/>
        <v>0</v>
      </c>
      <c r="AH104" s="1581">
        <f t="shared" si="281"/>
        <v>0</v>
      </c>
      <c r="AI104" s="1581">
        <f t="shared" si="281"/>
        <v>0</v>
      </c>
      <c r="AJ104" s="1581">
        <f t="shared" si="281"/>
        <v>0</v>
      </c>
      <c r="AK104" s="1581">
        <f t="shared" si="281"/>
        <v>0</v>
      </c>
      <c r="AL104" s="1581">
        <f>IF(AM87&lt;=$AN$104,AK104,IF(AM87=$AN$104+1,$AO$104-($D$104*AK85),0))</f>
        <v>0</v>
      </c>
      <c r="AM104" s="1178"/>
      <c r="AN104" s="9">
        <f>_xlfn.XLOOKUP(B104,'17. Cash Flow and Reserves'!$AU$121:$AU$130,'12. Funding Sources'!$L$11:$L$20,36)</f>
        <v>36</v>
      </c>
      <c r="AO104" s="9">
        <f>_xlfn.XLOOKUP(B104,'17. Cash Flow and Reserves'!$AU$121:$AU$130,'12. Funding Sources'!$N$11:$N$20,0)*AN104</f>
        <v>0</v>
      </c>
    </row>
    <row r="105" spans="2:41" ht="14.5" customHeight="1">
      <c r="B105" s="1626"/>
      <c r="C105" s="1570" t="s">
        <v>4489</v>
      </c>
      <c r="D105" s="1582">
        <f>(IF(D104&gt;0,D86/(D100+D104),IF(D101&gt;0,D101,0)))</f>
        <v>0</v>
      </c>
      <c r="E105" s="1582">
        <f t="shared" ref="E105:AL105" si="282">+IFERROR(IF(E104&gt;0,E86/(E90+E96+E100+E104),0),"N/A")</f>
        <v>0</v>
      </c>
      <c r="F105" s="1582">
        <f t="shared" si="282"/>
        <v>0</v>
      </c>
      <c r="G105" s="1582">
        <f t="shared" si="282"/>
        <v>0</v>
      </c>
      <c r="H105" s="1582">
        <f t="shared" si="282"/>
        <v>0</v>
      </c>
      <c r="I105" s="1582">
        <f t="shared" si="282"/>
        <v>0</v>
      </c>
      <c r="J105" s="1582">
        <f t="shared" si="282"/>
        <v>0</v>
      </c>
      <c r="K105" s="1582">
        <f t="shared" si="282"/>
        <v>0</v>
      </c>
      <c r="L105" s="1582">
        <f t="shared" si="282"/>
        <v>0</v>
      </c>
      <c r="M105" s="1582">
        <f t="shared" si="282"/>
        <v>0</v>
      </c>
      <c r="N105" s="1582">
        <f t="shared" si="282"/>
        <v>0</v>
      </c>
      <c r="O105" s="1582">
        <f t="shared" si="282"/>
        <v>0</v>
      </c>
      <c r="P105" s="1582">
        <f t="shared" si="282"/>
        <v>0</v>
      </c>
      <c r="Q105" s="1582">
        <f t="shared" si="282"/>
        <v>0</v>
      </c>
      <c r="R105" s="1582">
        <f t="shared" si="282"/>
        <v>0</v>
      </c>
      <c r="S105" s="1582">
        <f t="shared" si="282"/>
        <v>0</v>
      </c>
      <c r="T105" s="1582">
        <f t="shared" si="282"/>
        <v>0</v>
      </c>
      <c r="U105" s="1582">
        <f t="shared" si="282"/>
        <v>0</v>
      </c>
      <c r="V105" s="1582">
        <f t="shared" si="282"/>
        <v>0</v>
      </c>
      <c r="W105" s="1582">
        <f t="shared" si="282"/>
        <v>0</v>
      </c>
      <c r="X105" s="1582">
        <f t="shared" si="282"/>
        <v>0</v>
      </c>
      <c r="Y105" s="1582">
        <f t="shared" si="282"/>
        <v>0</v>
      </c>
      <c r="Z105" s="1582">
        <f t="shared" si="282"/>
        <v>0</v>
      </c>
      <c r="AA105" s="1582">
        <f t="shared" si="282"/>
        <v>0</v>
      </c>
      <c r="AB105" s="1582">
        <f t="shared" si="282"/>
        <v>0</v>
      </c>
      <c r="AC105" s="1582">
        <f t="shared" si="282"/>
        <v>0</v>
      </c>
      <c r="AD105" s="1582">
        <f t="shared" si="282"/>
        <v>0</v>
      </c>
      <c r="AE105" s="1582">
        <f t="shared" si="282"/>
        <v>0</v>
      </c>
      <c r="AF105" s="1582">
        <f t="shared" si="282"/>
        <v>0</v>
      </c>
      <c r="AG105" s="1582">
        <f t="shared" si="282"/>
        <v>0</v>
      </c>
      <c r="AH105" s="1582">
        <f t="shared" si="282"/>
        <v>0</v>
      </c>
      <c r="AI105" s="1582">
        <f t="shared" si="282"/>
        <v>0</v>
      </c>
      <c r="AJ105" s="1582">
        <f t="shared" si="282"/>
        <v>0</v>
      </c>
      <c r="AK105" s="1582">
        <f t="shared" si="282"/>
        <v>0</v>
      </c>
      <c r="AL105" s="1582">
        <f t="shared" si="282"/>
        <v>0</v>
      </c>
      <c r="AM105" s="1178"/>
    </row>
    <row r="106" spans="2:41" ht="14.5" customHeight="1">
      <c r="B106" s="1626"/>
      <c r="C106" s="1570" t="s">
        <v>4493</v>
      </c>
      <c r="D106" s="1583">
        <f>D102-D104</f>
        <v>0</v>
      </c>
      <c r="E106" s="1583">
        <f t="shared" ref="E106:Y106" si="283">E102-E104</f>
        <v>0</v>
      </c>
      <c r="F106" s="1583">
        <f t="shared" si="283"/>
        <v>0</v>
      </c>
      <c r="G106" s="1583">
        <f t="shared" si="283"/>
        <v>0</v>
      </c>
      <c r="H106" s="1583">
        <f t="shared" si="283"/>
        <v>0</v>
      </c>
      <c r="I106" s="1583">
        <f t="shared" si="283"/>
        <v>0</v>
      </c>
      <c r="J106" s="1583">
        <f t="shared" si="283"/>
        <v>0</v>
      </c>
      <c r="K106" s="1583">
        <f t="shared" si="283"/>
        <v>0</v>
      </c>
      <c r="L106" s="1583">
        <f t="shared" si="283"/>
        <v>0</v>
      </c>
      <c r="M106" s="1583">
        <f t="shared" si="283"/>
        <v>0</v>
      </c>
      <c r="N106" s="1583">
        <f t="shared" si="283"/>
        <v>0</v>
      </c>
      <c r="O106" s="1583">
        <f t="shared" si="283"/>
        <v>0</v>
      </c>
      <c r="P106" s="1583">
        <f t="shared" si="283"/>
        <v>0</v>
      </c>
      <c r="Q106" s="1583">
        <f t="shared" si="283"/>
        <v>0</v>
      </c>
      <c r="R106" s="1583">
        <f t="shared" si="283"/>
        <v>0</v>
      </c>
      <c r="S106" s="1583">
        <f t="shared" si="283"/>
        <v>0</v>
      </c>
      <c r="T106" s="1583">
        <f t="shared" si="283"/>
        <v>0</v>
      </c>
      <c r="U106" s="1583">
        <f t="shared" si="283"/>
        <v>0</v>
      </c>
      <c r="V106" s="1583">
        <f t="shared" si="283"/>
        <v>0</v>
      </c>
      <c r="W106" s="1583">
        <f t="shared" si="283"/>
        <v>0</v>
      </c>
      <c r="X106" s="1583">
        <f t="shared" si="283"/>
        <v>0</v>
      </c>
      <c r="Y106" s="1583">
        <f t="shared" si="283"/>
        <v>0</v>
      </c>
      <c r="Z106" s="1583">
        <f t="shared" ref="Z106:AJ106" si="284">Z102-Z104</f>
        <v>0</v>
      </c>
      <c r="AA106" s="1583">
        <f t="shared" si="284"/>
        <v>0</v>
      </c>
      <c r="AB106" s="1583">
        <f t="shared" si="284"/>
        <v>0</v>
      </c>
      <c r="AC106" s="1583">
        <f t="shared" si="284"/>
        <v>0</v>
      </c>
      <c r="AD106" s="1583">
        <f t="shared" si="284"/>
        <v>0</v>
      </c>
      <c r="AE106" s="1583">
        <f t="shared" si="284"/>
        <v>0</v>
      </c>
      <c r="AF106" s="1583">
        <f t="shared" si="284"/>
        <v>0</v>
      </c>
      <c r="AG106" s="1583">
        <f t="shared" si="284"/>
        <v>0</v>
      </c>
      <c r="AH106" s="1583">
        <f t="shared" si="284"/>
        <v>0</v>
      </c>
      <c r="AI106" s="1583">
        <f t="shared" si="284"/>
        <v>0</v>
      </c>
      <c r="AJ106" s="1583">
        <f t="shared" si="284"/>
        <v>0</v>
      </c>
      <c r="AK106" s="1583">
        <f t="shared" ref="AK106:AL106" si="285">AK102-AK104</f>
        <v>0</v>
      </c>
      <c r="AL106" s="1583">
        <f t="shared" si="285"/>
        <v>0</v>
      </c>
      <c r="AM106" s="1178"/>
    </row>
    <row r="107" spans="2:41" ht="14.5" customHeight="1">
      <c r="B107" s="1626"/>
      <c r="C107" s="1587"/>
      <c r="D107" s="1588"/>
      <c r="E107" s="1588"/>
      <c r="F107" s="1588"/>
      <c r="G107" s="1588"/>
      <c r="H107" s="1588"/>
      <c r="I107" s="1588"/>
      <c r="J107" s="1588"/>
      <c r="K107" s="1588"/>
      <c r="L107" s="1588"/>
      <c r="M107" s="1588"/>
      <c r="N107" s="1588"/>
      <c r="O107" s="1588"/>
      <c r="P107" s="1588"/>
      <c r="Q107" s="1588"/>
      <c r="R107" s="1588"/>
      <c r="S107" s="1588"/>
      <c r="T107" s="1588"/>
      <c r="U107" s="1588"/>
      <c r="V107" s="1588"/>
      <c r="W107" s="1588"/>
      <c r="X107" s="1588"/>
      <c r="Y107" s="1589"/>
      <c r="Z107" s="1589"/>
      <c r="AA107" s="1589"/>
      <c r="AB107" s="1589"/>
      <c r="AC107" s="1589"/>
      <c r="AD107" s="1589"/>
      <c r="AE107" s="1589"/>
      <c r="AF107" s="1589"/>
      <c r="AG107" s="1589"/>
      <c r="AH107" s="1589"/>
      <c r="AI107" s="1589"/>
      <c r="AJ107" s="1589"/>
      <c r="AK107" s="1589"/>
      <c r="AL107" s="1589"/>
      <c r="AM107" s="1178"/>
    </row>
    <row r="108" spans="2:41" ht="14.5" customHeight="1">
      <c r="B108" s="1626">
        <v>5</v>
      </c>
      <c r="C108" s="1570" t="str">
        <f>_xlfn.XLOOKUP(B108,'17. Cash Flow and Reserves'!$AU$121:$AU$130,'17. Cash Flow and Reserves'!$AS$121:$AS$130,"No Additional Must Pay Loans")</f>
        <v>No Additional Must Pay Loans</v>
      </c>
      <c r="D108" s="1581">
        <f>_xlfn.XLOOKUP(B108,'17. Cash Flow and Reserves'!$AU$121:$AU$133,'12. Funding Sources'!$N$11:$N$23,0)</f>
        <v>0</v>
      </c>
      <c r="E108" s="1581">
        <f t="shared" ref="E108:AK108" si="286">IF(F85&lt;=$AN$108,D108,IF(F85=$AN$108+1,$AO$108-($D$108*D85),0))</f>
        <v>0</v>
      </c>
      <c r="F108" s="1581">
        <f t="shared" si="286"/>
        <v>0</v>
      </c>
      <c r="G108" s="1581">
        <f t="shared" si="286"/>
        <v>0</v>
      </c>
      <c r="H108" s="1581">
        <f t="shared" si="286"/>
        <v>0</v>
      </c>
      <c r="I108" s="1581">
        <f t="shared" si="286"/>
        <v>0</v>
      </c>
      <c r="J108" s="1581">
        <f t="shared" si="286"/>
        <v>0</v>
      </c>
      <c r="K108" s="1581">
        <f t="shared" si="286"/>
        <v>0</v>
      </c>
      <c r="L108" s="1581">
        <f t="shared" si="286"/>
        <v>0</v>
      </c>
      <c r="M108" s="1581">
        <f t="shared" si="286"/>
        <v>0</v>
      </c>
      <c r="N108" s="1581">
        <f t="shared" si="286"/>
        <v>0</v>
      </c>
      <c r="O108" s="1581">
        <f t="shared" si="286"/>
        <v>0</v>
      </c>
      <c r="P108" s="1581">
        <f t="shared" si="286"/>
        <v>0</v>
      </c>
      <c r="Q108" s="1581">
        <f t="shared" si="286"/>
        <v>0</v>
      </c>
      <c r="R108" s="1581">
        <f t="shared" si="286"/>
        <v>0</v>
      </c>
      <c r="S108" s="1581">
        <f t="shared" si="286"/>
        <v>0</v>
      </c>
      <c r="T108" s="1581">
        <f t="shared" si="286"/>
        <v>0</v>
      </c>
      <c r="U108" s="1581">
        <f t="shared" si="286"/>
        <v>0</v>
      </c>
      <c r="V108" s="1581">
        <f t="shared" si="286"/>
        <v>0</v>
      </c>
      <c r="W108" s="1581">
        <f t="shared" si="286"/>
        <v>0</v>
      </c>
      <c r="X108" s="1581">
        <f t="shared" si="286"/>
        <v>0</v>
      </c>
      <c r="Y108" s="1581">
        <f t="shared" si="286"/>
        <v>0</v>
      </c>
      <c r="Z108" s="1581">
        <f t="shared" si="286"/>
        <v>0</v>
      </c>
      <c r="AA108" s="1581">
        <f t="shared" si="286"/>
        <v>0</v>
      </c>
      <c r="AB108" s="1581">
        <f t="shared" si="286"/>
        <v>0</v>
      </c>
      <c r="AC108" s="1581">
        <f t="shared" si="286"/>
        <v>0</v>
      </c>
      <c r="AD108" s="1581">
        <f t="shared" si="286"/>
        <v>0</v>
      </c>
      <c r="AE108" s="1581">
        <f t="shared" si="286"/>
        <v>0</v>
      </c>
      <c r="AF108" s="1581">
        <f t="shared" si="286"/>
        <v>0</v>
      </c>
      <c r="AG108" s="1581">
        <f t="shared" si="286"/>
        <v>0</v>
      </c>
      <c r="AH108" s="1581">
        <f t="shared" si="286"/>
        <v>0</v>
      </c>
      <c r="AI108" s="1581">
        <f t="shared" si="286"/>
        <v>0</v>
      </c>
      <c r="AJ108" s="1581">
        <f t="shared" si="286"/>
        <v>0</v>
      </c>
      <c r="AK108" s="1581">
        <f t="shared" si="286"/>
        <v>0</v>
      </c>
      <c r="AL108" s="1581">
        <f>IF(AM87&lt;=$AN$108,AK108,IF(AM87=$AN$108+1,$AO$108-($D$108*AK85),0))</f>
        <v>0</v>
      </c>
      <c r="AM108" s="1178"/>
      <c r="AN108" s="9">
        <f>_xlfn.XLOOKUP(B108,'17. Cash Flow and Reserves'!$AU$121:$AU$130,'12. Funding Sources'!$L$11:$L$20,36)</f>
        <v>36</v>
      </c>
      <c r="AO108" s="9">
        <f>_xlfn.XLOOKUP(B108,'17. Cash Flow and Reserves'!$AU$121:$AU$130,'12. Funding Sources'!$N$11:$N$20,0)*AN108</f>
        <v>0</v>
      </c>
    </row>
    <row r="109" spans="2:41" ht="14.5" customHeight="1">
      <c r="B109" s="1626"/>
      <c r="C109" s="1570" t="s">
        <v>4489</v>
      </c>
      <c r="D109" s="1582">
        <f>(IF(D108&gt;0,D86/(D104+D108),IF(D105&gt;0,D105,0)))</f>
        <v>0</v>
      </c>
      <c r="E109" s="1582">
        <f t="shared" ref="E109:AL109" si="287">+IFERROR(IF(E108&gt;0,E$86/(E$90+E$96+E$100+E$104+E$108),0),"N/A")</f>
        <v>0</v>
      </c>
      <c r="F109" s="1582">
        <f t="shared" si="287"/>
        <v>0</v>
      </c>
      <c r="G109" s="1582">
        <f t="shared" si="287"/>
        <v>0</v>
      </c>
      <c r="H109" s="1582">
        <f t="shared" si="287"/>
        <v>0</v>
      </c>
      <c r="I109" s="1582">
        <f t="shared" si="287"/>
        <v>0</v>
      </c>
      <c r="J109" s="1582">
        <f t="shared" si="287"/>
        <v>0</v>
      </c>
      <c r="K109" s="1582">
        <f t="shared" si="287"/>
        <v>0</v>
      </c>
      <c r="L109" s="1582">
        <f t="shared" si="287"/>
        <v>0</v>
      </c>
      <c r="M109" s="1582">
        <f t="shared" si="287"/>
        <v>0</v>
      </c>
      <c r="N109" s="1582">
        <f t="shared" si="287"/>
        <v>0</v>
      </c>
      <c r="O109" s="1582">
        <f t="shared" si="287"/>
        <v>0</v>
      </c>
      <c r="P109" s="1582">
        <f t="shared" si="287"/>
        <v>0</v>
      </c>
      <c r="Q109" s="1582">
        <f t="shared" si="287"/>
        <v>0</v>
      </c>
      <c r="R109" s="1582">
        <f t="shared" si="287"/>
        <v>0</v>
      </c>
      <c r="S109" s="1582">
        <f t="shared" si="287"/>
        <v>0</v>
      </c>
      <c r="T109" s="1582">
        <f t="shared" si="287"/>
        <v>0</v>
      </c>
      <c r="U109" s="1582">
        <f t="shared" si="287"/>
        <v>0</v>
      </c>
      <c r="V109" s="1582">
        <f t="shared" si="287"/>
        <v>0</v>
      </c>
      <c r="W109" s="1582">
        <f t="shared" si="287"/>
        <v>0</v>
      </c>
      <c r="X109" s="1582">
        <f t="shared" si="287"/>
        <v>0</v>
      </c>
      <c r="Y109" s="1582">
        <f t="shared" si="287"/>
        <v>0</v>
      </c>
      <c r="Z109" s="1582">
        <f t="shared" si="287"/>
        <v>0</v>
      </c>
      <c r="AA109" s="1582">
        <f t="shared" si="287"/>
        <v>0</v>
      </c>
      <c r="AB109" s="1582">
        <f t="shared" si="287"/>
        <v>0</v>
      </c>
      <c r="AC109" s="1582">
        <f t="shared" si="287"/>
        <v>0</v>
      </c>
      <c r="AD109" s="1582">
        <f t="shared" si="287"/>
        <v>0</v>
      </c>
      <c r="AE109" s="1582">
        <f t="shared" si="287"/>
        <v>0</v>
      </c>
      <c r="AF109" s="1582">
        <f t="shared" si="287"/>
        <v>0</v>
      </c>
      <c r="AG109" s="1582">
        <f t="shared" si="287"/>
        <v>0</v>
      </c>
      <c r="AH109" s="1582">
        <f t="shared" si="287"/>
        <v>0</v>
      </c>
      <c r="AI109" s="1582">
        <f t="shared" si="287"/>
        <v>0</v>
      </c>
      <c r="AJ109" s="1582">
        <f t="shared" si="287"/>
        <v>0</v>
      </c>
      <c r="AK109" s="1582">
        <f t="shared" si="287"/>
        <v>0</v>
      </c>
      <c r="AL109" s="1582">
        <f t="shared" si="287"/>
        <v>0</v>
      </c>
      <c r="AM109" s="1178"/>
    </row>
    <row r="110" spans="2:41" ht="14.5" customHeight="1">
      <c r="B110" s="1626"/>
      <c r="C110" s="1570" t="s">
        <v>4493</v>
      </c>
      <c r="D110" s="1583">
        <f>D106-D108</f>
        <v>0</v>
      </c>
      <c r="E110" s="1583">
        <f t="shared" ref="E110:Y110" si="288">E106-E108</f>
        <v>0</v>
      </c>
      <c r="F110" s="1583">
        <f t="shared" si="288"/>
        <v>0</v>
      </c>
      <c r="G110" s="1583">
        <f t="shared" si="288"/>
        <v>0</v>
      </c>
      <c r="H110" s="1583">
        <f t="shared" si="288"/>
        <v>0</v>
      </c>
      <c r="I110" s="1583">
        <f t="shared" si="288"/>
        <v>0</v>
      </c>
      <c r="J110" s="1583">
        <f t="shared" si="288"/>
        <v>0</v>
      </c>
      <c r="K110" s="1583">
        <f t="shared" si="288"/>
        <v>0</v>
      </c>
      <c r="L110" s="1583">
        <f t="shared" si="288"/>
        <v>0</v>
      </c>
      <c r="M110" s="1583">
        <f t="shared" si="288"/>
        <v>0</v>
      </c>
      <c r="N110" s="1583">
        <f t="shared" si="288"/>
        <v>0</v>
      </c>
      <c r="O110" s="1583">
        <f t="shared" si="288"/>
        <v>0</v>
      </c>
      <c r="P110" s="1583">
        <f t="shared" si="288"/>
        <v>0</v>
      </c>
      <c r="Q110" s="1583">
        <f t="shared" si="288"/>
        <v>0</v>
      </c>
      <c r="R110" s="1583">
        <f t="shared" si="288"/>
        <v>0</v>
      </c>
      <c r="S110" s="1583">
        <f t="shared" si="288"/>
        <v>0</v>
      </c>
      <c r="T110" s="1583">
        <f t="shared" si="288"/>
        <v>0</v>
      </c>
      <c r="U110" s="1583">
        <f t="shared" si="288"/>
        <v>0</v>
      </c>
      <c r="V110" s="1583">
        <f t="shared" si="288"/>
        <v>0</v>
      </c>
      <c r="W110" s="1583">
        <f t="shared" si="288"/>
        <v>0</v>
      </c>
      <c r="X110" s="1583">
        <f t="shared" si="288"/>
        <v>0</v>
      </c>
      <c r="Y110" s="1583">
        <f t="shared" si="288"/>
        <v>0</v>
      </c>
      <c r="Z110" s="1583">
        <f t="shared" ref="Z110:AJ110" si="289">Z106-Z108</f>
        <v>0</v>
      </c>
      <c r="AA110" s="1583">
        <f t="shared" si="289"/>
        <v>0</v>
      </c>
      <c r="AB110" s="1583">
        <f t="shared" si="289"/>
        <v>0</v>
      </c>
      <c r="AC110" s="1583">
        <f t="shared" si="289"/>
        <v>0</v>
      </c>
      <c r="AD110" s="1583">
        <f t="shared" si="289"/>
        <v>0</v>
      </c>
      <c r="AE110" s="1583">
        <f t="shared" si="289"/>
        <v>0</v>
      </c>
      <c r="AF110" s="1583">
        <f t="shared" si="289"/>
        <v>0</v>
      </c>
      <c r="AG110" s="1583">
        <f t="shared" si="289"/>
        <v>0</v>
      </c>
      <c r="AH110" s="1583">
        <f t="shared" si="289"/>
        <v>0</v>
      </c>
      <c r="AI110" s="1583">
        <f t="shared" si="289"/>
        <v>0</v>
      </c>
      <c r="AJ110" s="1583">
        <f t="shared" si="289"/>
        <v>0</v>
      </c>
      <c r="AK110" s="1583">
        <f t="shared" ref="AK110:AL110" si="290">AK106-AK108</f>
        <v>0</v>
      </c>
      <c r="AL110" s="1583">
        <f t="shared" si="290"/>
        <v>0</v>
      </c>
      <c r="AM110" s="1178"/>
    </row>
    <row r="111" spans="2:41" ht="14.5" customHeight="1">
      <c r="B111" s="1626"/>
      <c r="C111" s="1587"/>
      <c r="D111" s="1588"/>
      <c r="E111" s="1588"/>
      <c r="F111" s="1588"/>
      <c r="G111" s="1588"/>
      <c r="H111" s="1588"/>
      <c r="I111" s="1588"/>
      <c r="J111" s="1588"/>
      <c r="K111" s="1588"/>
      <c r="L111" s="1588"/>
      <c r="M111" s="1588"/>
      <c r="N111" s="1588"/>
      <c r="O111" s="1588"/>
      <c r="P111" s="1588"/>
      <c r="Q111" s="1588"/>
      <c r="R111" s="1588"/>
      <c r="S111" s="1588"/>
      <c r="T111" s="1588"/>
      <c r="U111" s="1588"/>
      <c r="V111" s="1588"/>
      <c r="W111" s="1588"/>
      <c r="X111" s="1588"/>
      <c r="Y111" s="1589"/>
      <c r="Z111" s="1589"/>
      <c r="AA111" s="1589"/>
      <c r="AB111" s="1589"/>
      <c r="AC111" s="1589"/>
      <c r="AD111" s="1589"/>
      <c r="AE111" s="1589"/>
      <c r="AF111" s="1589"/>
      <c r="AG111" s="1589"/>
      <c r="AH111" s="1589"/>
      <c r="AI111" s="1589"/>
      <c r="AJ111" s="1589"/>
      <c r="AK111" s="1589"/>
      <c r="AL111" s="1589"/>
      <c r="AM111" s="1178"/>
    </row>
    <row r="112" spans="2:41" ht="14.5" customHeight="1">
      <c r="B112" s="1626">
        <v>6</v>
      </c>
      <c r="C112" s="1570" t="str">
        <f>_xlfn.XLOOKUP(B112,'17. Cash Flow and Reserves'!$AU$121:$AU$130,'17. Cash Flow and Reserves'!$AS$121:$AS$130,"No Additional Must Pay Loans")</f>
        <v>No Additional Must Pay Loans</v>
      </c>
      <c r="D112" s="1581">
        <f>_xlfn.XLOOKUP(B112,'17. Cash Flow and Reserves'!$AU$121:$AU$133,'12. Funding Sources'!$N$11:$N$23,0)</f>
        <v>0</v>
      </c>
      <c r="E112" s="1581">
        <f t="shared" ref="E112:AK112" si="291">IF(F85&lt;=$AN$112,D112,IF(F85=$AN$112+1,$AO$112-($D$112*D85),0))</f>
        <v>0</v>
      </c>
      <c r="F112" s="1581">
        <f t="shared" si="291"/>
        <v>0</v>
      </c>
      <c r="G112" s="1581">
        <f t="shared" si="291"/>
        <v>0</v>
      </c>
      <c r="H112" s="1581">
        <f t="shared" si="291"/>
        <v>0</v>
      </c>
      <c r="I112" s="1581">
        <f t="shared" si="291"/>
        <v>0</v>
      </c>
      <c r="J112" s="1581">
        <f t="shared" si="291"/>
        <v>0</v>
      </c>
      <c r="K112" s="1581">
        <f t="shared" si="291"/>
        <v>0</v>
      </c>
      <c r="L112" s="1581">
        <f t="shared" si="291"/>
        <v>0</v>
      </c>
      <c r="M112" s="1581">
        <f t="shared" si="291"/>
        <v>0</v>
      </c>
      <c r="N112" s="1581">
        <f t="shared" si="291"/>
        <v>0</v>
      </c>
      <c r="O112" s="1581">
        <f t="shared" si="291"/>
        <v>0</v>
      </c>
      <c r="P112" s="1581">
        <f t="shared" si="291"/>
        <v>0</v>
      </c>
      <c r="Q112" s="1581">
        <f t="shared" si="291"/>
        <v>0</v>
      </c>
      <c r="R112" s="1581">
        <f t="shared" si="291"/>
        <v>0</v>
      </c>
      <c r="S112" s="1581">
        <f t="shared" si="291"/>
        <v>0</v>
      </c>
      <c r="T112" s="1581">
        <f t="shared" si="291"/>
        <v>0</v>
      </c>
      <c r="U112" s="1581">
        <f t="shared" si="291"/>
        <v>0</v>
      </c>
      <c r="V112" s="1581">
        <f t="shared" si="291"/>
        <v>0</v>
      </c>
      <c r="W112" s="1581">
        <f t="shared" si="291"/>
        <v>0</v>
      </c>
      <c r="X112" s="1581">
        <f t="shared" si="291"/>
        <v>0</v>
      </c>
      <c r="Y112" s="1581">
        <f t="shared" si="291"/>
        <v>0</v>
      </c>
      <c r="Z112" s="1581">
        <f t="shared" si="291"/>
        <v>0</v>
      </c>
      <c r="AA112" s="1581">
        <f t="shared" si="291"/>
        <v>0</v>
      </c>
      <c r="AB112" s="1581">
        <f t="shared" si="291"/>
        <v>0</v>
      </c>
      <c r="AC112" s="1581">
        <f t="shared" si="291"/>
        <v>0</v>
      </c>
      <c r="AD112" s="1581">
        <f t="shared" si="291"/>
        <v>0</v>
      </c>
      <c r="AE112" s="1581">
        <f t="shared" si="291"/>
        <v>0</v>
      </c>
      <c r="AF112" s="1581">
        <f t="shared" si="291"/>
        <v>0</v>
      </c>
      <c r="AG112" s="1581">
        <f t="shared" si="291"/>
        <v>0</v>
      </c>
      <c r="AH112" s="1581">
        <f t="shared" si="291"/>
        <v>0</v>
      </c>
      <c r="AI112" s="1581">
        <f t="shared" si="291"/>
        <v>0</v>
      </c>
      <c r="AJ112" s="1581">
        <f t="shared" si="291"/>
        <v>0</v>
      </c>
      <c r="AK112" s="1581">
        <f t="shared" si="291"/>
        <v>0</v>
      </c>
      <c r="AL112" s="1581">
        <f>IF(AM87&lt;=$AN$112,AK112,IF(AM87=$AN$112+1,$AO$112-($D$112*AK85),0))</f>
        <v>0</v>
      </c>
      <c r="AM112" s="1178"/>
      <c r="AN112" s="9">
        <f>_xlfn.XLOOKUP(B112,'17. Cash Flow and Reserves'!$AU$121:$AU$130,'12. Funding Sources'!$L$11:$L$20,36)</f>
        <v>36</v>
      </c>
      <c r="AO112" s="9">
        <f>_xlfn.XLOOKUP(B112,'17. Cash Flow and Reserves'!$AU$121:$AU$130,'12. Funding Sources'!$N$11:$N$20,0)*AN112</f>
        <v>0</v>
      </c>
    </row>
    <row r="113" spans="2:82" ht="14.5" customHeight="1">
      <c r="B113" s="1626"/>
      <c r="C113" s="1570" t="s">
        <v>4489</v>
      </c>
      <c r="D113" s="1582">
        <f>(IF(D112&gt;0,D86/(D108+D112),IF(D109&gt;0,D109,0)))</f>
        <v>0</v>
      </c>
      <c r="E113" s="1582">
        <f t="shared" ref="E113:AL113" si="292">+IFERROR(IF(E112&gt;0,E$86/(E$90+E$96+E$100+E$104+E$108+E$112),0),"N/A")</f>
        <v>0</v>
      </c>
      <c r="F113" s="1582">
        <f t="shared" si="292"/>
        <v>0</v>
      </c>
      <c r="G113" s="1582">
        <f t="shared" si="292"/>
        <v>0</v>
      </c>
      <c r="H113" s="1582">
        <f t="shared" si="292"/>
        <v>0</v>
      </c>
      <c r="I113" s="1582">
        <f t="shared" si="292"/>
        <v>0</v>
      </c>
      <c r="J113" s="1582">
        <f t="shared" si="292"/>
        <v>0</v>
      </c>
      <c r="K113" s="1582">
        <f t="shared" si="292"/>
        <v>0</v>
      </c>
      <c r="L113" s="1582">
        <f t="shared" si="292"/>
        <v>0</v>
      </c>
      <c r="M113" s="1582">
        <f t="shared" si="292"/>
        <v>0</v>
      </c>
      <c r="N113" s="1582">
        <f t="shared" si="292"/>
        <v>0</v>
      </c>
      <c r="O113" s="1582">
        <f t="shared" si="292"/>
        <v>0</v>
      </c>
      <c r="P113" s="1582">
        <f t="shared" si="292"/>
        <v>0</v>
      </c>
      <c r="Q113" s="1582">
        <f t="shared" si="292"/>
        <v>0</v>
      </c>
      <c r="R113" s="1582">
        <f t="shared" si="292"/>
        <v>0</v>
      </c>
      <c r="S113" s="1582">
        <f t="shared" si="292"/>
        <v>0</v>
      </c>
      <c r="T113" s="1582">
        <f t="shared" si="292"/>
        <v>0</v>
      </c>
      <c r="U113" s="1582">
        <f t="shared" si="292"/>
        <v>0</v>
      </c>
      <c r="V113" s="1582">
        <f t="shared" si="292"/>
        <v>0</v>
      </c>
      <c r="W113" s="1582">
        <f t="shared" si="292"/>
        <v>0</v>
      </c>
      <c r="X113" s="1582">
        <f t="shared" si="292"/>
        <v>0</v>
      </c>
      <c r="Y113" s="1582">
        <f t="shared" si="292"/>
        <v>0</v>
      </c>
      <c r="Z113" s="1582">
        <f t="shared" si="292"/>
        <v>0</v>
      </c>
      <c r="AA113" s="1582">
        <f t="shared" si="292"/>
        <v>0</v>
      </c>
      <c r="AB113" s="1582">
        <f t="shared" si="292"/>
        <v>0</v>
      </c>
      <c r="AC113" s="1582">
        <f t="shared" si="292"/>
        <v>0</v>
      </c>
      <c r="AD113" s="1582">
        <f t="shared" si="292"/>
        <v>0</v>
      </c>
      <c r="AE113" s="1582">
        <f t="shared" si="292"/>
        <v>0</v>
      </c>
      <c r="AF113" s="1582">
        <f t="shared" si="292"/>
        <v>0</v>
      </c>
      <c r="AG113" s="1582">
        <f t="shared" si="292"/>
        <v>0</v>
      </c>
      <c r="AH113" s="1582">
        <f t="shared" si="292"/>
        <v>0</v>
      </c>
      <c r="AI113" s="1582">
        <f t="shared" si="292"/>
        <v>0</v>
      </c>
      <c r="AJ113" s="1582">
        <f t="shared" si="292"/>
        <v>0</v>
      </c>
      <c r="AK113" s="1582">
        <f t="shared" si="292"/>
        <v>0</v>
      </c>
      <c r="AL113" s="1582">
        <f t="shared" si="292"/>
        <v>0</v>
      </c>
      <c r="AM113" s="1178"/>
      <c r="CA113" s="9"/>
      <c r="CB113" s="9"/>
      <c r="CC113" s="9"/>
      <c r="CD113" s="9"/>
    </row>
    <row r="114" spans="2:82" ht="14.5" customHeight="1">
      <c r="B114" s="1626"/>
      <c r="C114" s="1570" t="s">
        <v>4493</v>
      </c>
      <c r="D114" s="1583">
        <f>D110-D112</f>
        <v>0</v>
      </c>
      <c r="E114" s="1583">
        <f t="shared" ref="E114:Y114" si="293">E110-E112</f>
        <v>0</v>
      </c>
      <c r="F114" s="1583">
        <f t="shared" si="293"/>
        <v>0</v>
      </c>
      <c r="G114" s="1583">
        <f t="shared" si="293"/>
        <v>0</v>
      </c>
      <c r="H114" s="1583">
        <f t="shared" si="293"/>
        <v>0</v>
      </c>
      <c r="I114" s="1583">
        <f t="shared" si="293"/>
        <v>0</v>
      </c>
      <c r="J114" s="1583">
        <f t="shared" si="293"/>
        <v>0</v>
      </c>
      <c r="K114" s="1583">
        <f t="shared" si="293"/>
        <v>0</v>
      </c>
      <c r="L114" s="1583">
        <f t="shared" si="293"/>
        <v>0</v>
      </c>
      <c r="M114" s="1583">
        <f t="shared" si="293"/>
        <v>0</v>
      </c>
      <c r="N114" s="1583">
        <f t="shared" si="293"/>
        <v>0</v>
      </c>
      <c r="O114" s="1583">
        <f t="shared" si="293"/>
        <v>0</v>
      </c>
      <c r="P114" s="1583">
        <f t="shared" si="293"/>
        <v>0</v>
      </c>
      <c r="Q114" s="1583">
        <f t="shared" si="293"/>
        <v>0</v>
      </c>
      <c r="R114" s="1583">
        <f t="shared" si="293"/>
        <v>0</v>
      </c>
      <c r="S114" s="1583">
        <f t="shared" si="293"/>
        <v>0</v>
      </c>
      <c r="T114" s="1583">
        <f t="shared" si="293"/>
        <v>0</v>
      </c>
      <c r="U114" s="1583">
        <f t="shared" si="293"/>
        <v>0</v>
      </c>
      <c r="V114" s="1583">
        <f t="shared" si="293"/>
        <v>0</v>
      </c>
      <c r="W114" s="1583">
        <f t="shared" si="293"/>
        <v>0</v>
      </c>
      <c r="X114" s="1583">
        <f t="shared" si="293"/>
        <v>0</v>
      </c>
      <c r="Y114" s="1583">
        <f t="shared" si="293"/>
        <v>0</v>
      </c>
      <c r="Z114" s="1583">
        <f t="shared" ref="Z114:AJ114" si="294">Z110-Z112</f>
        <v>0</v>
      </c>
      <c r="AA114" s="1583">
        <f t="shared" si="294"/>
        <v>0</v>
      </c>
      <c r="AB114" s="1583">
        <f t="shared" si="294"/>
        <v>0</v>
      </c>
      <c r="AC114" s="1583">
        <f t="shared" si="294"/>
        <v>0</v>
      </c>
      <c r="AD114" s="1583">
        <f t="shared" si="294"/>
        <v>0</v>
      </c>
      <c r="AE114" s="1583">
        <f t="shared" si="294"/>
        <v>0</v>
      </c>
      <c r="AF114" s="1583">
        <f t="shared" si="294"/>
        <v>0</v>
      </c>
      <c r="AG114" s="1583">
        <f t="shared" si="294"/>
        <v>0</v>
      </c>
      <c r="AH114" s="1583">
        <f t="shared" si="294"/>
        <v>0</v>
      </c>
      <c r="AI114" s="1583">
        <f t="shared" si="294"/>
        <v>0</v>
      </c>
      <c r="AJ114" s="1583">
        <f t="shared" si="294"/>
        <v>0</v>
      </c>
      <c r="AK114" s="1583">
        <f t="shared" ref="AK114:AL114" si="295">AK110-AK112</f>
        <v>0</v>
      </c>
      <c r="AL114" s="1583">
        <f t="shared" si="295"/>
        <v>0</v>
      </c>
      <c r="AM114" s="1178"/>
      <c r="CA114" s="9"/>
      <c r="CB114" s="9"/>
      <c r="CC114" s="9"/>
      <c r="CD114" s="9"/>
    </row>
    <row r="115" spans="2:82" ht="14.5" customHeight="1">
      <c r="B115" s="1626"/>
      <c r="C115" s="1587"/>
      <c r="D115" s="1588"/>
      <c r="E115" s="1588"/>
      <c r="F115" s="1588"/>
      <c r="G115" s="1588"/>
      <c r="H115" s="1588"/>
      <c r="I115" s="1588"/>
      <c r="J115" s="1588"/>
      <c r="K115" s="1588"/>
      <c r="L115" s="1588"/>
      <c r="M115" s="1588"/>
      <c r="N115" s="1588"/>
      <c r="O115" s="1588"/>
      <c r="P115" s="1588"/>
      <c r="Q115" s="1588"/>
      <c r="R115" s="1588"/>
      <c r="S115" s="1588"/>
      <c r="T115" s="1588"/>
      <c r="U115" s="1588"/>
      <c r="V115" s="1588"/>
      <c r="W115" s="1588"/>
      <c r="X115" s="1588"/>
      <c r="Y115" s="1589"/>
      <c r="Z115" s="1589"/>
      <c r="AA115" s="1589"/>
      <c r="AB115" s="1589"/>
      <c r="AC115" s="1589"/>
      <c r="AD115" s="1589"/>
      <c r="AE115" s="1589"/>
      <c r="AF115" s="1589"/>
      <c r="AG115" s="1589"/>
      <c r="AH115" s="1589"/>
      <c r="AI115" s="1589"/>
      <c r="AJ115" s="1589"/>
      <c r="AK115" s="1589"/>
      <c r="AL115" s="1589"/>
      <c r="AM115" s="1178"/>
      <c r="CA115" s="9"/>
      <c r="CB115" s="9"/>
      <c r="CC115" s="9"/>
      <c r="CD115" s="9"/>
    </row>
    <row r="116" spans="2:82" ht="14.5" customHeight="1">
      <c r="B116" s="1626">
        <v>7</v>
      </c>
      <c r="C116" s="1570" t="str">
        <f>_xlfn.XLOOKUP(B116,'17. Cash Flow and Reserves'!$AU$121:$AU$130,'17. Cash Flow and Reserves'!$AS$121:$AS$130,"No Additional Must Pay Loans")</f>
        <v>No Additional Must Pay Loans</v>
      </c>
      <c r="D116" s="1581">
        <f>_xlfn.XLOOKUP(B116,'17. Cash Flow and Reserves'!$AU$121:$AU$133,'12. Funding Sources'!$N$11:$N$23,0)</f>
        <v>0</v>
      </c>
      <c r="E116" s="1581">
        <f t="shared" ref="E116:AK116" si="296">IF(F85&lt;=$AN$116,D116,IF(F85=$AN$116+1,$AO$116-($D$116*D85),0))</f>
        <v>0</v>
      </c>
      <c r="F116" s="1581">
        <f t="shared" si="296"/>
        <v>0</v>
      </c>
      <c r="G116" s="1581">
        <f t="shared" si="296"/>
        <v>0</v>
      </c>
      <c r="H116" s="1581">
        <f t="shared" si="296"/>
        <v>0</v>
      </c>
      <c r="I116" s="1581">
        <f t="shared" si="296"/>
        <v>0</v>
      </c>
      <c r="J116" s="1581">
        <f t="shared" si="296"/>
        <v>0</v>
      </c>
      <c r="K116" s="1581">
        <f t="shared" si="296"/>
        <v>0</v>
      </c>
      <c r="L116" s="1581">
        <f t="shared" si="296"/>
        <v>0</v>
      </c>
      <c r="M116" s="1581">
        <f t="shared" si="296"/>
        <v>0</v>
      </c>
      <c r="N116" s="1581">
        <f t="shared" si="296"/>
        <v>0</v>
      </c>
      <c r="O116" s="1581">
        <f t="shared" si="296"/>
        <v>0</v>
      </c>
      <c r="P116" s="1581">
        <f t="shared" si="296"/>
        <v>0</v>
      </c>
      <c r="Q116" s="1581">
        <f t="shared" si="296"/>
        <v>0</v>
      </c>
      <c r="R116" s="1581">
        <f t="shared" si="296"/>
        <v>0</v>
      </c>
      <c r="S116" s="1581">
        <f t="shared" si="296"/>
        <v>0</v>
      </c>
      <c r="T116" s="1581">
        <f t="shared" si="296"/>
        <v>0</v>
      </c>
      <c r="U116" s="1581">
        <f t="shared" si="296"/>
        <v>0</v>
      </c>
      <c r="V116" s="1581">
        <f t="shared" si="296"/>
        <v>0</v>
      </c>
      <c r="W116" s="1581">
        <f t="shared" si="296"/>
        <v>0</v>
      </c>
      <c r="X116" s="1581">
        <f t="shared" si="296"/>
        <v>0</v>
      </c>
      <c r="Y116" s="1581">
        <f t="shared" si="296"/>
        <v>0</v>
      </c>
      <c r="Z116" s="1581">
        <f t="shared" si="296"/>
        <v>0</v>
      </c>
      <c r="AA116" s="1581">
        <f t="shared" si="296"/>
        <v>0</v>
      </c>
      <c r="AB116" s="1581">
        <f t="shared" si="296"/>
        <v>0</v>
      </c>
      <c r="AC116" s="1581">
        <f t="shared" si="296"/>
        <v>0</v>
      </c>
      <c r="AD116" s="1581">
        <f t="shared" si="296"/>
        <v>0</v>
      </c>
      <c r="AE116" s="1581">
        <f t="shared" si="296"/>
        <v>0</v>
      </c>
      <c r="AF116" s="1581">
        <f t="shared" si="296"/>
        <v>0</v>
      </c>
      <c r="AG116" s="1581">
        <f t="shared" si="296"/>
        <v>0</v>
      </c>
      <c r="AH116" s="1581">
        <f t="shared" si="296"/>
        <v>0</v>
      </c>
      <c r="AI116" s="1581">
        <f t="shared" si="296"/>
        <v>0</v>
      </c>
      <c r="AJ116" s="1581">
        <f t="shared" si="296"/>
        <v>0</v>
      </c>
      <c r="AK116" s="1581">
        <f t="shared" si="296"/>
        <v>0</v>
      </c>
      <c r="AL116" s="1581">
        <f>IF(AM87&lt;=$AN$116,AK116,IF(AM87=$AN$116+1,$AO$116-($D$116*AK85),0))</f>
        <v>0</v>
      </c>
      <c r="AM116" s="1178"/>
      <c r="AN116" s="9">
        <f>_xlfn.XLOOKUP(B116,'17. Cash Flow and Reserves'!$AU$121:$AU$130,'12. Funding Sources'!$L$11:$L$20,36)</f>
        <v>36</v>
      </c>
      <c r="AO116" s="9">
        <f>_xlfn.XLOOKUP(B116,'17. Cash Flow and Reserves'!$AU$121:$AU$130,'12. Funding Sources'!$N$11:$N$20,0)*AN116</f>
        <v>0</v>
      </c>
      <c r="CA116" s="9"/>
      <c r="CB116" s="9"/>
      <c r="CC116" s="9"/>
      <c r="CD116" s="9"/>
    </row>
    <row r="117" spans="2:82" ht="14.5" customHeight="1">
      <c r="B117" s="1626"/>
      <c r="C117" s="1570" t="s">
        <v>4489</v>
      </c>
      <c r="D117" s="1582">
        <f>(IF(D116&gt;0,D86/(D112+D116),IF(D113&gt;0,D113,0)))</f>
        <v>0</v>
      </c>
      <c r="E117" s="1582">
        <f t="shared" ref="E117:AL117" si="297">+IFERROR(IF(E116&gt;0,E$86/(E$90+E$96+E$100+E$104+E$108+E$112+E$116),0),"N/A")</f>
        <v>0</v>
      </c>
      <c r="F117" s="1582">
        <f t="shared" si="297"/>
        <v>0</v>
      </c>
      <c r="G117" s="1582">
        <f t="shared" si="297"/>
        <v>0</v>
      </c>
      <c r="H117" s="1582">
        <f t="shared" si="297"/>
        <v>0</v>
      </c>
      <c r="I117" s="1582">
        <f t="shared" si="297"/>
        <v>0</v>
      </c>
      <c r="J117" s="1582">
        <f t="shared" si="297"/>
        <v>0</v>
      </c>
      <c r="K117" s="1582">
        <f t="shared" si="297"/>
        <v>0</v>
      </c>
      <c r="L117" s="1582">
        <f t="shared" si="297"/>
        <v>0</v>
      </c>
      <c r="M117" s="1582">
        <f t="shared" si="297"/>
        <v>0</v>
      </c>
      <c r="N117" s="1582">
        <f t="shared" si="297"/>
        <v>0</v>
      </c>
      <c r="O117" s="1582">
        <f t="shared" si="297"/>
        <v>0</v>
      </c>
      <c r="P117" s="1582">
        <f t="shared" si="297"/>
        <v>0</v>
      </c>
      <c r="Q117" s="1582">
        <f t="shared" si="297"/>
        <v>0</v>
      </c>
      <c r="R117" s="1582">
        <f t="shared" si="297"/>
        <v>0</v>
      </c>
      <c r="S117" s="1582">
        <f t="shared" si="297"/>
        <v>0</v>
      </c>
      <c r="T117" s="1582">
        <f t="shared" si="297"/>
        <v>0</v>
      </c>
      <c r="U117" s="1582">
        <f t="shared" si="297"/>
        <v>0</v>
      </c>
      <c r="V117" s="1582">
        <f t="shared" si="297"/>
        <v>0</v>
      </c>
      <c r="W117" s="1582">
        <f t="shared" si="297"/>
        <v>0</v>
      </c>
      <c r="X117" s="1582">
        <f t="shared" si="297"/>
        <v>0</v>
      </c>
      <c r="Y117" s="1582">
        <f t="shared" si="297"/>
        <v>0</v>
      </c>
      <c r="Z117" s="1582">
        <f t="shared" si="297"/>
        <v>0</v>
      </c>
      <c r="AA117" s="1582">
        <f t="shared" si="297"/>
        <v>0</v>
      </c>
      <c r="AB117" s="1582">
        <f t="shared" si="297"/>
        <v>0</v>
      </c>
      <c r="AC117" s="1582">
        <f t="shared" si="297"/>
        <v>0</v>
      </c>
      <c r="AD117" s="1582">
        <f t="shared" si="297"/>
        <v>0</v>
      </c>
      <c r="AE117" s="1582">
        <f t="shared" si="297"/>
        <v>0</v>
      </c>
      <c r="AF117" s="1582">
        <f t="shared" si="297"/>
        <v>0</v>
      </c>
      <c r="AG117" s="1582">
        <f t="shared" si="297"/>
        <v>0</v>
      </c>
      <c r="AH117" s="1582">
        <f t="shared" si="297"/>
        <v>0</v>
      </c>
      <c r="AI117" s="1582">
        <f t="shared" si="297"/>
        <v>0</v>
      </c>
      <c r="AJ117" s="1582">
        <f t="shared" si="297"/>
        <v>0</v>
      </c>
      <c r="AK117" s="1582">
        <f t="shared" si="297"/>
        <v>0</v>
      </c>
      <c r="AL117" s="1582">
        <f t="shared" si="297"/>
        <v>0</v>
      </c>
      <c r="AM117" s="1178"/>
      <c r="CA117" s="9"/>
      <c r="CB117" s="9"/>
      <c r="CC117" s="9"/>
      <c r="CD117" s="9"/>
    </row>
    <row r="118" spans="2:82" ht="14.5" customHeight="1">
      <c r="B118" s="1626"/>
      <c r="C118" s="1570" t="s">
        <v>4493</v>
      </c>
      <c r="D118" s="1590">
        <f>D114-D116</f>
        <v>0</v>
      </c>
      <c r="E118" s="1590">
        <f t="shared" ref="E118:Y118" si="298">E114-E116</f>
        <v>0</v>
      </c>
      <c r="F118" s="1590">
        <f t="shared" si="298"/>
        <v>0</v>
      </c>
      <c r="G118" s="1590">
        <f t="shared" si="298"/>
        <v>0</v>
      </c>
      <c r="H118" s="1590">
        <f t="shared" si="298"/>
        <v>0</v>
      </c>
      <c r="I118" s="1590">
        <f>I114-I116</f>
        <v>0</v>
      </c>
      <c r="J118" s="1590">
        <f t="shared" si="298"/>
        <v>0</v>
      </c>
      <c r="K118" s="1590">
        <f t="shared" si="298"/>
        <v>0</v>
      </c>
      <c r="L118" s="1590">
        <f t="shared" si="298"/>
        <v>0</v>
      </c>
      <c r="M118" s="1590">
        <f t="shared" si="298"/>
        <v>0</v>
      </c>
      <c r="N118" s="1590">
        <f t="shared" si="298"/>
        <v>0</v>
      </c>
      <c r="O118" s="1590">
        <f t="shared" si="298"/>
        <v>0</v>
      </c>
      <c r="P118" s="1590">
        <f t="shared" si="298"/>
        <v>0</v>
      </c>
      <c r="Q118" s="1590">
        <f t="shared" si="298"/>
        <v>0</v>
      </c>
      <c r="R118" s="1590">
        <f t="shared" si="298"/>
        <v>0</v>
      </c>
      <c r="S118" s="1590">
        <f t="shared" si="298"/>
        <v>0</v>
      </c>
      <c r="T118" s="1590">
        <f t="shared" si="298"/>
        <v>0</v>
      </c>
      <c r="U118" s="1590">
        <f t="shared" si="298"/>
        <v>0</v>
      </c>
      <c r="V118" s="1590">
        <f t="shared" si="298"/>
        <v>0</v>
      </c>
      <c r="W118" s="1590">
        <f t="shared" si="298"/>
        <v>0</v>
      </c>
      <c r="X118" s="1590">
        <f t="shared" si="298"/>
        <v>0</v>
      </c>
      <c r="Y118" s="1590">
        <f t="shared" si="298"/>
        <v>0</v>
      </c>
      <c r="Z118" s="1590">
        <f t="shared" ref="Z118:AJ118" si="299">Z114-Z116</f>
        <v>0</v>
      </c>
      <c r="AA118" s="1590">
        <f t="shared" si="299"/>
        <v>0</v>
      </c>
      <c r="AB118" s="1590">
        <f t="shared" si="299"/>
        <v>0</v>
      </c>
      <c r="AC118" s="1590">
        <f t="shared" si="299"/>
        <v>0</v>
      </c>
      <c r="AD118" s="1590">
        <f t="shared" si="299"/>
        <v>0</v>
      </c>
      <c r="AE118" s="1590">
        <f t="shared" si="299"/>
        <v>0</v>
      </c>
      <c r="AF118" s="1590">
        <f t="shared" si="299"/>
        <v>0</v>
      </c>
      <c r="AG118" s="1590">
        <f t="shared" si="299"/>
        <v>0</v>
      </c>
      <c r="AH118" s="1590">
        <f t="shared" si="299"/>
        <v>0</v>
      </c>
      <c r="AI118" s="1590">
        <f t="shared" si="299"/>
        <v>0</v>
      </c>
      <c r="AJ118" s="1590">
        <f t="shared" si="299"/>
        <v>0</v>
      </c>
      <c r="AK118" s="1590">
        <f t="shared" ref="AK118:AL118" si="300">AK114-AK116</f>
        <v>0</v>
      </c>
      <c r="AL118" s="1590">
        <f t="shared" si="300"/>
        <v>0</v>
      </c>
      <c r="AM118" s="1178"/>
      <c r="BO118" s="9">
        <f>IF(AND($AN$122&gt;BN121,$C$127=$BD$121),(D$127),IF(AND($AN$122&gt;BN121,$C$127=$BD$122),(D$127),IF(AND($AN$122&gt;BN121,$C$127=$BD$123),(D$127),IF(AND($AN$122&gt;BN121,$C$127=$BD$124),(D$126),IF(AND($AN$122&gt;BN121,$C$127=$BD$125),(D$127),0)))))</f>
        <v>0</v>
      </c>
      <c r="CA118" s="9"/>
      <c r="CB118" s="9"/>
      <c r="CC118" s="9"/>
      <c r="CD118" s="9"/>
    </row>
    <row r="119" spans="2:82" ht="110.25" customHeight="1">
      <c r="B119" s="1626"/>
      <c r="C119" s="2292" t="s">
        <v>4494</v>
      </c>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1178"/>
      <c r="AP119" s="9" t="b">
        <f>IF(AND($C$122=$BD$124,$AO$123&lt;0),TRUE,FALSE)</f>
        <v>0</v>
      </c>
      <c r="BJ119" s="2269" t="s">
        <v>4495</v>
      </c>
      <c r="BK119" s="2269"/>
      <c r="BL119" s="2269"/>
      <c r="BP119" s="9" t="s">
        <v>4496</v>
      </c>
      <c r="BV119" s="9" t="s">
        <v>4497</v>
      </c>
      <c r="CA119" s="9"/>
      <c r="CB119" s="9"/>
      <c r="CC119" s="9"/>
      <c r="CD119" s="9"/>
    </row>
    <row r="120" spans="2:82" s="1128" customFormat="1" ht="35.25" customHeight="1">
      <c r="B120" s="1626"/>
      <c r="C120" s="1591" t="s">
        <v>4498</v>
      </c>
      <c r="D120" s="1592">
        <f>IF(OR(C122=BD122,C122=BD124),"Input Desired Annual Payment Amount      1",IF(C122=BD123,"Input Desired % of Cashflow                   1", 1))</f>
        <v>1</v>
      </c>
      <c r="E120" s="1592">
        <f>IF($C$122=$BD$124,"Input Desired Annual Payment Amount      2",2)</f>
        <v>2</v>
      </c>
      <c r="F120" s="1592">
        <f>IF($C$122=$BD$124,"Input Desired Annual Payment Amount      3",3)</f>
        <v>3</v>
      </c>
      <c r="G120" s="1593">
        <f>IF($C$122=$BD$124,"Input Desired Annual Payment Amount      4",4)</f>
        <v>4</v>
      </c>
      <c r="H120" s="1592">
        <f>IF($C$122=$BD$124,"Input Desired Annual Payment Amount      5",5)</f>
        <v>5</v>
      </c>
      <c r="I120" s="1593">
        <f>IF($C$122=$BD$124,"Input Desired Annual Payment Amount      6",6)</f>
        <v>6</v>
      </c>
      <c r="J120" s="1594">
        <f>IF($C$122=$BD$124,"Input Desired Annual Payment Amount      7",7)</f>
        <v>7</v>
      </c>
      <c r="K120" s="1593">
        <f>IF($C$122=$BD$124,"Input Desired Annual Payment Amount      8",8)</f>
        <v>8</v>
      </c>
      <c r="L120" s="1593">
        <f>IF($C$122=$BD$124,"Input Desired Annual Payment Amount      9",9)</f>
        <v>9</v>
      </c>
      <c r="M120" s="1593">
        <f>IF($C$122=$BD$124,"Input Desired Annual Payment Amount      10",10)</f>
        <v>10</v>
      </c>
      <c r="N120" s="1593">
        <f>IF($C$122=$BD$124,"Input Desired Annual Payment Amount      11",11)</f>
        <v>11</v>
      </c>
      <c r="O120" s="1593">
        <f>IF($C$122=$BD$124,"Input Desired Annual Payment Amount      12",12)</f>
        <v>12</v>
      </c>
      <c r="P120" s="1593">
        <f>IF($C$122=$BD$124,"Input Desired Annual Payment Amount      13",13)</f>
        <v>13</v>
      </c>
      <c r="Q120" s="1593">
        <f>IF($C$122=$BD$124,"Input Desired Annual Payment Amount      14",14)</f>
        <v>14</v>
      </c>
      <c r="R120" s="1593">
        <f>IF($C$122=$BD$124,"Input Desired Annual Payment Amount      15",15)</f>
        <v>15</v>
      </c>
      <c r="S120" s="1593">
        <f>IF($C$122=$BD$124,"Input Desired Annual Payment Amount      16",16)</f>
        <v>16</v>
      </c>
      <c r="T120" s="1593">
        <f>IF($C$122=$BD$124,"Input Desired Annual Payment Amount      17",17)</f>
        <v>17</v>
      </c>
      <c r="U120" s="1593">
        <f>IF($C$122=$BD$124,"Input Desired Annual Payment Amount      18",18)</f>
        <v>18</v>
      </c>
      <c r="V120" s="1593">
        <f>IF($C$122=$BD$124,"Input Desired Annual Payment Amount      19",19)</f>
        <v>19</v>
      </c>
      <c r="W120" s="1593">
        <f>IF($C$122=$BD$124,"Input Desired Annual Payment Amount      20",20)</f>
        <v>20</v>
      </c>
      <c r="X120" s="1593">
        <f>IF($C$122=$BD$124,"Input Desired Annual Payment Amount      21",21)</f>
        <v>21</v>
      </c>
      <c r="Y120" s="1593">
        <f>IF($C$122=$BD$124,"Input Desired Annual Payment Amount      22",22)</f>
        <v>22</v>
      </c>
      <c r="Z120" s="1593">
        <f>IF($C$122=$BD$124,"Input Desired Annual Payment Amount      23",23)</f>
        <v>23</v>
      </c>
      <c r="AA120" s="1593">
        <f>IF($C$122=$BD$124,"Input Desired Annual Payment Amount      24",24)</f>
        <v>24</v>
      </c>
      <c r="AB120" s="1593">
        <f>IF($C$122=$BD$124,"Input Desired Annual Payment Amount      25",25)</f>
        <v>25</v>
      </c>
      <c r="AC120" s="1593">
        <f>IF($C$122=$BD$124,"Input Desired Annual Payment Amount      26",26)</f>
        <v>26</v>
      </c>
      <c r="AD120" s="1593">
        <f>IF($C$122=$BD$124,"Input Desired Annual Payment Amount      27",27)</f>
        <v>27</v>
      </c>
      <c r="AE120" s="1593">
        <f>IF($C$122=$BD$124,"Input Desired Annual Payment Amount      28",28)</f>
        <v>28</v>
      </c>
      <c r="AF120" s="1593">
        <f>IF($C$122=$BD$124,"Input Desired Annual Payment Amount      29",29)</f>
        <v>29</v>
      </c>
      <c r="AG120" s="1593">
        <f>IF($C$122=$BD$124,"Input Desired Annual Payment Amount      30",30)</f>
        <v>30</v>
      </c>
      <c r="AH120" s="1593">
        <f>IF($C$122=$BD$124,"Input Desired Annual Payment Amount      31",31)</f>
        <v>31</v>
      </c>
      <c r="AI120" s="1593">
        <f>IF($C$122=$BD$124,"Input Desired Annual Payment Amount      32",32)</f>
        <v>32</v>
      </c>
      <c r="AJ120" s="1593">
        <f>IF($C$122=$BD$124,"Input Desired Annual Payment Amount      33",33)</f>
        <v>33</v>
      </c>
      <c r="AK120" s="1593">
        <f>IF($C$122=$BD$124,"Input Desired Annual Payment Amount      34",34)</f>
        <v>34</v>
      </c>
      <c r="AL120" s="1593">
        <f>IF($C$122=$BD$124,"Input Desired Annual Payment Amount      35",35)</f>
        <v>35</v>
      </c>
      <c r="AM120" s="1595"/>
      <c r="AN120" s="1492"/>
      <c r="AO120" s="1492"/>
      <c r="AP120" s="1492"/>
      <c r="AQ120" s="1492"/>
      <c r="AR120" s="1492"/>
      <c r="AS120" s="1492"/>
      <c r="AT120" s="1492"/>
      <c r="AU120" s="1492"/>
      <c r="AV120" s="1492"/>
      <c r="AW120" s="1492"/>
      <c r="AX120" s="1492"/>
      <c r="AY120" s="1492"/>
      <c r="AZ120" s="1492"/>
      <c r="BA120" s="1492"/>
      <c r="BB120" s="1502" t="s">
        <v>4499</v>
      </c>
      <c r="BC120" s="1502"/>
      <c r="BD120" s="1503" t="s">
        <v>4500</v>
      </c>
      <c r="BE120" s="1492"/>
      <c r="BF120" s="1492" t="s">
        <v>4501</v>
      </c>
      <c r="BG120" s="1492"/>
      <c r="BH120" s="1492"/>
      <c r="BI120" s="1504" t="s">
        <v>4502</v>
      </c>
      <c r="BJ120" s="1504"/>
      <c r="BK120" s="1504"/>
      <c r="BL120" s="1504">
        <f>AO121</f>
        <v>0</v>
      </c>
      <c r="BM120" s="1505">
        <f>BL120*($AQ$122+1)</f>
        <v>0</v>
      </c>
      <c r="BN120" s="1492"/>
      <c r="BO120" s="1504" t="s">
        <v>4502</v>
      </c>
      <c r="BP120" s="1504"/>
      <c r="BQ120" s="1504"/>
      <c r="BR120" s="1504">
        <f>AO126</f>
        <v>0</v>
      </c>
      <c r="BS120" s="1506">
        <f>BR120*($AQ$122+1)</f>
        <v>0</v>
      </c>
      <c r="BT120" s="1492"/>
      <c r="BU120" s="1504" t="s">
        <v>4502</v>
      </c>
      <c r="BV120" s="1504"/>
      <c r="BW120" s="1504"/>
      <c r="BX120" s="1504">
        <f>AO131</f>
        <v>0</v>
      </c>
      <c r="BY120" s="1506">
        <f>BX120*($AQ$132+1)</f>
        <v>0</v>
      </c>
      <c r="BZ120" s="1492"/>
      <c r="CA120" s="1492"/>
      <c r="CB120" s="1492"/>
      <c r="CC120" s="1492"/>
      <c r="CD120" s="1492"/>
    </row>
    <row r="121" spans="2:82">
      <c r="B121" s="1626">
        <v>11</v>
      </c>
      <c r="C121" s="1596"/>
      <c r="D121" s="1597"/>
      <c r="E121" s="1597"/>
      <c r="F121" s="1597"/>
      <c r="G121" s="1597"/>
      <c r="H121" s="1597"/>
      <c r="I121" s="159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174"/>
      <c r="AO121" s="1159">
        <f>_xlfn.XLOOKUP(C121,'12. Funding Sources'!C11:C23,'12. Funding Sources'!E11:E23,0)</f>
        <v>0</v>
      </c>
      <c r="AS121" s="1507" t="str">
        <f>_xlfn.CONCAT("Proposed Annual Debt Service - ",Source_1)</f>
        <v>Proposed Annual Debt Service - WHEDA Loan</v>
      </c>
      <c r="AT121" s="1508" t="e">
        <f>-PMT(Rate_1,Term_1,Amount_1)</f>
        <v>#NUM!</v>
      </c>
      <c r="AU121" s="1507">
        <f>IF(Annual_DSC_1&gt;0,1,0)</f>
        <v>0</v>
      </c>
      <c r="AV121" s="1507">
        <f>MAX(AU121)</f>
        <v>0</v>
      </c>
      <c r="AW121" s="1509">
        <v>1</v>
      </c>
      <c r="AX121" s="9">
        <f>IF(OR('12. Funding Sources'!J11='12. Funding Sources'!$R$12,'12. Funding Sources'!J11='12. Funding Sources'!$R$13),11,0)</f>
        <v>0</v>
      </c>
      <c r="AY121" s="1507">
        <v>10</v>
      </c>
      <c r="AZ121" s="1507">
        <v>11</v>
      </c>
      <c r="BA121" s="9" t="str">
        <f>_xlfn.XLOOKUP(AZ121,$AX$121:$AX$133,'12. Funding Sources'!$C$11:$C$23,"")</f>
        <v/>
      </c>
      <c r="BB121" s="1507">
        <f>C121</f>
        <v>0</v>
      </c>
      <c r="BC121" s="1507" t="str" cm="1">
        <f t="array" ref="BC121">_xlfn._xlws.FILTER(BA121:BA133,COUNTIF(BB121:BB133,BA121:BA133)=0,"No Additional Loans")</f>
        <v>No Additional Loans</v>
      </c>
      <c r="BD121" s="9" t="s">
        <v>4503</v>
      </c>
      <c r="BF121" s="673" t="e">
        <f>-IPMT(Rate_1,1,Term_1,Amount_1)</f>
        <v>#NUM!</v>
      </c>
      <c r="BH121" s="9">
        <v>1</v>
      </c>
      <c r="BI121" s="1510">
        <f>IF(AND($AN$122&gt;BH121,$C$122=$BD$121),(D$122),IF(AND($AN$122&gt;BH121,$C$122=$BD$122),(D$122),IF(AND($AN$122&gt;BH121,$C$122=$BD$123),(D$122),IF(AND($AN$122&gt;BH121,$C$122=$BD$124),(D$121),IF(AND($AN$122&gt;BH121,$C$122=$BD$125),(D$122),0)))))</f>
        <v>0</v>
      </c>
      <c r="BJ121" s="1510">
        <v>0</v>
      </c>
      <c r="BK121" s="1510">
        <v>0</v>
      </c>
      <c r="BL121" s="1510">
        <f>IF(AND($AN$122&gt;BH121,$AP$122&gt;=BI121),(((BL120+($AP$122-BI121))*($AQ$122+1))-BI121),IF(AND($AN$122&gt;BH121,$AP$122&lt;=BI121),((BL120*($AQ$122+1))-BI121),IF($AN$122&lt;=BL120,BL120,0)))</f>
        <v>0</v>
      </c>
      <c r="BM121" s="1505">
        <f>BL120*($AQ$122+1)</f>
        <v>0</v>
      </c>
      <c r="BN121" s="9">
        <v>1</v>
      </c>
      <c r="BO121" s="1510">
        <f>IF(AND($AN$127&gt;BN121,$C$127=$BD$121),(D$127),IF(AND($AN$127&gt;BN121,$C$127=$BD$122),(D$127),IF(AND($AN$127&gt;BN121,$C$127=$BD$123),(D$127),IF(AND($AN$127&gt;BN121,$C$127=$BD$124),(D$126),IF(AND($AN$127&gt;BN121,$C$127=$BD$125),(D$127),0)))))</f>
        <v>0</v>
      </c>
      <c r="BP121" s="1510">
        <v>0</v>
      </c>
      <c r="BQ121" s="1510">
        <v>0</v>
      </c>
      <c r="BR121" s="1510">
        <f t="shared" ref="BR121:BR155" si="301">IF(AND($AN$127&gt;BN121,$AP$127&gt;=BO121),(((BR120+($AP$127-BO121))*($AQ$127+1))-BO121),IF(AND($AN$127&gt;BN121,$AP$127&lt;=BO121),((BR120*($AQ$127+1))-BO121),IF($AN$127&lt;=BR120,BR120,0)))</f>
        <v>0</v>
      </c>
      <c r="BS121" s="1511">
        <f>BR120*($AQ$122+1)</f>
        <v>0</v>
      </c>
      <c r="BT121" s="9">
        <v>1</v>
      </c>
      <c r="BU121" s="1510">
        <f>IF(AND($AN$132&gt;BT121,$C$132=$BD$121),(D$132),IF(AND($AN$132&gt;BT121,$C$132=$BD$122),(D$132),IF(AND($AN$132&gt;BT121,$C$132=$BD$123),(D$132),IF(AND($AN$132&gt;BT121,$C$132=$BD$124),(D$131),IF(AND($AN$132&gt;BT121,$C$132=$BD$125),(D$132),0)))))</f>
        <v>0</v>
      </c>
      <c r="BV121" s="1510">
        <v>0</v>
      </c>
      <c r="BW121" s="1510">
        <v>0</v>
      </c>
      <c r="BX121" s="1510">
        <f t="shared" ref="BX121:BX155" si="302">IF(AND($AN$132&gt;BT121,$AP$132&gt;=BU121),(((BX120+($AP$132-BU121))*($AQ$132+1))-BU121),IF(AND($AN$132&gt;BT121,$AP$132&lt;=BU121),((BX120*($AQ$132+1))-BU121),IF($AN$132&lt;=BX120,BX120,0)))</f>
        <v>0</v>
      </c>
      <c r="BY121" s="1511">
        <f>BX120*($AQ$132+1)</f>
        <v>0</v>
      </c>
      <c r="CA121" s="9"/>
      <c r="CB121" s="9"/>
      <c r="CC121" s="9"/>
      <c r="CD121" s="9"/>
    </row>
    <row r="122" spans="2:82" ht="18.75" customHeight="1">
      <c r="B122" s="1626"/>
      <c r="C122" s="1661" t="s">
        <v>4500</v>
      </c>
      <c r="D122" s="1598">
        <f>IF($C122=$BD$125,$AP$122,IF(AND($C122=$BD$121,$AR$122&lt;=$D118),$AR$122,IF($C122=$BD$123,($D118*($D121/100)),IF(AND($C122=$BD$122,$D118&gt;=$D121),$D121,IF(AND($C122=$BD$122,$D118&lt;$D121),$D118,IF($C122=$BD$124,0,0))))))</f>
        <v>0</v>
      </c>
      <c r="E122" s="1598" t="b">
        <f>IF(AND($C$122=$BD$125,$E$89&lt;$AN$122),$AP$122,IF(AND($C$122=$BD$125,$E$89=$AN$122),$AO$122,IF(AND($C$122=$BD$125,$E$89&gt;$AN$122),0,IF($C$122=$BD$124,0,IF(AND($C$122=$BD$123,$E$89&lt;$AN$122,$BM$122&gt;=(($D$121/100)*$E$118)),(($D$121/100)*$E$118),IF(AND($C$122=$BD$123,$E$89&lt;$AN$122,$BM$122&lt;(($D$121/100)*$E$118)),$BM$122,IF(AND($C$122=$BD$123,$E$89=$AN$122),$AO$122,IF(AND($C$122=$BD$123,$E$89&gt;$AN$122),0,IF(AND($C$122=$BD$122,$D$122=0),0,IF(AND($C$122=$BD$121,$E$89&lt;$AN$122,$E$118&gt;=$AR$122),$AR$122,IF(AND($C$122=$BD$121,$E$89&lt;$AN$122,E118&lt;$AR$122),$E$118,IF(AND($C$122=$BD$121,E89=$AN$122),$AO$122,IF(AND($C$122=$BD$121,$E$89&gt;$AN$122),0,IF(AND($C$122=$BD$122,$E$89&lt;$AN$122,$E$118&gt;=$D$121,$BM$122&gt;=$D$121),$D$121,IF(AND($C$122=$BD$122,$E$89&lt;$AN$122,$E$118&gt;=$D$121,$BM$122&lt;$D$121),$BM$122,IF(AND($C$122=$BD$122,$E$89&lt;$AN$122,$E$118&lt;$D$121,$BM$122&lt;E118),$BM$122,IF(AND($C$122=$BD$122,$E$89&lt;$AN$122,$E$118&lt;$D$121,$BM$122&gt;E118),$E$118,IF(AND($C$122=$BD$122,$E$89=$AN$122),$AO$122,IF(AND($C$122=$BD$122,$E$89&gt;$AN$122),0)))))))))))))))))))</f>
        <v>0</v>
      </c>
      <c r="F122" s="1598" t="b">
        <f>IF(AND($C$122=$BD$125,F89&lt;$AN$122),$AP$122,IF(AND($C$122=$BD$125,F89=$AN$122),$AO$122,IF(AND($C$122=$BD$125,F89&gt;$AN$122),0,IF($C$122=$BD$124,0,IF(AND($C$122=$BD$123,F89&lt;$AN$122,$BM$123&gt;=(($D$121/100)*F118)),(($D$121/100)*F118),IF(AND($C$122=$BD$123,F89&lt;$AN$122,$BM$123&lt;(($D$121/100)*F118)),$BM$123,IF(AND($C$122=$BD$123,F89=$AN$122),$AO$122,IF(AND($C$122=$BD$123,F89&gt;$AN$122),0,IF(AND($C$122=$BD$121,F89&lt;$AN$122,F118&gt;=$AR$122),$AR$122,IF(AND($C$122=$BD$121,F89&lt;$AN$122,F118&lt;$AR$122),F118,IF(AND($C$122=$BD$121,F89=$AN$122),$AO$122,IF(AND($C$122=$BD$121,F89&gt;$AN$122),0,IF(AND($C$122=$BD$122,F89&lt;$AN$122,F118&gt;=$D$121,$BM$123&gt;=$D$121),$D$121,IF(AND($C$122=$BD$122,F89&lt;$AN$122,F118&gt;=$D$121,$BM$123&lt;$D$121),$BM$123,IF(AND($C$122=$BD$122,F89&lt;$AN$122,F118&lt;$D$121,$BM$123&lt;F118),$BM$123,IF(AND($C$122=$BD$122,F89&lt;$AN$122,F118&lt;$D$121,$BM$123&gt;F118),F118,IF(AND($C$122=$BD$122,F89=$AN$122),$AO$122,IF(AND($C$122=$BD$122,F89&gt;$AN$122),0))))))))))))))))))</f>
        <v>0</v>
      </c>
      <c r="G122" s="1598" t="b">
        <f>IF(AND($C$122=$BD$125,G89&lt;$AN$122),$AP$122,IF(AND($C$122=$BD$125,G89=$AN$122),$AO$122,IF(AND($C$122=$BD$125,G89&gt;$AN$122),0,IF($C$122=$BD$124,0,IF(AND($C$122=$BD$123,G89&lt;$AN$122,$BM$124&gt;=(($D$121/100)*G118)),(($D$121/100)*G118),IF(AND($C$122=$BD$123,G89&lt;$AN$122,$BM$124&lt;(($D$121/100)*G118)),$BM$124,IF(AND($C$122=$BD$123,G89=$AN$122),$AO$122,IF(AND($C$122=$BD$123,G89&gt;$AN$122),0,IF(AND($C$122=$BD$121,G89&lt;$AN$122,G118&gt;=$AR$122),$AR$122,IF(AND($C$122=$BD$121,G89&lt;$AN$122,G118&lt;$AR$122),G118,IF(AND($C$122=$BD$121,G89=$AN$122),$AO$122,IF(AND($C$122=$BD$121,G89&gt;$AN$122),0,IF(AND($C$122=$BD$122,G89&lt;$AN$122,G118&gt;=$D$121,$BM$124&gt;=$D$121),$D$121,IF(AND($C$122=$BD$122,G89&lt;$AN$122,G118&gt;=$D$121,$BM$124&lt;$D$121),$BM$124,IF(AND($C$122=$BD$122,G89&lt;$AN$122,G118&lt;$D$121,$BM$124&lt;G118),$BM$124,IF(AND($C$122=$BD$122,G89&lt;$AN$122,G118&lt;$D$121,$BM$124&gt;G118),G118,IF(AND($C$122=$BD$122,G89=$AN$122),$AO$122,IF(AND($C$122=$BD$122,G89&gt;$AN$122),0))))))))))))))))))</f>
        <v>0</v>
      </c>
      <c r="H122" s="1598" t="b">
        <f>IF(AND($C$122=$BD$125,H89&lt;$AN$122),$AP$122,IF(AND($C$122=$BD$125,H89=$AN$122),$AO$122,IF(AND($C$122=$BD$125,H89&gt;$AN$122),0,IF($C$122=$BD$124,0,IF(AND($C$122=$BD$123,H89&lt;$AN$122,$BM$125&gt;=(($D$121/100)*H118)),(($D$121/100)*H118),IF(AND($C$122=$BD$123,H89&lt;$AN$122,$BM$125&lt;(($D$121/100)*H118)),$BM$125,IF(AND($C$122=$BD$123,H89=$AN$122),$AO$122,IF(AND($C$122=$BD$123,H89&gt;$AN$122),0,IF(AND($C$122=$BD$121,H89&lt;$AN$122,H118&gt;=$AR$122),$AR$122,IF(AND($C$122=$BD$121,H89&lt;$AN$122,H118&lt;$AR$122),H118,IF(AND($C$122=$BD$121,H89=$AN$122),$AO$122,IF(AND($C$122=$BD$121,H89&gt;$AN$122),0,IF(AND($C$122=$BD$122,H89&lt;$AN$122,H118&gt;=$D$121,$BM$125&gt;=$D$121),$D$121,IF(AND($C$122=$BD$122,H89&lt;$AN$122,H118&gt;=$D$121,$BM$125&lt;$D$121),$BM$125,IF(AND($C$122=$BD$122,H89&lt;$AN$122,H118&lt;$D$121,$BM$125&lt;H118),$BM$125,IF(AND($C$122=$BD$122,H89&lt;$AN$122,H118&lt;$D$121,$BM$125&gt;H118),H118,IF(AND($C$122=$BD$122,H89=$AN$122),$AO$122,IF(AND($C$122=$BD$122,H89&gt;$AN$122),0))))))))))))))))))</f>
        <v>0</v>
      </c>
      <c r="I122" s="1598" t="b">
        <f>IF(AND($C$122=$BD$125,I89&lt;$AN$122),$AP$122,IF(AND($C$122=$BD$125,I89=$AN$122),$AO$122,IF(AND($C$122=$BD$125,I89&gt;$AN$122),0,IF($C$122=$BD$124,0,IF(AND($C$122=$BD$123,I89&lt;$AN$122,$BM$126&gt;=(($D$121/100)*I118)),(($D$121/100)*I118),IF(AND($C$122=$BD$123,I89&lt;$AN$122,$BM$126&lt;(($D$121/100)*I118)),$BM$126,IF(AND($C$122=$BD$123,I89=$AN$122),$AO$122,IF(AND($C$122=$BD$123,I89&gt;$AN$122),0,IF(AND($C$122=$BD$123,I89&lt;$AN$122,$BM$126&gt;=(($D$121/100)*I118)),(($D$121/100)*I118),IF(AND($C$122=$BD$123,I89&lt;$AN$122,$BM$126&lt;(($D$121/100)*I118)),$BM$126,IF(AND($C$122=$BD$123,I89=$AN$122),$AO$122,IF(AND($C$122=$BD$123,I89&gt;$AN$122),0,IF(AND($C$122=$BD$121,I89&lt;$AN$122,I118&gt;=$AR$122),$AR$122,IF(AND($C$122=$BD$121,I89&lt;$AN$122,I118&lt;$AR$122),I118,IF(AND($C$122=$BD$121,I89=$AN$122),$AO$122,IF(AND($C$122=$BD$121,I89&gt;$AN$122),0,IF(AND($C$122=$BD$122,I89&lt;$AN$122,I118&gt;=$D$121,$BM$126&gt;=$D$121),$D$121,IF(AND($C$122=$BD$122,I89&lt;$AN$122,I118&gt;=$D$121,$BM$126&lt;$D$121),$BM$126,IF(AND($C$122=$BD$122,I89&lt;$AN$122,I118&lt;$D$121,$BM$126&lt;I118),$BM$126,IF(AND($C$122=$BD$122,I89&lt;$AN$122,I118&lt;$D$121,$BM$126&gt;I118),I118,IF(AND($C$122=$BD$122,I89=$AN$122),$AO$122,IF(AND($C$122=$BD$122,I89&gt;$AN$122),0))))))))))))))))))))))</f>
        <v>0</v>
      </c>
      <c r="J122" s="1598" t="b">
        <f>IF(AND($C$122=$BD$125,J89&lt;$AN$122),$AP$122,IF(AND($C$122=$BD$125,J89=$AN$122),$AO$122,IF(AND($C$122=$BD$125,J89&gt;$AN$122),0,IF($C$122=$BD$124,0,IF(AND($C$122=$BD$123,J89&lt;$AN$122,$BM$127&gt;=(($D$121/100)*J118)),(($D$121/100)*J118),IF(AND($C$122=$BD$123,J89&lt;$AN$122,$BM$127&lt;(($D$121/100)*J118)),$BM$127,IF(AND($C$122=$BD$123,J89=$AN$122),$AO$122,IF(AND($C$122=$BD$123,J89&gt;$AN$122),0,IF(AND($C$122=$BD$121,J89&lt;$AN$122,J118&gt;=$AR$122),$AR$122,IF(AND($C$122=$BD$121,J89&lt;$AN$122,J118&lt;$AR$122),J118,IF(AND($C$122=$BD$121,J89=$AN$122),$AO$122,IF(AND($C$122=$BD$121,J89&gt;$AN$122),0,IF(AND($C$122=$BD$122,J89&lt;$AN$122,J118&gt;=$D$121,$BM$127&gt;=$D$121),$D$121,IF(AND($C$122=$BD$122,J89&lt;$AN$122,J118&gt;=$D$121,$BM$127&lt;$D$121),$BM$127,IF(AND($C$122=$BD$122,J89&lt;$AN$122,J118&lt;$D$121,$BM$127&lt;J118),$BM$127,IF(AND($C$122=$BD$122,J89&lt;$AN$122,J118&lt;$D$121,$BM$127&gt;J118),J118,IF(AND($C$122=$BD$122,J89=$AN$122),$AO$122,IF(AND($C$122=$BD$122,J89&gt;$AN$122),0))))))))))))))))))</f>
        <v>0</v>
      </c>
      <c r="K122" s="1598" t="b">
        <f>IF(AND($C$122=$BD$125,K89&lt;$AN$122),$AP$122,IF(AND($C$122=$BD$125,K89=$AN$122),$AO$122,IF(AND($C$122=$BD$125,K89&gt;$AN$122),0,IF($C$122=$BD$124,0,IF(AND($C$122=$BD$123,K89&lt;$AN$122,$BM$128&gt;=(($D$121/100)*K118)),(($D$121/100)*K118),IF(AND($C$122=$BD$123,K89&lt;$AN$122,$BM$128&lt;(($D$121/100)*K118)),$BM$128,IF(AND($C$122=$BD$123,K89=$AN$122),$AO$122,IF(AND($C$122=$BD$123,K89&gt;$AN$122),0,IF(AND($C$122=$BD$121,K89&lt;$AN$122,K118&gt;=$AR$122),$AR$122,IF(AND($C$122=$BD$121,K89&lt;$AN$122,K118&lt;$AR$122),K118,IF(AND($C$122=$BD$121,K89=$AN$122),$AO$122,IF(AND($C$122=$BD$121,K89&gt;$AN$122),0,IF(AND($C$122=$BD$122,K89&lt;$AN$122,K118&gt;=$D$121,$BM$128&gt;=$D$121),$D$121,IF(AND($C$122=$BD$122,K89&lt;$AN$122,K118&gt;=$D$121,$BM$128&lt;$D$121),$BM$128,IF(AND($C$122=$BD$122,K89&lt;$AN$122,K118&lt;$D$121,$BM$128&lt;K118),$BM$128,IF(AND($C$122=$BD$122,K89&lt;$AN$122,K118&lt;$D$121,$BM$128&gt;K118),K118,IF(AND($C$122=$BD$122,K89=$AN$122),$AO$122,IF(AND($C$122=$BD$122,K89&gt;$AN$122),0))))))))))))))))))</f>
        <v>0</v>
      </c>
      <c r="L122" s="1598" t="b">
        <f>IF(AND($C$122=$BD$125,L89&lt;$AN$122),$AP$122,IF(AND($C$122=$BD$125,L89=$AN$122),$AO$122,IF(AND($C$122=$BD$125,L89&gt;$AN$122),0,IF($C$122=$BD$124,0,IF(AND($C$122=$BD$123,L89&lt;$AN$122,$BM$129&gt;=(($D$121/100)*L118)),(($D$121/100)*L118),IF(AND($C$122=$BD$123,L89&lt;$AN$122,$BM$129&lt;(($D$121/100)*L118)),$BM$129,IF(AND($C$122=$BD$123,L89=$AN$122),$AO$122,IF(AND($C$122=$BD$123,L89&gt;$AN$122),0,IF(AND($C$122=$BD$121,L89&lt;$AN$122,L118&gt;=$AR$122),$AR$122,IF(AND($C$122=$BD$121,L89&lt;$AN$122,L118&lt;$AR$122),L118,IF(AND($C$122=$BD$121,L89=$AN$122),$AO$122,IF(AND($C$122=$BD$121,L89&gt;$AN$122),0,IF(AND($C$122=$BD$122,L89&lt;$AN$122,L118&gt;=$D$121,$BM$129&gt;=$D$121),$D$121,IF(AND($C$122=$BD$122,L89&lt;$AN$122,L118&gt;=$D$121,$BM$129&lt;$D$121),$BM$129,IF(AND($C$122=$BD$122,L89&lt;$AN$122,L118&lt;$D$121,$BM$129&lt;L118),$BM$129,IF(AND($C$122=$BD$122,L89&lt;$AN$122,L118&lt;$D$121,$BM$129&gt;L118),L118,IF(AND($C$122=$BD$122,L89=$AN$122),$AO$122,IF(AND($C$122=$BD$122,L89&gt;$AN$122),0))))))))))))))))))</f>
        <v>0</v>
      </c>
      <c r="M122" s="1598" t="b">
        <f>IF(AND($C$122=$BD$125,M89&lt;$AN$122),$AP$122,IF(AND($C$122=$BD$125,M89=$AN$122),$AO$122,IF(AND($C$122=$BD$125,M89&gt;$AN$122),0,IF($C$122=$BD$124,0,IF(AND($C$122=$BD$123,M89&lt;$AN$122,$BM$130&gt;=(($D$121/100)*M118)),(($D$121/100)*M118),IF(AND($C$122=$BD$123,M89&lt;$AN$122,$BM$130&lt;(($D$121/100)*M118)),$BM$130,IF(AND($C$122=$BD$123,M89=$AN$122),$AO$122,IF(AND($C$122=$BD$123,M89&gt;$AN$122),0,IF(AND($C$122=$BD$121,M89&lt;$AN$122,M118&gt;=$AR$122),$AR$122,IF(AND($C$122=$BD$121,M89&lt;$AN$122,M118&lt;$AR$122),M118,IF(AND($C$122=$BD$121,M89=$AN$122),$AO$122,IF(AND($C$122=$BD$121,M89&gt;$AN$122),0,IF(AND($C$122=$BD$122,M89&lt;$AN$122,M118&gt;=$D$121,$BM$130&gt;=$D$121),$D$121,IF(AND($C$122=$BD$122,M89&lt;$AN$122,M118&gt;=$D$121,$BM$130&lt;$D$121),$BM$130,IF(AND($C$122=$BD$122,M89&lt;$AN$122,M118&lt;$D$121,$BM$130&lt;M118),$BM$130,IF(AND($C$122=$BD$122,M89&lt;$AN$122,M118&lt;$D$121,$BM$130&gt;M118),M118,IF(AND($C$122=$BD$122,M89=$AN$122),$AO$122,IF(AND($C$122=$BD$122,M89&gt;$AN$122),0))))))))))))))))))</f>
        <v>0</v>
      </c>
      <c r="N122" s="1598" t="b">
        <f>IF(AND($C$122=$BD$125,N89&lt;$AN$122),$AP$122,IF(AND($C$122=$BD$125,N89=$AN$122),$AO$122,IF(AND($C$122=$BD$125,N89&gt;$AN$122),0,IF($C$122=$BD$124,0,IF(AND($C$122=$BD$123,N89&lt;$AN$122,$BM$131&gt;=(($D$121/100)*N118)),(($D$121/100)*N118),IF(AND($C$122=$BD$123,N89&lt;$AN$122,$BM$131&lt;(($D$121/100)*N118)),$BM$131,IF(AND($C$122=$BD$123,N89=$AN$122),$AO$122,IF(AND($C$122=$BD$123,N89&gt;$AN$122),0,IF(AND($C$122=$BD$121,N89&lt;$AN$122,N118&gt;=$AR$122),$AR$122,IF(AND($C$122=$BD$121,N89&lt;$AN$122,N118&lt;$AR$122),N118,IF(AND($C$122=$BD$121,N89=$AN$122),$AO$122,IF(AND($C$122=$BD$121,N89&gt;$AN$122),0,IF(AND($C$122=$BD$122,N89&lt;$AN$122,N118&gt;=$D$121,$BM$131&gt;=$D$121),$D$121,IF(AND($C$122=$BD$122,N89&lt;$AN$122,N118&gt;=$D$121,$BM$131&lt;$D$121),$BM$131,IF(AND($C$122=$BD$122,N89&lt;$AN$122,N118&lt;$D$121,$BM$131&lt;N118),$BM$131,IF(AND($C$122=$BD$122,N89&lt;$AN$122,N118&lt;$D$121,$BM$131&gt;N118),N118,IF(AND($C$122=$BD$122,N89=$AN$122),$AO$122,IF(AND($C$122=$BD$122,N89&gt;$AN$122),0))))))))))))))))))</f>
        <v>0</v>
      </c>
      <c r="O122" s="1598" t="b">
        <f>IF(AND($C$122=$BD$125,O89&lt;$AN$122),$AP$122,IF(AND($C$122=$BD$125,O89=$AN$122),$AO$122,IF(AND($C$122=$BD$125,O89&gt;$AN$122),0,IF($C$122=$BD$124,0,IF(AND($C$122=$BD$123,O89&lt;$AN$122,$BM$129&gt;=(($D$121/100)*O118)),(($D$121/100)*O118),IF(AND($C$122=$BD$123,O89&lt;$AN$122,$BM$129&lt;(($D$121/100)*O118)),$BM$129,IF(AND($C$122=$BD$123,O89=$AN$122),$AO$122,IF(AND($C$122=$BD$123,O89&gt;$AN$122),0,IF(AND($C$122=$BD$121,O89&lt;$AN$122,O118&gt;=$AR$122),$AR$122,IF(AND($C$122=$BD$121,O89&lt;$AN$122,O118&lt;$AR$122),O118,IF(AND($C$122=$BD$121,O89=$AN$122),$AO$122,IF(AND($C$122=$BD$121,O89&gt;$AN$122),0,IF(AND($C$122=$BD$122,O89&lt;$AN$122,O118&gt;=$D$121,$BM$132&gt;=$D$121),$D$121,IF(AND($C$122=$BD$122,O89&lt;$AN$122,O118&gt;=$D$121,$BM$132&lt;$D$121),$BM$132,IF(AND($C$122=$BD$122,O89&lt;$AN$122,O118&lt;$D$121,$BM$132&lt;O118),$BM$132,IF(AND($C$122=$BD$122,O89&lt;$AN$122,O118&lt;$D$121,$BM$132&gt;O118),O118,IF(AND($C$122=$BD$122,O89=$AN$122),$AO$122,IF(AND($C$122=$BD$122,O89&gt;$AN$122),0))))))))))))))))))</f>
        <v>0</v>
      </c>
      <c r="P122" s="1598" t="b">
        <f>IF(AND($C$122=$BD$125,P89&lt;$AN$122),$AP$122,IF(AND($C$122=$BD$125,P89=$AN$122),$AO$122,IF(AND($C$122=$BD$125,P89&gt;$AN$122),0,IF($C$122=$BD$124,0,IF(AND($C$122=$BD$123,P89&lt;$AN$122,$BM$133&gt;=(($D$121/100)*P118)),(($D$121/100)*P118),IF(AND($C$122=$BD$123,P89&lt;$AN$122,$BM$133&lt;(($D$121/100)*P118)),$BM$133,IF(AND($C$122=$BD$123,P89=$AN$122),$AO$122,IF(AND($C$122=$BD$123,P89&gt;$AN$122),0,IF(AND($C$122=$BD$121,P89&lt;$AN$122,P118&gt;=$AR$122),$AR$122,IF(AND($C$122=$BD$121,P89&lt;$AN$122,P118&lt;$AR$122),P118,IF(AND($C$122=$BD$121,P89=$AN$122),$AO$122,IF(AND($C$122=$BD$121,P89&gt;$AN$122),0,IF(AND($C$122=$BD$122,P89&lt;$AN$122,P118&gt;=$D$121,$BM$133&gt;=$D$121),$D$121,IF(AND($C$122=$BD$122,P89&lt;$AN$122,P118&gt;=$D$121,$BM$133&lt;$D$121),$BM$133,IF(AND($C$122=$BD$122,P89&lt;$AN$122,P118&lt;$D$121,$BM$133&lt;P118),$BM$133,IF(AND($C$122=$BD$122,P89&lt;$AN$122,P118&lt;$D$121,$BM$133&gt;P118),P118,IF(AND($C$122=$BD$122,P89=$AN$122),$AO$122,IF(AND($C$122=$BD$122,P89&gt;$AN$122),0))))))))))))))))))</f>
        <v>0</v>
      </c>
      <c r="Q122" s="1598" t="b">
        <f>IF(AND($C$122=$BD$125,Q89&lt;$AN$122),$AP$122,IF(AND($C$122=$BD$125,Q89=$AN$122),$AO$122,IF(AND($C$122=$BD$125,Q89&gt;$AN$122),0,IF($C$122=$BD$124,0,IF(AND($C$122=$BD$123,Q89&lt;$AN$122,$BM$134&gt;=(($D$121/100)*Q118)),(($D$121/100)*Q118),IF(AND($C$122=$BD$123,Q89&lt;$AN$122,$BM$134&lt;(($D$121/100)*Q118)),$BM$134,IF(AND($C$122=$BD$123,Q89=$AN$122),$AO$122,IF(AND($C$122=$BD$123,Q89&gt;$AN$122),0,IF(AND($C$122=$BD$121,Q89&lt;$AN$122,Q118&gt;=$AR$122),$AR$122,IF(AND($C$122=$BD$121,Q89&lt;$AN$122,Q118&lt;$AR$122),Q118,IF(AND($C$122=$BD$121,Q89=$AN$122),$AO$122,IF(AND($C$122=$BD$121,Q89&gt;$AN$122),0,IF(AND($C$122=$BD$122,Q89&lt;$AN$122,Q118&gt;=$D$121,$BM$134&gt;=$D$121),$D$121,IF(AND($C$122=$BD$122,Q89&lt;$AN$122,Q118&gt;=$D$121,$BM$134&lt;$D$121),$BM$134,IF(AND($C$122=$BD$122,Q89&lt;$AN$122,Q118&lt;$D$121,$BM$134&lt;Q118),$BM$134,IF(AND($C$122=$BD$122,Q89&lt;$AN$122,Q118&lt;$D$121,$BM$134&gt;Q118),Q118,IF(AND($C$122=$BD$122,Q89=$AN$122),$AO$122,IF(AND($C$122=$BD$122,Q89&gt;$AN$122),0))))))))))))))))))</f>
        <v>0</v>
      </c>
      <c r="R122" s="1598" t="b">
        <f>IF(AND($C$122=$BD$125,R89&lt;$AN$122),$AP$122,IF(AND($C$122=$BD$125,R89=$AN$122),$AO$122,IF(AND($C$122=$BD$125,R89&gt;$AN$122),0,IF($C$122=$BD$124,0,IF(AND($C$122=$BD$123,R89&lt;$AN$122,$BM$135&gt;=(($D$121/100)*R118)),(($D$121/100)*R118),IF(AND($C$122=$BD$123,R89&lt;$AN$122,$BM$135&lt;(($D$121/100)*R118)),$BM$135,IF(AND($C$122=$BD$123,R89=$AN$122),$AO$122,IF(AND($C$122=$BD$123,R89&gt;$AN$122),0,IF(AND($C$122=$BD$121,R89&lt;$AN$122,R118&gt;=$AR$122),$AR$122,IF(AND($C$122=$BD$121,R89&lt;$AN$122,R118&lt;$AR$122),R118,IF(AND($C$122=$BD$121,R89=$AN$122),$AO$122,IF(AND($C$122=$BD$121,R89&gt;$AN$122),0,IF(AND($C$122=$BD$122,R89&lt;$AN$122,R118&gt;=$D$121,$BM$135&gt;=$D$121),$D$121,IF(AND($C$122=$BD$122,R89&lt;$AN$122,R118&gt;=$D$121,$BM$135&lt;$D$121),$BM$135,IF(AND($C$122=$BD$122,R89&lt;$AN$122,R118&lt;$D$121,$BM$135&lt;R118),$BM$135,IF(AND($C$122=$BD$122,R89&lt;$AN$122,R118&lt;$D$121,$BM$135&gt;R118),R118,IF(AND($C$122=$BD$122,R89=$AN$122),$AO$122,IF(AND($C$122=$BD$122,R89&gt;$AN$122),0))))))))))))))))))</f>
        <v>0</v>
      </c>
      <c r="S122" s="1598" t="b">
        <f>IF(AND($C$122=$BD$125,S89&lt;$AN$122),$AP$122,IF(AND($C$122=$BD$125,S89=$AN$122),$AO$122,IF(AND($C$122=$BD$125,S89&gt;$AN$122),0,IF($C$122=$BD$124,0,IF(AND($C$122=$BD$123,S89&lt;$AN$122,$BM$136&gt;=(($D$121/100)*S118)),(($D$121/100)*S118),IF(AND($C$122=$BD$123,S89&lt;$AN$122,$BM$136&lt;(($D$121/100)*S118)),$BM$136,IF(AND($C$122=$BD$123,S89=$AN$122),$AO$122,IF(AND($C$122=$BD$123,S89&gt;$AN$122),0,IF(AND($C$122=$BD$121,S89&lt;$AN$122,S118&gt;=$AR$122),$AR$122,IF(AND($C$122=$BD$121,S89&lt;$AN$122,S118&lt;$AR$122),S118,IF(AND($C$122=$BD$121,S89=$AN$122),$AO$122,IF(AND($C$122=$BD$121,S89&gt;$AN$122),0,IF(AND($C$122=$BD$122,S89&lt;$AN$122,S118&gt;=$D$121,$BM$136&gt;=$D$121),$D$121,IF(AND($C$122=$BD$122,S89&lt;$AN$122,S118&gt;=$D$121,$BM$136&lt;$D$121),$BM$136,IF(AND($C$122=$BD$122,S89&lt;$AN$122,S118&lt;$D$121,$BM$136&lt;S118),$BM$136,IF(AND($C$122=$BD$122,S89&lt;$AN$122,S118&lt;$D$121,$BM$136&gt;S118),S118,IF(AND($C$122=$BD$122,S89=$AN$122),$AO$122,IF(AND($C$122=$BD$122,S89&gt;$AN$122),0))))))))))))))))))</f>
        <v>0</v>
      </c>
      <c r="T122" s="1598" t="b">
        <f>IF(AND($C$122=$BD$125,T89&lt;$AN$122),$AP$122,IF(AND($C$122=$BD$125,T89=$AN$122),$AO$122,IF(AND($C$122=$BD$125,T89&gt;$AN$122),0,IF($C$122=$BD$124,0,IF(AND($C$122=$BD$123,T89&lt;$AN$122,$BM$137&gt;=(($D$121/100)*T118)),(($D$121/100)*T118),IF(AND($C$122=$BD$123,T89&lt;$AN$122,$BM$137&lt;(($D$121/100)*T118)),$BM$137,IF(AND($C$122=$BD$123,T89=$AN$122),$AO$122,IF(AND($C$122=$BD$123,T89&gt;$AN$122),0,IF(AND($C$122=$BD$121,T89&lt;$AN$122,T118&gt;=$AR$122),$AR$122,IF(AND($C$122=$BD$121,T89&lt;$AN$122,T118&lt;$AR$122),T118,IF(AND($C$122=$BD$121,T89=$AN$122),$AO$122,IF(AND($C$122=$BD$121,T89&gt;$AN$122),0,IF(AND($C$122=$BD$122,T89&lt;$AN$122,T118&gt;=$D$121,$BM$137&gt;=$D$121),$D$121,IF(AND($C$122=$BD$122,T89&lt;$AN$122,T118&gt;=$D$121,$BM$137&lt;$D$121),$BM$137,IF(AND($C$122=$BD$122,T89&lt;$AN$122,T118&lt;$D$121,$BM$137&lt;T118),$BM$137,IF(AND($C$122=$BD$122,T89&lt;$AN$122,T118&lt;$D$121,$BM$137&gt;T118),T118,IF(AND($C$122=$BD$122,T89=$AN$122),$AO$122,IF(AND($C$122=$BD$122,T89&gt;$AN$122),0))))))))))))))))))</f>
        <v>0</v>
      </c>
      <c r="U122" s="1598" t="b">
        <f>IF(AND($C$122=$BD$125,U89&lt;$AN$122),$AP$122,IF(AND($C$122=$BD$125,U89=$AN$122),$AO$122,IF(AND($C$122=$BD$125,U89&gt;$AN$122),0,IF($C$122=$BD$124,0,IF(AND($C$122=$BD$123,U89&lt;$AN$122,$BM$138&gt;=(($D$121/100)*U118)),(($D$121/100)*U118),IF(AND($C$122=$BD$123,U89&lt;$AN$122,$BM$138&lt;(($D$121/100)*U118)),$BM$138,IF(AND($C$122=$BD$123,U89=$AN$122),$AO$122,IF(AND($C$122=$BD$123,U89&gt;$AN$122),0,IF(AND($C$122=$BD$121,U89&lt;$AN$122,U118&gt;=$AR$122),$AR$122,IF(AND($C$122=$BD$121,U89&lt;$AN$122,U118&lt;$AR$122),U118,IF(AND($C$122=$BD$121,U89=$AN$122),$AO$122,IF(AND($C$122=$BD$121,U89&gt;$AN$122),0,IF(AND($C$122=$BD$122,U89&lt;$AN$122,U118&gt;=$D$121,$BM$138&gt;=$D$121),$D$121,IF(AND($C$122=$BD$122,U89&lt;$AN$122,U118&gt;=$D$121,$BM$138&lt;$D$121),$BM$138,IF(AND($C$122=$BD$122,U89&lt;$AN$122,U118&lt;$D$121,$BM$138&lt;U118),$BM$138,IF(AND($C$122=$BD$122,U89&lt;$AN$122,U118&lt;$D$121,$BM$138&gt;U118),U118,IF(AND($C$122=$BD$122,U89=$AN$122),$AO$122,IF(AND($C$122=$BD$122,U89&gt;$AN$122),0))))))))))))))))))</f>
        <v>0</v>
      </c>
      <c r="V122" s="1598" t="b">
        <f>IF(AND($C$122=$BD$125,V89&lt;$AN$122),$AP$122,IF(AND($C$122=$BD$125,V89=$AN$122),$AO$122,IF(AND($C$122=$BD$125,V89&gt;$AN$122),0,IF($C$122=$BD$124,0,IF(AND($C$122=$BD$123,V89&lt;$AN$122,$BM$139&gt;=(($D$121/100)*V118)),(($D$121/100)*V118),IF(AND($C$122=$BD$123,V89&lt;$AN$122,$BM$139&lt;(($D$121/100)*V118)),$BM$139,IF(AND($C$122=$BD$123,V89=$AN$122),$AO$122,IF(AND($C$122=$BD$123,V89&gt;$AN$122),0,IF(AND($C$122=$BD$121,V89&lt;$AN$122,V118&gt;=$AR$122),$AR$122,IF(AND($C$122=$BD$121,V89&lt;$AN$122,V118&lt;$AR$122),V118,IF(AND($C$122=$BD$121,V89=$AN$122),$AO$122,IF(AND($C$122=$BD$121,V89&gt;$AN$122),0,IF(AND($C$122=$BD$122,V89&lt;$AN$122,V118&gt;=$D$121,$BM$139&gt;=$D$121),$D$121,IF(AND($C$122=$BD$122,V89&lt;$AN$122,V118&gt;=$D$121,$BM$139&lt;$D$121),$BM$139,IF(AND($C$122=$BD$122,V89&lt;$AN$122,V118&lt;$D$121,$BM$139&lt;V118),$BM$139,IF(AND($C$122=$BD$122,V89&lt;$AN$122,V118&lt;$D$121,$BM$139&gt;V118),V118,IF(AND($C$122=$BD$122,V89=$AN$122),$AO$122,IF(AND($C$122=$BD$122,V89&gt;$AN$122),0))))))))))))))))))</f>
        <v>0</v>
      </c>
      <c r="W122" s="1598" t="b">
        <f>IF(AND($C$122=$BD$125,W89&lt;$AN$122),$AP$122,IF(AND($C$122=$BD$125,W89=$AN$122),$AO$122,IF(AND($C$122=$BD$125,W89&gt;$AN$122),0,IF($C$122=$BD$124,0,IF(AND($C$122=$BD$123,W89&lt;$AN$122,$BM$140&gt;=(($D$121/100)*W118)),(($D$121/100)*W118),IF(AND($C$122=$BD$123,W89&lt;$AN$122,$BM$140&lt;(($D$121/100)*W118)),$BM$140,IF(AND($C$122=$BD$123,W89=$AN$122),$AO$122,IF(AND($C$122=$BD$123,W89&gt;$AN$122),0,IF(AND($C$122=$BD$121,W89&lt;$AN$122,W118&gt;=$AR$122),$AR$122,IF(AND($C$122=$BD$121,W89&lt;$AN$122,W118&lt;$AR$122),W118,IF(AND($C$122=$BD$121,W89=$AN$122),$AO$122,IF(AND($C$122=$BD$121,W89&gt;$AN$122),0,IF(AND($C$122=$BD$122,W89&lt;$AN$122,W118&gt;=$D$121,$BM$140&gt;=$D$121),$D$121,IF(AND($C$122=$BD$122,W89&lt;$AN$122,W118&gt;=$D$121,$BM$140&lt;$D$121),$BM$140,IF(AND($C$122=$BD$122,W89&lt;$AN$122,W118&lt;$D$121,$BM$140&lt;W118),$BM$140,IF(AND($C$122=$BD$122,W89&lt;$AN$122,W118&lt;$D$121,$BM$140&gt;W118),W118,IF(AND($C$122=$BD$122,W89=$AN$122),$AO$122,IF(AND($C$122=$BD$122,W89&gt;$AN$122),0))))))))))))))))))</f>
        <v>0</v>
      </c>
      <c r="X122" s="1598" t="b">
        <f>IF(AND($C$122=$BD$125,X89&lt;$AN$122),$AP$122,IF(AND($C$122=$BD$125,X89=$AN$122),$AO$122,IF(AND($C$122=$BD$125,X89&gt;$AN$122),0,IF($C$122=$BD$124,0,IF(AND($C$122=$BD$123,X89&lt;$AN$122,$BM$141&gt;=(($D$121/100)*X118)),(($D$121/100)*X118),IF(AND($C$122=$BD$123,X89&lt;$AN$122,$BM$141&lt;(($D$121/100)*X118)),$BM$141,IF(AND($C$122=$BD$123,X89=$AN$122),$AO$122,IF(AND($C$122=$BD$123,X89&gt;$AN$122),0,IF(AND($C$122=$BD$121,X89&lt;$AN$122,X118&gt;=$AR$122),$AR$122,IF(AND($C$122=$BD$121,X89&lt;$AN$122,X118&lt;$AR$122),X118,IF(AND($C$122=$BD$121,X89=$AN$122),$AO$122,IF(AND($C$122=$BD$121,X89&gt;$AN$122),0,IF(AND($C$122=$BD$122,X89&lt;$AN$122,X118&gt;=$D$121,$BM$141&gt;=$D$121),$D$121,IF(AND($C$122=$BD$122,X89&lt;$AN$122,X118&gt;=$D$121,$BM$141&lt;$D$121),$BM$141,IF(AND($C$122=$BD$122,X89&lt;$AN$122,X118&lt;$D$121,$BM$141&lt;X118),$BM$141,IF(AND($C$122=$BD$122,X89&lt;$AN$122,X118&lt;$D$121,$BM$141&gt;X118),X118,IF(AND($C$122=$BD$122,X89=$AN$122),$AO$122,IF(AND($C$122=$BD$122,X89&gt;$AN$122),0))))))))))))))))))</f>
        <v>0</v>
      </c>
      <c r="Y122" s="1598" t="b">
        <f>IF(AND($C$122=$BD$125,Y89&lt;$AN$122),$AP$122,IF(AND($C$122=$BD$125,Y89=$AN$122),$AO$122,IF(AND($C$122=$BD$125,Y89&gt;$AN$122),0,IF($C$122=$BD$124,0,IF(AND($C$122=$BD$123,Y89&lt;$AN$122,$BM$142&gt;=(($D$121/100)*Y118)),(($D$121/100)*Y118),IF(AND($C$122=$BD$123,Y89&lt;$AN$122,$BM$142&lt;(($D$121/100)*Y118)),$BM$142,IF(AND($C$122=$BD$123,Y89=$AN$122),$AO$122,IF(AND($C$122=$BD$123,Y89&gt;$AN$122),0,IF(AND($C$122=$BD$121,Y89&lt;$AN$122,Y118&gt;=$AR$122),$AR$122,IF(AND($C$122=$BD$121,Y89&lt;$AN$122,Y118&lt;$AR$122),Y118,IF(AND($C$122=$BD$121,Y89=$AN$122),$AO$122,IF(AND($C$122=$BD$121,Y89&gt;$AN$122),0,IF(AND($C$122=$BD$122,Y89&lt;$AN$122,Y118&gt;=$D$121,$BM$142&gt;=$D$121),$D$121,IF(AND($C$122=$BD$122,Y89&lt;$AN$122,Y118&gt;=$D$121,$BM$142&lt;$D$121),$BM$142,IF(AND($C$122=$BD$122,Y89&lt;$AN$122,Y118&lt;$D$121,$BM$142&lt;Y118),$BM$142,IF(AND($C$122=$BD$122,Y89&lt;$AN$122,Y118&lt;$D$121,$BM$142&gt;Y118),Y118,IF(AND($C$122=$BD$122,Y89=$AN$122),$AO$122,IF(AND($C$122=$BD$122,Y89&gt;$AN$122),0))))))))))))))))))</f>
        <v>0</v>
      </c>
      <c r="Z122" s="1598" t="b">
        <f>IF(AND($C$122=$BD$125,Z89&lt;$AN$122),$AP$122,IF(AND($C$122=$BD$125,Z89=$AN$122),$AO$122,IF(AND($C$122=$BD$125,Z89&gt;$AN$122),0,IF($C$122=$BD$124,0,IF(AND($C$122=$BD$123,Z89&lt;$AN$122,$BM$143&gt;=(($D$121/100)*Z118)),(($D$121/100)*Z118),IF(AND($C$122=$BD$123,Z89&lt;$AN$122,$BM$143&lt;(($D$121/100)*Z118)),$BM$143,IF(AND($C$122=$BD$123,Z89=$AN$122),$AO$122,IF(AND($C$122=$BD$123,Z89&gt;$AN$122),0,IF(AND($C$122=$BD$121,Z89&lt;$AN$122,Z118&gt;=$AR$122),$AR$122,IF(AND($C$122=$BD$121,Z89&lt;$AN$122,Z118&lt;$AR$122),Z118,IF(AND($C$122=$BD$121,Z89=$AN$122),$AO$122,IF(AND($C$122=$BD$121,Z89&gt;$AN$122),0,IF(AND($C$122=$BD$122,Z89&lt;$AN$122,Z118&gt;=$D$121,$BM$143&gt;=$D$121),$D$121,IF(AND($C$122=$BD$122,Z89&lt;$AN$122,Z118&gt;=$D$121,$BM$143&lt;$D$121),$BM$143,IF(AND($C$122=$BD$122,Z89&lt;$AN$122,Z118&lt;$D$121,$BM$143&lt;Z118),$BM$143,IF(AND($C$122=$BD$122,Z89&lt;$AN$122,Z118&lt;$D$121,$BM$143&gt;Z118),Z118,IF(AND($C$122=$BD$122,Z89=$AN$122),$AO$122,IF(AND($C$122=$BD$122,Z89&gt;$AN$122),0))))))))))))))))))</f>
        <v>0</v>
      </c>
      <c r="AA122" s="1598" t="b">
        <f>IF(AND($C$122=$BD$125,AA89&lt;$AN$122),$AP$122,IF(AND($C$122=$BD$125,AA89=$AN$122),$AO$122,IF(AND($C$122=$BD$125,AA89&gt;$AN$122),0,IF($C$122=$BD$124,0,IF(AND($C$122=$BD$123,AA89&lt;$AN$122,$BM$144&gt;=(($D$121/100)*AA118)),(($D$121/100)*AA118),IF(AND($C$122=$BD$123,AA89&lt;$AN$122,$BM$144&lt;(($D$121/100)*AA118)),$BM$144,IF(AND($C$122=$BD$123,AA89=$AN$122),$AO$122,IF(AND($C$122=$BD$123,AA89&gt;$AN$122),0,IF(AND($C$122=$BD$121,AA89&lt;$AN$122,AA118&gt;=$AR$122),$AR$122,IF(AND($C$122=$BD$121,AA89&lt;$AN$122,AA118&lt;$AR$122),AA118,IF(AND($C$122=$BD$121,AA89=$AN$122),$AO$122,IF(AND($C$122=$BD$121,AA89&gt;$AN$122),0,IF(AND($C$122=$BD$122,AA89&lt;$AN$122,AA118&gt;=$D$121,$BM$144&gt;=$D$121),$D$121,IF(AND($C$122=$BD$122,AA89&lt;$AN$122,AA118&gt;=$D$121,$BM$144&lt;$D$121),$BM$144,IF(AND($C$122=$BD$122,AA89&lt;$AN$122,AA118&lt;$D$121,$BM$144&lt;AA118),$BM$144,IF(AND($C$122=$BD$122,AA89&lt;$AN$122,AA118&lt;$D$121,$BM$144&gt;AA118),AA118,IF(AND($C$122=$BD$122,AA89=$AN$122),$AO$122,IF(AND($C$122=$BD$122,AA89&gt;$AN$122),0))))))))))))))))))</f>
        <v>0</v>
      </c>
      <c r="AB122" s="1598" t="b">
        <f>IF(AND($C$122=$BD$125,AB89&lt;$AN$122),$AP$122,IF(AND($C$122=$BD$125,AB89=$AN$122),$AO$122,IF(AND($C$122=$BD$125,AB89&gt;$AN$122),0,IF($C$122=$BD$124,0,IF(AND($C$122=$BD$123,AB89&lt;$AN$122,$BM$145&gt;=(($D$121/100)*AB118)),(($D$121/100)*AB118),IF(AND($C$122=$BD$123,AB89&lt;$AN$122,$BM$145&lt;(($D$121/100)*AB118)),$BM$145,IF(AND($C$122=$BD$123,AB89=$AN$122),$AO$122,IF(AND($C$122=$BD$123,AB89&gt;$AN$122),0,IF(AND($C$122=$BD$121,AB89&lt;$AN$122,AB118&gt;=$AR$122),$AR$122,IF(AND($C$122=$BD$121,AB89&lt;$AN$122,AB118&lt;$AR$122),AB118,IF(AND($C$122=$BD$121,AB89=$AN$122),$AO$122,IF(AND($C$122=$BD$121,AB89&gt;$AN$122),0,IF(AND($C$122=$BD$122,AB89&lt;$AN$122,AB118&gt;=$D$121,$BM$145&gt;=$D$121),$D$121,IF(AND($C$122=$BD$122,AB89&lt;$AN$122,AB118&gt;=$D$121,$BM$145&lt;$D$121),$BM$145,IF(AND($C$122=$BD$122,AB89&lt;$AN$122,AB118&lt;$D$121,$BM$145&lt;AB118),$BM$145,IF(AND($C$122=$BD$122,AB89&lt;$AN$122,AB118&lt;$D$121,$BM$145&gt;AB118),AB118,IF(AND($C$122=$BD$122,AB89=$AN$122),$AO$122,IF(AND($C$122=$BD$122,AB89&gt;$AN$122),0))))))))))))))))))</f>
        <v>0</v>
      </c>
      <c r="AC122" s="1598" t="b">
        <f>IF(AND($C$122=$BD$125,AC89&lt;$AN$122),$AP$122,IF(AND($C$122=$BD$125,AC89=$AN$122),$AO$122,IF(AND($C$122=$BD$125,AC89&gt;$AN$122),0,IF($C$122=$BD$124,0,IF(AND($C$122=$BD$123,AC89&lt;$AN$122,$BM$146&gt;=(($D$121/100)*AC118)),(($D$121/100)*AC118),IF(AND($C$122=$BD$123,AC89&lt;$AN$122,$BM$146&lt;(($D$121/100)*AC118)),$BM$146,IF(AND($C$122=$BD$123,AC89=$AN$122),$AO$122,IF(AND($C$122=$BD$123,AC89&gt;$AN$122),0,IF(AND($C$122=$BD$121,AC89&lt;$AN$122,AC118&gt;=$AR$122),$AR$122,IF(AND($C$122=$BD$121,AC89&lt;$AN$122,AC118&lt;$AR$122),AC118,IF(AND($C$122=$BD$121,AC89=$AN$122),$AO$122,IF(AND($C$122=$BD$121,AC89&gt;$AN$122),0,IF(AND($C$122=$BD$122,AC89&lt;$AN$122,AC118&gt;=$D$121,$BM$146&gt;=$D$121),$D$121,IF(AND($C$122=$BD$122,AC89&lt;$AN$122,AC118&gt;=$D$121,$BM$146&lt;$D$121),$BM$146,IF(AND($C$122=$BD$122,AC89&lt;$AN$122,AC118&lt;$D$121,$BM$146&lt;AC118),$BM$146,IF(AND($C$122=$BD$122,AC89&lt;$AN$122,AC118&lt;$D$121,$BM$146&gt;AC118),AC118,IF(AND($C$122=$BD$122,AC89=$AN$122),$AO$122,IF(AND($C$122=$BD$122,AC89&gt;$AN$122),0))))))))))))))))))</f>
        <v>0</v>
      </c>
      <c r="AD122" s="1598" t="b">
        <f>IF(AND($C$122=$BD$125,AD89&lt;$AN$122),$AP$122,IF(AND($C$122=$BD$125,AD89=$AN$122),$AO$122,IF(AND($C$122=$BD$125,AD89&gt;$AN$122),0,IF($C$122=$BD$124,0,IF(AND($C$122=$BD$123,AD89&lt;$AN$122,$BM$147&gt;=(($D$121/100)*AD118)),(($D$121/100)*AD118),IF(AND($C$122=$BD$123,AD89&lt;$AN$122,$BM$147&lt;(($D$121/100)*AD118)),$BM$147,IF(AND($C$122=$BD$123,AD89=$AN$122),$AO$122,IF(AND($C$122=$BD$123,AD89&gt;$AN$122),0,IF(AND($C$122=$BD$121,AD89&lt;$AN$122,AD118&gt;=$AR$122),$AR$122,IF(AND($C$122=$BD$121,AD89&lt;$AN$122,AD118&lt;$AR$122),AD118,IF(AND($C$122=$BD$121,AD89=$AN$122),$AO$122,IF(AND($C$122=$BD$121,AD89&gt;$AN$122),0,IF(AND($C$122=$BD$122,AD89&lt;$AN$122,AD118&gt;=$D$121,$BM$147&gt;=$D$121),$D$121,IF(AND($C$122=$BD$122,AD89&lt;$AN$122,AD118&gt;=$D$121,$BM$147&lt;$D$121),$BM$147,IF(AND($C$122=$BD$122,AD89&lt;$AN$122,AD118&lt;$D$121,$BM$147&lt;AD118),$BM$147,IF(AND($C$122=$BD$122,AD89&lt;$AN$122,AD118&lt;$D$121,$BM$147&gt;AD118),AD118,IF(AND($C$122=$BD$122,AD89=$AN$122),$AO$122,IF(AND($C$122=$BD$122,AD89&gt;$AN$122),0))))))))))))))))))</f>
        <v>0</v>
      </c>
      <c r="AE122" s="1598" t="b">
        <f>IF(AND($C$122=$BD$125,AE89&lt;$AN$122),$AP$122,IF(AND($C$122=$BD$125,AE89=$AN$122),$AO$122,IF(AND($C$122=$BD$125,AE89&gt;$AN$122),0,IF($C$122=$BD$124,0,IF(AND($C$122=$BD$123,AE89&lt;$AN$122,$BM$148&gt;=(($D$121/100)*AE118)),(($D$121/100)*AE118),IF(AND($C$122=$BD$123,AE89&lt;$AN$122,$BM$148&lt;(($D$121/100)*AE118)),$BM$148,IF(AND($C$122=$BD$123,AE89=$AN$122),$AO$122,IF(AND($C$122=$BD$123,AE89&gt;$AN$122),0,IF(AND($C$122=$BD$121,AE89&lt;$AN$122,AE118&gt;=$AR$122),$AR$122,IF(AND($C$122=$BD$121,AE89&lt;$AN$122,AE118&lt;$AR$122),AE118,IF(AND($C$122=$BD$121,AE89=$AN$122),$AO$122,IF(AND($C$122=$BD$121,AE89&gt;$AN$122),0,IF(AND($C$122=$BD$122,AE89&lt;$AN$122,AE118&gt;=$D$121,$BM$148&gt;=$D$121),$D$121,IF(AND($C$122=$BD$122,AE89&lt;$AN$122,AE118&gt;=$D$121,$BM$148&lt;$D$121),$BM$148,IF(AND($C$122=$BD$122,AE89&lt;$AN$122,AE118&lt;$D$121,$BM$148&lt;AE118),$BM$148,IF(AND($C$122=$BD$122,AE89&lt;$AN$122,AE118&lt;$D$121,$BM$148&gt;AE118),AE118,IF(AND($C$122=$BD$122,AE89=$AN$122),$AO$122,IF(AND($C$122=$BD$122,AE89&gt;$AN$122),0))))))))))))))))))</f>
        <v>0</v>
      </c>
      <c r="AF122" s="1598" t="b">
        <f>IF(AND($C$122=$BD$125,AF89&lt;$AN$122),$AP$122,IF(AND($C$122=$BD$125,AF89=$AN$122),$AO$122,IF(AND($C$122=$BD$125,AF89&gt;$AN$122),0,IF($C$122=$BD$124,0,IF(AND($C$122=$BD$123,AF89&lt;$AN$122,$BM$149&gt;=(($D$121/100)*AF118)),(($D$121/100)*AF118),IF(AND($C$122=$BD$123,AF89&lt;$AN$122,$BM$149&lt;(($D$121/100)*AF118)),$BM$149,IF(AND($C$122=$BD$123,AF89=$AN$122),$AO$122,IF(AND($C$122=$BD$123,AF89&gt;$AN$122),0,IF(AND($C$122=$BD$121,AF89&lt;$AN$122,AF118&gt;=$AR$122),$AR$122,IF(AND($C$122=$BD$121,AF89&lt;$AN$122,AF118&lt;$AR$122),AF118,IF(AND($C$122=$BD$121,AF89=$AN$122),$AO$122,IF(AND($C$122=$BD$121,AF89&gt;$AN$122),0,IF(AND($C$122=$BD$122,AF89&lt;$AN$122,AF118&gt;=$D$121,$BM$149&gt;=$D$121),$D$121,IF(AND($C$122=$BD$122,AF89&lt;$AN$122,AF118&gt;=$D$121,$BM$149&lt;$D$121),$BM$149,IF(AND($C$122=$BD$122,AF89&lt;$AN$122,AF118&lt;$D$121,$BM$149&lt;AF118),$BM$149,IF(AND($C$122=$BD$122,AF89&lt;$AN$122,AF118&lt;$D$121,$BM$149&gt;AF118),AF118,IF(AND($C$122=$BD$122,AF89=$AN$122),$AO$122,IF(AND($C$122=$BD$122,AF89&gt;$AN$122),0))))))))))))))))))</f>
        <v>0</v>
      </c>
      <c r="AG122" s="1598" t="b">
        <f>IF(AND($C$122=$BD$125,AG89&lt;$AN$122),$AP$122,IF(AND($C$122=$BD$125,AG89=$AN$122),$AO$122,IF(AND($C$122=$BD$125,AG89&gt;$AN$122),0,IF($C$122=$BD$124,0,IF(AND($C$122=$BD$123,AG89&lt;$AN$122,$BM$150&gt;=(($D$121/100)*AG118)),(($D$121/100)*AG118),IF(AND($C$122=$BD$123,AG89&lt;$AN$122,$BM$150&lt;(($D$121/100)*AG118)),$BM$150,IF(AND($C$122=$BD$123,AG89=$AN$122),$AO$122,IF(AND($C$122=$BD$123,AG89&gt;$AN$122),0,IF(AND($C$122=$BD$121,AG89&lt;$AN$122,AG118&gt;=$AR$122),$AR$122,IF(AND($C$122=$BD$121,AG89&lt;$AN$122,AG118&lt;$AR$122),AG118,IF(AND($C$122=$BD$121,AG89=$AN$122),$AO$122,IF(AND($C$122=$BD$121,AG89&gt;$AN$122),0,IF(AND($C$122=$BD$122,AG89&lt;$AN$122,AG118&gt;=$D$121,$BM$150&gt;=$D$121),$D$121,IF(AND($C$122=$BD$122,AG89&lt;$AN$122,AG118&gt;=$D$121,$BM$150&lt;$D$121),$BM$150,IF(AND($C$122=$BD$122,AG89&lt;$AN$122,AG118&lt;$D$121,$BM$150&lt;AG118),$BM$150,IF(AND($C$122=$BD$122,AG89&lt;$AN$122,AG118&lt;$D$121,$BM$150&gt;AG118),AG118,IF(AND($C$122=$BD$122,AG89=$AN$122),$AO$122,IF(AND($C$122=$BD$122,AG89&gt;$AN$122),0))))))))))))))))))</f>
        <v>0</v>
      </c>
      <c r="AH122" s="1598" t="b">
        <f>IF(AND($C$122=$BD$125,AH89&lt;$AN$122),$AP$122,IF(AND($C$122=$BD$125,AH89=$AN$122),$AO$122,IF(AND($C$122=$BD$125,AH89&gt;$AN$122),0,IF($C$122=$BD$124,0,IF(AND($C$122=$BD$123,AH89&lt;$AN$122,$BM$151&gt;=(($D$121/100)*AH118)),(($D$121/100)*AH118),IF(AND($C$122=$BD$123,AH89&lt;$AN$122,$BM$151&lt;(($D$121/100)*AH118)),$BM$151,IF(AND($C$122=$BD$123,AH89=$AN$122),$AO$122,IF(AND($C$122=$BD$123,AH89&gt;$AN$122),0,IF(AND($C$122=$BD$121,AH89&lt;$AN$122,AH118&gt;=$AR$122),$AR$122,IF(AND($C$122=$BD$121,AH89&lt;$AN$122,AH118&lt;$AR$122),AH118,IF(AND($C$122=$BD$121,AH89=$AN$122),$AO$122,IF(AND($C$122=$BD$121,AH89&gt;$AN$122),0,IF(AND($C$122=$BD$122,AH89&lt;$AN$122,AH118&gt;=$D$121,$BM$151&gt;=$D$121),$D$121,IF(AND($C$122=$BD$122,AH89&lt;$AN$122,AH118&gt;=$D$121,$BM$151&lt;$D$121),$BM$151,IF(AND($C$122=$BD$122,AH89&lt;$AN$122,AH118&lt;$D$121,$BM$151&lt;AH118),$BM$151,IF(AND($C$122=$BD$122,AH89&lt;$AN$122,AH118&lt;$D$121,$BM$151&gt;AH118),AH118,IF(AND($C$122=$BD$122,AH89=$AN$122),$AO$122,IF(AND($C$122=$BD$122,AH89&gt;$AN$122),0))))))))))))))))))</f>
        <v>0</v>
      </c>
      <c r="AI122" s="1598" t="b">
        <f>IF(AND($C$122=$BD$125,AI89&lt;$AN$122),$AP$122,IF(AND($C$122=$BD$125,AI89=$AN$122),$AO$122,IF(AND($C$122=$BD$125,AI89&gt;$AN$122),0,IF($C$122=$BD$124,0,IF(AND($C$122=$BD$123,AI89&lt;$AN$122,$BM$152&gt;=(($D$121/100)*AI118)),(($D$121/100)*AI118),IF(AND($C$122=$BD$123,AI89&lt;$AN$122,$BM$152&lt;(($D$121/100)*AI118)),$BM$152,IF(AND($C$122=$BD$123,AI89=$AN$122),$AO$122,IF(AND($C$122=$BD$123,AI89&gt;$AN$122),0,IF(AND($C$122=$BD$121,AI89&lt;$AN$122,AI118&gt;=$AR$122),$AR$122,IF(AND($C$122=$BD$121,AI89&lt;$AN$122,AI118&lt;$AR$122),AI118,IF(AND($C$122=$BD$121,AI89=$AN$122),$AO$122,IF(AND($C$122=$BD$121,AI89&gt;$AN$122),0,IF(AND($C$122=$BD$122,AI89&lt;$AN$122,AI118&gt;=$D$121,$BM$152&gt;=$D$121),$D$121,IF(AND($C$122=$BD$122,AI89&lt;$AN$122,AI118&gt;=$D$121,$BM$152&lt;$D$121),$BM$152,IF(AND($C$122=$BD$122,AI89&lt;$AN$122,AI118&lt;$D$121,$BM$152&lt;AI118),$BM$152,IF(AND($C$122=$BD$122,AI89&lt;$AN$122,AI118&lt;$D$121,$BM$152&gt;AI118),AI118,IF(AND($C$122=$BD$122,AI89=$AN$122),$AO$122,IF(AND($C$122=$BD$122,AI89&gt;$AN$122),0))))))))))))))))))</f>
        <v>0</v>
      </c>
      <c r="AJ122" s="1598" t="b">
        <f>IF(AND($C$122=$BD$125,AJ89&lt;$AN$122),$AP$122,IF(AND($C$122=$BD$125,AJ89=$AN$122),$AO$122,IF(AND($C$122=$BD$125,AJ89&gt;$AN$122),0,IF($C$122=$BD$124,0,IF(AND($C$122=$BD$123,AJ89&lt;$AN$122,$BM$153&gt;=(($D$121/100)*AJ118)),(($D$121/100)*AJ118),IF(AND($C$122=$BD$123,AJ89&lt;$AN$122,$BM$153&lt;(($D$121/100)*AJ118)),$BM$153,IF(AND($C$122=$BD$123,AJ89=$AN$122),$AO$122,IF(AND($C$122=$BD$123,AJ89&gt;$AN$122),0,IF(AND($C$122=$BD$121,AJ89&lt;$AN$122,AJ118&gt;=$AR$122),$AR$122,IF(AND($C$122=$BD$121,AJ89&lt;$AN$122,AJ118&lt;$AR$122),AJ118,IF(AND($C$122=$BD$121,AJ89=$AN$122),$AO$122,IF(AND($C$122=$BD$121,AJ89&gt;$AN$122),0,IF(AND($C$122=$BD$122,AJ89&lt;$AN$122,AJ118&gt;=$D$121,$BM$153&gt;=$D$121),$D$121,IF(AND($C$122=$BD$122,AJ89&lt;$AN$122,AJ118&gt;=$D$121,$BM$153&lt;$D$121),$BM$153,IF(AND($C$122=$BD$122,AJ89&lt;$AN$122,AJ118&lt;$D$121,$BM$153&lt;AJ118),$BM$153,IF(AND($C$122=$BD$122,AJ89&lt;$AN$122,AJ118&lt;$D$121,$BM$153&gt;AJ118),AJ118,IF(AND($C$122=$BD$122,AJ89=$AN$122),$AO$122,IF(AND($C$122=$BD$122,AJ89&gt;$AN$122),0))))))))))))))))))</f>
        <v>0</v>
      </c>
      <c r="AK122" s="1598" t="b">
        <f>IF(AND($C$122=$BD$125,AK89&lt;$AN$122),$AP$122,IF(AND($C$122=$BD$125,AK89=$AN$122),$AO$122,IF(AND($C$122=$BD$125,AK89&gt;$AN$122),0,IF($C$122=$BD$124,0,IF(AND($C$122=$BD$123,AK89&lt;$AN$122,$BM$154&gt;=(($D$121/100)*AK118)),(($D$121/100)*AK118),IF(AND($C$122=$BD$123,AK89&lt;$AN$122,$BM$154&lt;(($D$121/100)*AK118)),$BM$154,IF(AND($C$122=$BD$123,AK89=$AN$122),$AO$122,IF(AND($C$122=$BD$123,AK89&gt;$AN$122),0,IF(AND($C$122=$BD$121,AK89&lt;$AN$122,AK118&gt;=$AR$122),$AR$122,IF(AND($C$122=$BD$121,AK89&lt;$AN$122,AK118&lt;$AR$122),AK118,IF(AND($C$122=$BD$121,AK89=$AN$122),$AO$122,IF(AND($C$122=$BD$121,AK89&gt;$AN$122),0,IF(AND($C$122=$BD$122,AK89&lt;$AN$122,AK118&gt;=$D$121,$BM$154&gt;=$D$121),$D$121,IF(AND($C$122=$BD$122,AK89&lt;$AN$122,AK118&gt;=$D$121,$BM$154&lt;$D$121),$BM$154,IF(AND($C$122=$BD$122,AK89&lt;$AN$122,AK118&lt;$D$121,$BM$154&lt;AK118),$BM$154,IF(AND($C$122=$BD$122,AK89&lt;$AN$122,AK118&lt;$D$121,$BM$154&gt;AK118),AK118,IF(AND($C$122=$BD$122,AK89=$AN$122),$AO$122,IF(AND($C$122=$BD$122,AK89&gt;$AN$122),0))))))))))))))))))</f>
        <v>0</v>
      </c>
      <c r="AL122" s="1598" t="b">
        <f>IF(AND($C$122=$BD$125,AL89&lt;$AN$122),$AP$122,IF(AND($C$122=$BD$125,AL89=$AN$122),$AO$122,IF(AND($C$122=$BD$125,AL89&gt;$AN$122),0,IF($C$122=$BD$124,_xlfn.CONCAT("P/I Remaining:
 $",AO123),IF(AND($C$122=$BD$123,AL89&lt;$AN$122,$BM$155&gt;=(($D$121/100)*AL118)),(($D$121/100)*AL118),IF(AND($C$122=$BD$123,AL89&lt;$AN$122,$BM$155&lt;(($D$121/100)*AL118)),$BM$155,IF(AND($C$122=$BD$123,AL89=$AN$122),$AO$122,IF(AND($C$122=$BD$123,AL89&gt;$AN$122),0,IF(AND($C$122=$BD$121,AL89&lt;$AN$122,AL118&gt;=$AR$122),$AR$122,IF(AND($C$122=$BD$121,AL89&lt;$AN$122,AL118&lt;$AR$122),AL118,IF(AND($C$122=$BD$121,AL89=$AN$122),$AO$122,IF(AND($C$122=$BD$121,AL89&gt;$AN$122),0,IF(AND($C$122=$BD$122,AL89&lt;$AN$122,AL118&gt;=$D$121,$BM$155&gt;=$D$121),$D$121,IF(AND($C$122=$BD$122,AL89&lt;$AN$122,AL118&gt;=$D$121,$BM$155&lt;$D$121),$BM$155,IF(AND($C$122=$BD$122,AL89&lt;$AN$122,AL118&lt;$D$121,$BM$155&lt;AL118),$BM$155,IF(AND($C$122=$BD$122,AL89&lt;$AN$122,AL118&lt;$D$121,$BM$155&gt;AL118),AL118,IF(AND($C$122=$BD$122,AL89=$AN$122),$AO$122,IF(AND($C$122=$BD$122,AL89&gt;$AN$122),0))))))))))))))))))</f>
        <v>0</v>
      </c>
      <c r="AM122" s="1174"/>
      <c r="AN122" s="1512">
        <f>_xlfn.XLOOKUP(C121,'12. Funding Sources'!$C$11:$C$23,'12. Funding Sources'!$L$11:$L$23,36)</f>
        <v>36</v>
      </c>
      <c r="AO122" s="1505">
        <f>BL155*(1+AQ122)</f>
        <v>0</v>
      </c>
      <c r="AP122" s="1505">
        <f>_xlfn.XLOOKUP(C121,'12. Funding Sources'!$C$11:$C$20,'17. Cash Flow and Reserves'!$BF$121:$BF$130,0)</f>
        <v>0</v>
      </c>
      <c r="AQ122" s="1513">
        <f>_xlfn.XLOOKUP(C121,'12. Funding Sources'!$C$11:$C$20,'12. Funding Sources'!$K$11:$K$20,0)</f>
        <v>0</v>
      </c>
      <c r="AR122" s="1505">
        <f>(IF(D118&gt;=_xlfn.XLOOKUP(C121,'12. Funding Sources'!$C$11:$C$23,'17. Cash Flow and Reserves'!$AT$121:$AT$133,0),_xlfn.XLOOKUP(C121,'12. Funding Sources'!$C$11:$C$23,'17. Cash Flow and Reserves'!$AT$121:$AT$133,0),D118))</f>
        <v>0</v>
      </c>
      <c r="AS122" s="1507" t="str">
        <f>_xlfn.CONCAT("Proposed Annual Debt Service - ",Source_2)</f>
        <v>Proposed Annual Debt Service - WHEDA Subordinate Loan 1</v>
      </c>
      <c r="AT122" s="1508" t="e">
        <f>-PMT(Rate_2,Term_2,Amount_2)</f>
        <v>#NUM!</v>
      </c>
      <c r="AU122" s="1507">
        <f>IF(Annual_DSC_2&gt;0,AV121+1,0)</f>
        <v>0</v>
      </c>
      <c r="AV122" s="1507">
        <f>MAX(AU121:AU122)</f>
        <v>0</v>
      </c>
      <c r="AW122" s="1507">
        <v>2</v>
      </c>
      <c r="AX122" s="9">
        <f>IF(OR('12. Funding Sources'!J12='12. Funding Sources'!$R$12,'12. Funding Sources'!J12='12. Funding Sources'!$R$13),AY121+1,0)</f>
        <v>0</v>
      </c>
      <c r="AY122" s="1507">
        <f>IF(MAX($AX$121:AX122)=0,AY121,MAX($AX$121:AX122))</f>
        <v>10</v>
      </c>
      <c r="AZ122" s="1507">
        <v>12</v>
      </c>
      <c r="BA122" s="9" t="str">
        <f>_xlfn.XLOOKUP(AZ122,$AX$121:$AX$133,'12. Funding Sources'!$C$11:$C$23,"")</f>
        <v/>
      </c>
      <c r="BB122" s="1507">
        <f>C126</f>
        <v>0</v>
      </c>
      <c r="BC122" s="1507"/>
      <c r="BD122" s="9" t="s">
        <v>4504</v>
      </c>
      <c r="BF122" s="673" t="e">
        <f>-IPMT(Rate_2,1,Term_2,Amount_2)</f>
        <v>#NUM!</v>
      </c>
      <c r="BH122" s="9">
        <v>2</v>
      </c>
      <c r="BI122" s="1510">
        <f>IF(AND($AN$122&gt;BH122,$C$122=$BD$121),(E$122),IF(AND($AN$122&gt;BH122,$C$122=$BD$122),(E$122),IF(AND($AN$122&gt;BH122,$C$122=$BD$123),(E$122),IF(AND($AN$122&gt;BH122,$C$122=$BD$124),(E$121),IF(AND($AN$122&gt;BH122,$C$122=$BD$125),(E$122),0)))))</f>
        <v>0</v>
      </c>
      <c r="BJ122" s="1510">
        <v>0</v>
      </c>
      <c r="BK122" s="1510">
        <v>0</v>
      </c>
      <c r="BL122" s="1510">
        <f>IF(AND($AN$122&gt;BH122,$AP$122&gt;=BI122),(((BL121+($AP$122-BI122))*($AQ$122+1))-BI122),IF(AND($AN$122&gt;BH122,$AP$122&lt;=BI122),((BL121*($AQ$122+1))-BI122),IF($AN$122&lt;=BL121,BL121,0)))</f>
        <v>0</v>
      </c>
      <c r="BM122" s="1505">
        <f>IF(BI121=BM121,0,BL121*($AQ$122+1))</f>
        <v>0</v>
      </c>
      <c r="BN122" s="9">
        <v>2</v>
      </c>
      <c r="BO122" s="1510">
        <f>IF(AND($AN$127&gt;BN122,$C$127=$BD$121),(E$127),IF(AND($AN$127&gt;BN122,$C$127=$BD$122),(E$127),IF(AND($AN$127&gt;BN122,$C$127=$BD$123),(E$127),IF(AND($AN$127&gt;BN122,$C$127=$BD$124),(E$126),IF(AND($AN$127&gt;BN122,$C$127=$BD$125),(E$127),0)))))</f>
        <v>0</v>
      </c>
      <c r="BP122" s="1510">
        <v>0</v>
      </c>
      <c r="BQ122" s="1510">
        <v>0</v>
      </c>
      <c r="BR122" s="1510">
        <f t="shared" si="301"/>
        <v>0</v>
      </c>
      <c r="BS122" s="1511">
        <f>IF(BO121=BS121,0,BR121*($AQ$122+1))</f>
        <v>0</v>
      </c>
      <c r="BT122" s="9">
        <v>2</v>
      </c>
      <c r="BU122" s="1510">
        <f>IF(AND($AN$132&gt;BT122,$C$132=$BD$121),(E$132),IF(AND($AN$132&gt;BT122,$C$132=$BD$122),(E$132),IF(AND($AN$132&gt;BT122,$C$132=$BD$123),(E$132),IF(AND($AN$132&gt;BT122,$C$132=$BD$124),(E$131),IF(AND($AN$132&gt;BT122,$C$132=$BD$125),(E$132),0)))))</f>
        <v>0</v>
      </c>
      <c r="BV122" s="1510">
        <v>0</v>
      </c>
      <c r="BW122" s="1510">
        <v>0</v>
      </c>
      <c r="BX122" s="1510">
        <f t="shared" si="302"/>
        <v>0</v>
      </c>
      <c r="BY122" s="1511">
        <f t="shared" ref="BY122:BY155" si="303">IF(BU121=BY121,0,BX121*($AQ$132+1))</f>
        <v>0</v>
      </c>
      <c r="CA122" s="9"/>
      <c r="CB122" s="9"/>
      <c r="CC122" s="9"/>
      <c r="CD122" s="9"/>
    </row>
    <row r="123" spans="2:82">
      <c r="B123" s="1626"/>
      <c r="C123" s="1570" t="s">
        <v>4489</v>
      </c>
      <c r="D123" s="1582">
        <f>IFERROR(IF($C$122=$BD$125,(D118/D122),IF($C$122=$BD$124,(D$86/(D$90+D$96+D$100+D$104+D$108+D$112+D$116+D$121)),IF(OR($C$122=$BD$121,$C$122=$BD$122,$C$122=$BD$123),(D$86/(D$90+D$96+D$100+D$104+D$108+D$112+D$116+D$122)),D117))),D117)</f>
        <v>0</v>
      </c>
      <c r="E123" s="1582">
        <f>IFERROR(IF($C$122=$BD$125,(E118/E122),IF($C$122=$BD$124,(E$86/(E$90+E$96+E$100+E$104+E$108+E$112+E$116+E$121)),IF(OR($C$122=$BD$121,$C$122=$BD$122,$C$122=$BD$123),(E$86/(E$90+E$96+E$100+E$104+E$108+E$112+E$116+E$122)),E117))),E117)</f>
        <v>0</v>
      </c>
      <c r="F123" s="1582">
        <f>IFERROR(IF($C$122=$BD$125,(F118/F122),IF($C$122=$BD$124,(F$86/(F$90+F$96+F$100+F$104+F$108+F$112+F$116+F$121)),IF(OR($C$122=$BD$121,$C$122=$BD$122,$C$122=$BD$123),(F$86/(F$90+F$96+F$100+F$104+F$108+F$112+F$116+F$122)),F117))),F117)</f>
        <v>0</v>
      </c>
      <c r="G123" s="1582">
        <f t="shared" ref="G123:AK123" si="304">IFERROR(IF($C$122=$BD$125,(G118/G122),IF($C$122=$BD$124,(G$86/(G$90+G$96+G$100+G$104+G$108+G$112+G$116+G$121)),IF(OR($C$122=$BD$121,$C$122=$BD$122,$C$122=$BD$123),(G$86/(G$90+G$96+G$100+G$104+G$108+G$112+G$116+G$122)),G117))),G117)</f>
        <v>0</v>
      </c>
      <c r="H123" s="1582">
        <f t="shared" si="304"/>
        <v>0</v>
      </c>
      <c r="I123" s="1582">
        <f t="shared" si="304"/>
        <v>0</v>
      </c>
      <c r="J123" s="1582">
        <f t="shared" si="304"/>
        <v>0</v>
      </c>
      <c r="K123" s="1582">
        <f t="shared" si="304"/>
        <v>0</v>
      </c>
      <c r="L123" s="1582">
        <f t="shared" si="304"/>
        <v>0</v>
      </c>
      <c r="M123" s="1582">
        <f t="shared" si="304"/>
        <v>0</v>
      </c>
      <c r="N123" s="1582">
        <f t="shared" si="304"/>
        <v>0</v>
      </c>
      <c r="O123" s="1582">
        <f t="shared" si="304"/>
        <v>0</v>
      </c>
      <c r="P123" s="1582">
        <f t="shared" si="304"/>
        <v>0</v>
      </c>
      <c r="Q123" s="1582">
        <f t="shared" si="304"/>
        <v>0</v>
      </c>
      <c r="R123" s="1582">
        <f t="shared" si="304"/>
        <v>0</v>
      </c>
      <c r="S123" s="1582">
        <f t="shared" si="304"/>
        <v>0</v>
      </c>
      <c r="T123" s="1582">
        <f t="shared" si="304"/>
        <v>0</v>
      </c>
      <c r="U123" s="1582">
        <f t="shared" si="304"/>
        <v>0</v>
      </c>
      <c r="V123" s="1582">
        <f t="shared" si="304"/>
        <v>0</v>
      </c>
      <c r="W123" s="1582">
        <f t="shared" si="304"/>
        <v>0</v>
      </c>
      <c r="X123" s="1582">
        <f t="shared" si="304"/>
        <v>0</v>
      </c>
      <c r="Y123" s="1582">
        <f t="shared" si="304"/>
        <v>0</v>
      </c>
      <c r="Z123" s="1582">
        <f t="shared" si="304"/>
        <v>0</v>
      </c>
      <c r="AA123" s="1582">
        <f t="shared" si="304"/>
        <v>0</v>
      </c>
      <c r="AB123" s="1582">
        <f t="shared" si="304"/>
        <v>0</v>
      </c>
      <c r="AC123" s="1582">
        <f t="shared" si="304"/>
        <v>0</v>
      </c>
      <c r="AD123" s="1582">
        <f t="shared" si="304"/>
        <v>0</v>
      </c>
      <c r="AE123" s="1582">
        <f t="shared" si="304"/>
        <v>0</v>
      </c>
      <c r="AF123" s="1582">
        <f t="shared" si="304"/>
        <v>0</v>
      </c>
      <c r="AG123" s="1582">
        <f t="shared" si="304"/>
        <v>0</v>
      </c>
      <c r="AH123" s="1582">
        <f t="shared" si="304"/>
        <v>0</v>
      </c>
      <c r="AI123" s="1582">
        <f t="shared" si="304"/>
        <v>0</v>
      </c>
      <c r="AJ123" s="1582">
        <f t="shared" si="304"/>
        <v>0</v>
      </c>
      <c r="AK123" s="1582">
        <f t="shared" si="304"/>
        <v>0</v>
      </c>
      <c r="AL123" s="1582">
        <f>IFERROR(IF($C$122=$BD$125,(AL118/AL122),IF($C$122=$BD$124,(AL$86/(AL$90+AL$96+AL$100+AL$104+AL$108+AL$112+AL$116+AL$121)),IF(OR($C$122=$BD$121,$C$122=$BD$122,$C$122=$BD$123),(AL$86/(AL$90+AL$96+AL$100+AL$104+AL$108+AL$112+AL$116+AL$122)),AL117))),AL117)</f>
        <v>0</v>
      </c>
      <c r="AM123" s="1174"/>
      <c r="AO123" s="1505">
        <f>ROUND((MIN(BL121:BL155)*(AQ122+1)),0)</f>
        <v>0</v>
      </c>
      <c r="AS123" s="1507" t="str">
        <f>_xlfn.CONCAT("Proposed Annual Debt Service - ",Source_3)</f>
        <v>Proposed Annual Debt Service - WHEDA Subordinate Loan 2</v>
      </c>
      <c r="AT123" s="1508" t="e">
        <f>-PMT(Rate_3,Term_3,Amount_3)</f>
        <v>#NUM!</v>
      </c>
      <c r="AU123" s="1507">
        <f>IF(Annual_DSC_3&gt;0,AV122+1,0)</f>
        <v>0</v>
      </c>
      <c r="AV123" s="1507">
        <f>MAX(AU121:AU123)</f>
        <v>0</v>
      </c>
      <c r="AW123" s="1509">
        <v>3</v>
      </c>
      <c r="AX123" s="9">
        <f>IF(OR('12. Funding Sources'!J13='12. Funding Sources'!$R$12,'12. Funding Sources'!J13='12. Funding Sources'!$R$13),AY122+1,0)</f>
        <v>0</v>
      </c>
      <c r="AY123" s="1507">
        <f>IF(MAX($AX$121:AX123)=0,AY122,MAX($AX$121:AX123))</f>
        <v>10</v>
      </c>
      <c r="AZ123" s="1507">
        <v>13</v>
      </c>
      <c r="BA123" s="9" t="str">
        <f>_xlfn.XLOOKUP(AZ123,$AX$121:$AX$133,'12. Funding Sources'!$C$11:$C$23,"")</f>
        <v/>
      </c>
      <c r="BB123" s="1507">
        <f>C131</f>
        <v>0</v>
      </c>
      <c r="BC123" s="1507"/>
      <c r="BD123" s="9" t="s">
        <v>4505</v>
      </c>
      <c r="BF123" s="673" t="e">
        <f>-IPMT(Rate_3,1,Term_3,Amount_3)</f>
        <v>#NUM!</v>
      </c>
      <c r="BH123" s="9">
        <v>3</v>
      </c>
      <c r="BI123" s="1510">
        <f>IF(AND($AN$122&gt;BH123,$C$122=$BD$121),(F$122),IF(AND($AN$122&gt;BH123,$C$122=$BD$122),(F$122),IF(AND($AN$122&gt;BH123,$C$122=$BD$123),(F$122),IF(AND($AN$122&gt;BH123,$C$122=$BD$124),(F$121),IF(AND($AN$122&gt;BH123,$C$122=$BD$125),(F$122),0)))))</f>
        <v>0</v>
      </c>
      <c r="BJ123" s="1510">
        <v>0</v>
      </c>
      <c r="BK123" s="1510">
        <v>0</v>
      </c>
      <c r="BL123" s="1510">
        <f t="shared" ref="BL123:BL128" si="305">IF(AND($AN$122&gt;BH123,$AP$122&gt;=BI123),(((BL122+($AP$122-BI123))*($AQ$122+1))-BI123),IF(AND($AN$122&gt;BH123,$AP$122&lt;=BI123),((BL122*($AQ$122+1))-BI123),IF($AN$122&lt;=BL122,BL122,0)))</f>
        <v>0</v>
      </c>
      <c r="BM123" s="1505">
        <f t="shared" ref="BM123:BM128" si="306">IF(BI122=BM122,0,BL122*($AQ$122+1))</f>
        <v>0</v>
      </c>
      <c r="BN123" s="9">
        <v>3</v>
      </c>
      <c r="BO123" s="1510">
        <f>IF(AND($AN$127&gt;BN123,$C$127=$BD$121),(F$127),IF(AND($AN$127&gt;BN123,$C$127=$BD$122),(F$127),IF(AND($AN$127&gt;BN123,$C$127=$BD$123),(F$127),IF(AND($AN$127&gt;BN123,$C$127=$BD$124),(F$126),IF(AND($AN$127&gt;BN123,$C$127=$BD$125),(F$127),0)))))</f>
        <v>0</v>
      </c>
      <c r="BP123" s="1510">
        <v>0</v>
      </c>
      <c r="BQ123" s="1510">
        <v>0</v>
      </c>
      <c r="BR123" s="1510">
        <f t="shared" si="301"/>
        <v>0</v>
      </c>
      <c r="BS123" s="1511">
        <f>IF(BO122=BS122,0,BR122*($AQ$122+1))</f>
        <v>0</v>
      </c>
      <c r="BT123" s="9">
        <v>3</v>
      </c>
      <c r="BU123" s="1510">
        <f>IF(AND($AN$132&gt;BT123,$C$132=$BD$121),(F$132),IF(AND($AN$132&gt;BT123,$C$132=$BD$122),(F$132),IF(AND($AN$132&gt;BT123,$C$132=$BD$123),(F$132),IF(AND($AN$132&gt;BT123,$C$132=$BD$124),(F$131),IF(AND($AN$132&gt;BT123,$C$132=$BD$125),(F$132),0)))))</f>
        <v>0</v>
      </c>
      <c r="BV123" s="1510">
        <v>0</v>
      </c>
      <c r="BW123" s="1510">
        <v>0</v>
      </c>
      <c r="BX123" s="1510">
        <f t="shared" si="302"/>
        <v>0</v>
      </c>
      <c r="BY123" s="1511">
        <f t="shared" si="303"/>
        <v>0</v>
      </c>
      <c r="CA123" s="9"/>
      <c r="CB123" s="9"/>
      <c r="CC123" s="9"/>
      <c r="CD123" s="9"/>
    </row>
    <row r="124" spans="2:82">
      <c r="B124" s="1626"/>
      <c r="C124" s="1570" t="s">
        <v>4493</v>
      </c>
      <c r="D124" s="1583">
        <f>IFERROR(MAX(IF($C$122=$BD$125,(D118-D122),IF(AND(D118&gt;0,$C$122=$BD$124),D118-D121,IF($C$122=$BD$123,D118-D122,IF($C$122=$BD$122,D118-D122,IF($C$122=$BD$121,D118-D122,D118))))),0),D118)</f>
        <v>0</v>
      </c>
      <c r="E124" s="1583">
        <f>IFERROR(MAX(IF($C$122=$BD$125,(E118-E122),IF(AND(E118&gt;0,$C$122=$BD$124),E118-E121,IF($C$122=$BD$123,E118-E122,IF($C$122=$BD$122,E118-E122,IF($C$122=$BD$121,E118-E122,E118))))),0),E118)</f>
        <v>0</v>
      </c>
      <c r="F124" s="1583">
        <f t="shared" ref="F124:AL124" si="307">IFERROR(MAX(IF($C$122=$BD$125,(F118-F122),IF(AND(F118&gt;0,$C$122=$BD$124),F118-F121,IF($C$122=$BD$123,F118-F122,IF($C$122=$BD$122,F118-F122,IF($C$122=$BD$121,F118-F122,F118))))),0),F118)</f>
        <v>0</v>
      </c>
      <c r="G124" s="1583">
        <f t="shared" si="307"/>
        <v>0</v>
      </c>
      <c r="H124" s="1583">
        <f t="shared" si="307"/>
        <v>0</v>
      </c>
      <c r="I124" s="1583">
        <f t="shared" si="307"/>
        <v>0</v>
      </c>
      <c r="J124" s="1583">
        <f t="shared" si="307"/>
        <v>0</v>
      </c>
      <c r="K124" s="1583">
        <f t="shared" si="307"/>
        <v>0</v>
      </c>
      <c r="L124" s="1583">
        <f t="shared" si="307"/>
        <v>0</v>
      </c>
      <c r="M124" s="1583">
        <f t="shared" si="307"/>
        <v>0</v>
      </c>
      <c r="N124" s="1583">
        <f t="shared" si="307"/>
        <v>0</v>
      </c>
      <c r="O124" s="1583">
        <f t="shared" si="307"/>
        <v>0</v>
      </c>
      <c r="P124" s="1583">
        <f t="shared" si="307"/>
        <v>0</v>
      </c>
      <c r="Q124" s="1583">
        <f t="shared" si="307"/>
        <v>0</v>
      </c>
      <c r="R124" s="1583">
        <f t="shared" si="307"/>
        <v>0</v>
      </c>
      <c r="S124" s="1583">
        <f t="shared" si="307"/>
        <v>0</v>
      </c>
      <c r="T124" s="1583">
        <f t="shared" si="307"/>
        <v>0</v>
      </c>
      <c r="U124" s="1583">
        <f t="shared" si="307"/>
        <v>0</v>
      </c>
      <c r="V124" s="1583">
        <f t="shared" si="307"/>
        <v>0</v>
      </c>
      <c r="W124" s="1583">
        <f t="shared" si="307"/>
        <v>0</v>
      </c>
      <c r="X124" s="1583">
        <f t="shared" si="307"/>
        <v>0</v>
      </c>
      <c r="Y124" s="1583">
        <f t="shared" si="307"/>
        <v>0</v>
      </c>
      <c r="Z124" s="1583">
        <f t="shared" si="307"/>
        <v>0</v>
      </c>
      <c r="AA124" s="1583">
        <f t="shared" si="307"/>
        <v>0</v>
      </c>
      <c r="AB124" s="1583">
        <f t="shared" si="307"/>
        <v>0</v>
      </c>
      <c r="AC124" s="1583">
        <f t="shared" si="307"/>
        <v>0</v>
      </c>
      <c r="AD124" s="1583">
        <f t="shared" si="307"/>
        <v>0</v>
      </c>
      <c r="AE124" s="1583">
        <f t="shared" si="307"/>
        <v>0</v>
      </c>
      <c r="AF124" s="1583">
        <f t="shared" si="307"/>
        <v>0</v>
      </c>
      <c r="AG124" s="1583">
        <f t="shared" si="307"/>
        <v>0</v>
      </c>
      <c r="AH124" s="1583">
        <f t="shared" si="307"/>
        <v>0</v>
      </c>
      <c r="AI124" s="1583">
        <f t="shared" si="307"/>
        <v>0</v>
      </c>
      <c r="AJ124" s="1583">
        <f t="shared" si="307"/>
        <v>0</v>
      </c>
      <c r="AK124" s="1583">
        <f t="shared" si="307"/>
        <v>0</v>
      </c>
      <c r="AL124" s="1583">
        <f t="shared" si="307"/>
        <v>0</v>
      </c>
      <c r="AM124" s="1174"/>
      <c r="AS124" s="1507" t="str">
        <f>_xlfn.CONCAT("Proposed Annual Debt Service - ",Source_4)</f>
        <v>Proposed Annual Debt Service - WHEDA Subordinate Loan 3</v>
      </c>
      <c r="AT124" s="1508" t="e">
        <f>-PMT(Rate_4,Term_4,Amount_4)</f>
        <v>#NUM!</v>
      </c>
      <c r="AU124" s="1507">
        <f>IF(Annual_DSC_4&gt;0,AV123+1,0)</f>
        <v>0</v>
      </c>
      <c r="AV124" s="1507">
        <f>MAX(AU121:AU124)</f>
        <v>0</v>
      </c>
      <c r="AW124" s="1507">
        <v>4</v>
      </c>
      <c r="AX124" s="9">
        <f>IF(OR('12. Funding Sources'!J14='12. Funding Sources'!$R$12,'12. Funding Sources'!J14='12. Funding Sources'!$R$13),AY123+1,0)</f>
        <v>0</v>
      </c>
      <c r="AY124" s="1507">
        <f>IF(MAX($AX$121:AX124)=0,AY123,MAX($AX$121:AX124))</f>
        <v>10</v>
      </c>
      <c r="AZ124" s="1507">
        <v>14</v>
      </c>
      <c r="BA124" s="9" t="str">
        <f>_xlfn.XLOOKUP(AZ124,$AX$121:$AX$133,'12. Funding Sources'!$C$11:$C$23,"")</f>
        <v/>
      </c>
      <c r="BB124" s="1507">
        <f>C136</f>
        <v>0</v>
      </c>
      <c r="BC124" s="1507"/>
      <c r="BD124" s="9" t="s">
        <v>4506</v>
      </c>
      <c r="BF124" s="673" t="e">
        <f>-IPMT(Rate_4,1,Term_4,Amount_4)</f>
        <v>#NUM!</v>
      </c>
      <c r="BH124" s="9">
        <v>4</v>
      </c>
      <c r="BI124" s="1510">
        <f>IF(AND($AN$122&gt;BH124,$C$122=$BD$121),(G$122),IF(AND($AN$122&gt;BH124,$C$122=$BD$122),(G$122),IF(AND($AN$122&gt;BH124,$C$122=$BD$123),(G$122),IF(AND($AN$122&gt;BH124,$C$122=$BD$124),(G$121),IF(AND($AN$122&gt;BH124,$C$122=$BD$125),(G$122),0)))))</f>
        <v>0</v>
      </c>
      <c r="BJ124" s="1510">
        <v>0</v>
      </c>
      <c r="BK124" s="1510">
        <v>0</v>
      </c>
      <c r="BL124" s="1510">
        <f t="shared" si="305"/>
        <v>0</v>
      </c>
      <c r="BM124" s="1505">
        <f t="shared" si="306"/>
        <v>0</v>
      </c>
      <c r="BN124" s="9">
        <v>4</v>
      </c>
      <c r="BO124" s="1510">
        <f>IF(AND($AN$127&gt;BN124,$C$127=$BD$121),(G$127),IF(AND($AN$127&gt;BN124,$C$127=$BD$122),(G$127),IF(AND($AN$127&gt;BN124,$C$127=$BD$123),(G$127),IF(AND($AN$127&gt;BN124,$C$127=$BD$124),(G$126),IF(AND($AN$127&gt;BN124,$C$127=$BD$125),(G$127),0)))))</f>
        <v>0</v>
      </c>
      <c r="BP124" s="1510">
        <v>0</v>
      </c>
      <c r="BQ124" s="1510">
        <v>0</v>
      </c>
      <c r="BR124" s="1510">
        <f t="shared" si="301"/>
        <v>0</v>
      </c>
      <c r="BS124" s="1511">
        <f>IF(BO123=BS123,0,BR123*($AQ$122+1))</f>
        <v>0</v>
      </c>
      <c r="BT124" s="9">
        <v>4</v>
      </c>
      <c r="BU124" s="1510">
        <f>IF(AND($AN$132&gt;BT124,$C$132=$BD$121),(G$132),IF(AND($AN$132&gt;BT124,$C$132=$BD$122),(G$132),IF(AND($AN$132&gt;BT124,$C$132=$BD$123),(G$132),IF(AND($AN$132&gt;BT124,$C$132=$BD$124),(G$131),IF(AND($AN$132&gt;BT124,$C$132=$BD$125),(G$132),0)))))</f>
        <v>0</v>
      </c>
      <c r="BV124" s="1510">
        <v>0</v>
      </c>
      <c r="BW124" s="1510">
        <v>0</v>
      </c>
      <c r="BX124" s="1510">
        <f t="shared" si="302"/>
        <v>0</v>
      </c>
      <c r="BY124" s="1511">
        <f t="shared" si="303"/>
        <v>0</v>
      </c>
      <c r="CA124" s="9"/>
      <c r="CB124" s="9"/>
      <c r="CC124" s="9"/>
      <c r="CD124" s="9"/>
    </row>
    <row r="125" spans="2:82" ht="33" customHeight="1">
      <c r="B125" s="1626"/>
      <c r="C125" s="1304"/>
      <c r="D125" s="1207" t="str">
        <f>IF(OR($C$127=$BD$122,$C$127=$BD$124),"Input Desired Annual Payment Amount",IF($C$127=$BD$123,"Input Desired % of Cashflow", ""))</f>
        <v/>
      </c>
      <c r="E125" s="1207" t="str">
        <f t="shared" ref="E125:AL125" si="308">IF($C$127=$BD$124,"Input Desired Annual Payment Amount","")</f>
        <v/>
      </c>
      <c r="F125" s="1207" t="str">
        <f t="shared" si="308"/>
        <v/>
      </c>
      <c r="G125" s="1207" t="str">
        <f t="shared" si="308"/>
        <v/>
      </c>
      <c r="H125" s="1207" t="str">
        <f t="shared" si="308"/>
        <v/>
      </c>
      <c r="I125" s="1207" t="str">
        <f t="shared" si="308"/>
        <v/>
      </c>
      <c r="J125" s="1207" t="str">
        <f t="shared" si="308"/>
        <v/>
      </c>
      <c r="K125" s="1207" t="str">
        <f t="shared" si="308"/>
        <v/>
      </c>
      <c r="L125" s="1207" t="str">
        <f t="shared" si="308"/>
        <v/>
      </c>
      <c r="M125" s="1207" t="str">
        <f t="shared" si="308"/>
        <v/>
      </c>
      <c r="N125" s="1207" t="str">
        <f t="shared" si="308"/>
        <v/>
      </c>
      <c r="O125" s="1207" t="str">
        <f t="shared" si="308"/>
        <v/>
      </c>
      <c r="P125" s="1207" t="str">
        <f t="shared" si="308"/>
        <v/>
      </c>
      <c r="Q125" s="1207" t="str">
        <f t="shared" si="308"/>
        <v/>
      </c>
      <c r="R125" s="1207" t="str">
        <f t="shared" si="308"/>
        <v/>
      </c>
      <c r="S125" s="1207" t="str">
        <f t="shared" si="308"/>
        <v/>
      </c>
      <c r="T125" s="1207" t="str">
        <f t="shared" si="308"/>
        <v/>
      </c>
      <c r="U125" s="1207" t="str">
        <f t="shared" si="308"/>
        <v/>
      </c>
      <c r="V125" s="1207" t="str">
        <f t="shared" si="308"/>
        <v/>
      </c>
      <c r="W125" s="1207" t="str">
        <f t="shared" si="308"/>
        <v/>
      </c>
      <c r="X125" s="1207" t="str">
        <f t="shared" si="308"/>
        <v/>
      </c>
      <c r="Y125" s="1207" t="str">
        <f t="shared" si="308"/>
        <v/>
      </c>
      <c r="Z125" s="1207" t="str">
        <f t="shared" si="308"/>
        <v/>
      </c>
      <c r="AA125" s="1207" t="str">
        <f t="shared" si="308"/>
        <v/>
      </c>
      <c r="AB125" s="1207" t="str">
        <f t="shared" si="308"/>
        <v/>
      </c>
      <c r="AC125" s="1207" t="str">
        <f t="shared" si="308"/>
        <v/>
      </c>
      <c r="AD125" s="1207" t="str">
        <f t="shared" si="308"/>
        <v/>
      </c>
      <c r="AE125" s="1207" t="str">
        <f t="shared" si="308"/>
        <v/>
      </c>
      <c r="AF125" s="1207" t="str">
        <f t="shared" si="308"/>
        <v/>
      </c>
      <c r="AG125" s="1207" t="str">
        <f t="shared" si="308"/>
        <v/>
      </c>
      <c r="AH125" s="1207" t="str">
        <f t="shared" si="308"/>
        <v/>
      </c>
      <c r="AI125" s="1207" t="str">
        <f t="shared" si="308"/>
        <v/>
      </c>
      <c r="AJ125" s="1207" t="str">
        <f t="shared" si="308"/>
        <v/>
      </c>
      <c r="AK125" s="1207" t="str">
        <f t="shared" si="308"/>
        <v/>
      </c>
      <c r="AL125" s="1207" t="str">
        <f t="shared" si="308"/>
        <v/>
      </c>
      <c r="AM125" s="1174"/>
      <c r="AS125" s="1507" t="str">
        <f>_xlfn.CONCAT("Proposed Annual Debt Service - ",Source_5)</f>
        <v>Proposed Annual Debt Service - WHEDA TIF Loan</v>
      </c>
      <c r="AT125" s="1508" t="e">
        <f>-PMT(Rate_5,Term_5,Amount_5)</f>
        <v>#NUM!</v>
      </c>
      <c r="AU125" s="1507">
        <f>IF(Annual_DSC_5&gt;0,AV124+1,0)</f>
        <v>0</v>
      </c>
      <c r="AV125" s="1507">
        <f>MAX(AU121:AU125)</f>
        <v>0</v>
      </c>
      <c r="AW125" s="1509">
        <v>5</v>
      </c>
      <c r="AX125" s="9">
        <f>IF(OR('12. Funding Sources'!J15='12. Funding Sources'!$R$12,'12. Funding Sources'!J15='12. Funding Sources'!$R$13),AY124+1,0)</f>
        <v>0</v>
      </c>
      <c r="AY125" s="1507">
        <f>IF(MAX($AX$121:AX125)=0,AY124,MAX($AX$121:AX125))</f>
        <v>10</v>
      </c>
      <c r="AZ125" s="1507">
        <v>15</v>
      </c>
      <c r="BA125" s="9" t="str">
        <f>_xlfn.XLOOKUP(AZ125,$AX$121:$AX$133,'12. Funding Sources'!$C$11:$C$23,"")</f>
        <v/>
      </c>
      <c r="BB125" s="1507">
        <f>C145</f>
        <v>0</v>
      </c>
      <c r="BC125" s="1507"/>
      <c r="BD125" s="1514" t="s">
        <v>4501</v>
      </c>
      <c r="BF125" s="673" t="e">
        <f>-IPMT(Rate_5,1,Term_5,Amount_5)</f>
        <v>#NUM!</v>
      </c>
      <c r="BH125" s="9">
        <v>5</v>
      </c>
      <c r="BI125" s="1510">
        <f>IF(AND($AN$122&gt;BH125,$C$122=$BD$121),(H$122),IF(AND($AN$122&gt;BH125,$C$122=$BD$122),(H$122),IF(AND($AN$122&gt;BH125,$C$122=$BD$123),(H$122),IF(AND($AN$122&gt;BH125,$C$122=$BD$124),(H$121),IF(AND($AN$122&gt;BH125,$C$122=$BD$125),(H$122),0)))))</f>
        <v>0</v>
      </c>
      <c r="BJ125" s="1510">
        <v>0</v>
      </c>
      <c r="BK125" s="1510">
        <v>0</v>
      </c>
      <c r="BL125" s="1510">
        <f t="shared" si="305"/>
        <v>0</v>
      </c>
      <c r="BM125" s="1505">
        <f t="shared" si="306"/>
        <v>0</v>
      </c>
      <c r="BN125" s="9">
        <v>5</v>
      </c>
      <c r="BO125" s="1510">
        <f>IF(AND($AN$127&gt;BN125,$C$127=$BD$121),(H$127),IF(AND($AN$127&gt;BN125,$C$127=$BD$122),(H$127),IF(AND($AN$127&gt;BN125,$C$127=$BD$123),(H$127),IF(AND($AN$127&gt;BN125,$C$127=$BD$124),(H$126),IF(AND($AN$127&gt;BN125,$C$127=$BD$125),(H$127),0)))))</f>
        <v>0</v>
      </c>
      <c r="BP125" s="1510">
        <v>0</v>
      </c>
      <c r="BQ125" s="1510">
        <v>0</v>
      </c>
      <c r="BR125" s="1510">
        <f t="shared" si="301"/>
        <v>0</v>
      </c>
      <c r="BS125" s="1511">
        <f t="shared" ref="BS125:BS155" si="309">IF(BO124=BS124,0,BR124*($AQ$122+1))</f>
        <v>0</v>
      </c>
      <c r="BT125" s="9">
        <v>5</v>
      </c>
      <c r="BU125" s="1510">
        <f>IF(AND($AN$132&gt;BT125,$C$132=$BD$121),(H$132),IF(AND($AN$132&gt;BT125,$C$132=$BD$122),(H$132),IF(AND($AN$132&gt;BT125,$C$132=$BD$123),(H$132),IF(AND($AN$132&gt;BT125,$C$132=$BD$124),(H$131),IF(AND($AN$132&gt;BT125,$C$132=$BD$125),(H$132),0)))))</f>
        <v>0</v>
      </c>
      <c r="BV125" s="1510">
        <v>0</v>
      </c>
      <c r="BW125" s="1510">
        <v>0</v>
      </c>
      <c r="BX125" s="1510">
        <f t="shared" si="302"/>
        <v>0</v>
      </c>
      <c r="BY125" s="1511">
        <f t="shared" si="303"/>
        <v>0</v>
      </c>
      <c r="CA125" s="9"/>
      <c r="CB125" s="9"/>
      <c r="CC125" s="9"/>
      <c r="CD125" s="9"/>
    </row>
    <row r="126" spans="2:82" ht="16">
      <c r="B126" s="1626">
        <v>12</v>
      </c>
      <c r="C126" s="1599"/>
      <c r="D126" s="1597"/>
      <c r="E126" s="1600"/>
      <c r="F126" s="1600"/>
      <c r="G126" s="1600"/>
      <c r="H126" s="1600"/>
      <c r="I126" s="1600"/>
      <c r="J126" s="1600"/>
      <c r="K126" s="1600"/>
      <c r="L126" s="1600"/>
      <c r="M126" s="1600"/>
      <c r="N126" s="1600"/>
      <c r="O126" s="1600"/>
      <c r="P126" s="1600"/>
      <c r="Q126" s="1600"/>
      <c r="R126" s="1600"/>
      <c r="S126" s="1600"/>
      <c r="T126" s="1600"/>
      <c r="U126" s="1600"/>
      <c r="V126" s="1600"/>
      <c r="W126" s="1600"/>
      <c r="X126" s="1600"/>
      <c r="Y126" s="1600"/>
      <c r="Z126" s="1600"/>
      <c r="AA126" s="1600"/>
      <c r="AB126" s="1600"/>
      <c r="AC126" s="1600"/>
      <c r="AD126" s="1600"/>
      <c r="AE126" s="1600"/>
      <c r="AF126" s="1600"/>
      <c r="AG126" s="1600"/>
      <c r="AH126" s="1600"/>
      <c r="AI126" s="1601" t="str">
        <f>IF($C$127=$BD$124,"Input Desired Annual Payment Amount","")</f>
        <v/>
      </c>
      <c r="AJ126" s="1600"/>
      <c r="AK126" s="1600"/>
      <c r="AL126" s="1600"/>
      <c r="AM126" s="1174"/>
      <c r="AO126" s="1505">
        <f>_xlfn.XLOOKUP(C126,'12. Funding Sources'!C11:C23,'12. Funding Sources'!E11:E23,0)</f>
        <v>0</v>
      </c>
      <c r="AS126" s="1507" t="str">
        <f>_xlfn.CONCAT("Proposed Annual Debt Service - ",Source_6)</f>
        <v>Proposed Annual Debt Service - AHP Loan</v>
      </c>
      <c r="AT126" s="1508" t="e">
        <f>-PMT(Rate_6,Term_6,Amount_6)</f>
        <v>#NUM!</v>
      </c>
      <c r="AU126" s="1507">
        <f>IF(Annual_DSC_6&gt;0,AV125+1,0)</f>
        <v>0</v>
      </c>
      <c r="AV126" s="1507">
        <f>MAX(AU121:AU126)</f>
        <v>0</v>
      </c>
      <c r="AW126" s="1507">
        <v>6</v>
      </c>
      <c r="AX126" s="9">
        <f>IF(OR('12. Funding Sources'!J16='12. Funding Sources'!$R$12,'12. Funding Sources'!J16='12. Funding Sources'!$R$13),AY125+1,0)</f>
        <v>0</v>
      </c>
      <c r="AY126" s="1507">
        <f>IF(MAX($AX$121:AX126)=0,AY125,MAX($AX$121:AX126))</f>
        <v>10</v>
      </c>
      <c r="AZ126" s="1507">
        <v>16</v>
      </c>
      <c r="BA126" s="9" t="str">
        <f>_xlfn.XLOOKUP(AZ126,$AX$121:$AX$133,'12. Funding Sources'!$C$11:$C$23,"")</f>
        <v/>
      </c>
      <c r="BB126" s="1507">
        <f>C150</f>
        <v>0</v>
      </c>
      <c r="BC126" s="1507"/>
      <c r="BF126" s="673" t="e">
        <f>-IPMT(Rate_6,1,Term_6,Amount_6)</f>
        <v>#NUM!</v>
      </c>
      <c r="BH126" s="9">
        <v>6</v>
      </c>
      <c r="BI126" s="1510">
        <f>IF(AND($AN$122&gt;BH126,$C$122=$BD$121),(I$122),IF(AND($AN$122&gt;BH126,$C$122=$BD$122),(I$122),IF(AND($AN$122&gt;BH126,$C$122=$BD$123),(I$122),IF(AND($AN$122&gt;BH126,$C$122=$BD$124),(I$121),IF(AND($AN$122&gt;BH126,$C$122=$BD$125),(I$122),0)))))</f>
        <v>0</v>
      </c>
      <c r="BJ126" s="1510">
        <v>0</v>
      </c>
      <c r="BK126" s="1510">
        <v>0</v>
      </c>
      <c r="BL126" s="1510">
        <f t="shared" si="305"/>
        <v>0</v>
      </c>
      <c r="BM126" s="1505">
        <f t="shared" si="306"/>
        <v>0</v>
      </c>
      <c r="BN126" s="9">
        <v>6</v>
      </c>
      <c r="BO126" s="1510">
        <f>IF(AND($AN$127&gt;BN126,$C$127=$BD$121),(I$127),IF(AND($AN$127&gt;BN126,$C$127=$BD$122),(I$127),IF(AND($AN$127&gt;BN126,$C$127=$BD$123),(I$127),IF(AND($AN$127&gt;BN126,$C$127=$BD$124),(I$126),IF(AND($AN$127&gt;BN126,$C$127=$BD$125),(I$127),0)))))</f>
        <v>0</v>
      </c>
      <c r="BP126" s="1510">
        <v>0</v>
      </c>
      <c r="BQ126" s="1510">
        <v>0</v>
      </c>
      <c r="BR126" s="1510">
        <f t="shared" si="301"/>
        <v>0</v>
      </c>
      <c r="BS126" s="1511">
        <f t="shared" si="309"/>
        <v>0</v>
      </c>
      <c r="BT126" s="9">
        <v>6</v>
      </c>
      <c r="BU126" s="1510">
        <f>IF(AND($AN$132&gt;BT126,$C$132=$BD$121),(I$132),IF(AND($AN$132&gt;BT126,$C$132=$BD$122),(I$132),IF(AND($AN$132&gt;BT126,$C$132=$BD$123),(I$132),IF(AND($AN$132&gt;BT126,$C$132=$BD$124),(I$131),IF(AND($AN$132&gt;BT126,$C$132=$BD$125),(I$132),0)))))</f>
        <v>0</v>
      </c>
      <c r="BV126" s="1510">
        <v>0</v>
      </c>
      <c r="BW126" s="1510">
        <v>0</v>
      </c>
      <c r="BX126" s="1510">
        <f t="shared" si="302"/>
        <v>0</v>
      </c>
      <c r="BY126" s="1511">
        <f t="shared" si="303"/>
        <v>0</v>
      </c>
      <c r="CA126" s="9"/>
      <c r="CB126" s="9"/>
      <c r="CC126" s="9"/>
      <c r="CD126" s="9"/>
    </row>
    <row r="127" spans="2:82">
      <c r="B127" s="1626"/>
      <c r="C127" s="1662" t="s">
        <v>4500</v>
      </c>
      <c r="D127" s="1581">
        <f>IF($C127=$BD$125,$AP$127,IF(AND($C127=$BD$121,$AR$127&lt;=$D124),$AR$127,IF($C127=$BD$123,($D124*($D126/100)),IF(AND($C127=$BD$122,$D124&gt;=$D126),$D126,IF(AND($C127=$BD$122,$D124&lt;$D126),$D124,IF($C127=$BD$124,0,0))))))</f>
        <v>0</v>
      </c>
      <c r="E127" s="1598" t="b">
        <f>IF(AND($C$127=$BD$125,$E$89&lt;$AN$127),$AP$127,IF(AND($C$127=$BD$125,$E$89=$AN$127),$AO$127,IF(AND($C$127=$BD$125,$E$89&gt;$AN$127),0,IF($C$127=$BD$124,0,IF(AND($C$127=$BD$123,$E$89&lt;$AN$127,$BM$122&gt;=(($D$126/100)*$E$124)),(($D$126/100)*$E$124),IF(AND($C$127=$BD$123,$E$89&lt;$AN$127,$BM$122&lt;(($D$126/100)*$E$124)),$BM$122,IF(AND($C$127=$BD$123,$E$89=$AN$127),$AO$127,IF(AND($C$127=$BD$123,$E$89&gt;$AN$127),0,IF(AND($C$127=$BD$122,$D$127=0),0,IF(AND($C$127=$BD$121,$E$89&lt;$AN$127,$E$124&gt;=$AR$127),$AR$127,IF(AND($C$127=$BD$121,$E$89&lt;$AN$127,E124&lt;$AR$127),$E$124,IF(AND($C$127=$BD$121,E94=$AN$127),$AO$127,IF(AND($C$127=$BD$121,$E$89&gt;$AN$127),0,IF(AND($C$127=$BD$122,$E$89&lt;$AN$127,$E$124&gt;=$D$126,$BM$122&gt;=$D$126),$D$126,IF(AND($C$127=$BD$122,$E$89&lt;$AN$127,$E$124&gt;=$D$126,$BM$122&lt;$D$126),$BM$122,IF(AND($C$127=$BD$122,$E$89&lt;$AN$127,$E$124&lt;$D$126,$BM$122&lt;E124),$BM$122,IF(AND($C$127=$BD$122,$E$89&lt;$AN$127,$E$124&lt;$D$126,$BM$122&gt;E124),$E$124,IF(AND($C$127=$BD$122,$E$89=$AN$127),$AO$127,IF(AND($C$127=$BD$122,$E$89&gt;$AN$127),0)))))))))))))))))))</f>
        <v>0</v>
      </c>
      <c r="F127" s="1581" t="b">
        <f>IF(AND($C$127=$BD$125,F89&lt;$AN$127),$AP$127,IF(AND($C$127=$BD$125,F89=$AN$127),$AO$127,IF(AND($C$127=$BD$125,F89&gt;$AN$127),0,IF($C$127=$BD$124,0,IF(AND($C$127=$BD$123,F89&lt;$AN$127,$BS$123&gt;=(($D$126/100)*F124)),(($D$126/100)*F124),IF(AND($C$127=$BD$123,F89&lt;$AN$127,$BS$123&lt;(($D$126/100)*F124)),$BS$123,IF(AND($C$127=$BD$123,F89=$AN$127),$AO$127,IF(AND($C$127=$BD$123,F89&gt;$AN$127),0,IF(AND($C$127=$BD$121,F89&lt;$AN$127,F124&gt;=$AR$127),$AR$127,IF(AND($C$127=$BD$121,F89&lt;$AN$127,F124&lt;$AR$127),F124,IF(AND($C$127=$BD$121,F89=$AN$127),$AO$127,IF(AND($C$127=$BD$121,F89&gt;$AN$127),0,IF(AND($C$127=$BD$122,F89&lt;$AN$127,F124&gt;=$D$126,$BS$123&gt;=$D$126),$D$126,IF(AND($C$127=$BD$122,F89&lt;$AN$127,F124&gt;=$D$126,$BS$123&lt;$D$126),$BS$123,IF(AND($C$127=$BD$122,F89&lt;$AN$127,F124&lt;$D$126,$BS$123&lt;F124),$BS$123,IF(AND($C$127=$BD$122,F89&lt;$AN$127,F124&lt;$D$126,$BS$123&gt;F124),F124,IF(AND($C$127=$BD$122,F89=$AN$127),$AO$127,IF(AND($C$127=$BD$122,F89&gt;$AN$127),0))))))))))))))))))</f>
        <v>0</v>
      </c>
      <c r="G127" s="1581" t="b">
        <f>IF(AND($C$127=$BD$125,G89&lt;$AN$127),$AP$127,IF(AND($C$127=$BD$125,G89=$AN$127),$AO$127,IF(AND($C$127=$BD$125,G89&gt;$AN$127),0,IF($C$127=$BD$124,0,IF(AND($C$127=$BD$123,G89&lt;$AN$127,$BS$124&gt;=(($D$126/100)*G124)),(($D$126/100)*G124),IF(AND($C$127=$BD$123,G89&lt;$AN$127,$BS$124&lt;(($D$126/100)*G124)),$BS$124,IF(AND($C$127=$BD$123,G89=$AN$127),$AO$127,IF(AND($C$127=$BD$123,G89&gt;$AN$127),0,IF(AND($C$127=$BD$121,G89&lt;$AN$127,G124&gt;=$AR$127),$AR$127,IF(AND($C$127=$BD$121,G89&lt;$AN$127,G124&lt;$AR$127),G124,IF(AND($C$127=$BD$121,G89=$AN$127),$AO$127,IF(AND($C$127=$BD$121,G89&gt;$AN$127),0,IF(AND($C$127=$BD$122,G89&lt;$AN$127,G124&gt;=$D$126,$BS$124&gt;=$D$126),$D$126,IF(AND($C$127=$BD$122,G89&lt;$AN$127,G124&gt;=$D$126,$BS$124&lt;$D$126),$BS$124,IF(AND($C$127=$BD$122,G89&lt;$AN$127,G124&lt;$D$126,$BS$124&lt;G124),$BS$124,IF(AND($C$127=$BD$122,G89&lt;$AN$127,G124&lt;$D$126,$BS$124&gt;G124),G124,IF(AND($C$127=$BD$122,G89=$AN$127),$AO$127,IF(AND($C$127=$BD$122,G89&gt;$AN$127),0))))))))))))))))))</f>
        <v>0</v>
      </c>
      <c r="H127" s="1581" t="b">
        <f>IF(AND($C$127=$BD$125,H89&lt;$AN$127),$AP$127,IF(AND($C$127=$BD$125,H89=$AN$127),$AO$127,IF(AND($C$127=$BD$125,H89&gt;$AN$127),0,IF($C$127=$BD$124,0,IF(AND($C$127=$BD$123,H89&lt;$AN$127,$BS$125&gt;=(($D$126/100)*H124)),(($D$126/100)*H124),IF(AND($C$127=$BD$123,H89&lt;$AN$127,$BS$125&lt;(($D$126/100)*H124)),$BS$125,IF(AND($C$127=$BD$123,H89=$AN$127),$AO$127,IF(AND($C$127=$BD$123,H89&gt;$AN$127),0,IF(AND($C$127=$BD$121,H89&lt;$AN$127,H124&gt;=$AR$127),$AR$127,IF(AND($C$127=$BD$121,H89&lt;$AN$127,H124&lt;$AR$127),H124,IF(AND($C$127=$BD$121,H89=$AN$127),$AO$127,IF(AND($C$127=$BD$121,H89&gt;$AN$127),0,IF(AND($C$127=$BD$122,H89&lt;$AN$127,H124&gt;=$D$126,$BS$125&gt;=$D$126),$D$126,IF(AND($C$127=$BD$122,H89&lt;$AN$127,H124&gt;=$D$126,$BS$125&lt;$D$126),$BS$125,IF(AND($C$127=$BD$122,H89&lt;$AN$127,H124&lt;$D$126,$BS$125&lt;H124),$BS$125,IF(AND($C$127=$BD$122,H89&lt;$AN$127,H124&lt;$D$126,$BS$125&gt;H124),H124,IF(AND($C$127=$BD$122,H89=$AN$127),$AO$127,IF(AND($C$127=$BD$122,H89&gt;$AN$127),0))))))))))))))))))</f>
        <v>0</v>
      </c>
      <c r="I127" s="1581" t="b">
        <f>IF(AND($C$127=$BD$125,I89&lt;$AN$127),$AP$127,IF(AND($C$127=$BD$125,I89=$AN$127),$AO$127,IF(AND($C$127=$BD$125,I89&gt;$AN$127),0,IF($C$127=$BD$124,0,IF(AND($C$127=$BD$123,I89&lt;$AN$127,$BS$126&gt;=(($D$126/100)*I124)),(($D$126/100)*I124),IF(AND($C$127=$BD$123,I89&lt;$AN$127,$BS$126&lt;(($D$126/100)*I124)),$BS$126,IF(AND($C$127=$BD$123,I89=$AN$127),$AO$127,IF(AND($C$127=$BD$123,I89&gt;$AN$127),0,IF(AND($C$127=$BD$123,I89&lt;$AN$127,$BS$126&gt;=(($D$126/100)*I124)),(($D$126/100)*I124),IF(AND($C$127=$BD$123,I89&lt;$AN$127,$BS$126&lt;(($D$126/100)*I124)),$BS$126,IF(AND($C$127=$BD$123,I89=$AN$127),$AO$127,IF(AND($C$127=$BD$123,I89&gt;$AN$127),0,IF(AND($C$127=$BD$121,I89&lt;$AN$127,I124&gt;=$AR$127),$AR$127,IF(AND($C$127=$BD$121,I89&lt;$AN$127,I124&lt;$AR$127),I124,IF(AND($C$127=$BD$121,I89=$AN$127),$AO$127,IF(AND($C$127=$BD$121,I89&gt;$AN$127),0,IF(AND($C$127=$BD$122,I89&lt;$AN$127,I124&gt;=$D$126,$BS$126&gt;=$D$126),$D$126,IF(AND($C$127=$BD$122,I89&lt;$AN$127,I124&gt;=$D$126,$BS$126&lt;$D$126),$BS$126,IF(AND($C$127=$BD$122,I89&lt;$AN$127,I124&lt;$D$126,$BS$126&lt;I124),$BS$126,IF(AND($C$127=$BD$122,I89&lt;$AN$127,I124&lt;$D$126,$BS$126&gt;I124),I124,IF(AND($C$127=$BD$122,I89=$AN$127),$AO$127,IF(AND($C$127=$BD$122,I89&gt;$AN$127),0))))))))))))))))))))))</f>
        <v>0</v>
      </c>
      <c r="J127" s="1581" t="b">
        <f>IF(AND($C$127=$BD$125,J89&lt;$AN$127),$AP$127,IF(AND($C$127=$BD$125,J89=$AN$127),$AO$127,IF(AND($C$127=$BD$125,J89&gt;$AN$127),0,IF($C$127=$BD$124,0,IF(AND($C$127=$BD$123,J89&lt;$AN$127,$BS$127&gt;=(($D$126/100)*J124)),(($D$126/100)*J124),IF(AND($C$127=$BD$123,J89&lt;$AN$127,$BS$127&lt;(($D$126/100)*J124)),$BS$127,IF(AND($C$127=$BD$123,J89=$AN$127),$AO$127,IF(AND($C$127=$BD$123,J89&gt;$AN$127),0,IF(AND($C$127=$BD$121,J89&lt;$AN$127,J124&gt;=$AR$127),$AR$127,IF(AND($C$127=$BD$121,J89&lt;$AN$127,J124&lt;$AR$127),J124,IF(AND($C$127=$BD$121,J89=$AN$127),$AO$127,IF(AND($C$127=$BD$121,J89&gt;$AN$127),0,IF(AND($C$127=$BD$122,J89&lt;$AN$127,J124&gt;=$D$126,$BS$127&gt;=$D$126),$D$126,IF(AND($C$127=$BD$122,J89&lt;$AN$127,J124&gt;=$D$126,$BS$127&lt;$D$126),$BS$127,IF(AND($C$127=$BD$122,J89&lt;$AN$127,J124&lt;$D$126,$BS$127&lt;J124),$BS$127,IF(AND($C$127=$BD$122,J89&lt;$AN$127,J124&lt;$D$126,$BS$127&gt;J124),J124,IF(AND($C$127=$BD$122,J89=$AN$127),$AO$127,IF(AND($C$127=$BD$122,J89&gt;$AN$127),0))))))))))))))))))</f>
        <v>0</v>
      </c>
      <c r="K127" s="1581" t="b">
        <f>IF(AND($C$127=$BD$125,K89&lt;$AN$127),$AP$127,IF(AND($C$127=$BD$125,K89=$AN$127),$AO$127,IF(AND($C$127=$BD$125,K89&gt;$AN$127),0,IF($C$127=$BD$124,0,IF(AND($C$127=$BD$123,K89&lt;$AN$127,$BS$128&gt;=(($D$126/100)*K124)),(($D$126/100)*K124),IF(AND($C$127=$BD$123,K89&lt;$AN$127,$BS$128&lt;(($D$126/100)*K124)),$BS$128,IF(AND($C$127=$BD$123,K89=$AN$127),$AO$127,IF(AND($C$127=$BD$123,K89&gt;$AN$127),0,IF(AND($C$127=$BD$121,K89&lt;$AN$127,K124&gt;=$AR$127),$AR$127,IF(AND($C$127=$BD$121,K89&lt;$AN$127,K124&lt;$AR$127),K124,IF(AND($C$127=$BD$121,K89=$AN$127),$AO$127,IF(AND($C$127=$BD$121,K89&gt;$AN$127),0,IF(AND($C$127=$BD$122,K89&lt;$AN$127,K124&gt;=$D$126,$BS$128&gt;=$D$126),$D$126,IF(AND($C$127=$BD$122,K89&lt;$AN$127,K124&gt;=$D$126,$BS$128&lt;$D$126),$BS$128,IF(AND($C$127=$BD$122,K89&lt;$AN$127,K124&lt;$D$126,$BS$128&lt;K124),$BS$128,IF(AND($C$127=$BD$122,K89&lt;$AN$127,K124&lt;$D$126,$BS$128&gt;K124),K124,IF(AND($C$127=$BD$122,K89=$AN$127),$AO$127,IF(AND($C$127=$BD$122,K89&gt;$AN$127),0))))))))))))))))))</f>
        <v>0</v>
      </c>
      <c r="L127" s="1581" t="b">
        <f>IF(AND($C$127=$BD$125,L89&lt;$AN$127),$AP$127,IF(AND($C$127=$BD$125,L89=$AN$127),$AO$127,IF(AND($C$127=$BD$125,L89&gt;$AN$127),0,IF($C$127=$BD$124,0,IF(AND($C$127=$BD$123,L89&lt;$AN$127,$BS$129&gt;=(($D$126/100)*L124)),(($D$126/100)*L124),IF(AND($C$127=$BD$123,L89&lt;$AN$127,$BS$129&lt;(($D$126/100)*L124)),$BS$129,IF(AND($C$127=$BD$123,L89=$AN$127),$AO$127,IF(AND($C$127=$BD$123,L89&gt;$AN$127),0,IF(AND($C$127=$BD$121,L89&lt;$AN$127,L124&gt;=$AR$127),$AR$127,IF(AND($C$127=$BD$121,L89&lt;$AN$127,L124&lt;$AR$127),L124,IF(AND($C$127=$BD$121,L89=$AN$127),$AO$127,IF(AND($C$127=$BD$121,L89&gt;$AN$127),0,IF(AND($C$127=$BD$122,L89&lt;$AN$127,L124&gt;=$D$126,$BS$129&gt;=$D$126),$D$126,IF(AND($C$127=$BD$122,L89&lt;$AN$127,L124&gt;=$D$126,$BS$129&lt;$D$126),$BS$129,IF(AND($C$127=$BD$122,L89&lt;$AN$127,L124&lt;$D$126,$BS$129&lt;L124),$BS$129,IF(AND($C$127=$BD$122,L89&lt;$AN$127,L124&lt;$D$126,$BS$129&gt;L124),L124,IF(AND($C$127=$BD$122,L89=$AN$127),$AO$127,IF(AND($C$127=$BD$122,L89&gt;$AN$127),0))))))))))))))))))</f>
        <v>0</v>
      </c>
      <c r="M127" s="1581" t="b">
        <f>IF(AND($C$127=$BD$125,M89&lt;$AN$127),$AP$127,IF(AND($C$127=$BD$125,M89=$AN$127),$AO$127,IF(AND($C$127=$BD$125,M89&gt;$AN$127),0,IF($C$127=$BD$124,0,IF(AND($C$127=$BD$123,M89&lt;$AN$127,$BS$130&gt;=(($D$126/100)*M124)),(($D$126/100)*M124),IF(AND($C$127=$BD$123,M89&lt;$AN$127,$BS$130&lt;(($D$126/100)*M124)),$BS$130,IF(AND($C$127=$BD$123,M89=$AN$127),$AO$127,IF(AND($C$127=$BD$123,M89&gt;$AN$127),0,IF(AND($C$127=$BD$121,M89&lt;$AN$127,M124&gt;=$AR$127),$AR$127,IF(AND($C$127=$BD$121,M89&lt;$AN$127,M124&lt;$AR$127),M124,IF(AND($C$127=$BD$121,M89=$AN$127),$AO$127,IF(AND($C$127=$BD$121,M89&gt;$AN$127),0,IF(AND($C$127=$BD$122,M89&lt;$AN$127,M124&gt;=$D$126,$BS$130&gt;=$D$126),$D$126,IF(AND($C$127=$BD$122,M89&lt;$AN$127,M124&gt;=$D$126,$BS$130&lt;$D$126),$BS$130,IF(AND($C$127=$BD$122,M89&lt;$AN$127,M124&lt;$D$126,$BS$130&lt;M124),$BS$130,IF(AND($C$127=$BD$122,M89&lt;$AN$127,M124&lt;$D$126,$BS$130&gt;M124),M124,IF(AND($C$127=$BD$122,M89=$AN$127),$AO$127,IF(AND($C$127=$BD$122,M89&gt;$AN$127),0))))))))))))))))))</f>
        <v>0</v>
      </c>
      <c r="N127" s="1581" t="b">
        <f>IF(AND($C$127=$BD$125,N89&lt;$AN$127),$AP$127,IF(AND($C$127=$BD$125,N89=$AN$127),$AO$127,IF(AND($C$127=$BD$125,N89&gt;$AN$127),0,IF($C$127=$BD$124,0,IF(AND($C$127=$BD$123,N89&lt;$AN$127,$BS$131&gt;=(($D$126/100)*N124)),(($D$126/100)*N124),IF(AND($C$127=$BD$123,N89&lt;$AN$127,$BS$131&lt;(($D$126/100)*N124)),$BS$131,IF(AND($C$127=$BD$123,N89=$AN$127),$AO$127,IF(AND($C$127=$BD$123,N89&gt;$AN$127),0,IF(AND($C$127=$BD$121,N89&lt;$AN$127,N124&gt;=$AR$127),$AR$127,IF(AND($C$127=$BD$121,N89&lt;$AN$127,N124&lt;$AR$127),N124,IF(AND($C$127=$BD$121,N89=$AN$127),$AO$127,IF(AND($C$127=$BD$121,N89&gt;$AN$127),0,IF(AND($C$127=$BD$122,N89&lt;$AN$127,N124&gt;=$D$126,$BS$131&gt;=$D$126),$D$126,IF(AND($C$127=$BD$122,N89&lt;$AN$127,N124&gt;=$D$126,$BS$131&lt;$D$126),$BS$131,IF(AND($C$127=$BD$122,N89&lt;$AN$127,N124&lt;$D$126,$BS$131&lt;N124),$BS$131,IF(AND($C$127=$BD$122,N89&lt;$AN$127,N124&lt;$D$126,$BS$131&gt;N124),N124,IF(AND($C$127=$BD$122,N89=$AN$127),$AO$127,IF(AND($C$127=$BD$122,N89&gt;$AN$127),0))))))))))))))))))</f>
        <v>0</v>
      </c>
      <c r="O127" s="1581" t="b">
        <f>IF(AND($C$127=$BD$125,O89&lt;$AN$127),$AP$127,IF(AND($C$127=$BD$125,O89=$AN$127),$AO$127,IF(AND($C$127=$BD$125,O89&gt;$AN$127),0,IF($C$127=$BD$124,0,IF(AND($C$127=$BD$123,O89&lt;$AN$127,$BS$129&gt;=(($D$126/100)*O124)),(($D$126/100)*O124),IF(AND($C$127=$BD$123,O89&lt;$AN$127,$BS$129&lt;(($D$126/100)*O124)),$BS$129,IF(AND($C$127=$BD$123,O89=$AN$127),$AO$127,IF(AND($C$127=$BD$123,O89&gt;$AN$127),0,IF(AND($C$127=$BD$121,O89&lt;$AN$127,O124&gt;=$AR$127),$AR$127,IF(AND($C$127=$BD$121,O89&lt;$AN$127,O124&lt;$AR$127),O124,IF(AND($C$127=$BD$121,O89=$AN$127),$AO$127,IF(AND($C$127=$BD$121,O89&gt;$AN$127),0,IF(AND($C$127=$BD$122,O89&lt;$AN$127,O124&gt;=$D$126,$BS$132&gt;=$D$126),$D$126,IF(AND($C$127=$BD$122,O89&lt;$AN$127,O124&gt;=$D$126,$BS$132&lt;$D$126),$BS$132,IF(AND($C$127=$BD$122,O89&lt;$AN$127,O124&lt;$D$126,$BS$132&lt;O124),$BS$132,IF(AND($C$127=$BD$122,O89&lt;$AN$127,O124&lt;$D$126,$BS$132&gt;O124),O124,IF(AND($C$127=$BD$122,O89=$AN$127),$AO$127,IF(AND($C$127=$BD$122,O89&gt;$AN$127),0))))))))))))))))))</f>
        <v>0</v>
      </c>
      <c r="P127" s="1581" t="b">
        <f>IF(AND($C$127=$BD$125,P89&lt;$AN$127),$AP$127,IF(AND($C$127=$BD$125,P89=$AN$127),$AO$127,IF(AND($C$127=$BD$125,P89&gt;$AN$127),0,IF($C$127=$BD$124,0,IF(AND($C$127=$BD$123,P89&lt;$AN$127,$BS$133&gt;=(($D$126/100)*P124)),(($D$126/100)*P124),IF(AND($C$127=$BD$123,P89&lt;$AN$127,$BS$133&lt;(($D$126/100)*P124)),$BS$133,IF(AND($C$127=$BD$123,P89=$AN$127),$AO$127,IF(AND($C$127=$BD$123,P89&gt;$AN$127),0,IF(AND($C$127=$BD$121,P89&lt;$AN$127,P124&gt;=$AR$127),$AR$127,IF(AND($C$127=$BD$121,P89&lt;$AN$127,P124&lt;$AR$127),P124,IF(AND($C$127=$BD$121,P89=$AN$127),$AO$127,IF(AND($C$127=$BD$121,P89&gt;$AN$127),0,IF(AND($C$127=$BD$122,P89&lt;$AN$127,P124&gt;=$D$126,$BS$133&gt;=$D$126),$D$126,IF(AND($C$127=$BD$122,P89&lt;$AN$127,P124&gt;=$D$126,$BS$133&lt;$D$126),$BS$133,IF(AND($C$127=$BD$122,P89&lt;$AN$127,P124&lt;$D$126,$BS$133&lt;P124),$BS$133,IF(AND($C$127=$BD$122,P89&lt;$AN$127,P124&lt;$D$126,$BS$133&gt;P124),P124,IF(AND($C$127=$BD$122,P89=$AN$127),$AO$127,IF(AND($C$127=$BD$122,P89&gt;$AN$127),0))))))))))))))))))</f>
        <v>0</v>
      </c>
      <c r="Q127" s="1581" t="b">
        <f>IF(AND($C$127=$BD$125,Q89&lt;$AN$127),$AP$127,IF(AND($C$127=$BD$125,Q89=$AN$127),$AO$127,IF(AND($C$127=$BD$125,Q89&gt;$AN$127),0,IF($C$127=$BD$124,0,IF(AND($C$127=$BD$123,Q89&lt;$AN$127,$BS$134&gt;=(($D$126/100)*Q124)),(($D$126/100)*Q124),IF(AND($C$127=$BD$123,Q89&lt;$AN$127,$BS$134&lt;(($D$126/100)*Q124)),$BS$134,IF(AND($C$127=$BD$123,Q89=$AN$127),$AO$127,IF(AND($C$127=$BD$123,Q89&gt;$AN$127),0,IF(AND($C$127=$BD$121,Q89&lt;$AN$127,Q124&gt;=$AR$127),$AR$127,IF(AND($C$127=$BD$121,Q89&lt;$AN$127,Q124&lt;$AR$127),Q124,IF(AND($C$127=$BD$121,Q89=$AN$127),$AO$127,IF(AND($C$127=$BD$121,Q89&gt;$AN$127),0,IF(AND($C$127=$BD$122,Q89&lt;$AN$127,Q124&gt;=$D$126,$BS$134&gt;=$D$126),$D$126,IF(AND($C$127=$BD$122,Q89&lt;$AN$127,Q124&gt;=$D$126,$BS$134&lt;$D$126),$BS$134,IF(AND($C$127=$BD$122,Q89&lt;$AN$127,Q124&lt;$D$126,$BS$134&lt;Q124),$BS$134,IF(AND($C$127=$BD$122,Q89&lt;$AN$127,Q124&lt;$D$126,$BS$134&gt;Q124),Q124,IF(AND($C$127=$BD$122,Q89=$AN$127),$AO$127,IF(AND($C$127=$BD$122,Q89&gt;$AN$127),0))))))))))))))))))</f>
        <v>0</v>
      </c>
      <c r="R127" s="1581" t="b">
        <f>IF(AND($C$127=$BD$125,R89&lt;$AN$127),$AP$127,IF(AND($C$127=$BD$125,R89=$AN$127),$AO$127,IF(AND($C$127=$BD$125,R89&gt;$AN$127),0,IF($C$127=$BD$124,0,IF(AND($C$127=$BD$123,R89&lt;$AN$127,$BS$135&gt;=(($D$126/100)*R124)),(($D$126/100)*R124),IF(AND($C$127=$BD$123,R89&lt;$AN$127,$BS$135&lt;(($D$126/100)*R124)),$BS$135,IF(AND($C$127=$BD$123,R89=$AN$127),$AO$127,IF(AND($C$127=$BD$123,R89&gt;$AN$127),0,IF(AND($C$127=$BD$121,R89&lt;$AN$127,R124&gt;=$AR$127),$AR$127,IF(AND($C$127=$BD$121,R89&lt;$AN$127,R124&lt;$AR$127),R124,IF(AND($C$127=$BD$121,R89=$AN$127),$AO$127,IF(AND($C$127=$BD$121,R89&gt;$AN$127),0,IF(AND($C$127=$BD$122,R89&lt;$AN$127,R124&gt;=$D$126,$BS$135&gt;=$D$126),$D$126,IF(AND($C$127=$BD$122,R89&lt;$AN$127,R124&gt;=$D$126,$BS$135&lt;$D$126),$BS$135,IF(AND($C$127=$BD$122,R89&lt;$AN$127,R124&lt;$D$126,$BS$135&lt;R124),$BS$135,IF(AND($C$127=$BD$122,R89&lt;$AN$127,R124&lt;$D$126,$BS$135&gt;R124),R124,IF(AND($C$127=$BD$122,R89=$AN$127),$AO$127,IF(AND($C$127=$BD$122,R89&gt;$AN$127),0))))))))))))))))))</f>
        <v>0</v>
      </c>
      <c r="S127" s="1581" t="b">
        <f>IF(AND($C$127=$BD$125,S89&lt;$AN$127),$AP$127,IF(AND($C$127=$BD$125,S89=$AN$127),$AO$127,IF(AND($C$127=$BD$125,S89&gt;$AN$127),0,IF($C$127=$BD$124,0,IF(AND($C$127=$BD$123,S89&lt;$AN$127,$BS$136&gt;=(($D$126/100)*S124)),(($D$126/100)*S124),IF(AND($C$127=$BD$123,S89&lt;$AN$127,$BS$136&lt;(($D$126/100)*S124)),$BS$136,IF(AND($C$127=$BD$123,S89=$AN$127),$AO$127,IF(AND($C$127=$BD$123,S89&gt;$AN$127),0,IF(AND($C$127=$BD$121,S89&lt;$AN$127,S124&gt;=$AR$127),$AR$127,IF(AND($C$127=$BD$121,S89&lt;$AN$127,S124&lt;$AR$127),S124,IF(AND($C$127=$BD$121,S89=$AN$127),$AO$127,IF(AND($C$127=$BD$121,S89&gt;$AN$127),0,IF(AND($C$127=$BD$122,S89&lt;$AN$127,S124&gt;=$D$126,$BS$136&gt;=$D$126),$D$126,IF(AND($C$127=$BD$122,S89&lt;$AN$127,S124&gt;=$D$126,$BS$136&lt;$D$126),$BS$136,IF(AND($C$127=$BD$122,S89&lt;$AN$127,S124&lt;$D$126,$BS$136&lt;S124),$BS$136,IF(AND($C$127=$BD$122,S89&lt;$AN$127,S124&lt;$D$126,$BS$136&gt;S124),S124,IF(AND($C$127=$BD$122,S89=$AN$127),$AO$127,IF(AND($C$127=$BD$122,S89&gt;$AN$127),0))))))))))))))))))</f>
        <v>0</v>
      </c>
      <c r="T127" s="1581" t="b">
        <f>IF(AND($C$127=$BD$125,T89&lt;$AN$127),$AP$127,IF(AND($C$127=$BD$125,T89=$AN$127),$AO$127,IF(AND($C$127=$BD$125,T89&gt;$AN$127),0,IF($C$127=$BD$124,0,IF(AND($C$127=$BD$123,T89&lt;$AN$127,$BS$137&gt;=(($D$126/100)*T124)),(($D$126/100)*T124),IF(AND($C$127=$BD$123,T89&lt;$AN$127,$BS$137&lt;(($D$126/100)*T124)),$BS$137,IF(AND($C$127=$BD$123,T89=$AN$127),$AO$127,IF(AND($C$127=$BD$123,T89&gt;$AN$127),0,IF(AND($C$127=$BD$121,T89&lt;$AN$127,T124&gt;=$AR$127),$AR$127,IF(AND($C$127=$BD$121,T89&lt;$AN$127,T124&lt;$AR$127),T124,IF(AND($C$127=$BD$121,T89=$AN$127),$AO$127,IF(AND($C$127=$BD$121,T89&gt;$AN$127),0,IF(AND($C$127=$BD$122,T89&lt;$AN$127,T124&gt;=$D$126,$BS$137&gt;=$D$126),$D$126,IF(AND($C$127=$BD$122,T89&lt;$AN$127,T124&gt;=$D$126,$BS$137&lt;$D$126),$BS$137,IF(AND($C$127=$BD$122,T89&lt;$AN$127,T124&lt;$D$126,$BS$137&lt;T124),$BS$137,IF(AND($C$127=$BD$122,T89&lt;$AN$127,T124&lt;$D$126,$BS$137&gt;T124),T124,IF(AND($C$127=$BD$122,T89=$AN$127),$AO$127,IF(AND($C$127=$BD$122,T89&gt;$AN$127),0))))))))))))))))))</f>
        <v>0</v>
      </c>
      <c r="U127" s="1581" t="b">
        <f>IF(AND($C$127=$BD$125,U89&lt;$AN$127),$AP$127,IF(AND($C$127=$BD$125,U89=$AN$127),$AO$127,IF(AND($C$127=$BD$125,U89&gt;$AN$127),0,IF($C$127=$BD$124,0,IF(AND($C$127=$BD$123,U89&lt;$AN$127,$BS$138&gt;=(($D$126/100)*U124)),(($D$126/100)*U124),IF(AND($C$127=$BD$123,U89&lt;$AN$127,$BS$138&lt;(($D$126/100)*U124)),$BS$138,IF(AND($C$127=$BD$123,U89=$AN$127),$AO$127,IF(AND($C$127=$BD$123,U89&gt;$AN$127),0,IF(AND($C$127=$BD$121,U89&lt;$AN$127,U124&gt;=$AR$127),$AR$127,IF(AND($C$127=$BD$121,U89&lt;$AN$127,U124&lt;$AR$127),U124,IF(AND($C$127=$BD$121,U89=$AN$127),$AO$127,IF(AND($C$127=$BD$121,U89&gt;$AN$127),0,IF(AND($C$127=$BD$122,U89&lt;$AN$127,U124&gt;=$D$126,$BS$138&gt;=$D$126),$D$126,IF(AND($C$127=$BD$122,U89&lt;$AN$127,U124&gt;=$D$126,$BS$138&lt;$D$126),$BS$138,IF(AND($C$127=$BD$122,U89&lt;$AN$127,U124&lt;$D$126,$BS$138&lt;U124),$BS$138,IF(AND($C$127=$BD$122,U89&lt;$AN$127,U124&lt;$D$126,$BS$138&gt;U124),U124,IF(AND($C$127=$BD$122,U89=$AN$127),$AO$127,IF(AND($C$127=$BD$122,U89&gt;$AN$127),0))))))))))))))))))</f>
        <v>0</v>
      </c>
      <c r="V127" s="1581" t="b">
        <f>IF(AND($C$127=$BD$125,V89&lt;$AN$127),$AP$127,IF(AND($C$127=$BD$125,V89=$AN$127),$AO$127,IF(AND($C$127=$BD$125,V89&gt;$AN$127),0,IF($C$127=$BD$124,0,IF(AND($C$127=$BD$123,V89&lt;$AN$127,$BS$139&gt;=(($D$126/100)*V124)),(($D$126/100)*V124),IF(AND($C$127=$BD$123,V89&lt;$AN$127,$BS$139&lt;(($D$126/100)*V124)),$BS$139,IF(AND($C$127=$BD$123,V89=$AN$127),$AO$127,IF(AND($C$127=$BD$123,V89&gt;$AN$127),0,IF(AND($C$127=$BD$121,V89&lt;$AN$127,V124&gt;=$AR$127),$AR$127,IF(AND($C$127=$BD$121,V89&lt;$AN$127,V124&lt;$AR$127),V124,IF(AND($C$127=$BD$121,V89=$AN$127),$AO$127,IF(AND($C$127=$BD$121,V89&gt;$AN$127),0,IF(AND($C$127=$BD$122,V89&lt;$AN$127,V124&gt;=$D$126,$BS$139&gt;=$D$126),$D$126,IF(AND($C$127=$BD$122,V89&lt;$AN$127,V124&gt;=$D$126,$BS$139&lt;$D$126),$BS$139,IF(AND($C$127=$BD$122,V89&lt;$AN$127,V124&lt;$D$126,$BS$139&lt;V124),$BS$139,IF(AND($C$127=$BD$122,V89&lt;$AN$127,V124&lt;$D$126,$BS$139&gt;V124),V124,IF(AND($C$127=$BD$122,V89=$AN$127),$AO$127,IF(AND($C$127=$BD$122,V89&gt;$AN$127),0))))))))))))))))))</f>
        <v>0</v>
      </c>
      <c r="W127" s="1581" t="b">
        <f>IF(AND($C$127=$BD$125,W89&lt;$AN$127),$AP$127,IF(AND($C$127=$BD$125,W89=$AN$127),$AO$127,IF(AND($C$127=$BD$125,W89&gt;$AN$127),0,IF($C$127=$BD$124,0,IF(AND($C$127=$BD$123,W89&lt;$AN$127,$BS$140&gt;=(($D$126/100)*W124)),(($D$126/100)*W124),IF(AND($C$127=$BD$123,W89&lt;$AN$127,$BS$140&lt;(($D$126/100)*W124)),$BS$140,IF(AND($C$127=$BD$123,W89=$AN$127),$AO$127,IF(AND($C$127=$BD$123,W89&gt;$AN$127),0,IF(AND($C$127=$BD$121,W89&lt;$AN$127,W124&gt;=$AR$127),$AR$127,IF(AND($C$127=$BD$121,W89&lt;$AN$127,W124&lt;$AR$127),W124,IF(AND($C$127=$BD$121,W89=$AN$127),$AO$127,IF(AND($C$127=$BD$121,W89&gt;$AN$127),0,IF(AND($C$127=$BD$122,W89&lt;$AN$127,W124&gt;=$D$126,$BS$140&gt;=$D$126),$D$126,IF(AND($C$127=$BD$122,W89&lt;$AN$127,W124&gt;=$D$126,$BS$140&lt;$D$126),$BS$140,IF(AND($C$127=$BD$122,W89&lt;$AN$127,W124&lt;$D$126,$BS$140&lt;W124),$BS$140,IF(AND($C$127=$BD$122,W89&lt;$AN$127,W124&lt;$D$126,$BS$140&gt;W124),W124,IF(AND($C$127=$BD$122,W89=$AN$127),$AO$127,IF(AND($C$127=$BD$122,W89&gt;$AN$127),0))))))))))))))))))</f>
        <v>0</v>
      </c>
      <c r="X127" s="1581" t="b">
        <f>IF(AND($C$127=$BD$125,X89&lt;$AN$127),$AP$127,IF(AND($C$127=$BD$125,X89=$AN$127),$AO$127,IF(AND($C$127=$BD$125,X89&gt;$AN$127),0,IF($C$127=$BD$124,0,IF(AND($C$127=$BD$123,X89&lt;$AN$127,$BS$141&gt;=(($D$126/100)*X124)),(($D$126/100)*X124),IF(AND($C$127=$BD$123,X89&lt;$AN$127,$BS$141&lt;(($D$126/100)*X124)),$BS$141,IF(AND($C$127=$BD$123,X89=$AN$127),$AO$127,IF(AND($C$127=$BD$123,X89&gt;$AN$127),0,IF(AND($C$127=$BD$121,X89&lt;$AN$127,X124&gt;=$AR$127),$AR$127,IF(AND($C$127=$BD$121,X89&lt;$AN$127,X124&lt;$AR$127),X124,IF(AND($C$127=$BD$121,X89=$AN$127),$AO$127,IF(AND($C$127=$BD$121,X89&gt;$AN$127),0,IF(AND($C$127=$BD$122,X89&lt;$AN$127,X124&gt;=$D$126,$BS$141&gt;=$D$126),$D$126,IF(AND($C$127=$BD$122,X89&lt;$AN$127,X124&gt;=$D$126,$BS$141&lt;$D$126),$BS$141,IF(AND($C$127=$BD$122,X89&lt;$AN$127,X124&lt;$D$126,$BS$141&lt;X124),$BS$141,IF(AND($C$127=$BD$122,X89&lt;$AN$127,X124&lt;$D$126,$BS$141&gt;X124),X124,IF(AND($C$127=$BD$122,X89=$AN$127),$AO$127,IF(AND($C$127=$BD$122,X89&gt;$AN$127),0))))))))))))))))))</f>
        <v>0</v>
      </c>
      <c r="Y127" s="1581" t="b">
        <f>IF(AND($C$127=$BD$125,Y89&lt;$AN$127),$AP$127,IF(AND($C$127=$BD$125,Y89=$AN$127),$AO$127,IF(AND($C$127=$BD$125,Y89&gt;$AN$127),0,IF($C$127=$BD$124,0,IF(AND($C$127=$BD$123,Y89&lt;$AN$127,$BS$142&gt;=(($D$126/100)*Y124)),(($D$126/100)*Y124),IF(AND($C$127=$BD$123,Y89&lt;$AN$127,$BS$142&lt;(($D$126/100)*Y124)),$BS$142,IF(AND($C$127=$BD$123,Y89=$AN$127),$AO$127,IF(AND($C$127=$BD$123,Y89&gt;$AN$127),0,IF(AND($C$127=$BD$121,Y89&lt;$AN$127,Y124&gt;=$AR$127),$AR$127,IF(AND($C$127=$BD$121,Y89&lt;$AN$127,Y124&lt;$AR$127),Y124,IF(AND($C$127=$BD$121,Y89=$AN$127),$AO$127,IF(AND($C$127=$BD$121,Y89&gt;$AN$127),0,IF(AND($C$127=$BD$122,Y89&lt;$AN$127,Y124&gt;=$D$126,$BS$142&gt;=$D$126),$D$126,IF(AND($C$127=$BD$122,Y89&lt;$AN$127,Y124&gt;=$D$126,$BS$142&lt;$D$126),$BS$142,IF(AND($C$127=$BD$122,Y89&lt;$AN$127,Y124&lt;$D$126,$BS$142&lt;Y124),$BS$142,IF(AND($C$127=$BD$122,Y89&lt;$AN$127,Y124&lt;$D$126,$BS$142&gt;Y124),Y124,IF(AND($C$127=$BD$122,Y89=$AN$127),$AO$127,IF(AND($C$127=$BD$122,Y89&gt;$AN$127),0))))))))))))))))))</f>
        <v>0</v>
      </c>
      <c r="Z127" s="1581" t="b">
        <f>IF(AND($C$127=$BD$125,Z89&lt;$AN$127),$AP$127,IF(AND($C$127=$BD$125,Z89=$AN$127),$AO$127,IF(AND($C$127=$BD$125,Z89&gt;$AN$127),0,IF($C$127=$BD$124,0,IF(AND($C$127=$BD$123,Z89&lt;$AN$127,$BS$143&gt;=(($D$126/100)*Z124)),(($D$126/100)*Z124),IF(AND($C$127=$BD$123,Z89&lt;$AN$127,$BS$143&lt;(($D$126/100)*Z124)),$BS$143,IF(AND($C$127=$BD$123,Z89=$AN$127),$AO$127,IF(AND($C$127=$BD$123,Z89&gt;$AN$127),0,IF(AND($C$127=$BD$121,Z89&lt;$AN$127,Z124&gt;=$AR$127),$AR$127,IF(AND($C$127=$BD$121,Z89&lt;$AN$127,Z124&lt;$AR$127),Z124,IF(AND($C$127=$BD$121,Z89=$AN$127),$AO$127,IF(AND($C$127=$BD$121,Z89&gt;$AN$127),0,IF(AND($C$127=$BD$122,Z89&lt;$AN$127,Z124&gt;=$D$126,$BS$143&gt;=$D$126),$D$126,IF(AND($C$127=$BD$122,Z89&lt;$AN$127,Z124&gt;=$D$126,$BS$143&lt;$D$126),$BS$143,IF(AND($C$127=$BD$122,Z89&lt;$AN$127,Z124&lt;$D$126,$BS$143&lt;Z124),$BS$143,IF(AND($C$127=$BD$122,Z89&lt;$AN$127,Z124&lt;$D$126,$BS$143&gt;Z124),Z124,IF(AND($C$127=$BD$122,Z89=$AN$127),$AO$127,IF(AND($C$127=$BD$122,Z89&gt;$AN$127),0))))))))))))))))))</f>
        <v>0</v>
      </c>
      <c r="AA127" s="1581" t="b">
        <f>IF(AND($C$127=$BD$125,AA89&lt;$AN$127),$AP$127,IF(AND($C$127=$BD$125,AA89=$AN$127),$AO$127,IF(AND($C$127=$BD$125,AA89&gt;$AN$127),0,IF($C$127=$BD$124,0,IF(AND($C$127=$BD$123,AA89&lt;$AN$127,$BS$144&gt;=(($D$126/100)*AA124)),(($D$126/100)*AA124),IF(AND($C$127=$BD$123,AA89&lt;$AN$127,$BS$144&lt;(($D$126/100)*AA124)),$BS$144,IF(AND($C$127=$BD$123,AA89=$AN$127),$AO$127,IF(AND($C$127=$BD$123,AA89&gt;$AN$127),0,IF(AND($C$127=$BD$121,AA89&lt;$AN$127,AA124&gt;=$AR$127),$AR$127,IF(AND($C$127=$BD$121,AA89&lt;$AN$127,AA124&lt;$AR$127),AA124,IF(AND($C$127=$BD$121,AA89=$AN$127),$AO$127,IF(AND($C$127=$BD$121,AA89&gt;$AN$127),0,IF(AND($C$127=$BD$122,AA89&lt;$AN$127,AA124&gt;=$D$126,$BS$144&gt;=$D$126),$D$126,IF(AND($C$127=$BD$122,AA89&lt;$AN$127,AA124&gt;=$D$126,$BS$144&lt;$D$126),$BS$144,IF(AND($C$127=$BD$122,AA89&lt;$AN$127,AA124&lt;$D$126,$BS$144&lt;AA124),$BS$144,IF(AND($C$127=$BD$122,AA89&lt;$AN$127,AA124&lt;$D$126,$BS$144&gt;AA124),AA124,IF(AND($C$127=$BD$122,AA89=$AN$127),$AO$127,IF(AND($C$127=$BD$122,AA89&gt;$AN$127),0))))))))))))))))))</f>
        <v>0</v>
      </c>
      <c r="AB127" s="1581" t="b">
        <f>IF(AND($C$127=$BD$125,AB89&lt;$AN$127),$AP$127,IF(AND($C$127=$BD$125,AB89=$AN$127),$AO$127,IF(AND($C$127=$BD$125,AB89&gt;$AN$127),0,IF($C$127=$BD$124,0,IF(AND($C$127=$BD$123,AB89&lt;$AN$127,$BS$145&gt;=(($D$126/100)*AB124)),(($D$126/100)*AB124),IF(AND($C$127=$BD$123,AB89&lt;$AN$127,$BS$145&lt;(($D$126/100)*AB124)),$BS$145,IF(AND($C$127=$BD$123,AB89=$AN$127),$AO$127,IF(AND($C$127=$BD$123,AB89&gt;$AN$127),0,IF(AND($C$127=$BD$121,AB89&lt;$AN$127,AB124&gt;=$AR$127),$AR$127,IF(AND($C$127=$BD$121,AB89&lt;$AN$127,AB124&lt;$AR$127),AB124,IF(AND($C$127=$BD$121,AB89=$AN$127),$AO$127,IF(AND($C$127=$BD$121,AB89&gt;$AN$127),0,IF(AND($C$127=$BD$122,AB89&lt;$AN$127,AB124&gt;=$D$126,$BS$145&gt;=$D$126),$D$126,IF(AND($C$127=$BD$122,AB89&lt;$AN$127,AB124&gt;=$D$126,$BS$145&lt;$D$126),$BS$145,IF(AND($C$127=$BD$122,AB89&lt;$AN$127,AB124&lt;$D$126,$BS$145&lt;AB124),$BS$145,IF(AND($C$127=$BD$122,AB89&lt;$AN$127,AB124&lt;$D$126,$BS$145&gt;AB124),AB124,IF(AND($C$127=$BD$122,AB89=$AN$127),$AO$127,IF(AND($C$127=$BD$122,AB89&gt;$AN$127),0))))))))))))))))))</f>
        <v>0</v>
      </c>
      <c r="AC127" s="1581" t="b">
        <f>IF(AND($C$127=$BD$125,AC89&lt;$AN$127),$AP$127,IF(AND($C$127=$BD$125,AC89=$AN$127),$AO$127,IF(AND($C$127=$BD$125,AC89&gt;$AN$127),0,IF($C$127=$BD$124,0,IF(AND($C$127=$BD$123,AC89&lt;$AN$127,$BS$146&gt;=(($D$126/100)*AC124)),(($D$126/100)*AC124),IF(AND($C$127=$BD$123,AC89&lt;$AN$127,$BS$146&lt;(($D$126/100)*AC124)),$BS$146,IF(AND($C$127=$BD$123,AC89=$AN$127),$AO$127,IF(AND($C$127=$BD$123,AC89&gt;$AN$127),0,IF(AND($C$127=$BD$121,AC89&lt;$AN$127,AC124&gt;=$AR$127),$AR$127,IF(AND($C$127=$BD$121,AC89&lt;$AN$127,AC124&lt;$AR$127),AC124,IF(AND($C$127=$BD$121,AC89=$AN$127),$AO$127,IF(AND($C$127=$BD$121,AC89&gt;$AN$127),0,IF(AND($C$127=$BD$122,AC89&lt;$AN$127,AC124&gt;=$D$126,$BS$146&gt;=$D$126),$D$126,IF(AND($C$127=$BD$122,AC89&lt;$AN$127,AC124&gt;=$D$126,$BS$146&lt;$D$126),$BS$146,IF(AND($C$127=$BD$122,AC89&lt;$AN$127,AC124&lt;$D$126,$BS$146&lt;AC124),$BS$146,IF(AND($C$127=$BD$122,AC89&lt;$AN$127,AC124&lt;$D$126,$BS$146&gt;AC124),AC124,IF(AND($C$127=$BD$122,AC89=$AN$127),$AO$127,IF(AND($C$127=$BD$122,AC89&gt;$AN$127),0))))))))))))))))))</f>
        <v>0</v>
      </c>
      <c r="AD127" s="1581" t="b">
        <f>IF(AND($C$127=$BD$125,AD89&lt;$AN$127),$AP$127,IF(AND($C$127=$BD$125,AD89=$AN$127),$AO$127,IF(AND($C$127=$BD$125,AD89&gt;$AN$127),0,IF($C$127=$BD$124,0,IF(AND($C$127=$BD$123,AD89&lt;$AN$127,$BS$147&gt;=(($D$126/100)*AD124)),(($D$126/100)*AD124),IF(AND($C$127=$BD$123,AD89&lt;$AN$127,$BS$147&lt;(($D$126/100)*AD124)),$BS$147,IF(AND($C$127=$BD$123,AD89=$AN$127),$AO$127,IF(AND($C$127=$BD$123,AD89&gt;$AN$127),0,IF(AND($C$127=$BD$121,AD89&lt;$AN$127,AD124&gt;=$AR$127),$AR$127,IF(AND($C$127=$BD$121,AD89&lt;$AN$127,AD124&lt;$AR$127),AD124,IF(AND($C$127=$BD$121,AD89=$AN$127),$AO$127,IF(AND($C$127=$BD$121,AD89&gt;$AN$127),0,IF(AND($C$127=$BD$122,AD89&lt;$AN$127,AD124&gt;=$D$126,$BS$147&gt;=$D$126),$D$126,IF(AND($C$127=$BD$122,AD89&lt;$AN$127,AD124&gt;=$D$126,$BS$147&lt;$D$126),$BS$147,IF(AND($C$127=$BD$122,AD89&lt;$AN$127,AD124&lt;$D$126,$BS$147&lt;AD124),$BS$147,IF(AND($C$127=$BD$122,AD89&lt;$AN$127,AD124&lt;$D$126,$BS$147&gt;AD124),AD124,IF(AND($C$127=$BD$122,AD89=$AN$127),$AO$127,IF(AND($C$127=$BD$122,AD89&gt;$AN$127),0))))))))))))))))))</f>
        <v>0</v>
      </c>
      <c r="AE127" s="1581" t="b">
        <f>IF(AND($C$127=$BD$125,AE89&lt;$AN$127),$AP$127,IF(AND($C$127=$BD$125,AE89=$AN$127),$AO$127,IF(AND($C$127=$BD$125,AE89&gt;$AN$127),0,IF($C$127=$BD$124,0,IF(AND($C$127=$BD$123,AE89&lt;$AN$127,$BS$148&gt;=(($D$126/100)*AE124)),(($D$126/100)*AE124),IF(AND($C$127=$BD$123,AE89&lt;$AN$127,$BS$148&lt;(($D$126/100)*AE124)),$BS$148,IF(AND($C$127=$BD$123,AE89=$AN$127),$AO$127,IF(AND($C$127=$BD$123,AE89&gt;$AN$127),0,IF(AND($C$127=$BD$121,AE89&lt;$AN$127,AE124&gt;=$AR$127),$AR$127,IF(AND($C$127=$BD$121,AE89&lt;$AN$127,AE124&lt;$AR$127),AE124,IF(AND($C$127=$BD$121,AE89=$AN$127),$AO$127,IF(AND($C$127=$BD$121,AE89&gt;$AN$127),0,IF(AND($C$127=$BD$122,AE89&lt;$AN$127,AE124&gt;=$D$126,$BS$148&gt;=$D$126),$D$126,IF(AND($C$127=$BD$122,AE89&lt;$AN$127,AE124&gt;=$D$126,$BS$148&lt;$D$126),$BS$148,IF(AND($C$127=$BD$122,AE89&lt;$AN$127,AE124&lt;$D$126,$BS$148&lt;AE124),$BS$148,IF(AND($C$127=$BD$122,AE89&lt;$AN$127,AE124&lt;$D$126,$BS$148&gt;AE124),AE124,IF(AND($C$127=$BD$122,AE89=$AN$127),$AO$127,IF(AND($C$127=$BD$122,AE89&gt;$AN$127),0))))))))))))))))))</f>
        <v>0</v>
      </c>
      <c r="AF127" s="1581" t="b">
        <f>IF(AND($C$127=$BD$125,AF89&lt;$AN$127),$AP$127,IF(AND($C$127=$BD$125,AF89=$AN$127),$AO$127,IF(AND($C$127=$BD$125,AF89&gt;$AN$127),0,IF($C$127=$BD$124,0,IF(AND($C$127=$BD$123,AF89&lt;$AN$127,$BS$149&gt;=(($D$126/100)*AF124)),(($D$126/100)*AF124),IF(AND($C$127=$BD$123,AF89&lt;$AN$127,$BS$149&lt;(($D$126/100)*AF124)),$BS$149,IF(AND($C$127=$BD$123,AF89=$AN$127),$AO$127,IF(AND($C$127=$BD$123,AF89&gt;$AN$127),0,IF(AND($C$127=$BD$121,AF89&lt;$AN$127,AF124&gt;=$AR$127),$AR$127,IF(AND($C$127=$BD$121,AF89&lt;$AN$127,AF124&lt;$AR$127),AF124,IF(AND($C$127=$BD$121,AF89=$AN$127),$AO$127,IF(AND($C$127=$BD$121,AF89&gt;$AN$127),0,IF(AND($C$127=$BD$122,AF89&lt;$AN$127,AF124&gt;=$D$126,$BS$149&gt;=$D$126),$D$126,IF(AND($C$127=$BD$122,AF89&lt;$AN$127,AF124&gt;=$D$126,$BS$149&lt;$D$126),$BS$149,IF(AND($C$127=$BD$122,AF89&lt;$AN$127,AF124&lt;$D$126,$BS$149&lt;AF124),$BS$149,IF(AND($C$127=$BD$122,AF89&lt;$AN$127,AF124&lt;$D$126,$BS$149&gt;AF124),AF124,IF(AND($C$127=$BD$122,AF89=$AN$127),$AO$127,IF(AND($C$127=$BD$122,AF89&gt;$AN$127),0))))))))))))))))))</f>
        <v>0</v>
      </c>
      <c r="AG127" s="1581" t="b">
        <f>IF(AND($C$127=$BD$125,AG89&lt;$AN$127),$AP$127,IF(AND($C$127=$BD$125,AG89=$AN$127),$AO$127,IF(AND($C$127=$BD$125,AG89&gt;$AN$127),0,IF($C$127=$BD$124,0,IF(AND($C$127=$BD$123,AG89&lt;$AN$127,$BS$150&gt;=(($D$126/100)*AG124)),(($D$126/100)*AG124),IF(AND($C$127=$BD$123,AG89&lt;$AN$127,$BS$150&lt;(($D$126/100)*AG124)),$BS$150,IF(AND($C$127=$BD$123,AG89=$AN$127),$AO$127,IF(AND($C$127=$BD$123,AG89&gt;$AN$127),0,IF(AND($C$127=$BD$121,AG89&lt;$AN$127,AG124&gt;=$AR$127),$AR$127,IF(AND($C$127=$BD$121,AG89&lt;$AN$127,AG124&lt;$AR$127),AG124,IF(AND($C$127=$BD$121,AG89=$AN$127),$AO$127,IF(AND($C$127=$BD$121,AG89&gt;$AN$127),0,IF(AND($C$127=$BD$122,AG89&lt;$AN$127,AG124&gt;=$D$126,$BS$150&gt;=$D$126),$D$126,IF(AND($C$127=$BD$122,AG89&lt;$AN$127,AG124&gt;=$D$126,$BS$150&lt;$D$126),$BS$150,IF(AND($C$127=$BD$122,AG89&lt;$AN$127,AG124&lt;$D$126,$BS$150&lt;AG124),$BS$150,IF(AND($C$127=$BD$122,AG89&lt;$AN$127,AG124&lt;$D$126,$BS$150&gt;AG124),AG124,IF(AND($C$127=$BD$122,AG89=$AN$127),$AO$127,IF(AND($C$127=$BD$122,AG89&gt;$AN$127),0))))))))))))))))))</f>
        <v>0</v>
      </c>
      <c r="AH127" s="1581" t="b">
        <f>IF(AND($C$127=$BD$125,AH89&lt;$AN$127),$AP$127,IF(AND($C$127=$BD$125,AH89=$AN$127),$AO$127,IF(AND($C$127=$BD$125,AH89&gt;$AN$127),0,IF($C$127=$BD$124,0,IF(AND($C$127=$BD$123,AH89&lt;$AN$127,$BS$151&gt;=(($D$126/100)*AH124)),(($D$126/100)*AH124),IF(AND($C$127=$BD$123,AH89&lt;$AN$127,$BS$151&lt;(($D$126/100)*AH124)),$BS$151,IF(AND($C$127=$BD$123,AH89=$AN$127),$AO$127,IF(AND($C$127=$BD$123,AH89&gt;$AN$127),0,IF(AND($C$127=$BD$121,AH89&lt;$AN$127,AH124&gt;=$AR$127),$AR$127,IF(AND($C$127=$BD$121,AH89&lt;$AN$127,AH124&lt;$AR$127),AH124,IF(AND($C$127=$BD$121,AH89=$AN$127),$AO$127,IF(AND($C$127=$BD$121,AH89&gt;$AN$127),0,IF(AND($C$127=$BD$122,AH89&lt;$AN$127,AH124&gt;=$D$126,$BS$151&gt;=$D$126),$D$126,IF(AND($C$127=$BD$122,AH89&lt;$AN$127,AH124&gt;=$D$126,$BS$151&lt;$D$126),$BS$151,IF(AND($C$127=$BD$122,AH89&lt;$AN$127,AH124&lt;$D$126,$BS$151&lt;AH124),$BS$151,IF(AND($C$127=$BD$122,AH89&lt;$AN$127,AH124&lt;$D$126,$BS$151&gt;AH124),AH124,IF(AND($C$127=$BD$122,AH89=$AN$127),$AO$127,IF(AND($C$127=$BD$122,AH89&gt;$AN$127),0))))))))))))))))))</f>
        <v>0</v>
      </c>
      <c r="AI127" s="1581" t="b">
        <f>IF(AND($C$127=$BD$125,AI89&lt;$AN$127),$AP$127,IF(AND($C$127=$BD$125,AI89=$AN$127),$AO$127,IF(AND($C$127=$BD$125,AI89&gt;$AN$127),0,IF($C$127=$BD$124,0,IF(AND($C$127=$BD$123,AI89&lt;$AN$127,$BS$152&gt;=(($D$126/100)*AI124)),(($D$126/100)*AI124),IF(AND($C$127=$BD$123,AI89&lt;$AN$127,$BS$152&lt;(($D$126/100)*AI124)),$BS$152,IF(AND($C$127=$BD$123,AI89=$AN$127),$AO$127,IF(AND($C$127=$BD$123,AI89&gt;$AN$127),0,IF(AND($C$127=$BD$121,AI89&lt;$AN$127,AI124&gt;=$AR$127),$AR$127,IF(AND($C$127=$BD$121,AI89&lt;$AN$127,AI124&lt;$AR$127),AI124,IF(AND($C$127=$BD$121,AI89=$AN$127),$AO$127,IF(AND($C$127=$BD$121,AI89&gt;$AN$127),0,IF(AND($C$127=$BD$122,AI89&lt;$AN$127,AI124&gt;=$D$126,$BS$152&gt;=$D$126),$D$126,IF(AND($C$127=$BD$122,AI89&lt;$AN$127,AI124&gt;=$D$126,$BS$152&lt;$D$126),$BS$152,IF(AND($C$127=$BD$122,AI89&lt;$AN$127,AI124&lt;$D$126,$BS$152&lt;AI124),$BS$152,IF(AND($C$127=$BD$122,AI89&lt;$AN$127,AI124&lt;$D$126,$BS$152&gt;AI124),AI124,IF(AND($C$127=$BD$122,AI89=$AN$127),$AO$127,IF(AND($C$127=$BD$122,AI89&gt;$AN$127),0))))))))))))))))))</f>
        <v>0</v>
      </c>
      <c r="AJ127" s="1581" t="b">
        <f>IF(AND($C$127=$BD$125,AJ89&lt;$AN$127),$AP$127,IF(AND($C$127=$BD$125,AJ89=$AN$127),$AO$127,IF(AND($C$127=$BD$125,AJ89&gt;$AN$127),0,IF($C$127=$BD$124,0,IF(AND($C$127=$BD$123,AJ89&lt;$AN$127,$BS$153&gt;=(($D$126/100)*AJ124)),(($D$126/100)*AJ124),IF(AND($C$127=$BD$123,AJ89&lt;$AN$127,$BS$153&lt;(($D$126/100)*AJ124)),$BS$153,IF(AND($C$127=$BD$123,AJ89=$AN$127),$AO$127,IF(AND($C$127=$BD$123,AJ89&gt;$AN$127),0,IF(AND($C$127=$BD$121,AJ89&lt;$AN$127,AJ124&gt;=$AR$127),$AR$127,IF(AND($C$127=$BD$121,AJ89&lt;$AN$127,AJ124&lt;$AR$127),AJ124,IF(AND($C$127=$BD$121,AJ89=$AN$127),$AO$127,IF(AND($C$127=$BD$121,AJ89&gt;$AN$127),0,IF(AND($C$127=$BD$122,AJ89&lt;$AN$127,AJ124&gt;=$D$126,$BS$153&gt;=$D$126),$D$126,IF(AND($C$127=$BD$122,AJ89&lt;$AN$127,AJ124&gt;=$D$126,$BS$153&lt;$D$126),$BS$153,IF(AND($C$127=$BD$122,AJ89&lt;$AN$127,AJ124&lt;$D$126,$BS$153&lt;AJ124),$BS$153,IF(AND($C$127=$BD$122,AJ89&lt;$AN$127,AJ124&lt;$D$126,$BS$153&gt;AJ124),AJ124,IF(AND($C$127=$BD$122,AJ89=$AN$127),$AO$127,IF(AND($C$127=$BD$122,AJ89&gt;$AN$127),0))))))))))))))))))</f>
        <v>0</v>
      </c>
      <c r="AK127" s="1581" t="b">
        <f>IF(AND($C$127=$BD$125,AK89&lt;$AN$127),$AP$127,IF(AND($C$127=$BD$125,AK89=$AN$127),$AO$127,IF(AND($C$127=$BD$125,AK89&gt;$AN$127),0,IF($C$127=$BD$124,0,IF(AND($C$127=$BD$123,AK89&lt;$AN$127,$BS$154&gt;=(($D$126/100)*AK124)),(($D$126/100)*AK124),IF(AND($C$127=$BD$123,AK89&lt;$AN$127,$BS$154&lt;(($D$126/100)*AK124)),$BS$154,IF(AND($C$127=$BD$123,AK89=$AN$127),$AO$127,IF(AND($C$127=$BD$123,AK89&gt;$AN$127),0,IF(AND($C$127=$BD$121,AK89&lt;$AN$127,AK124&gt;=$AR$127),$AR$127,IF(AND($C$127=$BD$121,AK89&lt;$AN$127,AK124&lt;$AR$127),AK124,IF(AND($C$127=$BD$121,AK89=$AN$127),$AO$127,IF(AND($C$127=$BD$121,AK89&gt;$AN$127),0,IF(AND($C$127=$BD$122,AK89&lt;$AN$127,AK124&gt;=$D$126,$BS$154&gt;=$D$126),$D$126,IF(AND($C$127=$BD$122,AK89&lt;$AN$127,AK124&gt;=$D$126,$BS$154&lt;$D$126),$BS$154,IF(AND($C$127=$BD$122,AK89&lt;$AN$127,AK124&lt;$D$126,$BS$154&lt;AK124),$BS$154,IF(AND($C$127=$BD$122,AK89&lt;$AN$127,AK124&lt;$D$126,$BS$154&gt;AK124),AK124,IF(AND($C$127=$BD$122,AK89=$AN$127),$AO$127,IF(AND($C$127=$BD$122,AK89&gt;$AN$127),0))))))))))))))))))</f>
        <v>0</v>
      </c>
      <c r="AL127" s="1581" t="b">
        <f>IF(AND($C$127=$BD$125,AL89&lt;$AN$127),$AP$127,IF(AND($C$127=$BD$125,AL89=$AN$127),$AO$127,IF(AND($C$127=$BD$125,AL89&gt;$AN$127),0,IF($C$127=$BD$124,_xlfn.CONCAT("P/I Remaining:
 $",AO133),IF(AND($C$127=$BD$123,AL89&lt;$AN$127,$BS$155&gt;=(($D$126/100)*AL124)),(($D$126/100)*AL124),IF(AND($C$127=$BD$123,AL89&lt;$AN$127,$BS$155&lt;(($D$126/100)*AL124)),$BS$155,IF(AND($C$127=$BD$123,AL89=$AN$127),$AO$127,IF(AND($C$127=$BD$123,AL89&gt;$AN$127),0,IF(AND($C$127=$BD$121,AL89&lt;$AN$127,AL124&gt;=$AR$127),$AR$127,IF(AND($C$127=$BD$121,AL89&lt;$AN$127,AL124&lt;$AR$127),AL124,IF(AND($C$127=$BD$121,AL89=$AN$127),$AO$127,IF(AND($C$127=$BD$121,AL89&gt;$AN$127),0,IF(AND($C$127=$BD$122,AL89&lt;$AN$127,AL124&gt;=$D$126,$BS$155&gt;=$D$126),$D$126,IF(AND($C$127=$BD$122,AL89&lt;$AN$127,AL124&gt;=$D$126,$BS$155&lt;$D$126),$BS$155,IF(AND($C$127=$BD$122,AL89&lt;$AN$127,AL124&lt;$D$126,$BS$155&lt;AL124),$BS$155,IF(AND($C$127=$BD$122,AL89&lt;$AN$127,AL124&lt;$D$126,$BS$155&gt;AL124),AL124,IF(AND($C$127=$BD$122,AL89=$AN$127),$AO$127,IF(AND($C$127=$BD$122,AL89&gt;$AN$127),0))))))))))))))))))</f>
        <v>0</v>
      </c>
      <c r="AM127" s="1174"/>
      <c r="AN127" s="1512">
        <f>_xlfn.XLOOKUP(C126,'12. Funding Sources'!$C$11:$C$23,'12. Funding Sources'!$L$11:$L$23,36)</f>
        <v>36</v>
      </c>
      <c r="AO127" s="1505">
        <f>BR155*(1+AQ127)</f>
        <v>0</v>
      </c>
      <c r="AP127" s="1505">
        <f>_xlfn.XLOOKUP(C126,'12. Funding Sources'!$C$11:$C$20,'17. Cash Flow and Reserves'!$BF$121:$BF$130,0)</f>
        <v>0</v>
      </c>
      <c r="AQ127" s="1513">
        <f>_xlfn.XLOOKUP(C126,'12. Funding Sources'!$C$11:$C$20,'12. Funding Sources'!$K$11:$K$20,0)</f>
        <v>0</v>
      </c>
      <c r="AR127" s="1505">
        <f>(IF(D124&gt;=_xlfn.XLOOKUP(C126,'12. Funding Sources'!$C$11:$C$23,'17. Cash Flow and Reserves'!$AT$121:$AT$133,0),_xlfn.XLOOKUP(C126,'12. Funding Sources'!$C$11:$C$23,'17. Cash Flow and Reserves'!$AT$121:$AT$133,0),D124))</f>
        <v>0</v>
      </c>
      <c r="AS127" s="1507" t="str">
        <f>_xlfn.CONCAT("Proposed Annual Debt Service - ",Source_7)</f>
        <v>Proposed Annual Debt Service - HOME Loan</v>
      </c>
      <c r="AT127" s="1508" t="e">
        <f>-PMT(Rate_7,Term_7,Amount_7)</f>
        <v>#NUM!</v>
      </c>
      <c r="AU127" s="1507">
        <f>IF(Annual_DSC_7&gt;0,AV126+1,0)</f>
        <v>0</v>
      </c>
      <c r="AV127" s="1507">
        <f>MAX(AU121:AU127)</f>
        <v>0</v>
      </c>
      <c r="AW127" s="1509">
        <v>7</v>
      </c>
      <c r="AX127" s="9">
        <f>IF(OR('12. Funding Sources'!J17='12. Funding Sources'!$R$12,'12. Funding Sources'!J17='12. Funding Sources'!$R$13),AY126+1,0)</f>
        <v>0</v>
      </c>
      <c r="AY127" s="1507">
        <f>IF(MAX($AX$121:AX127)=0,AY126,MAX($AX$121:AX127))</f>
        <v>10</v>
      </c>
      <c r="AZ127" s="1507">
        <v>17</v>
      </c>
      <c r="BA127" s="9" t="str">
        <f>_xlfn.XLOOKUP(AZ127,$AX$121:$AX$133,'12. Funding Sources'!$C$11:$C$23,"")</f>
        <v/>
      </c>
      <c r="BB127" s="1507"/>
      <c r="BC127" s="1507"/>
      <c r="BF127" s="673" t="e">
        <f>-IPMT(Rate_7,1,Term_7,Amount_7)</f>
        <v>#NUM!</v>
      </c>
      <c r="BH127" s="9">
        <v>7</v>
      </c>
      <c r="BI127" s="1510">
        <f>IF(AND($AN$122&gt;BH127,$C$122=$BD$121),(J$122),IF(AND($AN$122&gt;BH127,$C$122=$BD$122),(J$122),IF(AND($AN$122&gt;BH127,$C$122=$BD$123),(J$122),IF(AND($AN$122&gt;BH127,$C$122=$BD$124),(J$121),IF(AND($AN$122&gt;BH127,$C$122=$BD$125),(J$122),0)))))</f>
        <v>0</v>
      </c>
      <c r="BJ127" s="1510">
        <v>0</v>
      </c>
      <c r="BK127" s="1510">
        <v>0</v>
      </c>
      <c r="BL127" s="1510">
        <f t="shared" si="305"/>
        <v>0</v>
      </c>
      <c r="BM127" s="1505">
        <f t="shared" si="306"/>
        <v>0</v>
      </c>
      <c r="BN127" s="9">
        <v>7</v>
      </c>
      <c r="BO127" s="1510">
        <f>IF(AND($AN$127&gt;BN127,$C$127=$BD$121),(J$127),IF(AND($AN$127&gt;BN127,$C$127=$BD$122),(J$127),IF(AND($AN$127&gt;BN127,$C$127=$BD$123),(J$127),IF(AND($AN$127&gt;BN127,$C$127=$BD$124),(J$126),IF(AND($AN$127&gt;BN127,$C$127=$BD$125),(J$127),0)))))</f>
        <v>0</v>
      </c>
      <c r="BP127" s="1510">
        <v>0</v>
      </c>
      <c r="BQ127" s="1510">
        <v>0</v>
      </c>
      <c r="BR127" s="1510">
        <f t="shared" si="301"/>
        <v>0</v>
      </c>
      <c r="BS127" s="1511">
        <f t="shared" si="309"/>
        <v>0</v>
      </c>
      <c r="BT127" s="9">
        <v>7</v>
      </c>
      <c r="BU127" s="1510">
        <f>IF(AND($AN$132&gt;BT127,$C$132=$BD$121),(J$132),IF(AND($AN$132&gt;BT127,$C$132=$BD$122),(J$132),IF(AND($AN$132&gt;BT127,$C$132=$BD$123),(J$132),IF(AND($AN$132&gt;BT127,$C$132=$BD$124),(J$131),IF(AND($AN$132&gt;BT127,$C$132=$BD$125),(J$132),0)))))</f>
        <v>0</v>
      </c>
      <c r="BV127" s="1510">
        <v>0</v>
      </c>
      <c r="BW127" s="1510">
        <v>0</v>
      </c>
      <c r="BX127" s="1510">
        <f t="shared" si="302"/>
        <v>0</v>
      </c>
      <c r="BY127" s="1511">
        <f t="shared" si="303"/>
        <v>0</v>
      </c>
      <c r="CA127" s="9"/>
      <c r="CB127" s="9"/>
      <c r="CC127" s="9"/>
      <c r="CD127" s="9"/>
    </row>
    <row r="128" spans="2:82">
      <c r="B128" s="1626"/>
      <c r="C128" s="1570" t="s">
        <v>4489</v>
      </c>
      <c r="D128" s="1582">
        <f t="shared" ref="D128:AL128" si="310">IFERROR(IF($C$127=$BD$124,(D$86/(D$90+D$96+D$100+D$104+D$108+D$112+D$116+SUM(D121:D122)+D$126)),IF(OR($C$127=$BD$121,$C$127=$BD$122,$C$127=$BD$123,$C$127=$BD$125),(D$86/(D$90+D$96+D$100+D$104+D$108+D$112+D$116+D$127)),D123)),D123)</f>
        <v>0</v>
      </c>
      <c r="E128" s="1582">
        <f t="shared" si="310"/>
        <v>0</v>
      </c>
      <c r="F128" s="1582">
        <f t="shared" si="310"/>
        <v>0</v>
      </c>
      <c r="G128" s="1582">
        <f t="shared" si="310"/>
        <v>0</v>
      </c>
      <c r="H128" s="1582">
        <f t="shared" si="310"/>
        <v>0</v>
      </c>
      <c r="I128" s="1582">
        <f t="shared" si="310"/>
        <v>0</v>
      </c>
      <c r="J128" s="1582">
        <f t="shared" si="310"/>
        <v>0</v>
      </c>
      <c r="K128" s="1582">
        <f t="shared" si="310"/>
        <v>0</v>
      </c>
      <c r="L128" s="1582">
        <f t="shared" si="310"/>
        <v>0</v>
      </c>
      <c r="M128" s="1582">
        <f t="shared" si="310"/>
        <v>0</v>
      </c>
      <c r="N128" s="1582">
        <f t="shared" si="310"/>
        <v>0</v>
      </c>
      <c r="O128" s="1582">
        <f t="shared" si="310"/>
        <v>0</v>
      </c>
      <c r="P128" s="1582">
        <f t="shared" si="310"/>
        <v>0</v>
      </c>
      <c r="Q128" s="1582">
        <f t="shared" si="310"/>
        <v>0</v>
      </c>
      <c r="R128" s="1582">
        <f t="shared" si="310"/>
        <v>0</v>
      </c>
      <c r="S128" s="1582">
        <f t="shared" si="310"/>
        <v>0</v>
      </c>
      <c r="T128" s="1582">
        <f t="shared" si="310"/>
        <v>0</v>
      </c>
      <c r="U128" s="1582">
        <f t="shared" si="310"/>
        <v>0</v>
      </c>
      <c r="V128" s="1582">
        <f t="shared" si="310"/>
        <v>0</v>
      </c>
      <c r="W128" s="1582">
        <f t="shared" si="310"/>
        <v>0</v>
      </c>
      <c r="X128" s="1582">
        <f t="shared" si="310"/>
        <v>0</v>
      </c>
      <c r="Y128" s="1582">
        <f t="shared" si="310"/>
        <v>0</v>
      </c>
      <c r="Z128" s="1582">
        <f t="shared" si="310"/>
        <v>0</v>
      </c>
      <c r="AA128" s="1582">
        <f t="shared" si="310"/>
        <v>0</v>
      </c>
      <c r="AB128" s="1582">
        <f t="shared" si="310"/>
        <v>0</v>
      </c>
      <c r="AC128" s="1582">
        <f t="shared" si="310"/>
        <v>0</v>
      </c>
      <c r="AD128" s="1582">
        <f t="shared" si="310"/>
        <v>0</v>
      </c>
      <c r="AE128" s="1582">
        <f t="shared" si="310"/>
        <v>0</v>
      </c>
      <c r="AF128" s="1582">
        <f t="shared" si="310"/>
        <v>0</v>
      </c>
      <c r="AG128" s="1582">
        <f t="shared" si="310"/>
        <v>0</v>
      </c>
      <c r="AH128" s="1582">
        <f t="shared" si="310"/>
        <v>0</v>
      </c>
      <c r="AI128" s="1582">
        <f t="shared" si="310"/>
        <v>0</v>
      </c>
      <c r="AJ128" s="1582">
        <f t="shared" si="310"/>
        <v>0</v>
      </c>
      <c r="AK128" s="1582">
        <f t="shared" si="310"/>
        <v>0</v>
      </c>
      <c r="AL128" s="1582">
        <f t="shared" si="310"/>
        <v>0</v>
      </c>
      <c r="AM128" s="1174"/>
      <c r="AO128" s="1505">
        <f>ROUND((MIN(BR121:BR155)*(AQ127+1)),0)</f>
        <v>0</v>
      </c>
      <c r="AS128" s="1507" t="str">
        <f>_xlfn.CONCAT("Proposed Annual Debt Service - ",Source_8)</f>
        <v>Proposed Annual Debt Service - Other</v>
      </c>
      <c r="AT128" s="1508" t="e">
        <f>-PMT(Rate_8,Term_8,Amount_8)</f>
        <v>#NUM!</v>
      </c>
      <c r="AU128" s="1507">
        <f>IF(Annual_DSC_8&gt;0,AV127+1,0)</f>
        <v>0</v>
      </c>
      <c r="AV128" s="1507">
        <f>MAX(AU121:AU128)</f>
        <v>0</v>
      </c>
      <c r="AW128" s="1507">
        <v>8</v>
      </c>
      <c r="AX128" s="9">
        <f>IF(OR('12. Funding Sources'!J18='12. Funding Sources'!$R$12,'12. Funding Sources'!J18='12. Funding Sources'!$R$13),AY127+1,0)</f>
        <v>0</v>
      </c>
      <c r="AY128" s="1507">
        <f>IF(MAX($AX$121:AX128)=0,AY127,MAX($AX$121:AX128))</f>
        <v>10</v>
      </c>
      <c r="AZ128" s="1507">
        <v>18</v>
      </c>
      <c r="BA128" s="9" t="str">
        <f>_xlfn.XLOOKUP(AZ128,$AX$121:$AX$133,'12. Funding Sources'!$C$11:$C$23,"")</f>
        <v/>
      </c>
      <c r="BB128" s="1507"/>
      <c r="BC128" s="1507"/>
      <c r="BF128" s="673" t="e">
        <f>-IPMT(Rate_8,1,Term_8,Amount_8)</f>
        <v>#NUM!</v>
      </c>
      <c r="BH128" s="9">
        <v>8</v>
      </c>
      <c r="BI128" s="1510">
        <f>IF(AND($AN$122&gt;BH128,$C$122=$BD$121),(K$122),IF(AND($AN$122&gt;BH128,$C$122=$BD$122),(K$122),IF(AND($AN$122&gt;BH128,$C$122=$BD$123),(K$122),IF(AND($AN$122&gt;BH128,$C$122=$BD$124),(K$121),IF(AND($AN$122&gt;BH128,$C$122=$BD$125),(K$122),0)))))</f>
        <v>0</v>
      </c>
      <c r="BJ128" s="1510">
        <v>0</v>
      </c>
      <c r="BK128" s="1510">
        <v>0</v>
      </c>
      <c r="BL128" s="1510">
        <f t="shared" si="305"/>
        <v>0</v>
      </c>
      <c r="BM128" s="1505">
        <f t="shared" si="306"/>
        <v>0</v>
      </c>
      <c r="BN128" s="9">
        <v>8</v>
      </c>
      <c r="BO128" s="1510">
        <f>IF(AND($AN$127&gt;BN128,$C$127=$BD$121),(K$127),IF(AND($AN$127&gt;BN128,$C$127=$BD$122),(K$127),IF(AND($AN$127&gt;BN128,$C$127=$BD$123),(K$127),IF(AND($AN$127&gt;BN128,$C$127=$BD$124),(K$126),IF(AND($AN$127&gt;BN128,$C$127=$BD$125),(K$127),0)))))</f>
        <v>0</v>
      </c>
      <c r="BP128" s="1510">
        <v>0</v>
      </c>
      <c r="BQ128" s="1510">
        <v>0</v>
      </c>
      <c r="BR128" s="1510">
        <f t="shared" si="301"/>
        <v>0</v>
      </c>
      <c r="BS128" s="1511">
        <f t="shared" si="309"/>
        <v>0</v>
      </c>
      <c r="BT128" s="9">
        <v>8</v>
      </c>
      <c r="BU128" s="1510">
        <f>IF(AND($AN$132&gt;BT128,$C$132=$BD$121),(K$132),IF(AND($AN$132&gt;BT128,$C$132=$BD$122),(K$132),IF(AND($AN$132&gt;BT128,$C$132=$BD$123),(K$132),IF(AND($AN$132&gt;BT128,$C$132=$BD$124),(K$131),IF(AND($AN$132&gt;BT128,$C$132=$BD$125),(K$132),0)))))</f>
        <v>0</v>
      </c>
      <c r="BV128" s="1510">
        <v>0</v>
      </c>
      <c r="BW128" s="1510">
        <v>0</v>
      </c>
      <c r="BX128" s="1510">
        <f t="shared" si="302"/>
        <v>0</v>
      </c>
      <c r="BY128" s="1511">
        <f t="shared" si="303"/>
        <v>0</v>
      </c>
      <c r="CA128" s="9"/>
      <c r="CB128" s="9"/>
      <c r="CC128" s="9"/>
      <c r="CD128" s="9"/>
    </row>
    <row r="129" spans="2:102">
      <c r="B129" s="1626"/>
      <c r="C129" s="1570" t="s">
        <v>4493</v>
      </c>
      <c r="D129" s="1583">
        <f t="shared" ref="D129:AL129" si="311">IFERROR(MAX(IF($C$127=$BD$125,(D124-D127),IF($C$127=$BD$124,D124-D126,IF($C$127=$BD$123,D124-D127,IF($C$127=$BD$122,D124-D127,IF($C$127=$BD$121,D124-D127,D124))))),0),D124)</f>
        <v>0</v>
      </c>
      <c r="E129" s="1583">
        <f t="shared" si="311"/>
        <v>0</v>
      </c>
      <c r="F129" s="1583">
        <f t="shared" si="311"/>
        <v>0</v>
      </c>
      <c r="G129" s="1583">
        <f t="shared" si="311"/>
        <v>0</v>
      </c>
      <c r="H129" s="1583">
        <f t="shared" si="311"/>
        <v>0</v>
      </c>
      <c r="I129" s="1583">
        <f t="shared" si="311"/>
        <v>0</v>
      </c>
      <c r="J129" s="1583">
        <f t="shared" si="311"/>
        <v>0</v>
      </c>
      <c r="K129" s="1583">
        <f t="shared" si="311"/>
        <v>0</v>
      </c>
      <c r="L129" s="1583">
        <f t="shared" si="311"/>
        <v>0</v>
      </c>
      <c r="M129" s="1583">
        <f t="shared" si="311"/>
        <v>0</v>
      </c>
      <c r="N129" s="1583">
        <f t="shared" si="311"/>
        <v>0</v>
      </c>
      <c r="O129" s="1583">
        <f t="shared" si="311"/>
        <v>0</v>
      </c>
      <c r="P129" s="1583">
        <f t="shared" si="311"/>
        <v>0</v>
      </c>
      <c r="Q129" s="1583">
        <f t="shared" si="311"/>
        <v>0</v>
      </c>
      <c r="R129" s="1583">
        <f t="shared" si="311"/>
        <v>0</v>
      </c>
      <c r="S129" s="1583">
        <f t="shared" si="311"/>
        <v>0</v>
      </c>
      <c r="T129" s="1583">
        <f t="shared" si="311"/>
        <v>0</v>
      </c>
      <c r="U129" s="1583">
        <f t="shared" si="311"/>
        <v>0</v>
      </c>
      <c r="V129" s="1583">
        <f t="shared" si="311"/>
        <v>0</v>
      </c>
      <c r="W129" s="1583">
        <f t="shared" si="311"/>
        <v>0</v>
      </c>
      <c r="X129" s="1583">
        <f t="shared" si="311"/>
        <v>0</v>
      </c>
      <c r="Y129" s="1583">
        <f t="shared" si="311"/>
        <v>0</v>
      </c>
      <c r="Z129" s="1583">
        <f t="shared" si="311"/>
        <v>0</v>
      </c>
      <c r="AA129" s="1583">
        <f t="shared" si="311"/>
        <v>0</v>
      </c>
      <c r="AB129" s="1583">
        <f t="shared" si="311"/>
        <v>0</v>
      </c>
      <c r="AC129" s="1583">
        <f t="shared" si="311"/>
        <v>0</v>
      </c>
      <c r="AD129" s="1583">
        <f t="shared" si="311"/>
        <v>0</v>
      </c>
      <c r="AE129" s="1583">
        <f t="shared" si="311"/>
        <v>0</v>
      </c>
      <c r="AF129" s="1583">
        <f t="shared" si="311"/>
        <v>0</v>
      </c>
      <c r="AG129" s="1583">
        <f t="shared" si="311"/>
        <v>0</v>
      </c>
      <c r="AH129" s="1583">
        <f t="shared" si="311"/>
        <v>0</v>
      </c>
      <c r="AI129" s="1583">
        <f t="shared" si="311"/>
        <v>0</v>
      </c>
      <c r="AJ129" s="1583">
        <f t="shared" si="311"/>
        <v>0</v>
      </c>
      <c r="AK129" s="1583">
        <f t="shared" si="311"/>
        <v>0</v>
      </c>
      <c r="AL129" s="1583">
        <f t="shared" si="311"/>
        <v>0</v>
      </c>
      <c r="AM129" s="1174"/>
      <c r="AO129" s="1505"/>
      <c r="AS129" s="1507" t="str">
        <f>_xlfn.CONCAT("Proposed Annual Debt Service - ",Source_9)</f>
        <v>Proposed Annual Debt Service - Other</v>
      </c>
      <c r="AT129" s="1508" t="e">
        <f>-PMT(Rate_9,Term_9,Amount_9)</f>
        <v>#NUM!</v>
      </c>
      <c r="AU129" s="1507">
        <f>IF(Annual_DSC_9&gt;0,AV128+1,0)</f>
        <v>0</v>
      </c>
      <c r="AV129" s="1507">
        <f>MAX(AU121:AU129)</f>
        <v>0</v>
      </c>
      <c r="AW129" s="1509">
        <v>9</v>
      </c>
      <c r="AX129" s="9">
        <f>IF(OR('12. Funding Sources'!J19='12. Funding Sources'!$R$12,'12. Funding Sources'!J19='12. Funding Sources'!$R$13),AY128+1,0)</f>
        <v>0</v>
      </c>
      <c r="AY129" s="1507">
        <f>IF(MAX($AX$121:AX129)=0,AY128,MAX($AX$121:AX129))</f>
        <v>10</v>
      </c>
      <c r="AZ129" s="1507">
        <v>19</v>
      </c>
      <c r="BA129" s="9" t="str">
        <f>_xlfn.XLOOKUP(AZ129,$AX$121:$AX$133,'12. Funding Sources'!$C$11:$C$23,"")</f>
        <v/>
      </c>
      <c r="BB129" s="1507"/>
      <c r="BC129" s="1507"/>
      <c r="BF129" s="673" t="e">
        <f>-IPMT(Rate_9,1,Term_9,Amount_9)</f>
        <v>#NUM!</v>
      </c>
      <c r="BH129" s="9">
        <v>9</v>
      </c>
      <c r="BI129" s="1510">
        <f>IF(AND($AN$122&gt;BH129,$C$122=$BD$121),(L$122),IF(AND($AN$122&gt;BH129,$C$122=$BD$122),(L$122),IF(AND($AN$122&gt;BH129,$C$122=$BD$123),(L$122),IF(AND($AN$122&gt;BH129,$C$122=$BD$124),(L$121),IF(AND($AN$122&gt;BH129,$C$122=$BD$125),(L$122),0)))))</f>
        <v>0</v>
      </c>
      <c r="BJ129" s="1510">
        <v>0</v>
      </c>
      <c r="BK129" s="1510">
        <v>0</v>
      </c>
      <c r="BL129" s="1510">
        <f t="shared" ref="BL129:BL155" si="312">IF(AND($AN$122&gt;BH129,$AP$122&gt;=BI129),(((BL128+($AP$122-BI129))*($AQ$122+1))-BI129),IF(AND($AN$122&gt;BH129,$AP$122&lt;=BI129),((BL128*($AQ$122+1))-BI129),IF($AN$122&lt;=BL128,BL128,0)))</f>
        <v>0</v>
      </c>
      <c r="BM129" s="1505">
        <f t="shared" ref="BM129:BM155" si="313">IF(BI128=BM128,0,BL128*($AQ$122+1))</f>
        <v>0</v>
      </c>
      <c r="BN129" s="9">
        <v>9</v>
      </c>
      <c r="BO129" s="1510">
        <f>IF(AND($AN$127&gt;BN129,$C$127=$BD$121),(L$127),IF(AND($AN$127&gt;BN129,$C$127=$BD$122),(L$127),IF(AND($AN$127&gt;BN129,$C$127=$BD$123),(L$127),IF(AND($AN$127&gt;BN129,$C$127=$BD$124),(L$126),IF(AND($AN$127&gt;BN129,$C$127=$BD$125),(L$127),0)))))</f>
        <v>0</v>
      </c>
      <c r="BP129" s="1510">
        <v>0</v>
      </c>
      <c r="BQ129" s="1510">
        <v>0</v>
      </c>
      <c r="BR129" s="1510">
        <f t="shared" si="301"/>
        <v>0</v>
      </c>
      <c r="BS129" s="1511">
        <f t="shared" si="309"/>
        <v>0</v>
      </c>
      <c r="BT129" s="9">
        <v>9</v>
      </c>
      <c r="BU129" s="1510">
        <f>IF(AND($AN$132&gt;BT129,$C$132=$BD$121),(L$132),IF(AND($AN$132&gt;BT129,$C$132=$BD$122),(L$132),IF(AND($AN$132&gt;BT129,$C$132=$BD$123),(L$132),IF(AND($AN$132&gt;BT129,$C$132=$BD$124),(L$131),IF(AND($AN$132&gt;BT129,$C$132=$BD$125),(L$132),0)))))</f>
        <v>0</v>
      </c>
      <c r="BV129" s="1510">
        <v>0</v>
      </c>
      <c r="BW129" s="1510">
        <v>0</v>
      </c>
      <c r="BX129" s="1510">
        <f t="shared" si="302"/>
        <v>0</v>
      </c>
      <c r="BY129" s="1511">
        <f t="shared" si="303"/>
        <v>0</v>
      </c>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row>
    <row r="130" spans="2:102" ht="28.5" customHeight="1">
      <c r="B130" s="1626"/>
      <c r="C130" s="1602"/>
      <c r="D130" s="1207" t="str">
        <f>IF(OR($C$132=$BD$122,$C$132=$BD$124),"Input Desired Annual Payment Amount",IF($C$132=$BD$123,"Input Desired % of Cashflow", ""))</f>
        <v/>
      </c>
      <c r="E130" s="1207" t="str">
        <f t="shared" ref="E130:AL130" si="314">IF($C$132=$BD$124,"Input Desired Annual Payment Amount","")</f>
        <v/>
      </c>
      <c r="F130" s="1207" t="str">
        <f t="shared" si="314"/>
        <v/>
      </c>
      <c r="G130" s="1207" t="str">
        <f t="shared" si="314"/>
        <v/>
      </c>
      <c r="H130" s="1207" t="str">
        <f t="shared" si="314"/>
        <v/>
      </c>
      <c r="I130" s="1207" t="str">
        <f t="shared" si="314"/>
        <v/>
      </c>
      <c r="J130" s="1207" t="str">
        <f t="shared" si="314"/>
        <v/>
      </c>
      <c r="K130" s="1207" t="str">
        <f t="shared" si="314"/>
        <v/>
      </c>
      <c r="L130" s="1207" t="str">
        <f t="shared" si="314"/>
        <v/>
      </c>
      <c r="M130" s="1207" t="str">
        <f t="shared" si="314"/>
        <v/>
      </c>
      <c r="N130" s="1207" t="str">
        <f t="shared" si="314"/>
        <v/>
      </c>
      <c r="O130" s="1207" t="str">
        <f t="shared" si="314"/>
        <v/>
      </c>
      <c r="P130" s="1207" t="str">
        <f t="shared" si="314"/>
        <v/>
      </c>
      <c r="Q130" s="1207" t="str">
        <f t="shared" si="314"/>
        <v/>
      </c>
      <c r="R130" s="1207" t="str">
        <f t="shared" si="314"/>
        <v/>
      </c>
      <c r="S130" s="1207" t="str">
        <f t="shared" si="314"/>
        <v/>
      </c>
      <c r="T130" s="1207" t="str">
        <f t="shared" si="314"/>
        <v/>
      </c>
      <c r="U130" s="1207" t="str">
        <f t="shared" si="314"/>
        <v/>
      </c>
      <c r="V130" s="1207" t="str">
        <f t="shared" si="314"/>
        <v/>
      </c>
      <c r="W130" s="1207" t="str">
        <f t="shared" si="314"/>
        <v/>
      </c>
      <c r="X130" s="1207" t="str">
        <f t="shared" si="314"/>
        <v/>
      </c>
      <c r="Y130" s="1207" t="str">
        <f t="shared" si="314"/>
        <v/>
      </c>
      <c r="Z130" s="1207" t="str">
        <f t="shared" si="314"/>
        <v/>
      </c>
      <c r="AA130" s="1207" t="str">
        <f t="shared" si="314"/>
        <v/>
      </c>
      <c r="AB130" s="1207" t="str">
        <f t="shared" si="314"/>
        <v/>
      </c>
      <c r="AC130" s="1207" t="str">
        <f t="shared" si="314"/>
        <v/>
      </c>
      <c r="AD130" s="1207" t="str">
        <f t="shared" si="314"/>
        <v/>
      </c>
      <c r="AE130" s="1207" t="str">
        <f t="shared" si="314"/>
        <v/>
      </c>
      <c r="AF130" s="1207" t="str">
        <f t="shared" si="314"/>
        <v/>
      </c>
      <c r="AG130" s="1207" t="str">
        <f t="shared" si="314"/>
        <v/>
      </c>
      <c r="AH130" s="1207" t="str">
        <f t="shared" si="314"/>
        <v/>
      </c>
      <c r="AI130" s="1207" t="str">
        <f t="shared" si="314"/>
        <v/>
      </c>
      <c r="AJ130" s="1207" t="str">
        <f t="shared" si="314"/>
        <v/>
      </c>
      <c r="AK130" s="1207" t="str">
        <f t="shared" si="314"/>
        <v/>
      </c>
      <c r="AL130" s="1207" t="str">
        <f t="shared" si="314"/>
        <v/>
      </c>
      <c r="AM130" s="1174"/>
      <c r="AS130" s="1507" t="str">
        <f>_xlfn.CONCAT("Proposed Annual Debt Service - ",Source_10)</f>
        <v>Proposed Annual Debt Service - Other</v>
      </c>
      <c r="AT130" s="1508" t="e">
        <f>-PMT(Rate_10,Term_10,Amount_10)</f>
        <v>#NUM!</v>
      </c>
      <c r="AU130" s="1507">
        <f>IF(Annual_DSC_10&gt;0,AV129+1,0)</f>
        <v>0</v>
      </c>
      <c r="AV130" s="1507">
        <f>MAX($AU$121:AU130)</f>
        <v>0</v>
      </c>
      <c r="AW130" s="1507">
        <v>10</v>
      </c>
      <c r="AX130" s="9">
        <f>IF(OR('12. Funding Sources'!J20='12. Funding Sources'!$R$12,'12. Funding Sources'!J20='12. Funding Sources'!$R$13),AY129+1,0)</f>
        <v>0</v>
      </c>
      <c r="AY130" s="1507">
        <f>IF(MAX($AX$121:AX130)=0,AY129,MAX($AX$121:AX130))</f>
        <v>10</v>
      </c>
      <c r="AZ130" s="1507">
        <v>20</v>
      </c>
      <c r="BA130" s="9" t="str">
        <f>_xlfn.XLOOKUP(AZ130,$AX$121:$AX$133,'12. Funding Sources'!$C$11:$C$23,"")</f>
        <v/>
      </c>
      <c r="BB130" s="1507"/>
      <c r="BC130" s="1507"/>
      <c r="BF130" s="673" t="e">
        <f>-IPMT(Rate_10,1,Term_10,Amount_10)</f>
        <v>#NUM!</v>
      </c>
      <c r="BH130" s="9">
        <v>10</v>
      </c>
      <c r="BI130" s="1510">
        <f>IF(AND($AN$122&gt;BH130,$C$122=$BD$121),(M$122),IF(AND($AN$122&gt;BH130,$C$122=$BD$122),(M$122),IF(AND($AN$122&gt;BH130,$C$122=$BD$123),(M$122),IF(AND($AN$122&gt;BH130,$C$122=$BD$124),(M$121),IF(AND($AN$122&gt;BH130,$C$122=$BD$125),(M$122),0)))))</f>
        <v>0</v>
      </c>
      <c r="BJ130" s="1510">
        <v>0</v>
      </c>
      <c r="BK130" s="1510">
        <v>0</v>
      </c>
      <c r="BL130" s="1510">
        <f t="shared" si="312"/>
        <v>0</v>
      </c>
      <c r="BM130" s="1505">
        <f t="shared" si="313"/>
        <v>0</v>
      </c>
      <c r="BN130" s="9">
        <v>10</v>
      </c>
      <c r="BO130" s="1510">
        <f>IF(AND($AN$127&gt;BN130,$C$127=$BD$121),(M$127),IF(AND($AN$127&gt;BN130,$C$127=$BD$122),(M$127),IF(AND($AN$127&gt;BN130,$C$127=$BD$123),(M$127),IF(AND($AN$127&gt;BN130,$C$127=$BD$124),(M$126),IF(AND($AN$127&gt;BN130,$C$127=$BD$125),(M$127),0)))))</f>
        <v>0</v>
      </c>
      <c r="BP130" s="1510">
        <v>0</v>
      </c>
      <c r="BQ130" s="1510">
        <v>0</v>
      </c>
      <c r="BR130" s="1510">
        <f t="shared" si="301"/>
        <v>0</v>
      </c>
      <c r="BS130" s="1511">
        <f t="shared" si="309"/>
        <v>0</v>
      </c>
      <c r="BT130" s="9">
        <v>10</v>
      </c>
      <c r="BU130" s="1510">
        <f>IF(AND($AN$132&gt;BT130,$C$132=$BD$121),(M$132),IF(AND($AN$132&gt;BT130,$C$132=$BD$122),(M$132),IF(AND($AN$132&gt;BT130,$C$132=$BD$123),(M$132),IF(AND($AN$132&gt;BT130,$C$132=$BD$124),(M$131),IF(AND($AN$132&gt;BT130,$C$132=$BD$125),(M$132),0)))))</f>
        <v>0</v>
      </c>
      <c r="BV130" s="1510">
        <v>0</v>
      </c>
      <c r="BW130" s="1510">
        <v>0</v>
      </c>
      <c r="BX130" s="1510">
        <f t="shared" si="302"/>
        <v>0</v>
      </c>
      <c r="BY130" s="1511">
        <f t="shared" si="303"/>
        <v>0</v>
      </c>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2:102">
      <c r="B131" s="1626">
        <v>13</v>
      </c>
      <c r="C131" s="1603"/>
      <c r="D131" s="1597"/>
      <c r="E131" s="1597"/>
      <c r="F131" s="1597"/>
      <c r="G131" s="1597"/>
      <c r="H131" s="1597"/>
      <c r="I131" s="1597"/>
      <c r="J131" s="1597"/>
      <c r="K131" s="1597"/>
      <c r="L131" s="1597"/>
      <c r="M131" s="1597"/>
      <c r="N131" s="1597"/>
      <c r="O131" s="1597"/>
      <c r="P131" s="1597"/>
      <c r="Q131" s="1597"/>
      <c r="R131" s="1597"/>
      <c r="S131" s="1597"/>
      <c r="T131" s="1597"/>
      <c r="U131" s="1597"/>
      <c r="V131" s="1597"/>
      <c r="W131" s="1597"/>
      <c r="X131" s="1597"/>
      <c r="Y131" s="1597"/>
      <c r="Z131" s="1597"/>
      <c r="AA131" s="1597"/>
      <c r="AB131" s="1597"/>
      <c r="AC131" s="1597"/>
      <c r="AD131" s="1597"/>
      <c r="AE131" s="1597"/>
      <c r="AF131" s="1597"/>
      <c r="AG131" s="1597"/>
      <c r="AH131" s="1597"/>
      <c r="AI131" s="1597"/>
      <c r="AJ131" s="1597"/>
      <c r="AK131" s="1597"/>
      <c r="AL131" s="1597"/>
      <c r="AM131" s="1174"/>
      <c r="AO131" s="1505">
        <f>_xlfn.XLOOKUP(C131,'12. Funding Sources'!C11:C23,'12. Funding Sources'!E11:E23,0)</f>
        <v>0</v>
      </c>
      <c r="AP131" s="1505"/>
      <c r="AS131" s="1507" t="str">
        <f>_xlfn.CONCAT("Proposed Annual Debt Service - ",Source_11)</f>
        <v>Proposed Annual Debt Service - Other</v>
      </c>
      <c r="AT131" s="1508" t="e">
        <f>-PMT(Rate_11,Term_11,Amount_11)</f>
        <v>#NUM!</v>
      </c>
      <c r="AU131" s="1507">
        <f>IF('12. Funding Sources'!N21&gt;0,AV130+1,0)</f>
        <v>0</v>
      </c>
      <c r="AV131" s="1507">
        <f>MAX($AU$121:AU131)</f>
        <v>0</v>
      </c>
      <c r="AW131" s="1507">
        <v>11</v>
      </c>
      <c r="AX131" s="9">
        <f>IF(OR('12. Funding Sources'!J21='12. Funding Sources'!$R$12,'12. Funding Sources'!J21='12. Funding Sources'!$R$13),AY130+1,0)</f>
        <v>0</v>
      </c>
      <c r="AY131" s="1507">
        <f>IF(MAX($AX$121:AX131)=0,AY130,MAX($AX$121:AX131))</f>
        <v>10</v>
      </c>
      <c r="AZ131" s="1507">
        <v>21</v>
      </c>
      <c r="BA131" s="9" t="str">
        <f>_xlfn.XLOOKUP(AZ131,$AX$121:$AX$133,'12. Funding Sources'!$C$11:$C$23,"")</f>
        <v/>
      </c>
      <c r="BF131" s="673" t="e">
        <f>-IPMT(Rate_11,1,Term_11,Amount_11)</f>
        <v>#NUM!</v>
      </c>
      <c r="BH131" s="9">
        <v>11</v>
      </c>
      <c r="BI131" s="1510">
        <f>IF(AND($AN$122&gt;BH131,$C$122=$BD$121),(N$122),IF(AND($AN$122&gt;BH131,$C$122=$BD$122),(N$122),IF(AND($AN$122&gt;BH131,$C$122=$BD$123),(N$122),IF(AND($AN$122&gt;BH131,$C$122=$BD$124),(N$121),IF(AND($AN$122&gt;BH131,$C$122=$BD$125),(N$122),0)))))</f>
        <v>0</v>
      </c>
      <c r="BJ131" s="1510">
        <v>0</v>
      </c>
      <c r="BK131" s="1510">
        <v>0</v>
      </c>
      <c r="BL131" s="1510">
        <f t="shared" si="312"/>
        <v>0</v>
      </c>
      <c r="BM131" s="1505">
        <f t="shared" si="313"/>
        <v>0</v>
      </c>
      <c r="BN131" s="9">
        <v>11</v>
      </c>
      <c r="BO131" s="1510">
        <f>IF(AND($AN$127&gt;BN131,$C$127=$BD$121),(N$127),IF(AND($AN$127&gt;BN131,$C$127=$BD$122),(N$127),IF(AND($AN$127&gt;BN131,$C$127=$BD$123),(N$127),IF(AND($AN$127&gt;BN131,$C$127=$BD$124),(N$126),IF(AND($AN$127&gt;BN131,$C$127=$BD$125),(N$127),0)))))</f>
        <v>0</v>
      </c>
      <c r="BP131" s="1510">
        <v>0</v>
      </c>
      <c r="BQ131" s="1510">
        <v>0</v>
      </c>
      <c r="BR131" s="1510">
        <f t="shared" si="301"/>
        <v>0</v>
      </c>
      <c r="BS131" s="1511">
        <f t="shared" si="309"/>
        <v>0</v>
      </c>
      <c r="BT131" s="9">
        <v>11</v>
      </c>
      <c r="BU131" s="1510">
        <f>IF(AND($AN$132&gt;BT131,$C$132=$BD$121),(N$132),IF(AND($AN$132&gt;BT131,$C$132=$BD$122),(N$132),IF(AND($AN$132&gt;BT131,$C$132=$BD$123),(N$132),IF(AND($AN$132&gt;BT131,$C$132=$BD$124),(N$131),IF(AND($AN$132&gt;BT131,$C$132=$BD$125),(N$132),0)))))</f>
        <v>0</v>
      </c>
      <c r="BV131" s="1510">
        <v>0</v>
      </c>
      <c r="BW131" s="1510">
        <v>0</v>
      </c>
      <c r="BX131" s="1510">
        <f t="shared" si="302"/>
        <v>0</v>
      </c>
      <c r="BY131" s="1511">
        <f t="shared" si="303"/>
        <v>0</v>
      </c>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2:102">
      <c r="B132" s="1626"/>
      <c r="C132" s="1662" t="s">
        <v>4500</v>
      </c>
      <c r="D132" s="1581">
        <f>IF($C132=$BD$125,$AP$132,IF(AND($C132=$BD$121,$AR$132&lt;=$D129),$AR$132,IF($C132=$BD$123,($D129*($D131/100)),IF(AND($C132=$BD$122,$D129&gt;=$D131),$D131,IF(AND($C132=$BD$122,$D129&lt;$D131),$D129,IF($C132=$BD$124,0,0))))))</f>
        <v>0</v>
      </c>
      <c r="E132" s="1598" t="b">
        <f>IF(AND($C$132=$BD$125,$E$89&lt;$AN$132),$AP$132,IF(AND($C$132=$BD$125,$E$89=$AN$132),$AO$132,IF(AND($C$132=$BD$125,$E$89&gt;$AN$132),0,IF($C$132=$BD$124,0,IF(AND($C$132=$BD$123,$E$89&lt;$AN$132,$BY$122&gt;=(($D$131/100)*$E$129)),(($D$131/100)*$E$129),IF(AND($C$132=$BD$123,$E$89&lt;$AN$132,$BY$122&lt;(($D$131/100)*$E$129)),$BY$122,IF(AND($C$132=$BD$123,$E$89=$AN$132),$AO$132,IF(AND($C$132=$BD$123,$E$89&gt;$AN$132),0,IF(AND($C$132=$BD$122,$D$132=0),0,IF(AND($C$132=$BD$121,$E$89&lt;$AN$132,$E$129&gt;=$AR$132),$AR$132,IF(AND($C$132=$BD$121,$E$89&lt;$AN$132,E129&lt;$AR$132),$E$129,IF(AND($C$132=$BD$121,E89=$AN$132),$AO$132,IF(AND($C$132=$BD$121,$E$89&gt;$AN$132),0,IF(AND($C$132=$BD$122,$E$89&lt;$AN$132,$E$129&gt;=$D$131,$BY$122&gt;=$D$131),$D$131,IF(AND($C$132=$BD$122,$E$89&lt;$AN$132,$E$129&gt;=$D$131,$BY$122&lt;$D$131),$BY$122,IF(AND($C$132=$BD$122,$E$89&lt;$AN$132,$E$129&lt;$D$131,$BY$122&lt;E129),$BY$122,IF(AND($C$132=$BD$122,$E$89&lt;$AN$132,$E$129&lt;$D$131,$BY$122&gt;E129),$E$129,IF(AND($C$132=$BD$122,$E$89=$AN$132),$AO$132,IF(AND($C$132=$BD$122,$E$89&gt;$AN$132),0)))))))))))))))))))</f>
        <v>0</v>
      </c>
      <c r="F132" s="1581" t="b">
        <f>IF(AND($C$132=$BD$125,F89&lt;$AN$132),$AP$132,IF(AND($C$132=$BD$125,F89=$AN$132),$AO$132,IF(AND($C$132=$BD$125,F89&gt;$AN$132),0,IF($C$132=$BD$124,0,IF(AND($C$132=$BD$123,F89&lt;$AN$132,$BY$123&gt;=(($D$131/100)*F129)),(($D$131/100)*F129),IF(AND($C$132=$BD$123,F89&lt;$AN$132,$BY$123&lt;(($D$131/100)*F129)),$BY$123,IF(AND($C$132=$BD$123,F89=$AN$132),$AO$132,IF(AND($C$132=$BD$123,F89&gt;$AN$132),0,IF(AND($C$132=$BD$121,F89&lt;$AN$132,F129&gt;=$AR$132),$AR$132,IF(AND($C$132=$BD$121,F89&lt;$AN$132,F129&lt;$AR$132),F129,IF(AND($C$132=$BD$121,F89=$AN$132),$AO$132,IF(AND($C$132=$BD$121,F89&gt;$AN$132),0,IF(AND($C$132=$BD$122,F89&lt;$AN$132,F129&gt;=$D$131,$BY$123&gt;=$D$131),$D$131,IF(AND($C$132=$BD$122,F89&lt;$AN$132,F129&gt;=$D$131,$BY$123&lt;$D$131),$BY$123,IF(AND($C$132=$BD$122,F89&lt;$AN$132,F129&lt;$D$131,$BY$123&lt;F129),$BY$123,IF(AND($C$132=$BD$122,F89&lt;$AN$132,F129&lt;$D$131,$BY$123&gt;F129),F129,IF(AND($C$132=$BD$122,F89=$AN$132),$AO$132,IF(AND($C$132=$BD$122,F89&gt;$AN$132),0))))))))))))))))))</f>
        <v>0</v>
      </c>
      <c r="G132" s="1581" t="b">
        <f>IF(AND($C$132=$BD$125,G89&lt;$AN$132),$AP$132,IF(AND($C$132=$BD$125,G89=$AN$132),$AO$132,IF(AND($C$132=$BD$125,G89&gt;$AN$132),0,IF($C$132=$BD$124,0,IF(AND($C$132=$BD$123,G89&lt;$AN$132,$BY$124&gt;=(($D$131/100)*G129)),(($D$131/100)*G129),IF(AND($C$132=$BD$123,G89&lt;$AN$132,$BY$124&lt;(($D$131/100)*G129)),$BY$124,IF(AND($C$132=$BD$123,G89=$AN$132),$AO$132,IF(AND($C$132=$BD$123,G89&gt;$AN$132),0,IF(AND($C$132=$BD$121,G89&lt;$AN$132,G129&gt;=$AR$132),$AR$132,IF(AND($C$132=$BD$121,G89&lt;$AN$132,G129&lt;$AR$132),G129,IF(AND($C$132=$BD$121,G89=$AN$132),$AO$132,IF(AND($C$132=$BD$121,G89&gt;$AN$132),0,IF(AND($C$132=$BD$122,G89&lt;$AN$132,G129&gt;=$D$131,$BY$124&gt;=$D$131),$D$131,IF(AND($C$132=$BD$122,G89&lt;$AN$132,G129&gt;=$D$131,$BY$124&lt;$D$131),$BY$124,IF(AND($C$132=$BD$122,G89&lt;$AN$132,G129&lt;$D$131,$BY$124&lt;G129),$BY$124,IF(AND($C$132=$BD$122,G89&lt;$AN$132,G129&lt;$D$131,$BY$124&gt;G129),G129,IF(AND($C$132=$BD$122,G89=$AN$132),$AO$132,IF(AND($C$132=$BD$122,G89&gt;$AN$132),0))))))))))))))))))</f>
        <v>0</v>
      </c>
      <c r="H132" s="1581" t="b">
        <f>IF(AND($C$132=$BD$125,H89&lt;$AN$132),$AP$132,IF(AND($C$132=$BD$125,H89=$AN$132),$AO$132,IF(AND($C$132=$BD$125,H89&gt;$AN$132),0,IF($C$132=$BD$124,0,IF(AND($C$132=$BD$123,H89&lt;$AN$132,$BY$125&gt;=(($D$131/100)*H129)),(($D$131/100)*H129),IF(AND($C$132=$BD$123,H89&lt;$AN$132,$BY$125&lt;(($D$131/100)*H129)),$BY$125,IF(AND($C$132=$BD$123,H89=$AN$132),$AO$132,IF(AND($C$132=$BD$123,H89&gt;$AN$132),0,IF(AND($C$132=$BD$121,H89&lt;$AN$132,H129&gt;=$AR$132),$AR$132,IF(AND($C$132=$BD$121,H89&lt;$AN$132,H129&lt;$AR$132),H129,IF(AND($C$132=$BD$121,H89=$AN$132),$AO$132,IF(AND($C$132=$BD$121,H89&gt;$AN$132),0,IF(AND($C$132=$BD$122,H89&lt;$AN$132,H129&gt;=$D$131,$BY$125&gt;=$D$131),$D$131,IF(AND($C$132=$BD$122,H89&lt;$AN$132,H129&gt;=$D$131,$BY$125&lt;$D$131),$BY$125,IF(AND($C$132=$BD$122,H89&lt;$AN$132,H129&lt;$D$131,$BY$125&lt;H129),$BY$125,IF(AND($C$132=$BD$122,H89&lt;$AN$132,H129&lt;$D$131,$BY$125&gt;H129),H129,IF(AND($C$132=$BD$122,H89=$AN$132),$AO$132,IF(AND($C$132=$BD$122,H89&gt;$AN$132),0))))))))))))))))))</f>
        <v>0</v>
      </c>
      <c r="I132" s="1581" t="b">
        <f>IF(AND($C$132=$BD$125,I89&lt;$AN$132),$AP$132,IF(AND($C$132=$BD$125,I89=$AN$132),$AO$132,IF(AND($C$132=$BD$125,I89&gt;$AN$132),0,IF($C$132=$BD$124,0,IF(AND($C$132=$BD$123,I89&lt;$AN$132,$BY$126&gt;=(($D$131/100)*I129)),(($D$131/100)*I129),IF(AND($C$132=$BD$123,I89&lt;$AN$132,$BY$126&lt;(($D$131/100)*I129)),$BY$126,IF(AND($C$132=$BD$123,I89=$AN$132),$AO$132,IF(AND($C$132=$BD$123,I89&gt;$AN$132),0,IF(AND($C$132=$BD$123,I89&lt;$AN$132,$BY$126&gt;=(($D$131/100)*I129)),(($D$131/100)*I129),IF(AND($C$132=$BD$123,I89&lt;$AN$132,$BY$126&lt;(($D$131/100)*I129)),$BY$126,IF(AND($C$132=$BD$123,I89=$AN$132),$AO$132,IF(AND($C$132=$BD$123,I89&gt;$AN$132),0,IF(AND($C$132=$BD$121,I89&lt;$AN$132,I129&gt;=$AR$132),$AR$132,IF(AND($C$132=$BD$121,I89&lt;$AN$132,I129&lt;$AR$132),I129,IF(AND($C$132=$BD$121,I89=$AN$132),$AO$132,IF(AND($C$132=$BD$121,I89&gt;$AN$132),0,IF(AND($C$132=$BD$122,I89&lt;$AN$132,I129&gt;=$D$131,$BY$126&gt;=$D$131),$D$131,IF(AND($C$132=$BD$122,I89&lt;$AN$132,I129&gt;=$D$131,$BY$126&lt;$D$131),$BY$126,IF(AND($C$132=$BD$122,I89&lt;$AN$132,I129&lt;$D$131,$BY$126&lt;I129),$BY$126,IF(AND($C$132=$BD$122,I89&lt;$AN$132,I129&lt;$D$131,$BY$126&gt;I129),I129,IF(AND($C$132=$BD$122,I89=$AN$132),$AO$132,IF(AND($C$132=$BD$122,I89&gt;$AN$132),0))))))))))))))))))))))</f>
        <v>0</v>
      </c>
      <c r="J132" s="1581" t="b">
        <f>IF(AND($C$132=$BD$125,J89&lt;$AN$132),$AP$132,IF(AND($C$132=$BD$125,J89=$AN$132),$AO$132,IF(AND($C$132=$BD$125,J89&gt;$AN$132),0,IF($C$132=$BD$124,0,IF(AND($C$132=$BD$123,J89&lt;$AN$132,$BY$127&gt;=(($D$131/100)*J129)),(($D$131/100)*J129),IF(AND($C$132=$BD$123,J89&lt;$AN$132,$BY$127&lt;(($D$131/100)*J129)),$BY$127,IF(AND($C$132=$BD$123,J89=$AN$132),$AO$132,IF(AND($C$132=$BD$123,J89&gt;$AN$132),0,IF(AND($C$132=$BD$121,J89&lt;$AN$132,J129&gt;=$AR$132),$AR$132,IF(AND($C$132=$BD$121,J89&lt;$AN$132,J129&lt;$AR$132),J129,IF(AND($C$132=$BD$121,J89=$AN$132),$AO$132,IF(AND($C$132=$BD$121,J89&gt;$AN$132),0,IF(AND($C$132=$BD$122,J89&lt;$AN$132,J129&gt;=$D$131,$BY$127&gt;=$D$131),$D$131,IF(AND($C$132=$BD$122,J89&lt;$AN$132,J129&gt;=$D$131,$BY$127&lt;$D$131),$BY$127,IF(AND($C$132=$BD$122,J89&lt;$AN$132,J129&lt;$D$131,$BY$127&lt;J129),$BY$127,IF(AND($C$132=$BD$122,J89&lt;$AN$132,J129&lt;$D$131,$BY$127&gt;J129),J129,IF(AND($C$132=$BD$122,J89=$AN$132),$AO$132,IF(AND($C$132=$BD$122,J89&gt;$AN$132),0))))))))))))))))))</f>
        <v>0</v>
      </c>
      <c r="K132" s="1581" t="b">
        <f>IF(AND($C$132=$BD$125,K89&lt;$AN$132),$AP$132,IF(AND($C$132=$BD$125,K89=$AN$132),$AO$132,IF(AND($C$132=$BD$125,K89&gt;$AN$132),0,IF($C$132=$BD$124,0,IF(AND($C$132=$BD$123,K89&lt;$AN$132,$BY$128&gt;=(($D$131/100)*K129)),(($D$131/100)*K129),IF(AND($C$132=$BD$123,K89&lt;$AN$132,$BY$128&lt;(($D$131/100)*K129)),$BY$128,IF(AND($C$132=$BD$123,K89=$AN$132),$AO$132,IF(AND($C$132=$BD$123,K89&gt;$AN$132),0,IF(AND($C$132=$BD$121,K89&lt;$AN$132,K129&gt;=$AR$132),$AR$132,IF(AND($C$132=$BD$121,K89&lt;$AN$132,K129&lt;$AR$132),K129,IF(AND($C$132=$BD$121,K89=$AN$132),$AO$132,IF(AND($C$132=$BD$121,K89&gt;$AN$132),0,IF(AND($C$132=$BD$122,K89&lt;$AN$132,K129&gt;=$D$131,$BY$128&gt;=$D$131),$D$131,IF(AND($C$132=$BD$122,K89&lt;$AN$132,K129&gt;=$D$131,$BY$128&lt;$D$131),$BY$128,IF(AND($C$132=$BD$122,K89&lt;$AN$132,K129&lt;$D$131,$BY$128&lt;K129),$BY$128,IF(AND($C$132=$BD$122,K89&lt;$AN$132,K129&lt;$D$131,$BY$128&gt;K129),K129,IF(AND($C$132=$BD$122,K89=$AN$132),$AO$132,IF(AND($C$132=$BD$122,K89&gt;$AN$132),0))))))))))))))))))</f>
        <v>0</v>
      </c>
      <c r="L132" s="1581" t="b">
        <f>IF(AND($C$132=$BD$125,L89&lt;$AN$132),$AP$132,IF(AND($C$132=$BD$125,L89=$AN$132),$AO$132,IF(AND($C$132=$BD$125,L89&gt;$AN$132),0,IF($C$132=$BD$124,0,IF(AND($C$132=$BD$123,L89&lt;$AN$132,$BY$129&gt;=(($D$131/100)*L129)),(($D$131/100)*L129),IF(AND($C$132=$BD$123,L89&lt;$AN$132,$BY$129&lt;(($D$131/100)*L129)),$BY$129,IF(AND($C$132=$BD$123,L89=$AN$132),$AO$132,IF(AND($C$132=$BD$123,L89&gt;$AN$132),0,IF(AND($C$132=$BD$121,L89&lt;$AN$132,L129&gt;=$AR$132),$AR$132,IF(AND($C$132=$BD$121,L89&lt;$AN$132,L129&lt;$AR$132),L129,IF(AND($C$132=$BD$121,L89=$AN$132),$AO$132,IF(AND($C$132=$BD$121,L89&gt;$AN$132),0,IF(AND($C$132=$BD$122,L89&lt;$AN$132,L129&gt;=$D$131,$BY$129&gt;=$D$131),$D$131,IF(AND($C$132=$BD$122,L89&lt;$AN$132,L129&gt;=$D$131,$BY$129&lt;$D$131),$BY$129,IF(AND($C$132=$BD$122,L89&lt;$AN$132,L129&lt;$D$131,$BY$129&lt;L129),$BY$129,IF(AND($C$132=$BD$122,L89&lt;$AN$132,L129&lt;$D$131,$BY$129&gt;L129),L129,IF(AND($C$132=$BD$122,L89=$AN$132),$AO$132,IF(AND($C$132=$BD$122,L89&gt;$AN$132),0))))))))))))))))))</f>
        <v>0</v>
      </c>
      <c r="M132" s="1581" t="b">
        <f>IF(AND($C$132=$BD$125,M89&lt;$AN$132),$AP$132,IF(AND($C$132=$BD$125,M89=$AN$132),$AO$132,IF(AND($C$132=$BD$125,M89&gt;$AN$132),0,IF($C$132=$BD$124,0,IF(AND($C$132=$BD$123,M89&lt;$AN$132,$BY$130&gt;=(($D$131/100)*M129)),(($D$131/100)*M129),IF(AND($C$132=$BD$123,M89&lt;$AN$132,$BY$130&lt;(($D$131/100)*M129)),$BY$130,IF(AND($C$132=$BD$123,M89=$AN$132),$AO$132,IF(AND($C$132=$BD$123,M89&gt;$AN$132),0,IF(AND($C$132=$BD$121,M89&lt;$AN$132,M129&gt;=$AR$132),$AR$132,IF(AND($C$132=$BD$121,M89&lt;$AN$132,M129&lt;$AR$132),M129,IF(AND($C$132=$BD$121,M89=$AN$132),$AO$132,IF(AND($C$132=$BD$121,M89&gt;$AN$132),0,IF(AND($C$132=$BD$122,M89&lt;$AN$132,M129&gt;=$D$131,$BY$130&gt;=$D$131),$D$131,IF(AND($C$132=$BD$122,M89&lt;$AN$132,M129&gt;=$D$131,$BY$130&lt;$D$131),$BY$130,IF(AND($C$132=$BD$122,M89&lt;$AN$132,M129&lt;$D$131,$BY$130&lt;M129),$BY$130,IF(AND($C$132=$BD$122,M89&lt;$AN$132,M129&lt;$D$131,$BY$130&gt;M129),M129,IF(AND($C$132=$BD$122,M89=$AN$132),$AO$132,IF(AND($C$132=$BD$122,M89&gt;$AN$132),0))))))))))))))))))</f>
        <v>0</v>
      </c>
      <c r="N132" s="1581" t="b">
        <f>IF(AND($C$132=$BD$125,N89&lt;$AN$132),$AP$132,IF(AND($C$132=$BD$125,N89=$AN$132),$AO$132,IF(AND($C$132=$BD$125,N89&gt;$AN$132),0,IF($C$132=$BD$124,0,IF(AND($C$132=$BD$123,N89&lt;$AN$132,$BY$131&gt;=(($D$131/100)*N129)),(($D$131/100)*N129),IF(AND($C$132=$BD$123,N89&lt;$AN$132,$BY$131&lt;(($D$131/100)*N129)),$BY$131,IF(AND($C$132=$BD$123,N89=$AN$132),$AO$132,IF(AND($C$132=$BD$123,N89&gt;$AN$132),0,IF(AND($C$132=$BD$121,N89&lt;$AN$132,N129&gt;=$AR$132),$AR$132,IF(AND($C$132=$BD$121,N89&lt;$AN$132,N129&lt;$AR$132),N129,IF(AND($C$132=$BD$121,N89=$AN$132),$AO$132,IF(AND($C$132=$BD$121,N89&gt;$AN$132),0,IF(AND($C$132=$BD$122,N89&lt;$AN$132,N129&gt;=$D$131,$BY$131&gt;=$D$131),$D$131,IF(AND($C$132=$BD$122,N89&lt;$AN$132,N129&gt;=$D$131,$BY$131&lt;$D$131),$BY$131,IF(AND($C$132=$BD$122,N89&lt;$AN$132,N129&lt;$D$131,$BY$131&lt;N129),$BY$131,IF(AND($C$132=$BD$122,N89&lt;$AN$132,N129&lt;$D$131,$BY$131&gt;N129),N129,IF(AND($C$132=$BD$122,N89=$AN$132),$AO$132,IF(AND($C$132=$BD$122,N89&gt;$AN$132),0))))))))))))))))))</f>
        <v>0</v>
      </c>
      <c r="O132" s="1581" t="b">
        <f>IF(AND($C$132=$BD$125,O89&lt;$AN$132),$AP$132,IF(AND($C$132=$BD$125,O89=$AN$132),$AO$132,IF(AND($C$132=$BD$125,O89&gt;$AN$132),0,IF($C$132=$BD$124,0,IF(AND($C$132=$BD$123,O89&lt;$AN$132,$BY$132&gt;=(($D$131/100)*O129)),(($D$131/100)*O129),IF(AND($C$132=$BD$123,O89&lt;$AN$132,$BY$132&lt;(($D$131/100)*O129)),$BY$132,IF(AND($C$132=$BD$123,O89=$AN$132),$AO$132,IF(AND($C$132=$BD$123,O89&gt;$AN$132),0,IF(AND($C$132=$BD$121,O89&lt;$AN$132,O129&gt;=$AR$132),$AR$132,IF(AND($C$132=$BD$121,O89&lt;$AN$132,O129&lt;$AR$132),O129,IF(AND($C$132=$BD$121,O89=$AN$132),$AO$132,IF(AND($C$132=$BD$121,O89&gt;$AN$132),0,IF(AND($C$132=$BD$122,O89&lt;$AN$132,O129&gt;=$D$131,$BY$132&gt;=$D$131),$D$131,IF(AND($C$132=$BD$122,O89&lt;$AN$132,O129&gt;=$D$131,$BY$132&lt;$D$131),$BY$132,IF(AND($C$132=$BD$122,O89&lt;$AN$132,O129&lt;$D$131,$BY$132&lt;O129),$BY$132,IF(AND($C$132=$BD$122,O89&lt;$AN$132,O129&lt;$D$131,$BY$132&gt;O129),O129,IF(AND($C$132=$BD$122,O89=$AN$132),$AO$132,IF(AND($C$132=$BD$122,O89&gt;$AN$132),0))))))))))))))))))</f>
        <v>0</v>
      </c>
      <c r="P132" s="1581" t="b">
        <f>IF(AND($C$132=$BD$125,P89&lt;$AN$132),$AP$132,IF(AND($C$132=$BD$125,P89=$AN$132),$AO$132,IF(AND($C$132=$BD$125,P89&gt;$AN$132),0,IF($C$132=$BD$124,0,IF(AND($C$132=$BD$123,P89&lt;$AN$132,$BY$133&gt;=(($D$131/100)*P129)),(($D$131/100)*P129),IF(AND($C$132=$BD$123,P89&lt;$AN$132,$BY$133&lt;(($D$131/100)*P129)),$BY$133,IF(AND($C$132=$BD$123,P89=$AN$132),$AO$132,IF(AND($C$132=$BD$123,P89&gt;$AN$132),0,IF(AND($C$132=$BD$121,P89&lt;$AN$132,P129&gt;=$AR$132),$AR$132,IF(AND($C$132=$BD$121,P89&lt;$AN$132,P129&lt;$AR$132),P129,IF(AND($C$132=$BD$121,P89=$AN$132),$AO$132,IF(AND($C$132=$BD$121,P89&gt;$AN$132),0,IF(AND($C$132=$BD$122,P89&lt;$AN$132,P129&gt;=$D$131,$BY$133&gt;=$D$131),$D$131,IF(AND($C$132=$BD$122,P89&lt;$AN$132,P129&gt;=$D$131,$BY$133&lt;$D$131),$BY$133,IF(AND($C$132=$BD$122,P89&lt;$AN$132,P129&lt;$D$131,$BY$133&lt;P129),$BY$133,IF(AND($C$132=$BD$122,P89&lt;$AN$132,P129&lt;$D$131,$BY$133&gt;P129),P129,IF(AND($C$132=$BD$122,P89=$AN$132),$AO$132,IF(AND($C$132=$BD$122,P89&gt;$AN$132),0))))))))))))))))))</f>
        <v>0</v>
      </c>
      <c r="Q132" s="1581" t="b">
        <f>IF(AND($C$132=$BD$125,Q89&lt;$AN$132),$AP$132,IF(AND($C$132=$BD$125,Q89=$AN$132),$AO$132,IF(AND($C$132=$BD$125,Q89&gt;$AN$132),0,IF($C$132=$BD$124,0,IF(AND($C$132=$BD$123,Q89&lt;$AN$132,$BY$134&gt;=(($D$131/100)*Q129)),(($D$131/100)*Q129),IF(AND($C$132=$BD$123,Q89&lt;$AN$132,$BY$134&lt;(($D$131/100)*Q129)),$BY$134,IF(AND($C$132=$BD$123,Q89=$AN$132),$AO$132,IF(AND($C$132=$BD$123,Q89&gt;$AN$132),0,IF(AND($C$132=$BD$121,Q89&lt;$AN$132,Q129&gt;=$AR$132),$AR$132,IF(AND($C$132=$BD$121,Q89&lt;$AN$132,Q129&lt;$AR$132),Q129,IF(AND($C$132=$BD$121,Q89=$AN$132),$AO$132,IF(AND($C$132=$BD$121,Q89&gt;$AN$132),0,IF(AND($C$132=$BD$122,Q89&lt;$AN$132,Q129&gt;=$D$131,$BY$134&gt;=$D$131),$D$131,IF(AND($C$132=$BD$122,Q89&lt;$AN$132,Q129&gt;=$D$131,$BY$134&lt;$D$131),$BY$134,IF(AND($C$132=$BD$122,Q89&lt;$AN$132,Q129&lt;$D$131,$BY$134&lt;Q129),$BY$134,IF(AND($C$132=$BD$122,Q89&lt;$AN$132,Q129&lt;$D$131,$BY$134&gt;Q129),Q129,IF(AND($C$132=$BD$122,Q89=$AN$132),$AO$132,IF(AND($C$132=$BD$122,Q89&gt;$AN$132),0))))))))))))))))))</f>
        <v>0</v>
      </c>
      <c r="R132" s="1581" t="b">
        <f>IF(AND($C$132=$BD$125,R89&lt;$AN$132),$AP$132,IF(AND($C$132=$BD$125,R89=$AN$132),$AO$132,IF(AND($C$132=$BD$125,R89&gt;$AN$132),0,IF($C$132=$BD$124,0,IF(AND($C$132=$BD$123,R89&lt;$AN$132,$BY$135&gt;=(($D$131/100)*R129)),(($D$131/100)*R129),IF(AND($C$132=$BD$123,R89&lt;$AN$132,$BY$135&lt;(($D$131/100)*R129)),$BY$135,IF(AND($C$132=$BD$123,R89=$AN$132),$AO$132,IF(AND($C$132=$BD$123,R89&gt;$AN$132),0,IF(AND($C$132=$BD$121,R89&lt;$AN$132,R129&gt;=$AR$132),$AR$132,IF(AND($C$132=$BD$121,R89&lt;$AN$132,R129&lt;$AR$132),R129,IF(AND($C$132=$BD$121,R89=$AN$132),$AO$132,IF(AND($C$132=$BD$121,R89&gt;$AN$132),0,IF(AND($C$132=$BD$122,R89&lt;$AN$132,R129&gt;=$D$131,$BY$135&gt;=$D$131),$D$131,IF(AND($C$132=$BD$122,R89&lt;$AN$132,R129&gt;=$D$131,$BY$135&lt;$D$131),$BY$135,IF(AND($C$132=$BD$122,R89&lt;$AN$132,R129&lt;$D$131,$BY$135&lt;R129),$BY$135,IF(AND($C$132=$BD$122,R89&lt;$AN$132,R129&lt;$D$131,$BY$135&gt;R129),R129,IF(AND($C$132=$BD$122,R89=$AN$132),$AO$132,IF(AND($C$132=$BD$122,R89&gt;$AN$132),0))))))))))))))))))</f>
        <v>0</v>
      </c>
      <c r="S132" s="1581" t="b">
        <f>IF(AND($C$132=$BD$125,S89&lt;$AN$132),$AP$132,IF(AND($C$132=$BD$125,S89=$AN$132),$AO$132,IF(AND($C$132=$BD$125,S89&gt;$AN$132),0,IF($C$132=$BD$124,0,IF(AND($C$132=$BD$123,S89&lt;$AN$132,$BY$136&gt;=(($D$131/100)*S129)),(($D$131/100)*S129),IF(AND($C$132=$BD$123,S89&lt;$AN$132,$BY$136&lt;(($D$131/100)*S129)),$BY$136,IF(AND($C$132=$BD$123,S89=$AN$132),$AO$132,IF(AND($C$132=$BD$123,S89&gt;$AN$132),0,IF(AND($C$132=$BD$121,S89&lt;$AN$132,S129&gt;=$AR$132),$AR$132,IF(AND($C$132=$BD$121,S89&lt;$AN$132,S129&lt;$AR$132),S129,IF(AND($C$132=$BD$121,S89=$AN$132),$AO$132,IF(AND($C$132=$BD$121,S89&gt;$AN$132),0,IF(AND($C$132=$BD$122,S89&lt;$AN$132,S129&gt;=$D$131,$BY$136&gt;=$D$131),$D$131,IF(AND($C$132=$BD$122,S89&lt;$AN$132,S129&gt;=$D$131,$BY$136&lt;$D$131),$BY$136,IF(AND($C$132=$BD$122,S89&lt;$AN$132,S129&lt;$D$131,$BY$136&lt;S129),$BY$136,IF(AND($C$132=$BD$122,S89&lt;$AN$132,S129&lt;$D$131,$BY$136&gt;S129),S129,IF(AND($C$132=$BD$122,S89=$AN$132),$AO$132,IF(AND($C$132=$BD$122,S89&gt;$AN$132),0))))))))))))))))))</f>
        <v>0</v>
      </c>
      <c r="T132" s="1581" t="b">
        <f>IF(AND($C$132=$BD$125,T89&lt;$AN$132),$AP$132,IF(AND($C$132=$BD$125,T89=$AN$132),$AO$132,IF(AND($C$132=$BD$125,T89&gt;$AN$132),0,IF($C$132=$BD$124,0,IF(AND($C$132=$BD$123,T89&lt;$AN$132,$BY$137&gt;=(($D$131/100)*T129)),(($D$131/100)*T129),IF(AND($C$132=$BD$123,T89&lt;$AN$132,$BY$137&lt;(($D$131/100)*T129)),$BY$137,IF(AND($C$132=$BD$123,T89=$AN$132),$AO$132,IF(AND($C$132=$BD$123,T89&gt;$AN$132),0,IF(AND($C$132=$BD$121,T89&lt;$AN$132,T129&gt;=$AR$132),$AR$132,IF(AND($C$132=$BD$121,T89&lt;$AN$132,T129&lt;$AR$132),T129,IF(AND($C$132=$BD$121,T89=$AN$132),$AO$132,IF(AND($C$132=$BD$121,T89&gt;$AN$132),0,IF(AND($C$132=$BD$122,T89&lt;$AN$132,T129&gt;=$D$131,$BY$137&gt;=$D$131),$D$131,IF(AND($C$132=$BD$122,T89&lt;$AN$132,T129&gt;=$D$131,$BY$137&lt;$D$131),$BY$137,IF(AND($C$132=$BD$122,T89&lt;$AN$132,T129&lt;$D$131,$BY$137&lt;T129),$BY$137,IF(AND($C$132=$BD$122,T89&lt;$AN$132,T129&lt;$D$131,$BY$137&gt;T129),T129,IF(AND($C$132=$BD$122,T89=$AN$132),$AO$132,IF(AND($C$132=$BD$122,T89&gt;$AN$132),0))))))))))))))))))</f>
        <v>0</v>
      </c>
      <c r="U132" s="1581" t="b">
        <f>IF(AND($C$132=$BD$125,U89&lt;$AN$132),$AP$132,IF(AND($C$132=$BD$125,U89=$AN$132),$AO$132,IF(AND($C$132=$BD$125,U89&gt;$AN$132),0,IF($C$132=$BD$124,0,IF(AND($C$132=$BD$123,U89&lt;$AN$132,$BY$138&gt;=(($D$131/100)*U129)),(($D$131/100)*U129),IF(AND($C$132=$BD$123,U89&lt;$AN$132,$BY$138&lt;(($D$131/100)*U129)),$BY$138,IF(AND($C$132=$BD$123,U89=$AN$132),$AO$132,IF(AND($C$132=$BD$123,U89&gt;$AN$132),0,IF(AND($C$132=$BD$121,U89&lt;$AN$132,U129&gt;=$AR$132),$AR$132,IF(AND($C$132=$BD$121,U89&lt;$AN$132,U129&lt;$AR$132),U129,IF(AND($C$132=$BD$121,U89=$AN$132),$AO$132,IF(AND($C$132=$BD$121,U89&gt;$AN$132),0,IF(AND($C$132=$BD$122,U89&lt;$AN$132,U129&gt;=$D$131,$BY$138&gt;=$D$131),$D$131,IF(AND($C$132=$BD$122,U89&lt;$AN$132,U129&gt;=$D$131,$BY$138&lt;$D$131),$BY$138,IF(AND($C$132=$BD$122,U89&lt;$AN$132,U129&lt;$D$131,$BY$138&lt;U129),$BY$138,IF(AND($C$132=$BD$122,U89&lt;$AN$132,U129&lt;$D$131,$BY$138&gt;U129),U129,IF(AND($C$132=$BD$122,U89=$AN$132),$AO$132,IF(AND($C$132=$BD$122,U89&gt;$AN$132),0))))))))))))))))))</f>
        <v>0</v>
      </c>
      <c r="V132" s="1581" t="b">
        <f>IF(AND($C$132=$BD$125,V89&lt;$AN$132),$AP$132,IF(AND($C$132=$BD$125,V89=$AN$132),$AO$132,IF(AND($C$132=$BD$125,V89&gt;$AN$132),0,IF($C$132=$BD$124,0,IF(AND($C$132=$BD$123,V89&lt;$AN$132,$BY$139&gt;=(($D$131/100)*V129)),(($D$131/100)*V129),IF(AND($C$132=$BD$123,V89&lt;$AN$132,$BY$139&lt;(($D$131/100)*V129)),$BY$139,IF(AND($C$132=$BD$123,V89=$AN$132),$AO$132,IF(AND($C$132=$BD$123,V89&gt;$AN$132),0,IF(AND($C$132=$BD$121,V89&lt;$AN$132,V129&gt;=$AR$132),$AR$132,IF(AND($C$132=$BD$121,V89&lt;$AN$132,V129&lt;$AR$132),V129,IF(AND($C$132=$BD$121,V89=$AN$132),$AO$132,IF(AND($C$132=$BD$121,V89&gt;$AN$132),0,IF(AND($C$132=$BD$122,V89&lt;$AN$132,V129&gt;=$D$131,$BY$139&gt;=$D$131),$D$131,IF(AND($C$132=$BD$122,V89&lt;$AN$132,V129&gt;=$D$131,$BY$139&lt;$D$131),$BY$139,IF(AND($C$132=$BD$122,V89&lt;$AN$132,V129&lt;$D$131,$BY$139&lt;V129),$BY$139,IF(AND($C$132=$BD$122,V89&lt;$AN$132,V129&lt;$D$131,$BY$139&gt;V129),V129,IF(AND($C$132=$BD$122,V89=$AN$132),$AO$132,IF(AND($C$132=$BD$122,V89&gt;$AN$132),0))))))))))))))))))</f>
        <v>0</v>
      </c>
      <c r="W132" s="1581" t="b">
        <f>IF(AND($C$132=$BD$125,W89&lt;$AN$132),$AP$132,IF(AND($C$132=$BD$125,W89=$AN$132),$AO$132,IF(AND($C$132=$BD$125,W89&gt;$AN$132),0,IF($C$132=$BD$124,0,IF(AND($C$132=$BD$123,W89&lt;$AN$132,$BY$140&gt;=(($D$131/100)*W129)),(($D$131/100)*W129),IF(AND($C$132=$BD$123,W89&lt;$AN$132,$BY$140&lt;(($D$131/100)*W129)),$BY$140,IF(AND($C$132=$BD$123,W89=$AN$132),$AO$132,IF(AND($C$132=$BD$123,W89&gt;$AN$132),0,IF(AND($C$132=$BD$121,W89&lt;$AN$132,W129&gt;=$AR$132),$AR$132,IF(AND($C$132=$BD$121,W89&lt;$AN$132,W129&lt;$AR$132),W129,IF(AND($C$132=$BD$121,W89=$AN$132),$AO$132,IF(AND($C$132=$BD$121,W89&gt;$AN$132),0,IF(AND($C$132=$BD$122,W89&lt;$AN$132,W129&gt;=$D$131,$BY$140&gt;=$D$131),$D$131,IF(AND($C$132=$BD$122,W89&lt;$AN$132,W129&gt;=$D$131,$BY$140&lt;$D$131),$BY$140,IF(AND($C$132=$BD$122,W89&lt;$AN$132,W129&lt;$D$131,$BY$140&lt;W129),$BY$140,IF(AND($C$132=$BD$122,W89&lt;$AN$132,W129&lt;$D$131,$BY$140&gt;W129),W129,IF(AND($C$132=$BD$122,W89=$AN$132),$AO$132,IF(AND($C$132=$BD$122,W89&gt;$AN$132),0))))))))))))))))))</f>
        <v>0</v>
      </c>
      <c r="X132" s="1581" t="b">
        <f>IF(AND($C$132=$BD$125,X89&lt;$AN$132),$AP$132,IF(AND($C$132=$BD$125,X89=$AN$132),$AO$132,IF(AND($C$132=$BD$125,X89&gt;$AN$132),0,IF($C$132=$BD$124,0,IF(AND($C$132=$BD$123,X89&lt;$AN$132,$BY$141&gt;=(($D$131/100)*X129)),(($D$131/100)*X129),IF(AND($C$132=$BD$123,X89&lt;$AN$132,$BY$141&lt;(($D$131/100)*X129)),$BY$141,IF(AND($C$132=$BD$123,X89=$AN$132),$AO$132,IF(AND($C$132=$BD$123,X89&gt;$AN$132),0,IF(AND($C$132=$BD$121,X89&lt;$AN$132,X129&gt;=$AR$132),$AR$132,IF(AND($C$132=$BD$121,X89&lt;$AN$132,X129&lt;$AR$132),X129,IF(AND($C$132=$BD$121,X89=$AN$132),$AO$132,IF(AND($C$132=$BD$121,X89&gt;$AN$132),0,IF(AND($C$132=$BD$122,X89&lt;$AN$132,X129&gt;=$D$131,$BY$141&gt;=$D$131),$D$131,IF(AND($C$132=$BD$122,X89&lt;$AN$132,X129&gt;=$D$131,$BY$141&lt;$D$131),$BY$141,IF(AND($C$132=$BD$122,X89&lt;$AN$132,X129&lt;$D$131,$BY$141&lt;X129),$BY$141,IF(AND($C$132=$BD$122,X89&lt;$AN$132,X129&lt;$D$131,$BY$141&gt;X129),X129,IF(AND($C$132=$BD$122,X89=$AN$132),$AO$132,IF(AND($C$132=$BD$122,X89&gt;$AN$132),0))))))))))))))))))</f>
        <v>0</v>
      </c>
      <c r="Y132" s="1581" t="b">
        <f>IF(AND($C$132=$BD$125,Y89&lt;$AN$132),$AP$132,IF(AND($C$132=$BD$125,Y89=$AN$132),$AO$132,IF(AND($C$132=$BD$125,Y89&gt;$AN$132),0,IF($C$132=$BD$124,0,IF(AND($C$132=$BD$123,Y89&lt;$AN$132,$BY$142&gt;=(($D$131/100)*Y129)),(($D$131/100)*Y129),IF(AND($C$132=$BD$123,Y89&lt;$AN$132,$BY$142&lt;(($D$131/100)*Y129)),$BY$142,IF(AND($C$132=$BD$123,Y89=$AN$132),$AO$132,IF(AND($C$132=$BD$123,Y89&gt;$AN$132),0,IF(AND($C$132=$BD$121,Y89&lt;$AN$132,Y129&gt;=$AR$132),$AR$132,IF(AND($C$132=$BD$121,Y89&lt;$AN$132,Y129&lt;$AR$132),Y129,IF(AND($C$132=$BD$121,Y89=$AN$132),$AO$132,IF(AND($C$132=$BD$121,Y89&gt;$AN$132),0,IF(AND($C$132=$BD$122,Y89&lt;$AN$132,Y129&gt;=$D$131,$BY$142&gt;=$D$131),$D$131,IF(AND($C$132=$BD$122,Y89&lt;$AN$132,Y129&gt;=$D$131,$BY$142&lt;$D$131),$BY$142,IF(AND($C$132=$BD$122,Y89&lt;$AN$132,Y129&lt;$D$131,$BY$142&lt;Y129),$BY$142,IF(AND($C$132=$BD$122,Y89&lt;$AN$132,Y129&lt;$D$131,$BY$142&gt;Y129),Y129,IF(AND($C$132=$BD$122,Y89=$AN$132),$AO$132,IF(AND($C$132=$BD$122,Y89&gt;$AN$132),0))))))))))))))))))</f>
        <v>0</v>
      </c>
      <c r="Z132" s="1581" t="b">
        <f>IF(AND($C$132=$BD$125,Z89&lt;$AN$132),$AP$132,IF(AND($C$132=$BD$125,Z89=$AN$132),$AO$132,IF(AND($C$132=$BD$125,Z89&gt;$AN$132),0,IF($C$132=$BD$124,0,IF(AND($C$132=$BD$123,Z89&lt;$AN$132,$BY$143&gt;=(($D$131/100)*Z129)),(($D$131/100)*Z129),IF(AND($C$132=$BD$123,Z89&lt;$AN$132,$BY$143&lt;(($D$131/100)*Z129)),$BY$143,IF(AND($C$132=$BD$123,Z89=$AN$132),$AO$132,IF(AND($C$132=$BD$123,Z89&gt;$AN$132),0,IF(AND($C$132=$BD$121,Z89&lt;$AN$132,Z129&gt;=$AR$132),$AR$132,IF(AND($C$132=$BD$121,Z89&lt;$AN$132,Z129&lt;$AR$132),Z129,IF(AND($C$132=$BD$121,Z89=$AN$132),$AO$132,IF(AND($C$132=$BD$121,Z89&gt;$AN$132),0,IF(AND($C$132=$BD$122,Z89&lt;$AN$132,Z129&gt;=$D$131,$BY$143&gt;=$D$131),$D$131,IF(AND($C$132=$BD$122,Z89&lt;$AN$132,Z129&gt;=$D$131,$BY$143&lt;$D$131),$BY$143,IF(AND($C$132=$BD$122,Z89&lt;$AN$132,Z129&lt;$D$131,$BY$143&lt;Z129),$BY$143,IF(AND($C$132=$BD$122,Z89&lt;$AN$132,Z129&lt;$D$131,$BY$143&gt;Z129),Z129,IF(AND($C$132=$BD$122,Z89=$AN$132),$AO$132,IF(AND($C$132=$BD$122,Z89&gt;$AN$132),0))))))))))))))))))</f>
        <v>0</v>
      </c>
      <c r="AA132" s="1581" t="b">
        <f>IF(AND($C$132=$BD$125,AA89&lt;$AN$132),$AP$132,IF(AND($C$132=$BD$125,AA89=$AN$132),$AO$132,IF(AND($C$132=$BD$125,AA89&gt;$AN$132),0,IF($C$132=$BD$124,0,IF(AND($C$132=$BD$123,AA89&lt;$AN$132,$BY$144&gt;=(($D$131/100)*AA129)),(($D$131/100)*AA129),IF(AND($C$132=$BD$123,AA89&lt;$AN$132,$BY$144&lt;(($D$131/100)*AA129)),$BY$144,IF(AND($C$132=$BD$123,AA89=$AN$132),$AO$132,IF(AND($C$132=$BD$123,AA89&gt;$AN$132),0,IF(AND($C$132=$BD$121,AA89&lt;$AN$132,AA129&gt;=$AR$132),$AR$132,IF(AND($C$132=$BD$121,AA89&lt;$AN$132,AA129&lt;$AR$132),AA129,IF(AND($C$132=$BD$121,AA89=$AN$132),$AO$132,IF(AND($C$132=$BD$121,AA89&gt;$AN$132),0,IF(AND($C$132=$BD$122,AA89&lt;$AN$132,AA129&gt;=$D$131,$BY$144&gt;=$D$131),$D$131,IF(AND($C$132=$BD$122,AA89&lt;$AN$132,AA129&gt;=$D$131,$BY$144&lt;$D$131),$BY$144,IF(AND($C$132=$BD$122,AA89&lt;$AN$132,AA129&lt;$D$131,$BY$144&lt;AA129),$BY$144,IF(AND($C$132=$BD$122,AA89&lt;$AN$132,AA129&lt;$D$131,$BY$144&gt;AA129),AA129,IF(AND($C$132=$BD$122,AA89=$AN$132),$AO$132,IF(AND($C$132=$BD$122,AA89&gt;$AN$132),0))))))))))))))))))</f>
        <v>0</v>
      </c>
      <c r="AB132" s="1581" t="b">
        <f>IF(AND($C$132=$BD$125,AB89&lt;$AN$132),$AP$132,IF(AND($C$132=$BD$125,AB89=$AN$132),$AO$132,IF(AND($C$132=$BD$125,AB89&gt;$AN$132),0,IF($C$132=$BD$124,0,IF(AND($C$132=$BD$123,AB89&lt;$AN$132,$BY$145&gt;=(($D$131/100)*AB129)),(($D$131/100)*AB129),IF(AND($C$132=$BD$123,AB89&lt;$AN$132,$BY$145&lt;(($D$131/100)*AB129)),$BY$145,IF(AND($C$132=$BD$123,AB89=$AN$132),$AO$132,IF(AND($C$132=$BD$123,AB89&gt;$AN$132),0,IF(AND($C$132=$BD$121,AB89&lt;$AN$132,AB129&gt;=$AR$132),$AR$132,IF(AND($C$132=$BD$121,AB89&lt;$AN$132,AB129&lt;$AR$132),AB129,IF(AND($C$132=$BD$121,AB89=$AN$132),$AO$132,IF(AND($C$132=$BD$121,AB89&gt;$AN$132),0,IF(AND($C$132=$BD$122,AB89&lt;$AN$132,AB129&gt;=$D$131,$BY$145&gt;=$D$131),$D$131,IF(AND($C$132=$BD$122,AB89&lt;$AN$132,AB129&gt;=$D$131,$BY$145&lt;$D$131),$BY$145,IF(AND($C$132=$BD$122,AB89&lt;$AN$132,AB129&lt;$D$131,$BY$145&lt;AB129),$BY$145,IF(AND($C$132=$BD$122,AB89&lt;$AN$132,AB129&lt;$D$131,$BY$145&gt;AB129),AB129,IF(AND($C$132=$BD$122,AB89=$AN$132),$AO$132,IF(AND($C$132=$BD$122,AB89&gt;$AN$132),0))))))))))))))))))</f>
        <v>0</v>
      </c>
      <c r="AC132" s="1581" t="b">
        <f>IF(AND($C$132=$BD$125,AC89&lt;$AN$132),$AP$132,IF(AND($C$132=$BD$125,AC89=$AN$132),$AO$132,IF(AND($C$132=$BD$125,AC89&gt;$AN$132),0,IF($C$132=$BD$124,0,IF(AND($C$132=$BD$123,AC89&lt;$AN$132,$BY$146&gt;=(($D$131/100)*AC129)),(($D$131/100)*AC129),IF(AND($C$132=$BD$123,AC89&lt;$AN$132,$BY$146&lt;(($D$131/100)*AC129)),$BY$146,IF(AND($C$132=$BD$123,AC89=$AN$132),$AO$132,IF(AND($C$132=$BD$123,AC89&gt;$AN$132),0,IF(AND($C$132=$BD$121,AC89&lt;$AN$132,AC129&gt;=$AR$132),$AR$132,IF(AND($C$132=$BD$121,AC89&lt;$AN$132,AC129&lt;$AR$132),AC129,IF(AND($C$132=$BD$121,AC89=$AN$132),$AO$132,IF(AND($C$132=$BD$121,AC89&gt;$AN$132),0,IF(AND($C$132=$BD$122,AC89&lt;$AN$132,AC129&gt;=$D$131,$BY$146&gt;=$D$131),$D$131,IF(AND($C$132=$BD$122,AC89&lt;$AN$132,AC129&gt;=$D$131,$BY$146&lt;$D$131),$BY$146,IF(AND($C$132=$BD$122,AC89&lt;$AN$132,AC129&lt;$D$131,$BY$146&lt;AC129),$BY$146,IF(AND($C$132=$BD$122,AC89&lt;$AN$132,AC129&lt;$D$131,$BY$146&gt;AC129),AC129,IF(AND($C$132=$BD$122,AC89=$AN$132),$AO$132,IF(AND($C$132=$BD$122,AC89&gt;$AN$132),0))))))))))))))))))</f>
        <v>0</v>
      </c>
      <c r="AD132" s="1581" t="b">
        <f>IF(AND($C$132=$BD$125,AD89&lt;$AN$132),$AP$132,IF(AND($C$132=$BD$125,AD89=$AN$132),$AO$132,IF(AND($C$132=$BD$125,AD89&gt;$AN$132),0,IF($C$132=$BD$124,0,IF(AND($C$132=$BD$123,AD89&lt;$AN$132,$BY$147&gt;=(($D$131/100)*AD129)),(($D$131/100)*AD129),IF(AND($C$132=$BD$123,AD89&lt;$AN$132,$BY$147&lt;(($D$131/100)*AD129)),$BY$147,IF(AND($C$132=$BD$123,AD89=$AN$132),$AO$132,IF(AND($C$132=$BD$123,AD89&gt;$AN$132),0,IF(AND($C$132=$BD$121,AD89&lt;$AN$132,AD129&gt;=$AR$132),$AR$132,IF(AND($C$132=$BD$121,AD89&lt;$AN$132,AD129&lt;$AR$132),AD129,IF(AND($C$132=$BD$121,AD89=$AN$132),$AO$132,IF(AND($C$132=$BD$121,AD89&gt;$AN$132),0,IF(AND($C$132=$BD$122,AD89&lt;$AN$132,AD129&gt;=$D$131,$BY$147&gt;=$D$131),$D$131,IF(AND($C$132=$BD$122,AD89&lt;$AN$132,AD129&gt;=$D$131,$BY$147&lt;$D$131),$BY$147,IF(AND($C$132=$BD$122,AD89&lt;$AN$132,AD129&lt;$D$131,$BY$147&lt;AD129),$BY$147,IF(AND($C$132=$BD$122,AD89&lt;$AN$132,AD129&lt;$D$131,$BY$147&gt;AD129),AD129,IF(AND($C$132=$BD$122,AD89=$AN$132),$AO$132,IF(AND($C$132=$BD$122,AD89&gt;$AN$132),0))))))))))))))))))</f>
        <v>0</v>
      </c>
      <c r="AE132" s="1581" t="b">
        <f>IF(AND($C$132=$BD$125,AE89&lt;$AN$132),$AP$132,IF(AND($C$132=$BD$125,AE89=$AN$132),$AO$132,IF(AND($C$132=$BD$125,AE89&gt;$AN$132),0,IF($C$132=$BD$124,0,IF(AND($C$132=$BD$123,AE89&lt;$AN$132,$BY$148&gt;=(($D$131/100)*AE129)),(($D$131/100)*AE129),IF(AND($C$132=$BD$123,AE89&lt;$AN$132,$BY$148&lt;(($D$131/100)*AE129)),$BY$148,IF(AND($C$132=$BD$123,AE89=$AN$132),$AO$132,IF(AND($C$132=$BD$123,AE89&gt;$AN$132),0,IF(AND($C$132=$BD$121,AE89&lt;$AN$132,AE129&gt;=$AR$132),$AR$132,IF(AND($C$132=$BD$121,AE89&lt;$AN$132,AE129&lt;$AR$132),AE129,IF(AND($C$132=$BD$121,AE89=$AN$132),$AO$132,IF(AND($C$132=$BD$121,AE89&gt;$AN$132),0,IF(AND($C$132=$BD$122,AE89&lt;$AN$132,AE129&gt;=$D$131,$BY$148&gt;=$D$131),$D$131,IF(AND($C$132=$BD$122,AE89&lt;$AN$132,AE129&gt;=$D$131,$BY$148&lt;$D$131),$BY$148,IF(AND($C$132=$BD$122,AE89&lt;$AN$132,AE129&lt;$D$131,$BY$148&lt;AE129),$BY$148,IF(AND($C$132=$BD$122,AE89&lt;$AN$132,AE129&lt;$D$131,$BY$148&gt;AE129),AE129,IF(AND($C$132=$BD$122,AE89=$AN$132),$AO$132,IF(AND($C$132=$BD$122,AE89&gt;$AN$132),0))))))))))))))))))</f>
        <v>0</v>
      </c>
      <c r="AF132" s="1581" t="b">
        <f>IF(AND($C$132=$BD$125,AF89&lt;$AN$132),$AP$132,IF(AND($C$132=$BD$125,AF89=$AN$132),$AO$132,IF(AND($C$132=$BD$125,AF89&gt;$AN$132),0,IF($C$132=$BD$124,0,IF(AND($C$132=$BD$123,AF89&lt;$AN$132,$BY$149&gt;=(($D$131/100)*AF129)),(($D$131/100)*AF129),IF(AND($C$132=$BD$123,AF89&lt;$AN$132,$BY$149&lt;(($D$131/100)*AF129)),$BY$149,IF(AND($C$132=$BD$123,AF89=$AN$132),$AO$132,IF(AND($C$132=$BD$123,AF89&gt;$AN$132),0,IF(AND($C$132=$BD$121,AF89&lt;$AN$132,AF129&gt;=$AR$132),$AR$132,IF(AND($C$132=$BD$121,AF89&lt;$AN$132,AF129&lt;$AR$132),AF129,IF(AND($C$132=$BD$121,AF89=$AN$132),$AO$132,IF(AND($C$132=$BD$121,AF89&gt;$AN$132),0,IF(AND($C$132=$BD$122,AF89&lt;$AN$132,AF129&gt;=$D$131,$BY$149&gt;=$D$131),$D$131,IF(AND($C$132=$BD$122,AF89&lt;$AN$132,AF129&gt;=$D$131,$BY$149&lt;$D$131),$BY$149,IF(AND($C$132=$BD$122,AF89&lt;$AN$132,AF129&lt;$D$131,$BY$149&lt;AF129),$BY$149,IF(AND($C$132=$BD$122,AF89&lt;$AN$132,AF129&lt;$D$131,$BY$149&gt;AF129),AF129,IF(AND($C$132=$BD$122,AF89=$AN$132),$AO$132,IF(AND($C$132=$BD$122,AF89&gt;$AN$132),0))))))))))))))))))</f>
        <v>0</v>
      </c>
      <c r="AG132" s="1581" t="b">
        <f>IF(AND($C$132=$BD$125,AG89&lt;$AN$132),$AP$132,IF(AND($C$132=$BD$125,AG89=$AN$132),$AO$132,IF(AND($C$132=$BD$125,AG89&gt;$AN$132),0,IF($C$132=$BD$124,0,IF(AND($C$132=$BD$123,AG89&lt;$AN$132,$BY$150&gt;=(($D$131/100)*AG129)),(($D$131/100)*AG129),IF(AND($C$132=$BD$123,AG89&lt;$AN$132,$BY$150&lt;(($D$131/100)*AG129)),$BY$150,IF(AND($C$132=$BD$123,AG89=$AN$132),$AO$132,IF(AND($C$132=$BD$123,AG89&gt;$AN$132),0,IF(AND($C$132=$BD$121,AG89&lt;$AN$132,AG129&gt;=$AR$132),$AR$132,IF(AND($C$132=$BD$121,AG89&lt;$AN$132,AG129&lt;$AR$132),AG129,IF(AND($C$132=$BD$121,AG89=$AN$132),$AO$132,IF(AND($C$132=$BD$121,AG89&gt;$AN$132),0,IF(AND($C$132=$BD$122,AG89&lt;$AN$132,AG129&gt;=$D$131,$BY$150&gt;=$D$131),$D$131,IF(AND($C$132=$BD$122,AG89&lt;$AN$132,AG129&gt;=$D$131,$BY$150&lt;$D$131),$BY$150,IF(AND($C$132=$BD$122,AG89&lt;$AN$132,AG129&lt;$D$131,$BY$150&lt;AG129),$BY$150,IF(AND($C$132=$BD$122,AG89&lt;$AN$132,AG129&lt;$D$131,$BY$150&gt;AG129),AG129,IF(AND($C$132=$BD$122,AG89=$AN$132),$AO$132,IF(AND($C$132=$BD$122,AG89&gt;$AN$132),0))))))))))))))))))</f>
        <v>0</v>
      </c>
      <c r="AH132" s="1581" t="b">
        <f>IF(AND($C$132=$BD$125,AH89&lt;$AN$132),$AP$132,IF(AND($C$132=$BD$125,AH89=$AN$132),$AO$132,IF(AND($C$132=$BD$125,AH89&gt;$AN$132),0,IF($C$132=$BD$124,0,IF(AND($C$132=$BD$123,AH89&lt;$AN$132,$BY$151&gt;=(($D$131/100)*AH129)),(($D$131/100)*AH129),IF(AND($C$132=$BD$123,AH89&lt;$AN$132,$BY$151&lt;(($D$131/100)*AH129)),$BY$151,IF(AND($C$132=$BD$123,AH89=$AN$132),$AO$132,IF(AND($C$132=$BD$123,AH89&gt;$AN$132),0,IF(AND($C$132=$BD$121,AH89&lt;$AN$132,AH129&gt;=$AR$132),$AR$132,IF(AND($C$132=$BD$121,AH89&lt;$AN$132,AH129&lt;$AR$132),AH129,IF(AND($C$132=$BD$121,AH89=$AN$132),$AO$132,IF(AND($C$132=$BD$121,AH89&gt;$AN$132),0,IF(AND($C$132=$BD$122,AH89&lt;$AN$132,AH129&gt;=$D$131,$BY$151&gt;=$D$131),$D$131,IF(AND($C$132=$BD$122,AH89&lt;$AN$132,AH129&gt;=$D$131,$BY$151&lt;$D$131),$BY$151,IF(AND($C$132=$BD$122,AH89&lt;$AN$132,AH129&lt;$D$131,$BY$151&lt;AH129),$BY$151,IF(AND($C$132=$BD$122,AH89&lt;$AN$132,AH129&lt;$D$131,$BY$151&gt;AH129),AH129,IF(AND($C$132=$BD$122,AH89=$AN$132),$AO$132,IF(AND($C$132=$BD$122,AH89&gt;$AN$132),0))))))))))))))))))</f>
        <v>0</v>
      </c>
      <c r="AI132" s="1581" t="b">
        <f>IF(AND($C$132=$BD$125,AI89&lt;$AN$132),$AP$132,IF(AND($C$132=$BD$125,AI89=$AN$132),$AO$132,IF(AND($C$132=$BD$125,AI89&gt;$AN$132),0,IF($C$132=$BD$124,0,IF(AND($C$132=$BD$123,AI89&lt;$AN$132,$BY$152&gt;=(($D$131/100)*AI129)),(($D$131/100)*AI129),IF(AND($C$132=$BD$123,AI89&lt;$AN$132,$BY$152&lt;(($D$131/100)*AI129)),$BY$152,IF(AND($C$132=$BD$123,AI89=$AN$132),$AO$132,IF(AND($C$132=$BD$123,AI89&gt;$AN$132),0,IF(AND($C$132=$BD$121,AI89&lt;$AN$132,AI129&gt;=$AR$132),$AR$132,IF(AND($C$132=$BD$121,AI89&lt;$AN$132,AI129&lt;$AR$132),AI129,IF(AND($C$132=$BD$121,AI89=$AN$132),$AO$132,IF(AND($C$132=$BD$121,AI89&gt;$AN$132),0,IF(AND($C$132=$BD$122,AI89&lt;$AN$132,AI129&gt;=$D$131,$BY$152&gt;=$D$131),$D$131,IF(AND($C$132=$BD$122,AI89&lt;$AN$132,AI129&gt;=$D$131,$BY$152&lt;$D$131),$BY$152,IF(AND($C$132=$BD$122,AI89&lt;$AN$132,AI129&lt;$D$131,$BY$152&lt;AI129),$BY$152,IF(AND($C$132=$BD$122,AI89&lt;$AN$132,AI129&lt;$D$131,$BY$152&gt;AI129),AI129,IF(AND($C$132=$BD$122,AI89=$AN$132),$AO$132,IF(AND($C$132=$BD$122,AI89&gt;$AN$132),0))))))))))))))))))</f>
        <v>0</v>
      </c>
      <c r="AJ132" s="1581" t="b">
        <f>IF(AND($C$132=$BD$125,AJ89&lt;$AN$132),$AP$132,IF(AND($C$132=$BD$125,AJ89=$AN$132),$AO$132,IF(AND($C$132=$BD$125,AJ89&gt;$AN$132),0,IF($C$132=$BD$124,0,IF(AND($C$132=$BD$123,AJ89&lt;$AN$132,$BY$153&gt;=(($D$131/100)*AJ129)),(($D$131/100)*AJ129),IF(AND($C$132=$BD$123,AJ89&lt;$AN$132,$BY$153&lt;(($D$131/100)*AJ129)),$BY$153,IF(AND($C$132=$BD$123,AJ89=$AN$132),$AO$132,IF(AND($C$132=$BD$123,AJ89&gt;$AN$132),0,IF(AND($C$132=$BD$121,AJ89&lt;$AN$132,AJ129&gt;=$AR$132),$AR$132,IF(AND($C$132=$BD$121,AJ89&lt;$AN$132,AJ129&lt;$AR$132),AJ129,IF(AND($C$132=$BD$121,AJ89=$AN$132),$AO$132,IF(AND($C$132=$BD$121,AJ89&gt;$AN$132),0,IF(AND($C$132=$BD$122,AJ89&lt;$AN$132,AJ129&gt;=$D$131,$BY$153&gt;=$D$131),$D$131,IF(AND($C$132=$BD$122,AJ89&lt;$AN$132,AJ129&gt;=$D$131,$BY$153&lt;$D$131),$BY$153,IF(AND($C$132=$BD$122,AJ89&lt;$AN$132,AJ129&lt;$D$131,$BY$153&lt;AJ129),$BY$153,IF(AND($C$132=$BD$122,AJ89&lt;$AN$132,AJ129&lt;$D$131,$BY$153&gt;AJ129),AJ129,IF(AND($C$132=$BD$122,AJ89=$AN$132),$AO$132,IF(AND($C$132=$BD$122,AJ89&gt;$AN$132),0))))))))))))))))))</f>
        <v>0</v>
      </c>
      <c r="AK132" s="1581" t="b">
        <f>IF(AND($C$132=$BD$125,AK89&lt;$AN$132),$AP$132,IF(AND($C$132=$BD$125,AK89=$AN$132),$AO$132,IF(AND($C$132=$BD$125,AK89&gt;$AN$132),0,IF($C$132=$BD$124,0,IF(AND($C$132=$BD$123,AK89&lt;$AN$132,$BY$154&gt;=(($D$131/100)*AK129)),(($D$131/100)*AK129),IF(AND($C$132=$BD$123,AK89&lt;$AN$132,$BY$154&lt;(($D$131/100)*AK129)),$BY$154,IF(AND($C$132=$BD$123,AK89=$AN$132),$AO$132,IF(AND($C$132=$BD$123,AK89&gt;$AN$132),0,IF(AND($C$132=$BD$121,AK89&lt;$AN$132,AK129&gt;=$AR$132),$AR$132,IF(AND($C$132=$BD$121,AK89&lt;$AN$132,AK129&lt;$AR$132),AK129,IF(AND($C$132=$BD$121,AK89=$AN$132),$AO$132,IF(AND($C$132=$BD$121,AK89&gt;$AN$132),0,IF(AND($C$132=$BD$122,AK89&lt;$AN$132,AK129&gt;=$D$131,$BY$154&gt;=$D$131),$D$131,IF(AND($C$132=$BD$122,AK89&lt;$AN$132,AK129&gt;=$D$131,$BY$154&lt;$D$131),$BY$154,IF(AND($C$132=$BD$122,AK89&lt;$AN$132,AK129&lt;$D$131,$BY$154&lt;AK129),$BY$154,IF(AND($C$132=$BD$122,AK89&lt;$AN$132,AK129&lt;$D$131,$BY$154&gt;AK129),AK129,IF(AND($C$132=$BD$122,AK89=$AN$132),$AO$132,IF(AND($C$132=$BD$122,AK89&gt;$AN$132),0))))))))))))))))))</f>
        <v>0</v>
      </c>
      <c r="AL132" s="1581" t="b">
        <f>IF(AND($C$132=$BD$125,AL89&lt;$AN$132),$AP$132,IF(AND($C$132=$BD$125,AL89=$AN$132),$AO$132,IF(AND($C$132=$BD$125,AL89&gt;$AN$132),0,IF($C$132=$BD$124,_xlfn.CONCAT("P/I Remaining:
 $",#REF!),IF(AND($C$132=$BD$123,AL89&lt;$AN$132,$BY$155&gt;=(($D$131/100)*AL129)),(($D$131/100)*AL129),IF(AND($C$132=$BD$123,AL89&lt;$AN$132,$BY$155&lt;(($D$131/100)*AL129)),$BY$155,IF(AND($C$132=$BD$123,AL89=$AN$132),$AO$132,IF(AND($C$132=$BD$123,AL89&gt;$AN$132),0,IF(AND($C$132=$BD$121,AL89&lt;$AN$132,AL129&gt;=$AR$132),$AR$132,IF(AND($C$132=$BD$121,AL89&lt;$AN$132,AL129&lt;$AR$132),AL129,IF(AND($C$132=$BD$121,AL89=$AN$132),$AO$132,IF(AND($C$132=$BD$121,AL89&gt;$AN$132),0,IF(AND($C$132=$BD$122,AL89&lt;$AN$132,AL129&gt;=$D$131,$BY$155&gt;=$D$131),$D$131,IF(AND($C$132=$BD$122,AL89&lt;$AN$132,AL129&gt;=$D$131,$BY$155&lt;$D$131),$BY$155,IF(AND($C$132=$BD$122,AL89&lt;$AN$132,AL129&lt;$D$131,$BY$155&lt;AL129),$BY$155,IF(AND($C$132=$BD$122,AL89&lt;$AN$132,AL129&lt;$D$131,$BY$155&gt;AL129),AL129,IF(AND($C$132=$BD$122,AL89=$AN$132),$AO$132,IF(AND($C$132=$BD$122,AL89&gt;$AN$132),0))))))))))))))))))</f>
        <v>0</v>
      </c>
      <c r="AM132" s="1174"/>
      <c r="AN132" s="1512">
        <f>_xlfn.XLOOKUP(C131,'12. Funding Sources'!$C$11:$C$23,'12. Funding Sources'!$L$11:$L$23,36)</f>
        <v>36</v>
      </c>
      <c r="AO132" s="1505">
        <f>BX155*(1+AQ132)</f>
        <v>0</v>
      </c>
      <c r="AP132" s="1505">
        <f>_xlfn.XLOOKUP(C131,'12. Funding Sources'!$C$11:$C$23,'17. Cash Flow and Reserves'!$BF$121:$BF$133,0)</f>
        <v>0</v>
      </c>
      <c r="AQ132" s="1513">
        <f>_xlfn.XLOOKUP(C131,'12. Funding Sources'!$C$11:$C$23,'12. Funding Sources'!$K$11:$K$23,0)</f>
        <v>0</v>
      </c>
      <c r="AR132" s="1505">
        <f>(IF(D129&gt;=_xlfn.XLOOKUP(C131,'12. Funding Sources'!C11:C23,AT121:AT133,0),_xlfn.XLOOKUP(C131,'12. Funding Sources'!$C$11:$C$23,'17. Cash Flow and Reserves'!$AT$121:$AT$133,0),D129))</f>
        <v>0</v>
      </c>
      <c r="AS132" s="1507" t="str">
        <f>_xlfn.CONCAT("Proposed Annual Debt Service - ",Source_12)</f>
        <v>Proposed Annual Debt Service - Other</v>
      </c>
      <c r="AT132" s="1508" t="e">
        <f>-PMT(Rate_12,Term_12,Amount_12)</f>
        <v>#NUM!</v>
      </c>
      <c r="AU132" s="1507">
        <f>IF('12. Funding Sources'!N22&gt;0,AV131+1,0)</f>
        <v>0</v>
      </c>
      <c r="AV132" s="1507">
        <f>MAX($AU$121:AU132)</f>
        <v>0</v>
      </c>
      <c r="AW132" s="1509">
        <v>12</v>
      </c>
      <c r="AX132" s="9">
        <f>IF(OR('12. Funding Sources'!J22='12. Funding Sources'!$R$12,'12. Funding Sources'!J22='12. Funding Sources'!$R$13),AY131+1,0)</f>
        <v>0</v>
      </c>
      <c r="AY132" s="1507">
        <f>IF(MAX($AX$121:AX132)=0,AY131,MAX($AX$121:AX132))</f>
        <v>10</v>
      </c>
      <c r="AZ132" s="1507">
        <v>22</v>
      </c>
      <c r="BA132" s="9" t="str">
        <f>_xlfn.XLOOKUP(AZ132,$AX$121:$AX$133,'12. Funding Sources'!$C$11:$C$23,"")</f>
        <v/>
      </c>
      <c r="BF132" s="673" t="e">
        <f>-IPMT(Rate_12,1,Term_12,Amount_12)</f>
        <v>#NUM!</v>
      </c>
      <c r="BH132" s="9">
        <v>12</v>
      </c>
      <c r="BI132" s="1510">
        <f>IF(AND($AN$122&gt;BH132,$C$122=$BD$121),(O$122),IF(AND($AN$122&gt;BH132,$C$122=$BD$122),(O$122),IF(AND($AN$122&gt;BH132,$C$122=$BD$123),(O$122),IF(AND($AN$122&gt;BH132,$C$122=$BD$124),(O$121),IF(AND($AN$122&gt;BH132,$C$122=$BD$125),(O$122),0)))))</f>
        <v>0</v>
      </c>
      <c r="BJ132" s="1510">
        <v>0</v>
      </c>
      <c r="BK132" s="1510">
        <v>0</v>
      </c>
      <c r="BL132" s="1510">
        <f t="shared" si="312"/>
        <v>0</v>
      </c>
      <c r="BM132" s="1505">
        <f t="shared" si="313"/>
        <v>0</v>
      </c>
      <c r="BN132" s="9">
        <v>12</v>
      </c>
      <c r="BO132" s="1510">
        <f>IF(AND($AN$127&gt;BN132,$C$127=$BD$121),(O$127),IF(AND($AN$127&gt;BN132,$C$127=$BD$122),(O$127),IF(AND($AN$127&gt;BN132,$C$127=$BD$123),(O$127),IF(AND($AN$127&gt;BN132,$C$127=$BD$124),(O$126),IF(AND($AN$127&gt;BN132,$C$127=$BD$125),(O$127),0)))))</f>
        <v>0</v>
      </c>
      <c r="BP132" s="1510">
        <v>0</v>
      </c>
      <c r="BQ132" s="1510">
        <v>0</v>
      </c>
      <c r="BR132" s="1510">
        <f t="shared" si="301"/>
        <v>0</v>
      </c>
      <c r="BS132" s="1511">
        <f t="shared" si="309"/>
        <v>0</v>
      </c>
      <c r="BT132" s="9">
        <v>12</v>
      </c>
      <c r="BU132" s="1510">
        <f>IF(AND($AN$132&gt;BT132,$C$132=$BD$121),(O$132),IF(AND($AN$132&gt;BT132,$C$132=$BD$122),(O$132),IF(AND($AN$132&gt;BT132,$C$132=$BD$123),(O$132),IF(AND($AN$132&gt;BT132,$C$132=$BD$124),(O$131),IF(AND($AN$132&gt;BT132,$C$132=$BD$125),(O$132),0)))))</f>
        <v>0</v>
      </c>
      <c r="BV132" s="1510">
        <v>0</v>
      </c>
      <c r="BW132" s="1510">
        <v>0</v>
      </c>
      <c r="BX132" s="1510">
        <f t="shared" si="302"/>
        <v>0</v>
      </c>
      <c r="BY132" s="1511">
        <f t="shared" si="303"/>
        <v>0</v>
      </c>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row>
    <row r="133" spans="2:102" ht="16.5" customHeight="1">
      <c r="B133" s="1626"/>
      <c r="C133" s="1570" t="s">
        <v>4489</v>
      </c>
      <c r="D133" s="1582">
        <f t="shared" ref="D133:AL133" si="315">IFERROR(IF($C$132=$BD$124,(D$86/(D$90+D$96+D$100+D$104+D$108+D$112+D$116+SUM(D121:D122)+SUM(D126:D127)+D$131)),IF(OR($C$132=$BD$121,$C$132=$BD$122,$C$132=$BD$123,$C$132=$BD$125),(D$86/(D$90+D$96+D$100+D$104+D$108+D$112+D$116+D$132)),D128)),D128)</f>
        <v>0</v>
      </c>
      <c r="E133" s="1582">
        <f t="shared" si="315"/>
        <v>0</v>
      </c>
      <c r="F133" s="1582">
        <f t="shared" si="315"/>
        <v>0</v>
      </c>
      <c r="G133" s="1582">
        <f t="shared" si="315"/>
        <v>0</v>
      </c>
      <c r="H133" s="1582">
        <f t="shared" si="315"/>
        <v>0</v>
      </c>
      <c r="I133" s="1582">
        <f t="shared" si="315"/>
        <v>0</v>
      </c>
      <c r="J133" s="1582">
        <f t="shared" si="315"/>
        <v>0</v>
      </c>
      <c r="K133" s="1582">
        <f t="shared" si="315"/>
        <v>0</v>
      </c>
      <c r="L133" s="1582">
        <f t="shared" si="315"/>
        <v>0</v>
      </c>
      <c r="M133" s="1582">
        <f t="shared" si="315"/>
        <v>0</v>
      </c>
      <c r="N133" s="1582">
        <f t="shared" si="315"/>
        <v>0</v>
      </c>
      <c r="O133" s="1582">
        <f t="shared" si="315"/>
        <v>0</v>
      </c>
      <c r="P133" s="1582">
        <f t="shared" si="315"/>
        <v>0</v>
      </c>
      <c r="Q133" s="1582">
        <f t="shared" si="315"/>
        <v>0</v>
      </c>
      <c r="R133" s="1582">
        <f t="shared" si="315"/>
        <v>0</v>
      </c>
      <c r="S133" s="1582">
        <f t="shared" si="315"/>
        <v>0</v>
      </c>
      <c r="T133" s="1582">
        <f t="shared" si="315"/>
        <v>0</v>
      </c>
      <c r="U133" s="1582">
        <f t="shared" si="315"/>
        <v>0</v>
      </c>
      <c r="V133" s="1582">
        <f t="shared" si="315"/>
        <v>0</v>
      </c>
      <c r="W133" s="1582">
        <f t="shared" si="315"/>
        <v>0</v>
      </c>
      <c r="X133" s="1582">
        <f t="shared" si="315"/>
        <v>0</v>
      </c>
      <c r="Y133" s="1582">
        <f t="shared" si="315"/>
        <v>0</v>
      </c>
      <c r="Z133" s="1582">
        <f t="shared" si="315"/>
        <v>0</v>
      </c>
      <c r="AA133" s="1582">
        <f t="shared" si="315"/>
        <v>0</v>
      </c>
      <c r="AB133" s="1582">
        <f t="shared" si="315"/>
        <v>0</v>
      </c>
      <c r="AC133" s="1582">
        <f t="shared" si="315"/>
        <v>0</v>
      </c>
      <c r="AD133" s="1582">
        <f t="shared" si="315"/>
        <v>0</v>
      </c>
      <c r="AE133" s="1582">
        <f t="shared" si="315"/>
        <v>0</v>
      </c>
      <c r="AF133" s="1582">
        <f t="shared" si="315"/>
        <v>0</v>
      </c>
      <c r="AG133" s="1582">
        <f t="shared" si="315"/>
        <v>0</v>
      </c>
      <c r="AH133" s="1582">
        <f t="shared" si="315"/>
        <v>0</v>
      </c>
      <c r="AI133" s="1582">
        <f t="shared" si="315"/>
        <v>0</v>
      </c>
      <c r="AJ133" s="1582">
        <f t="shared" si="315"/>
        <v>0</v>
      </c>
      <c r="AK133" s="1582">
        <f t="shared" si="315"/>
        <v>0</v>
      </c>
      <c r="AL133" s="1582">
        <f t="shared" si="315"/>
        <v>0</v>
      </c>
      <c r="AM133" s="1174"/>
      <c r="AO133" s="1505">
        <f>ROUND((MIN(BX121:BX155)*(AQ132+1)),0)</f>
        <v>0</v>
      </c>
      <c r="AP133" s="1505"/>
      <c r="AS133" s="1507" t="str">
        <f>_xlfn.CONCAT("Proposed Annual Debt Service - ",Source_13)</f>
        <v>Proposed Annual Debt Service - Other</v>
      </c>
      <c r="AT133" s="1508" t="e">
        <f>-PMT(Rate_13,Term_13,Amount_13)</f>
        <v>#NUM!</v>
      </c>
      <c r="AU133" s="1507">
        <f>IF('12. Funding Sources'!N23&gt;0,AV132+1,0)</f>
        <v>0</v>
      </c>
      <c r="AV133" s="1507">
        <f>MAX($AU$121:AU133)</f>
        <v>0</v>
      </c>
      <c r="AW133" s="1507">
        <v>13</v>
      </c>
      <c r="AX133" s="9">
        <f>IF(OR('12. Funding Sources'!J23='12. Funding Sources'!$R$12,'12. Funding Sources'!J23='12. Funding Sources'!$R$13),AY132+1,0)</f>
        <v>0</v>
      </c>
      <c r="AY133" s="1507">
        <f>IF(MAX($AX$121:AX133)=0,AY132,MAX($AX$121:AX133))</f>
        <v>10</v>
      </c>
      <c r="AZ133" s="1507">
        <v>23</v>
      </c>
      <c r="BA133" s="9" t="str">
        <f>_xlfn.XLOOKUP(AZ133,$AX$121:$AX$133,'12. Funding Sources'!$C$11:$C$23,"")</f>
        <v/>
      </c>
      <c r="BF133" s="673" t="e">
        <f>-IPMT(Rate_13,1,Term_13,Amount_13)</f>
        <v>#NUM!</v>
      </c>
      <c r="BH133" s="9">
        <v>13</v>
      </c>
      <c r="BI133" s="1510">
        <f>IF(AND($AN$122&gt;BH133,$C$122=$BD$121),(P$122),IF(AND($AN$122&gt;BH133,$C$122=$BD$122),(P$122),IF(AND($AN$122&gt;BH133,$C$122=$BD$123),(P$122),IF(AND($AN$122&gt;BH133,$C$122=$BD$124),(P$121),IF(AND($AN$122&gt;BH133,$C$122=$BD$125),(P$122),0)))))</f>
        <v>0</v>
      </c>
      <c r="BJ133" s="1510">
        <v>0</v>
      </c>
      <c r="BK133" s="1510">
        <v>0</v>
      </c>
      <c r="BL133" s="1510">
        <f t="shared" si="312"/>
        <v>0</v>
      </c>
      <c r="BM133" s="1505">
        <f t="shared" si="313"/>
        <v>0</v>
      </c>
      <c r="BN133" s="9">
        <v>13</v>
      </c>
      <c r="BO133" s="1510">
        <f>IF(AND($AN$127&gt;BN133,$C$127=$BD$121),(P$127),IF(AND($AN$127&gt;BN133,$C$127=$BD$122),(P$127),IF(AND($AN$127&gt;BN133,$C$127=$BD$123),(P$127),IF(AND($AN$127&gt;BN133,$C$127=$BD$124),(P$126),IF(AND($AN$127&gt;BN133,$C$127=$BD$125),(P$127),0)))))</f>
        <v>0</v>
      </c>
      <c r="BP133" s="1510">
        <v>0</v>
      </c>
      <c r="BQ133" s="1510">
        <v>0</v>
      </c>
      <c r="BR133" s="1510">
        <f t="shared" si="301"/>
        <v>0</v>
      </c>
      <c r="BS133" s="1511">
        <f t="shared" si="309"/>
        <v>0</v>
      </c>
      <c r="BT133" s="9">
        <v>13</v>
      </c>
      <c r="BU133" s="1510">
        <f>IF(AND($AN$132&gt;BT133,$C$132=$BD$121),(P$132),IF(AND($AN$132&gt;BT133,$C$132=$BD$122),(P$132),IF(AND($AN$132&gt;BT133,$C$132=$BD$123),(P$132),IF(AND($AN$132&gt;BT133,$C$132=$BD$124),(P$131),IF(AND($AN$132&gt;BT133,$C$132=$BD$125),(P$132),0)))))</f>
        <v>0</v>
      </c>
      <c r="BV133" s="1510">
        <v>0</v>
      </c>
      <c r="BW133" s="1510">
        <v>0</v>
      </c>
      <c r="BX133" s="1510">
        <f t="shared" si="302"/>
        <v>0</v>
      </c>
      <c r="BY133" s="1511">
        <f t="shared" si="303"/>
        <v>0</v>
      </c>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row>
    <row r="134" spans="2:102" ht="16.5" customHeight="1">
      <c r="B134" s="1626"/>
      <c r="C134" s="1570" t="s">
        <v>4493</v>
      </c>
      <c r="D134" s="1583">
        <f t="shared" ref="D134:AL134" si="316">IFERROR(MAX((IF($C$132=$BD$125,(D129-D132),IF($C$132=$BD$124,D129-D131,IF($C$132=$BD$123,D129-D132,IF($C$132=$BD$122,D129-D132,IF($C$132=$BD$121,D129-D132,D129)))))),0),D129)</f>
        <v>0</v>
      </c>
      <c r="E134" s="1583">
        <f t="shared" si="316"/>
        <v>0</v>
      </c>
      <c r="F134" s="1583">
        <f t="shared" si="316"/>
        <v>0</v>
      </c>
      <c r="G134" s="1583">
        <f t="shared" si="316"/>
        <v>0</v>
      </c>
      <c r="H134" s="1583">
        <f t="shared" si="316"/>
        <v>0</v>
      </c>
      <c r="I134" s="1583">
        <f t="shared" si="316"/>
        <v>0</v>
      </c>
      <c r="J134" s="1583">
        <f t="shared" si="316"/>
        <v>0</v>
      </c>
      <c r="K134" s="1583">
        <f t="shared" si="316"/>
        <v>0</v>
      </c>
      <c r="L134" s="1583">
        <f t="shared" si="316"/>
        <v>0</v>
      </c>
      <c r="M134" s="1583">
        <f t="shared" si="316"/>
        <v>0</v>
      </c>
      <c r="N134" s="1583">
        <f t="shared" si="316"/>
        <v>0</v>
      </c>
      <c r="O134" s="1583">
        <f t="shared" si="316"/>
        <v>0</v>
      </c>
      <c r="P134" s="1583">
        <f t="shared" si="316"/>
        <v>0</v>
      </c>
      <c r="Q134" s="1583">
        <f t="shared" si="316"/>
        <v>0</v>
      </c>
      <c r="R134" s="1583">
        <f t="shared" si="316"/>
        <v>0</v>
      </c>
      <c r="S134" s="1583">
        <f t="shared" si="316"/>
        <v>0</v>
      </c>
      <c r="T134" s="1583">
        <f t="shared" si="316"/>
        <v>0</v>
      </c>
      <c r="U134" s="1583">
        <f t="shared" si="316"/>
        <v>0</v>
      </c>
      <c r="V134" s="1583">
        <f t="shared" si="316"/>
        <v>0</v>
      </c>
      <c r="W134" s="1583">
        <f t="shared" si="316"/>
        <v>0</v>
      </c>
      <c r="X134" s="1583">
        <f t="shared" si="316"/>
        <v>0</v>
      </c>
      <c r="Y134" s="1583">
        <f t="shared" si="316"/>
        <v>0</v>
      </c>
      <c r="Z134" s="1583">
        <f t="shared" si="316"/>
        <v>0</v>
      </c>
      <c r="AA134" s="1583">
        <f t="shared" si="316"/>
        <v>0</v>
      </c>
      <c r="AB134" s="1583">
        <f t="shared" si="316"/>
        <v>0</v>
      </c>
      <c r="AC134" s="1583">
        <f t="shared" si="316"/>
        <v>0</v>
      </c>
      <c r="AD134" s="1583">
        <f t="shared" si="316"/>
        <v>0</v>
      </c>
      <c r="AE134" s="1583">
        <f t="shared" si="316"/>
        <v>0</v>
      </c>
      <c r="AF134" s="1583">
        <f t="shared" si="316"/>
        <v>0</v>
      </c>
      <c r="AG134" s="1583">
        <f t="shared" si="316"/>
        <v>0</v>
      </c>
      <c r="AH134" s="1583">
        <f t="shared" si="316"/>
        <v>0</v>
      </c>
      <c r="AI134" s="1583">
        <f t="shared" si="316"/>
        <v>0</v>
      </c>
      <c r="AJ134" s="1583">
        <f t="shared" si="316"/>
        <v>0</v>
      </c>
      <c r="AK134" s="1583">
        <f t="shared" si="316"/>
        <v>0</v>
      </c>
      <c r="AL134" s="1583">
        <f t="shared" si="316"/>
        <v>0</v>
      </c>
      <c r="AM134" s="1174"/>
      <c r="BH134" s="9">
        <v>14</v>
      </c>
      <c r="BI134" s="1510">
        <f>IF(AND($AN$122&gt;BH134,$C$122=$BD$121),(Q$122),IF(AND($AN$122&gt;BH134,$C$122=$BD$122),(Q$122),IF(AND($AN$122&gt;BH134,$C$122=$BD$123),(Q$122),IF(AND($AN$122&gt;BH134,$C$122=$BD$124),(Q$121),IF(AND($AN$122&gt;BH134,$C$122=$BD$125),(Q$122),0)))))</f>
        <v>0</v>
      </c>
      <c r="BJ134" s="1510">
        <v>0</v>
      </c>
      <c r="BK134" s="1510">
        <v>0</v>
      </c>
      <c r="BL134" s="1510">
        <f t="shared" si="312"/>
        <v>0</v>
      </c>
      <c r="BM134" s="1505">
        <f t="shared" si="313"/>
        <v>0</v>
      </c>
      <c r="BN134" s="9">
        <v>14</v>
      </c>
      <c r="BO134" s="1510">
        <f>IF(AND($AN$127&gt;BN134,$C$127=$BD$121),(Q$127),IF(AND($AN$127&gt;BN134,$C$127=$BD$122),(Q$127),IF(AND($AN$127&gt;BN134,$C$127=$BD$123),(Q$127),IF(AND($AN$127&gt;BN134,$C$127=$BD$124),(Q$126),IF(AND($AN$127&gt;BN134,$C$127=$BD$125),(Q$127),0)))))</f>
        <v>0</v>
      </c>
      <c r="BP134" s="1510">
        <v>0</v>
      </c>
      <c r="BQ134" s="1510">
        <v>0</v>
      </c>
      <c r="BR134" s="1510">
        <f t="shared" si="301"/>
        <v>0</v>
      </c>
      <c r="BS134" s="1511">
        <f t="shared" si="309"/>
        <v>0</v>
      </c>
      <c r="BT134" s="9">
        <v>14</v>
      </c>
      <c r="BU134" s="1510">
        <f>IF(AND($AN$132&gt;BT134,$C$132=$BD$121),(Q$132),IF(AND($AN$132&gt;BT134,$C$132=$BD$122),(Q$132),IF(AND($AN$132&gt;BT134,$C$132=$BD$123),(Q$132),IF(AND($AN$132&gt;BT134,$C$132=$BD$124),(Q$131),IF(AND($AN$132&gt;BT134,$C$132=$BD$125),(Q$132),0)))))</f>
        <v>0</v>
      </c>
      <c r="BV134" s="1510">
        <v>0</v>
      </c>
      <c r="BW134" s="1510">
        <v>0</v>
      </c>
      <c r="BX134" s="1510">
        <f t="shared" si="302"/>
        <v>0</v>
      </c>
      <c r="BY134" s="1511">
        <f t="shared" si="303"/>
        <v>0</v>
      </c>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row>
    <row r="135" spans="2:102" ht="14.5" customHeight="1" thickBot="1">
      <c r="B135" s="1626"/>
      <c r="C135" s="1602"/>
      <c r="D135" s="1207" t="str">
        <f>IF(OR($C$137=$BD$122,$C$137=$BD$124),"Input Desired Annual Payment Amount",IF($C$137=$BD$123,"Input Desired % of Cashflow", ""))</f>
        <v/>
      </c>
      <c r="E135" s="1207" t="str">
        <f t="shared" ref="E135:AL135" si="317">IF($C$137=$BD$124,"Input Desired Annual Payment Amount","")</f>
        <v/>
      </c>
      <c r="F135" s="1207" t="str">
        <f t="shared" si="317"/>
        <v/>
      </c>
      <c r="G135" s="1207" t="str">
        <f t="shared" si="317"/>
        <v/>
      </c>
      <c r="H135" s="1207" t="str">
        <f t="shared" si="317"/>
        <v/>
      </c>
      <c r="I135" s="1207" t="str">
        <f t="shared" si="317"/>
        <v/>
      </c>
      <c r="J135" s="1207" t="str">
        <f t="shared" si="317"/>
        <v/>
      </c>
      <c r="K135" s="1207" t="str">
        <f t="shared" si="317"/>
        <v/>
      </c>
      <c r="L135" s="1207" t="str">
        <f t="shared" si="317"/>
        <v/>
      </c>
      <c r="M135" s="1207" t="str">
        <f t="shared" si="317"/>
        <v/>
      </c>
      <c r="N135" s="1207" t="str">
        <f t="shared" si="317"/>
        <v/>
      </c>
      <c r="O135" s="1207" t="str">
        <f t="shared" si="317"/>
        <v/>
      </c>
      <c r="P135" s="1207" t="str">
        <f t="shared" si="317"/>
        <v/>
      </c>
      <c r="Q135" s="1207" t="str">
        <f t="shared" si="317"/>
        <v/>
      </c>
      <c r="R135" s="1207" t="str">
        <f t="shared" si="317"/>
        <v/>
      </c>
      <c r="S135" s="1207" t="str">
        <f t="shared" si="317"/>
        <v/>
      </c>
      <c r="T135" s="1207" t="str">
        <f t="shared" si="317"/>
        <v/>
      </c>
      <c r="U135" s="1207" t="str">
        <f t="shared" si="317"/>
        <v/>
      </c>
      <c r="V135" s="1207" t="str">
        <f t="shared" si="317"/>
        <v/>
      </c>
      <c r="W135" s="1207" t="str">
        <f t="shared" si="317"/>
        <v/>
      </c>
      <c r="X135" s="1207" t="str">
        <f t="shared" si="317"/>
        <v/>
      </c>
      <c r="Y135" s="1207" t="str">
        <f t="shared" si="317"/>
        <v/>
      </c>
      <c r="Z135" s="1207" t="str">
        <f t="shared" si="317"/>
        <v/>
      </c>
      <c r="AA135" s="1207" t="str">
        <f t="shared" si="317"/>
        <v/>
      </c>
      <c r="AB135" s="1207" t="str">
        <f t="shared" si="317"/>
        <v/>
      </c>
      <c r="AC135" s="1207" t="str">
        <f t="shared" si="317"/>
        <v/>
      </c>
      <c r="AD135" s="1207" t="str">
        <f t="shared" si="317"/>
        <v/>
      </c>
      <c r="AE135" s="1207" t="str">
        <f t="shared" si="317"/>
        <v/>
      </c>
      <c r="AF135" s="1207" t="str">
        <f t="shared" si="317"/>
        <v/>
      </c>
      <c r="AG135" s="1207" t="str">
        <f t="shared" si="317"/>
        <v/>
      </c>
      <c r="AH135" s="1207" t="str">
        <f t="shared" si="317"/>
        <v/>
      </c>
      <c r="AI135" s="1207" t="str">
        <f t="shared" si="317"/>
        <v/>
      </c>
      <c r="AJ135" s="1207" t="str">
        <f t="shared" si="317"/>
        <v/>
      </c>
      <c r="AK135" s="1207" t="str">
        <f t="shared" si="317"/>
        <v/>
      </c>
      <c r="AL135" s="1207" t="str">
        <f t="shared" si="317"/>
        <v/>
      </c>
      <c r="AM135" s="1174"/>
      <c r="BH135" s="9">
        <v>15</v>
      </c>
      <c r="BI135" s="1510">
        <f>IF(AND($AN$122&gt;BH135,$C$122=$BD$121),(R$122),IF(AND($AN$122&gt;BH135,$C$122=$BD$122),(R$122),IF(AND($AN$122&gt;BH135,$C$122=$BD$123),(R$122),IF(AND($AN$122&gt;BH135,$C$122=$BD$124),(R$121),IF(AND($AN$122&gt;BH135,$C$122=$BD$125),(R$122),0)))))</f>
        <v>0</v>
      </c>
      <c r="BJ135" s="1510">
        <v>0</v>
      </c>
      <c r="BK135" s="1510">
        <v>0</v>
      </c>
      <c r="BL135" s="1510">
        <f t="shared" si="312"/>
        <v>0</v>
      </c>
      <c r="BM135" s="1505">
        <f t="shared" si="313"/>
        <v>0</v>
      </c>
      <c r="BN135" s="9">
        <v>15</v>
      </c>
      <c r="BO135" s="1510">
        <f>IF(AND($AN$127&gt;BN135,$C$127=$BD$121),(R$127),IF(AND($AN$127&gt;BN135,$C$127=$BD$122),(R$127),IF(AND($AN$127&gt;BN135,$C$127=$BD$123),(R$127),IF(AND($AN$127&gt;BN135,$C$127=$BD$124),(R$126),IF(AND($AN$127&gt;BN135,$C$127=$BD$125),(R$127),0)))))</f>
        <v>0</v>
      </c>
      <c r="BP135" s="1510">
        <v>0</v>
      </c>
      <c r="BQ135" s="1510">
        <v>0</v>
      </c>
      <c r="BR135" s="1510">
        <f t="shared" si="301"/>
        <v>0</v>
      </c>
      <c r="BS135" s="1511">
        <f t="shared" si="309"/>
        <v>0</v>
      </c>
      <c r="BT135" s="9">
        <v>15</v>
      </c>
      <c r="BU135" s="1510">
        <f>IF(AND($AN$132&gt;BT135,$C$132=$BD$121),(R$132),IF(AND($AN$132&gt;BT135,$C$132=$BD$122),(R$132),IF(AND($AN$132&gt;BT135,$C$132=$BD$123),(R$132),IF(AND($AN$132&gt;BT135,$C$132=$BD$124),(R$131),IF(AND($AN$132&gt;BT135,$C$132=$BD$125),(R$132),0)))))</f>
        <v>0</v>
      </c>
      <c r="BV135" s="1510">
        <v>0</v>
      </c>
      <c r="BW135" s="1510">
        <v>0</v>
      </c>
      <c r="BX135" s="1510">
        <f t="shared" si="302"/>
        <v>0</v>
      </c>
      <c r="BY135" s="1511">
        <f t="shared" si="303"/>
        <v>0</v>
      </c>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row>
    <row r="136" spans="2:102" ht="14.5" hidden="1" customHeight="1">
      <c r="B136" s="1626">
        <v>14</v>
      </c>
      <c r="C136" s="1603"/>
      <c r="D136" s="1597"/>
      <c r="E136" s="1597"/>
      <c r="F136" s="1597"/>
      <c r="G136" s="1597"/>
      <c r="H136" s="1597"/>
      <c r="I136" s="1597"/>
      <c r="J136" s="1597"/>
      <c r="K136" s="1597"/>
      <c r="L136" s="1597"/>
      <c r="M136" s="1597"/>
      <c r="N136" s="1597"/>
      <c r="O136" s="1597"/>
      <c r="P136" s="1597"/>
      <c r="Q136" s="1597"/>
      <c r="R136" s="1597"/>
      <c r="S136" s="1597"/>
      <c r="T136" s="1597"/>
      <c r="U136" s="1597"/>
      <c r="V136" s="1597"/>
      <c r="W136" s="1597"/>
      <c r="X136" s="1597"/>
      <c r="Y136" s="1597"/>
      <c r="Z136" s="1597"/>
      <c r="AA136" s="1597"/>
      <c r="AB136" s="1597"/>
      <c r="AC136" s="1597"/>
      <c r="AD136" s="1597"/>
      <c r="AE136" s="1597"/>
      <c r="AF136" s="1597"/>
      <c r="AG136" s="1597"/>
      <c r="AH136" s="1597"/>
      <c r="AI136" s="1597"/>
      <c r="AJ136" s="1597"/>
      <c r="AK136" s="1597"/>
      <c r="AL136" s="1597"/>
      <c r="AM136" s="1174"/>
      <c r="BH136" s="9">
        <v>16</v>
      </c>
      <c r="BI136" s="1510">
        <f>IF(AND($AN$122&gt;BH136,$C$122=$BD$121),(S$122),IF(AND($AN$122&gt;BH136,$C$122=$BD$122),(S$122),IF(AND($AN$122&gt;BH136,$C$122=$BD$123),(S$122),IF(AND($AN$122&gt;BH136,$C$122=$BD$124),(S$121),IF(AND($AN$122&gt;BH136,$C$122=$BD$125),(S$122),0)))))</f>
        <v>0</v>
      </c>
      <c r="BJ136" s="1510">
        <v>0</v>
      </c>
      <c r="BK136" s="1510">
        <v>0</v>
      </c>
      <c r="BL136" s="1510">
        <f t="shared" si="312"/>
        <v>0</v>
      </c>
      <c r="BM136" s="1505">
        <f t="shared" si="313"/>
        <v>0</v>
      </c>
      <c r="BN136" s="9">
        <v>16</v>
      </c>
      <c r="BO136" s="1510">
        <f>IF(AND($AN$127&gt;BN136,$C$127=$BD$121),(S$127),IF(AND($AN$127&gt;BN136,$C$127=$BD$122),(S$127),IF(AND($AN$127&gt;BN136,$C$127=$BD$123),(S$127),IF(AND($AN$127&gt;BN136,$C$127=$BD$124),(S$126),IF(AND($AN$127&gt;BN136,$C$127=$BD$125),(S$127),0)))))</f>
        <v>0</v>
      </c>
      <c r="BP136" s="1510">
        <v>0</v>
      </c>
      <c r="BQ136" s="1510">
        <v>0</v>
      </c>
      <c r="BR136" s="1510">
        <f t="shared" si="301"/>
        <v>0</v>
      </c>
      <c r="BS136" s="1511">
        <f t="shared" si="309"/>
        <v>0</v>
      </c>
      <c r="BT136" s="9">
        <v>16</v>
      </c>
      <c r="BU136" s="1510">
        <f>IF(AND($AN$132&gt;BT136,$C$132=$BD$121),(S$132),IF(AND($AN$132&gt;BT136,$C$132=$BD$122),(S$132),IF(AND($AN$132&gt;BT136,$C$132=$BD$123),(S$132),IF(AND($AN$132&gt;BT136,$C$132=$BD$124),(S$131),IF(AND($AN$132&gt;BT136,$C$132=$BD$125),(S$132),0)))))</f>
        <v>0</v>
      </c>
      <c r="BV136" s="1510">
        <v>0</v>
      </c>
      <c r="BW136" s="1510">
        <v>0</v>
      </c>
      <c r="BX136" s="1510">
        <f t="shared" si="302"/>
        <v>0</v>
      </c>
      <c r="BY136" s="1511">
        <f t="shared" si="303"/>
        <v>0</v>
      </c>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row>
    <row r="137" spans="2:102" ht="14.5" hidden="1" customHeight="1">
      <c r="B137" s="1626"/>
      <c r="C137" s="1570" t="s">
        <v>4500</v>
      </c>
      <c r="D137" s="1581">
        <f>IF(C137=$BD$121,AR137,IF(C137=$BD$123,(D134*(D136/100)),IF(C137=$BD$122,D136,IF(C137=$BD$124,0,0))))</f>
        <v>0</v>
      </c>
      <c r="E137" s="1581" cm="1">
        <f t="array" ref="E137">IF(AND($C$137=$BD$123,(SUM($D$137:D137)+E134*($D$136/100))&lt;=$AO$137),(E134*($D$136/100)),IF(AND($C$137=$BD$123,(SUM($D$137:D137)+E134*($D$136/100))&gt;=$AO$137,E134&gt;=$AO$137-(SUM($D$137:D137)+E134*($D$136/100))),($AO$137-(SUM($D$137:D137))),IF(AND($C$137=$BD$121,(SUM($D$137:D137)+E134&lt;=$AO$137)),E134,IF(AND($C$137=$BD$121,(SUM($D$137:D137)+E134&gt;$AO$137),E134&gt;=$AO$137-(SUM($D$137:D137))),$AO$137-(SUM($D$137:D137)),IF(AND($C$137=$BD$124,$AN$137=E85),$AO$137-SUM($D$136:E136),IF(AND(F85&lt;=$AN$137,(SUM($D$137:D137)+$D$137)&lt;$AO$137),D137,IF(AND(F85=$AN$137+1,(SUM($D$137:D137)+$D$137)&lt;$AO$137),$AO$137-($D$137*D85),IF(SUM(($D$137:D137)+$D$137)&gt;=$AO$137,$AO$137-SUM($D$137:D137),0))))))))</f>
        <v>0</v>
      </c>
      <c r="F137" s="1581" cm="1">
        <f t="array" ref="F137">IF(AND($C$137=$BD$123,(SUM($D$137:E137)+F134*($D$136/100))&lt;=$AO$137),(F134*($D$136/100)),IF(AND($C$137=$BD$123,(SUM($D$137:E137)+F134*($D$136/100))&gt;=$AO$137,F134&gt;=$AO$137-(SUM($D$137:E137)+F134*($D$136/100))),($AO$137-(SUM($D$137:E137))),IF(AND($C$137=$BD$121,(SUM($D$137:E137)+F134&lt;=$AO$137)),F134,IF(AND($C$137=$BD$121,(SUM($D$137:E137)+F134&gt;$AO$137),F134&gt;=$AO$137-(SUM($D$137:E137))),$AO$137-(SUM($D$137:E137)),IF(AND($C$137=$BD$124,$AN$137=F85),$AO$137-SUM($D$136:F136),IF(AND(G85&lt;=$AN$137,(SUM($D$137:E137)+$D$137)&lt;$AO$137),E137,IF(AND(G85=$AN$137+1,(SUM($D$137:E137)+$D$137)&lt;$AO$137),$AO$137-($D$137*E85),IF(SUM(($D$137:E137)+$D$137)&gt;=$AO$137,$AO$137-SUM($D$137:E137),0))))))))</f>
        <v>0</v>
      </c>
      <c r="G137" s="1581" cm="1">
        <f t="array" ref="G137">IF(AND($C$137=$BD$123,(SUM($D$137:F137)+G134*($D$136/100))&lt;=$AO$137),(G134*($D$136/100)),IF(AND($C$137=$BD$123,(SUM($D$137:F137)+G134*($D$136/100))&gt;=$AO$137,G134&gt;=$AO$137-(SUM($D$137:F137)+G134*($D$136/100))),($AO$137-(SUM($D$137:F137))),IF(AND($C$137=$BD$121,(SUM($D$137:F137)+G134&lt;=$AO$137)),G134,IF(AND($C$137=$BD$121,(SUM($D$137:F137)+G134&gt;$AO$137),G134&gt;=$AO$137-(SUM($D$137:F137))),$AO$137-(SUM($D$137:F137)),IF(AND($C$137=$BD$124,$AN$137=G85),$AO$137-SUM($D$136:G136),IF(AND(H85&lt;=$AN$137,(SUM($D$137:F137)+$D$137)&lt;$AO$137),F137,IF(AND(H85=$AN$137+1,(SUM($D$137:F137)+$D$137)&lt;$AO$137),$AO$137-($D$137*F85),IF(SUM(($D$137:F137)+$D$137)&gt;=$AO$137,$AO$137-SUM($D$137:F137),0))))))))</f>
        <v>0</v>
      </c>
      <c r="H137" s="1581" cm="1">
        <f t="array" ref="H137">IF(AND($C$137=$BD$123,(SUM($D$137:G137)+H134*($D$136/100))&lt;=$AO$137),(H134*($D$136/100)),IF(AND($C$137=$BD$123,(SUM($D$137:G137)+H134*($D$136/100))&gt;=$AO$137,H134&gt;=$AO$137-(SUM($D$137:G137)+H134*($D$136/100))),($AO$137-(SUM($D$137:G137))),IF(AND($C$137=$BD$121,(SUM($D$137:G137)+H134&lt;=$AO$137)),H134,IF(AND($C$137=$BD$121,(SUM($D$137:G137)+H134&gt;$AO$137),H134&gt;=$AO$137-(SUM($D$137:G137))),$AO$137-(SUM($D$137:G137)),IF(AND($C$137=$BD$124,$AN$137=H85),$AO$137-SUM($D$136:H136),IF(AND(I85&lt;=$AN$137,(SUM($D$137:G137)+$D$137)&lt;$AO$137),G137,IF(AND(I85=$AN$137+1,(SUM($D$137:G137)+$D$137)&lt;$AO$137),$AO$137-($D$137*G85),IF(SUM(($D$137:G137)+$D$137)&gt;=$AO$137,$AO$137-SUM($D$137:G137),0))))))))</f>
        <v>0</v>
      </c>
      <c r="I137" s="1581" cm="1">
        <f t="array" ref="I137">IF(AND($C$137=$BD$123,(SUM($D$137:H137)+I134*($D$136/100))&lt;=$AO$137),(I134*($D$136/100)),IF(AND($C$137=$BD$123,(SUM($D$137:H137)+I134*($D$136/100))&gt;=$AO$137,I134&gt;=$AO$137-(SUM($D$137:H137)+I134*($D$136/100))),($AO$137-(SUM($D$137:H137))),IF(AND($C$137=$BD$121,(SUM($D$137:H137)+I134&lt;=$AO$137)),I134,IF(AND($C$137=$BD$121,(SUM($D$137:H137)+I134&gt;$AO$137),I134&gt;=$AO$137-(SUM($D$137:H137))),$AO$137-(SUM($D$137:H137)),IF(AND($C$137=$BD$124,$AN$137=I85),$AO$137-SUM($D$136:I136),IF(AND(J85&lt;=$AN$137,(SUM($D$137:H137)+$D$137)&lt;$AO$137),H137,IF(AND(J85=$AN$137+1,(SUM($D$137:H137)+$D$137)&lt;$AO$137),$AO$137-($D$137*H85),IF(SUM(($D$137:H137)+$D$137)&gt;=$AO$137,$AO$137-SUM($D$137:H137),0))))))))</f>
        <v>0</v>
      </c>
      <c r="J137" s="1581" cm="1">
        <f t="array" ref="J137">IF(AND($C$137=$BD$123,(SUM($D$137:I137)+J134*($D$136/100))&lt;=$AO$137),(J134*($D$136/100)),IF(AND($C$137=$BD$123,(SUM($D$137:I137)+J134*($D$136/100))&gt;=$AO$137,J134&gt;=$AO$137-(SUM($D$137:I137)+J134*($D$136/100))),($AO$137-(SUM($D$137:I137))),IF(AND($C$137=$BD$121,(SUM($D$137:I137)+J134&lt;=$AO$137)),J134,IF(AND($C$137=$BD$121,(SUM($D$137:I137)+J134&gt;$AO$137),J134&gt;=$AO$137-(SUM($D$137:I137))),$AO$137-(SUM($D$137:I137)),IF(AND($C$137=$BD$124,$AN$137=J85),$AO$137-SUM($D$136:J136),IF(AND(K85&lt;=$AN$137,(SUM($D$137:I137)+$D$137)&lt;$AO$137),I137,IF(AND(K85=$AN$137+1,(SUM($D$137:I137)+$D$137)&lt;$AO$137),$AO$137-($D$137*I85),IF(SUM(($D$137:I137)+$D$137)&gt;=$AO$137,$AO$137-SUM($D$137:I137),0))))))))</f>
        <v>0</v>
      </c>
      <c r="K137" s="1581" cm="1">
        <f t="array" ref="K137">IF(AND($C$137=$BD$123,(SUM($D$137:J137)+K134*($D$136/100))&lt;=$AO$137),(K134*($D$136/100)),IF(AND($C$137=$BD$123,(SUM($D$137:J137)+K134*($D$136/100))&gt;=$AO$137,K134&gt;=$AO$137-(SUM($D$137:J137)+K134*($D$136/100))),($AO$137-(SUM($D$137:J137))),IF(AND($C$137=$BD$121,(SUM($D$137:J137)+K134&lt;=$AO$137)),K134,IF(AND($C$137=$BD$121,(SUM($D$137:J137)+K134&gt;$AO$137),K134&gt;=$AO$137-(SUM($D$137:J137))),$AO$137-(SUM($D$137:J137)),IF(AND($C$137=$BD$124,$AN$137=K85),$AO$137-SUM($D$136:K136),IF(AND(L85&lt;=$AN$137,(SUM($D$137:J137)+$D$137)&lt;$AO$137),J137,IF(AND(L85=$AN$137+1,(SUM($D$137:J137)+$D$137)&lt;$AO$137),$AO$137-($D$137*J85),IF(SUM(($D$137:J137)+$D$137)&gt;=$AO$137,$AO$137-SUM($D$137:J137),0))))))))</f>
        <v>0</v>
      </c>
      <c r="L137" s="1581" cm="1">
        <f t="array" ref="L137">IF(AND($C$137=$BD$123,(SUM($D$137:K137)+L134*($D$136/100))&lt;=$AO$137),(L134*($D$136/100)),IF(AND($C$137=$BD$123,(SUM($D$137:K137)+L134*($D$136/100))&gt;=$AO$137,L134&gt;=$AO$137-(SUM($D$137:K137)+L134*($D$136/100))),($AO$137-(SUM($D$137:K137))),IF(AND($C$137=$BD$121,(SUM($D$137:K137)+L134&lt;=$AO$137)),L134,IF(AND($C$137=$BD$121,(SUM($D$137:K137)+L134&gt;$AO$137),L134&gt;=$AO$137-(SUM($D$137:K137))),$AO$137-(SUM($D$137:K137)),IF(AND($C$137=$BD$124,$AN$137=L85),$AO$137-SUM($D$136:L136),IF(AND(M85&lt;=$AN$137,(SUM($D$137:K137)+$D$137)&lt;$AO$137),K137,IF(AND(M85=$AN$137+1,(SUM($D$137:K137)+$D$137)&lt;$AO$137),$AO$137-($D$137*K85),IF(SUM(($D$137:K137)+$D$137)&gt;=$AO$137,$AO$137-SUM($D$137:K137),0))))))))</f>
        <v>0</v>
      </c>
      <c r="M137" s="1581" cm="1">
        <f t="array" ref="M137">IF(AND($C$137=$BD$123,(SUM($D$137:L137)+M134*($D$136/100))&lt;=$AO$137),(M134*($D$136/100)),IF(AND($C$137=$BD$123,(SUM($D$137:L137)+M134*($D$136/100))&gt;=$AO$137,M134&gt;=$AO$137-(SUM($D$137:L137)+M134*($D$136/100))),($AO$137-(SUM($D$137:L137))),IF(AND($C$137=$BD$121,(SUM($D$137:L137)+M134&lt;=$AO$137)),M134,IF(AND($C$137=$BD$121,(SUM($D$137:L137)+M134&gt;$AO$137),M134&gt;=$AO$137-(SUM($D$137:L137))),$AO$137-(SUM($D$137:L137)),IF(AND($C$137=$BD$124,$AN$137=M85),$AO$137-SUM($D$136:M136),IF(AND(N85&lt;=$AN$137,(SUM($D$137:L137)+$D$137)&lt;$AO$137),L137,IF(AND(N85=$AN$137+1,(SUM($D$137:L137)+$D$137)&lt;$AO$137),$AO$137-($D$137*L85),IF(SUM(($D$137:L137)+$D$137)&gt;=$AO$137,$AO$137-SUM($D$137:L137),0))))))))</f>
        <v>0</v>
      </c>
      <c r="N137" s="1581" cm="1">
        <f t="array" ref="N137">IF(AND($C$137=$BD$123,(SUM($D$137:M137)+N134*($D$136/100))&lt;=$AO$137),(N134*($D$136/100)),IF(AND($C$137=$BD$123,(SUM($D$137:M137)+N134*($D$136/100))&gt;=$AO$137,N134&gt;=$AO$137-(SUM($D$137:M137)+N134*($D$136/100))),($AO$137-(SUM($D$137:M137))),IF(AND($C$137=$BD$121,(SUM($D$137:M137)+N134&lt;=$AO$137)),N134,IF(AND($C$137=$BD$121,(SUM($D$137:M137)+N134&gt;$AO$137),N134&gt;=$AO$137-(SUM($D$137:M137))),$AO$137-(SUM($D$137:M137)),IF(AND($C$137=$BD$124,$AN$137=N85),$AO$137-SUM($D$136:N136),IF(AND(O85&lt;=$AN$137,(SUM($D$137:M137)+$D$137)&lt;$AO$137),M137,IF(AND(O85=$AN$137+1,(SUM($D$137:M137)+$D$137)&lt;$AO$137),$AO$137-($D$137*M85),IF(SUM(($D$137:M137)+$D$137)&gt;=$AO$137,$AO$137-SUM($D$137:M137),0))))))))</f>
        <v>0</v>
      </c>
      <c r="O137" s="1581" cm="1">
        <f t="array" ref="O137">IF(AND($C$137=$BD$123,(SUM($D$137:N137)+O134*($D$136/100))&lt;=$AO$137),(O134*($D$136/100)),IF(AND($C$137=$BD$123,(SUM($D$137:N137)+O134*($D$136/100))&gt;=$AO$137,O134&gt;=$AO$137-(SUM($D$137:N137)+O134*($D$136/100))),($AO$137-(SUM($D$137:N137))),IF(AND($C$137=$BD$121,(SUM($D$137:N137)+O134&lt;=$AO$137)),O134,IF(AND($C$137=$BD$121,(SUM($D$137:N137)+O134&gt;$AO$137),O134&gt;=$AO$137-(SUM($D$137:N137))),$AO$137-(SUM($D$137:N137)),IF(AND($C$137=$BD$124,$AN$137=O85),$AO$137-SUM($D$136:O136),IF(AND(P85&lt;=$AN$137,(SUM($D$137:N137)+$D$137)&lt;$AO$137),N137,IF(AND(P85=$AN$137+1,(SUM($D$137:N137)+$D$137)&lt;$AO$137),$AO$137-($D$137*N85),IF(SUM(($D$137:N137)+$D$137)&gt;=$AO$137,$AO$137-SUM($D$137:N137),0))))))))</f>
        <v>0</v>
      </c>
      <c r="P137" s="1581" cm="1">
        <f t="array" ref="P137">IF(AND($C$137=$BD$123,(SUM($D$137:O137)+P134*($D$136/100))&lt;=$AO$137),(P134*($D$136/100)),IF(AND($C$137=$BD$123,(SUM($D$137:O137)+P134*($D$136/100))&gt;=$AO$137,P134&gt;=$AO$137-(SUM($D$137:O137)+P134*($D$136/100))),($AO$137-(SUM($D$137:O137))),IF(AND($C$137=$BD$121,(SUM($D$137:O137)+P134&lt;=$AO$137)),P134,IF(AND($C$137=$BD$121,(SUM($D$137:O137)+P134&gt;$AO$137),P134&gt;=$AO$137-(SUM($D$137:O137))),$AO$137-(SUM($D$137:O137)),IF(AND($C$137=$BD$124,$AN$137=P85),$AO$137-SUM($D$136:P136),IF(AND(Q85&lt;=$AN$137,(SUM($D$137:O137)+$D$137)&lt;$AO$137),O137,IF(AND(Q85=$AN$137+1,(SUM($D$137:O137)+$D$137)&lt;$AO$137),$AO$137-($D$137*O85),IF(SUM(($D$137:O137)+$D$137)&gt;=$AO$137,$AO$137-SUM($D$137:O137),0))))))))</f>
        <v>0</v>
      </c>
      <c r="Q137" s="1581" cm="1">
        <f t="array" ref="Q137">IF(AND($C$137=$BD$123,(SUM($D$137:P137)+Q134*($D$136/100))&lt;=$AO$137),(Q134*($D$136/100)),IF(AND($C$137=$BD$123,(SUM($D$137:P137)+Q134*($D$136/100))&gt;=$AO$137,Q134&gt;=$AO$137-(SUM($D$137:P137)+Q134*($D$136/100))),($AO$137-(SUM($D$137:P137))),IF(AND($C$137=$BD$121,(SUM($D$137:P137)+Q134&lt;=$AO$137)),Q134,IF(AND($C$137=$BD$121,(SUM($D$137:P137)+Q134&gt;$AO$137),Q134&gt;=$AO$137-(SUM($D$137:P137))),$AO$137-(SUM($D$137:P137)),IF(AND($C$137=$BD$124,$AN$137=Q85),$AO$137-SUM($D$136:Q136),IF(AND(R85&lt;=$AN$137,(SUM($D$137:P137)+$D$137)&lt;$AO$137),P137,IF(AND(R85=$AN$137+1,(SUM($D$137:P137)+$D$137)&lt;$AO$137),$AO$137-($D$137*P85),IF(SUM(($D$137:P137)+$D$137)&gt;=$AO$137,$AO$137-SUM($D$137:P137),0))))))))</f>
        <v>0</v>
      </c>
      <c r="R137" s="1581" cm="1">
        <f t="array" ref="R137">IF(AND($C$137=$BD$123,(SUM($D$137:Q137)+R134*($D$136/100))&lt;=$AO$137),(R134*($D$136/100)),IF(AND($C$137=$BD$123,(SUM($D$137:Q137)+R134*($D$136/100))&gt;=$AO$137,R134&gt;=$AO$137-(SUM($D$137:Q137)+R134*($D$136/100))),($AO$137-(SUM($D$137:Q137))),IF(AND($C$137=$BD$121,(SUM($D$137:Q137)+R134&lt;=$AO$137)),R134,IF(AND($C$137=$BD$121,(SUM($D$137:Q137)+R134&gt;$AO$137),R134&gt;=$AO$137-(SUM($D$137:Q137))),$AO$137-(SUM($D$137:Q137)),IF(AND($C$137=$BD$124,$AN$137=R85),$AO$137-SUM($D$136:R136),IF(AND(S85&lt;=$AN$137,(SUM($D$137:Q137)+$D$137)&lt;$AO$137),Q137,IF(AND(S85=$AN$137+1,(SUM($D$137:Q137)+$D$137)&lt;$AO$137),$AO$137-($D$137*Q85),IF(SUM(($D$137:Q137)+$D$137)&gt;=$AO$137,$AO$137-SUM($D$137:Q137),0))))))))</f>
        <v>0</v>
      </c>
      <c r="S137" s="1581" cm="1">
        <f t="array" ref="S137">IF(AND($C$137=$BD$123,(SUM($D$137:R137)+S134*($D$136/100))&lt;=$AO$137),(S134*($D$136/100)),IF(AND($C$137=$BD$123,(SUM($D$137:R137)+S134*($D$136/100))&gt;=$AO$137,S134&gt;=$AO$137-(SUM($D$137:R137)+S134*($D$136/100))),($AO$137-(SUM($D$137:R137))),IF(AND($C$137=$BD$121,(SUM($D$137:R137)+S134&lt;=$AO$137)),S134,IF(AND($C$137=$BD$121,(SUM($D$137:R137)+S134&gt;$AO$137),S134&gt;=$AO$137-(SUM($D$137:R137))),$AO$137-(SUM($D$137:R137)),IF(AND($C$137=$BD$124,$AN$137=S85),$AO$137-SUM($D$136:S136),IF(AND(T85&lt;=$AN$137,(SUM($D$137:R137)+$D$137)&lt;$AO$137),R137,IF(AND(T85=$AN$137+1,(SUM($D$137:R137)+$D$137)&lt;$AO$137),$AO$137-($D$137*R85),IF(SUM(($D$137:R137)+$D$137)&gt;=$AO$137,$AO$137-SUM($D$137:R137),0))))))))</f>
        <v>0</v>
      </c>
      <c r="T137" s="1581" cm="1">
        <f t="array" ref="T137">IF(AND($C$137=$BD$123,(SUM($D$137:S137)+T134*($D$136/100))&lt;=$AO$137),(T134*($D$136/100)),IF(AND($C$137=$BD$123,(SUM($D$137:S137)+T134*($D$136/100))&gt;=$AO$137,T134&gt;=$AO$137-(SUM($D$137:S137)+T134*($D$136/100))),($AO$137-(SUM($D$137:S137))),IF(AND($C$137=$BD$121,(SUM($D$137:S137)+T134&lt;=$AO$137)),T134,IF(AND($C$137=$BD$121,(SUM($D$137:S137)+T134&gt;$AO$137),T134&gt;=$AO$137-(SUM($D$137:S137))),$AO$137-(SUM($D$137:S137)),IF(AND($C$137=$BD$124,$AN$137=T85),$AO$137-SUM($D$136:T136),IF(AND(U85&lt;=$AN$137,(SUM($D$137:S137)+$D$137)&lt;$AO$137),S137,IF(AND(U85=$AN$137+1,(SUM($D$137:S137)+$D$137)&lt;$AO$137),$AO$137-($D$137*S85),IF(SUM(($D$137:S137)+$D$137)&gt;=$AO$137,$AO$137-SUM($D$137:S137),0))))))))</f>
        <v>0</v>
      </c>
      <c r="U137" s="1581" cm="1">
        <f t="array" ref="U137">IF(AND($C$137=$BD$123,(SUM($D$137:T137)+U134*($D$136/100))&lt;=$AO$137),(U134*($D$136/100)),IF(AND($C$137=$BD$123,(SUM($D$137:T137)+U134*($D$136/100))&gt;=$AO$137,U134&gt;=$AO$137-(SUM($D$137:T137)+U134*($D$136/100))),($AO$137-(SUM($D$137:T137))),IF(AND($C$137=$BD$121,(SUM($D$137:T137)+U134&lt;=$AO$137)),U134,IF(AND($C$137=$BD$121,(SUM($D$137:T137)+U134&gt;$AO$137),U134&gt;=$AO$137-(SUM($D$137:T137))),$AO$137-(SUM($D$137:T137)),IF(AND($C$137=$BD$124,$AN$137=U85),$AO$137-SUM($D$136:U136),IF(AND(V85&lt;=$AN$137,(SUM($D$137:T137)+$D$137)&lt;$AO$137),T137,IF(AND(V85=$AN$137+1,(SUM($D$137:T137)+$D$137)&lt;$AO$137),$AO$137-($D$137*T85),IF(SUM(($D$137:T137)+$D$137)&gt;=$AO$137,$AO$137-SUM($D$137:T137),0))))))))</f>
        <v>0</v>
      </c>
      <c r="V137" s="1581" cm="1">
        <f t="array" ref="V137">IF(AND($C$137=$BD$123,(SUM($D$137:U137)+V134*($D$136/100))&lt;=$AO$137),(V134*($D$136/100)),IF(AND($C$137=$BD$123,(SUM($D$137:U137)+V134*($D$136/100))&gt;=$AO$137,V134&gt;=$AO$137-(SUM($D$137:U137)+V134*($D$136/100))),($AO$137-(SUM($D$137:U137))),IF(AND($C$137=$BD$121,(SUM($D$137:U137)+V134&lt;=$AO$137)),V134,IF(AND($C$137=$BD$121,(SUM($D$137:U137)+V134&gt;$AO$137),V134&gt;=$AO$137-(SUM($D$137:U137))),$AO$137-(SUM($D$137:U137)),IF(AND($C$137=$BD$124,$AN$137=V85),$AO$137-SUM($D$136:V136),IF(AND(W85&lt;=$AN$137,(SUM($D$137:U137)+$D$137)&lt;$AO$137),U137,IF(AND(W85=$AN$137+1,(SUM($D$137:U137)+$D$137)&lt;$AO$137),$AO$137-($D$137*U85),IF(SUM(($D$137:U137)+$D$137)&gt;=$AO$137,$AO$137-SUM($D$137:U137),0))))))))</f>
        <v>0</v>
      </c>
      <c r="W137" s="1581" cm="1">
        <f t="array" ref="W137">IF(AND($C$137=$BD$123,(SUM($D$137:V137)+W134*($D$136/100))&lt;=$AO$137),(W134*($D$136/100)),IF(AND($C$137=$BD$123,(SUM($D$137:V137)+W134*($D$136/100))&gt;=$AO$137,W134&gt;=$AO$137-(SUM($D$137:V137)+W134*($D$136/100))),($AO$137-(SUM($D$137:V137))),IF(AND($C$137=$BD$121,(SUM($D$137:V137)+W134&lt;=$AO$137)),W134,IF(AND($C$137=$BD$121,(SUM($D$137:V137)+W134&gt;$AO$137),W134&gt;=$AO$137-(SUM($D$137:V137))),$AO$137-(SUM($D$137:V137)),IF(AND($C$137=$BD$124,$AN$137=W85),$AO$137-SUM($D$136:W136),IF(AND(X85&lt;=$AN$137,(SUM($D$137:V137)+$D$137)&lt;$AO$137),V137,IF(AND(X85=$AN$137+1,(SUM($D$137:V137)+$D$137)&lt;$AO$137),$AO$137-($D$137*V85),IF(SUM(($D$137:V137)+$D$137)&gt;=$AO$137,$AO$137-SUM($D$137:V137),0))))))))</f>
        <v>0</v>
      </c>
      <c r="X137" s="1581" cm="1">
        <f t="array" ref="X137">IF(AND($C$137=$BD$123,(SUM($D$137:W137)+X134*($D$136/100))&lt;=$AO$137),(X134*($D$136/100)),IF(AND($C$137=$BD$123,(SUM($D$137:W137)+X134*($D$136/100))&gt;=$AO$137,X134&gt;=$AO$137-(SUM($D$137:W137)+X134*($D$136/100))),($AO$137-(SUM($D$137:W137))),IF(AND($C$137=$BD$121,(SUM($D$137:W137)+X134&lt;=$AO$137)),X134,IF(AND($C$137=$BD$121,(SUM($D$137:W137)+X134&gt;$AO$137),X134&gt;=$AO$137-(SUM($D$137:W137))),$AO$137-(SUM($D$137:W137)),IF(AND($C$137=$BD$124,$AN$137=X85),$AO$137-SUM($D$136:X136),IF(AND(Y85&lt;=$AN$137,(SUM($D$137:W137)+$D$137)&lt;$AO$137),W137,IF(AND(Y85=$AN$137+1,(SUM($D$137:W137)+$D$137)&lt;$AO$137),$AO$137-($D$137*W85),IF(SUM(($D$137:W137)+$D$137)&gt;=$AO$137,$AO$137-SUM($D$137:W137),0))))))))</f>
        <v>0</v>
      </c>
      <c r="Y137" s="1581" cm="1">
        <f t="array" ref="Y137">IF(AND($C$137=$BD$123,(SUM($D$137:X137)+Y134*($D$136/100))&lt;=$AO$137),(Y134*($D$136/100)),IF(AND($C$137=$BD$123,(SUM($D$137:X137)+Y134*($D$136/100))&gt;=$AO$137,Y134&gt;=$AO$137-(SUM($D$137:X137)+Y134*($D$136/100))),($AO$137-(SUM($D$137:X137))),IF(AND($C$137=$BD$121,(SUM($D$137:X137)+Y134&lt;=$AO$137)),Y134,IF(AND($C$137=$BD$121,(SUM($D$137:X137)+Y134&gt;$AO$137),Y134&gt;=$AO$137-(SUM($D$137:X137))),$AO$137-(SUM($D$137:X137)),IF(AND($C$137=$BD$124,$AN$137=Y85),$AO$137-SUM($D$136:Y136),IF(AND(Z85&lt;=$AN$137,(SUM($D$137:X137)+$D$137)&lt;$AO$137),X137,IF(AND(Z85=$AN$137+1,(SUM($D$137:X137)+$D$137)&lt;$AO$137),$AO$137-($D$137*X85),IF(SUM(($D$137:X137)+$D$137)&gt;=$AO$137,$AO$137-SUM($D$137:X137),0))))))))</f>
        <v>0</v>
      </c>
      <c r="Z137" s="1581" cm="1">
        <f t="array" ref="Z137">IF(AND($C$137=$BD$123,(SUM($D$137:Y137)+Z134*($D$136/100))&lt;=$AO$137),(Z134*($D$136/100)),IF(AND($C$137=$BD$123,(SUM($D$137:Y137)+Z134*($D$136/100))&gt;=$AO$137,Z134&gt;=$AO$137-(SUM($D$137:Y137)+Z134*($D$136/100))),($AO$137-(SUM($D$137:Y137))),IF(AND($C$137=$BD$121,(SUM($D$137:Y137)+Z134&lt;=$AO$137)),Z134,IF(AND($C$137=$BD$121,(SUM($D$137:Y137)+Z134&gt;$AO$137),Z134&gt;=$AO$137-(SUM($D$137:Y137))),$AO$137-(SUM($D$137:Y137)),IF(AND($C$137=$BD$124,$AN$137=Z85),$AO$137-SUM($D$136:Z136),IF(AND(AA85&lt;=$AN$137,(SUM($D$137:Y137)+$D$137)&lt;$AO$137),Y137,IF(AND(AA85=$AN$137+1,(SUM($D$137:Y137)+$D$137)&lt;$AO$137),$AO$137-($D$137*Y85),IF(SUM(($D$137:Y137)+$D$137)&gt;=$AO$137,$AO$137-SUM($D$137:Y137),0))))))))</f>
        <v>0</v>
      </c>
      <c r="AA137" s="1581" cm="1">
        <f t="array" ref="AA137">IF(AND($C$137=$BD$123,(SUM($D$137:Z137)+AA134*($D$136/100))&lt;=$AO$137),(AA134*($D$136/100)),IF(AND($C$137=$BD$123,(SUM($D$137:Z137)+AA134*($D$136/100))&gt;=$AO$137,AA134&gt;=$AO$137-(SUM($D$137:Z137)+AA134*($D$136/100))),($AO$137-(SUM($D$137:Z137))),IF(AND($C$137=$BD$121,(SUM($D$137:Z137)+AA134&lt;=$AO$137)),AA134,IF(AND($C$137=$BD$121,(SUM($D$137:Z137)+AA134&gt;$AO$137),AA134&gt;=$AO$137-(SUM($D$137:Z137))),$AO$137-(SUM($D$137:Z137)),IF(AND($C$137=$BD$124,$AN$137=AA85),$AO$137-SUM($D$136:AA136),IF(AND(AB85&lt;=$AN$137,(SUM($D$137:Z137)+$D$137)&lt;$AO$137),Z137,IF(AND(AB85=$AN$137+1,(SUM($D$137:Z137)+$D$137)&lt;$AO$137),$AO$137-($D$137*Z85),IF(SUM(($D$137:Z137)+$D$137)&gt;=$AO$137,$AO$137-SUM($D$137:Z137),0))))))))</f>
        <v>0</v>
      </c>
      <c r="AB137" s="1581" cm="1">
        <f t="array" ref="AB137">IF(AND($C$137=$BD$123,(SUM($D$137:AA137)+AB134*($D$136/100))&lt;=$AO$137),(AB134*($D$136/100)),IF(AND($C$137=$BD$123,(SUM($D$137:AA137)+AB134*($D$136/100))&gt;=$AO$137,AB134&gt;=$AO$137-(SUM($D$137:AA137)+AB134*($D$136/100))),($AO$137-(SUM($D$137:AA137))),IF(AND($C$137=$BD$121,(SUM($D$137:AA137)+AB134&lt;=$AO$137)),AB134,IF(AND($C$137=$BD$121,(SUM($D$137:AA137)+AB134&gt;$AO$137),AB134&gt;=$AO$137-(SUM($D$137:AA137))),$AO$137-(SUM($D$137:AA137)),IF(AND($C$137=$BD$124,$AN$137=AB85),$AO$137-SUM($D$136:AB136),IF(AND(AC85&lt;=$AN$137,(SUM($D$137:AA137)+$D$137)&lt;$AO$137),AA137,IF(AND(AC85=$AN$137+1,(SUM($D$137:AA137)+$D$137)&lt;$AO$137),$AO$137-($D$137*AA85),IF(SUM(($D$137:AA137)+$D$137)&gt;=$AO$137,$AO$137-SUM($D$137:AA137),0))))))))</f>
        <v>0</v>
      </c>
      <c r="AC137" s="1581" cm="1">
        <f t="array" ref="AC137">IF(AND($C$137=$BD$123,(SUM($D$137:AB137)+AC134*($D$136/100))&lt;=$AO$137),(AC134*($D$136/100)),IF(AND($C$137=$BD$123,(SUM($D$137:AB137)+AC134*($D$136/100))&gt;=$AO$137,AC134&gt;=$AO$137-(SUM($D$137:AB137)+AC134*($D$136/100))),($AO$137-(SUM($D$137:AB137))),IF(AND($C$137=$BD$121,(SUM($D$137:AB137)+AC134&lt;=$AO$137)),AC134,IF(AND($C$137=$BD$121,(SUM($D$137:AB137)+AC134&gt;$AO$137),AC134&gt;=$AO$137-(SUM($D$137:AB137))),$AO$137-(SUM($D$137:AB137)),IF(AND($C$137=$BD$124,$AN$137=AC85),$AO$137-SUM($D$136:AC136),IF(AND(AD85&lt;=$AN$137,(SUM($D$137:AB137)+$D$137)&lt;$AO$137),AB137,IF(AND(AD85=$AN$137+1,(SUM($D$137:AB137)+$D$137)&lt;$AO$137),$AO$137-($D$137*AB85),IF(SUM(($D$137:AB137)+$D$137)&gt;=$AO$137,$AO$137-SUM($D$137:AB137),0))))))))</f>
        <v>0</v>
      </c>
      <c r="AD137" s="1581" cm="1">
        <f t="array" ref="AD137">IF(AND($C$137=$BD$123,(SUM($D$137:AC137)+AD134*($D$136/100))&lt;=$AO$137),(AD134*($D$136/100)),IF(AND($C$137=$BD$123,(SUM($D$137:AC137)+AD134*($D$136/100))&gt;=$AO$137,AD134&gt;=$AO$137-(SUM($D$137:AC137)+AD134*($D$136/100))),($AO$137-(SUM($D$137:AC137))),IF(AND($C$137=$BD$121,(SUM($D$137:AC137)+AD134&lt;=$AO$137)),AD134,IF(AND($C$137=$BD$121,(SUM($D$137:AC137)+AD134&gt;$AO$137),AD134&gt;=$AO$137-(SUM($D$137:AC137))),$AO$137-(SUM($D$137:AC137)),IF(AND($C$137=$BD$124,$AN$137=AD85),$AO$137-SUM($D$136:AD136),IF(AND(AE85&lt;=$AN$137,(SUM($D$137:AC137)+$D$137)&lt;$AO$137),AC137,IF(AND(AE85=$AN$137+1,(SUM($D$137:AC137)+$D$137)&lt;$AO$137),$AO$137-($D$137*AC85),IF(SUM(($D$137:AC137)+$D$137)&gt;=$AO$137,$AO$137-SUM($D$137:AC137),0))))))))</f>
        <v>0</v>
      </c>
      <c r="AE137" s="1581" cm="1">
        <f t="array" ref="AE137">IF(AND($C$137=$BD$123,(SUM($D$137:AD137)+AE134*($D$136/100))&lt;=$AO$137),(AE134*($D$136/100)),IF(AND($C$137=$BD$123,(SUM($D$137:AD137)+AE134*($D$136/100))&gt;=$AO$137,AE134&gt;=$AO$137-(SUM($D$137:AD137)+AE134*($D$136/100))),($AO$137-(SUM($D$137:AD137))),IF(AND($C$137=$BD$121,(SUM($D$137:AD137)+AE134&lt;=$AO$137)),AE134,IF(AND($C$137=$BD$121,(SUM($D$137:AD137)+AE134&gt;$AO$137),AE134&gt;=$AO$137-(SUM($D$137:AD137))),$AO$137-(SUM($D$137:AD137)),IF(AND($C$137=$BD$124,$AN$137=AE85),$AO$137-SUM($D$136:AE136),IF(AND(AF85&lt;=$AN$137,(SUM($D$137:AD137)+$D$137)&lt;$AO$137),AD137,IF(AND(AF85=$AN$137+1,(SUM($D$137:AD137)+$D$137)&lt;$AO$137),$AO$137-($D$137*AD85),IF(SUM(($D$137:AD137)+$D$137)&gt;=$AO$137,$AO$137-SUM($D$137:AD137),0))))))))</f>
        <v>0</v>
      </c>
      <c r="AF137" s="1581" cm="1">
        <f t="array" ref="AF137">IF(AND($C$137=$BD$123,(SUM($D$137:AE137)+AF134*($D$136/100))&lt;=$AO$137),(AF134*($D$136/100)),IF(AND($C$137=$BD$123,(SUM($D$137:AE137)+AF134*($D$136/100))&gt;=$AO$137,AF134&gt;=$AO$137-(SUM($D$137:AE137)+AF134*($D$136/100))),($AO$137-(SUM($D$137:AE137))),IF(AND($C$137=$BD$121,(SUM($D$137:AE137)+AF134&lt;=$AO$137)),AF134,IF(AND($C$137=$BD$121,(SUM($D$137:AE137)+AF134&gt;$AO$137),AF134&gt;=$AO$137-(SUM($D$137:AE137))),$AO$137-(SUM($D$137:AE137)),IF(AND($C$137=$BD$124,$AN$137=AF85),$AO$137-SUM($D$136:AF136),IF(AND(AG85&lt;=$AN$137,(SUM($D$137:AE137)+$D$137)&lt;$AO$137),AE137,IF(AND(AG85=$AN$137+1,(SUM($D$137:AE137)+$D$137)&lt;$AO$137),$AO$137-($D$137*AE85),IF(SUM(($D$137:AE137)+$D$137)&gt;=$AO$137,$AO$137-SUM($D$137:AE137),0))))))))</f>
        <v>0</v>
      </c>
      <c r="AG137" s="1581" cm="1">
        <f t="array" ref="AG137">IF(AND($C$137=$BD$123,(SUM($D$137:AF137)+AG134*($D$136/100))&lt;=$AO$137),(AG134*($D$136/100)),IF(AND($C$137=$BD$123,(SUM($D$137:AF137)+AG134*($D$136/100))&gt;=$AO$137,AG134&gt;=$AO$137-(SUM($D$137:AF137)+AG134*($D$136/100))),($AO$137-(SUM($D$137:AF137))),IF(AND($C$137=$BD$121,(SUM($D$137:AF137)+AG134&lt;=$AO$137)),AG134,IF(AND($C$137=$BD$121,(SUM($D$137:AF137)+AG134&gt;$AO$137),AG134&gt;=$AO$137-(SUM($D$137:AF137))),$AO$137-(SUM($D$137:AF137)),IF(AND($C$137=$BD$124,$AN$137=AG85),$AO$137-SUM($D$136:AG136),IF(AND(AH85&lt;=$AN$137,(SUM($D$137:AF137)+$D$137)&lt;$AO$137),AF137,IF(AND(AH85=$AN$137+1,(SUM($D$137:AF137)+$D$137)&lt;$AO$137),$AO$137-($D$137*AF85),IF(SUM(($D$137:AF137)+$D$137)&gt;=$AO$137,$AO$137-SUM($D$137:AF137),0))))))))</f>
        <v>0</v>
      </c>
      <c r="AH137" s="1581" cm="1">
        <f t="array" ref="AH137">IF(AND($C$137=$BD$123,(SUM($D$137:AG137)+AH134*($D$136/100))&lt;=$AO$137),(AH134*($D$136/100)),IF(AND($C$137=$BD$123,(SUM($D$137:AG137)+AH134*($D$136/100))&gt;=$AO$137,AH134&gt;=$AO$137-(SUM($D$137:AG137)+AH134*($D$136/100))),($AO$137-(SUM($D$137:AG137))),IF(AND($C$137=$BD$121,(SUM($D$137:AG137)+AH134&lt;=$AO$137)),AH134,IF(AND($C$137=$BD$121,(SUM($D$137:AG137)+AH134&gt;$AO$137),AH134&gt;=$AO$137-(SUM($D$137:AG137))),$AO$137-(SUM($D$137:AG137)),IF(AND($C$137=$BD$124,$AN$137=AH85),$AO$137-SUM($D$136:AH136),IF(AND(AI85&lt;=$AN$137,(SUM($D$137:AG137)+$D$137)&lt;$AO$137),AG137,IF(AND(AI85=$AN$137+1,(SUM($D$137:AG137)+$D$137)&lt;$AO$137),$AO$137-($D$137*AG85),IF(SUM(($D$137:AG137)+$D$137)&gt;=$AO$137,$AO$137-SUM($D$137:AG137),0))))))))</f>
        <v>0</v>
      </c>
      <c r="AI137" s="1581" cm="1">
        <f t="array" ref="AI137">IF(AND($C$137=$BD$123,(SUM($D$137:AH137)+AI134*($D$136/100))&lt;=$AO$137),(AI134*($D$136/100)),IF(AND($C$137=$BD$123,(SUM($D$137:AH137)+AI134*($D$136/100))&gt;=$AO$137,AI134&gt;=$AO$137-(SUM($D$137:AH137)+AI134*($D$136/100))),($AO$137-(SUM($D$137:AH137))),IF(AND($C$137=$BD$121,(SUM($D$137:AH137)+AI134&lt;=$AO$137)),AI134,IF(AND($C$137=$BD$121,(SUM($D$137:AH137)+AI134&gt;$AO$137),AI134&gt;=$AO$137-(SUM($D$137:AH137))),$AO$137-(SUM($D$137:AH137)),IF(AND($C$137=$BD$124,$AN$137=AI85),$AO$137-SUM($D$136:AI136),IF(AND(AJ85&lt;=$AN$137,(SUM($D$137:AH137)+$D$137)&lt;$AO$137),AH137,IF(AND(AJ85=$AN$137+1,(SUM($D$137:AH137)+$D$137)&lt;$AO$137),$AO$137-($D$137*AH85),IF(SUM(($D$137:AH137)+$D$137)&gt;=$AO$137,$AO$137-SUM($D$137:AH137),0))))))))</f>
        <v>0</v>
      </c>
      <c r="AJ137" s="1581" cm="1">
        <f t="array" ref="AJ137">IF(AND($C$137=$BD$123,(SUM($D$137:AI137)+AJ134*($D$136/100))&lt;=$AO$137),(AJ134*($D$136/100)),IF(AND($C$137=$BD$123,(SUM($D$137:AI137)+AJ134*($D$136/100))&gt;=$AO$137,AJ134&gt;=$AO$137-(SUM($D$137:AI137)+AJ134*($D$136/100))),($AO$137-(SUM($D$137:AI137))),IF(AND($C$137=$BD$121,(SUM($D$137:AI137)+AJ134&lt;=$AO$137)),AJ134,IF(AND($C$137=$BD$121,(SUM($D$137:AI137)+AJ134&gt;$AO$137),AJ134&gt;=$AO$137-(SUM($D$137:AI137))),$AO$137-(SUM($D$137:AI137)),IF(AND($C$137=$BD$124,$AN$137=AJ85),$AO$137-SUM($D$136:AJ136),IF(AND(AK85&lt;=$AN$137,(SUM($D$137:AI137)+$D$137)&lt;$AO$137),AI137,IF(AND(AK85=$AN$137+1,(SUM($D$137:AI137)+$D$137)&lt;$AO$137),$AO$137-($D$137*AI85),IF(SUM(($D$137:AI137)+$D$137)&gt;=$AO$137,$AO$137-SUM($D$137:AI137),0))))))))</f>
        <v>0</v>
      </c>
      <c r="AK137" s="1581" cm="1">
        <f t="array" ref="AK137">IF(AND($C$137=$BD$123,(SUM($D$137:AJ137)+AK134*($D$136/100))&lt;=$AO$137),(AK134*($D$136/100)),IF(AND($C$137=$BD$123,(SUM($D$137:AJ137)+AK134*($D$136/100))&gt;=$AO$137,AK134&gt;=$AO$137-(SUM($D$137:AJ137)+AK134*($D$136/100))),($AO$137-(SUM($D$137:AJ137))),IF(AND($C$137=$BD$121,(SUM($D$137:AJ137)+AK134&lt;=$AO$137)),AK134,IF(AND($C$137=$BD$121,(SUM($D$137:AJ137)+AK134&gt;$AO$137),AK134&gt;=$AO$137-(SUM($D$137:AJ137))),$AO$137-(SUM($D$137:AJ137)),IF(AND($C$137=$BD$124,$AN$137=AK85),$AO$137-SUM($D$136:AK136),IF(AND(AL85&lt;=$AN$137,(SUM($D$137:AJ137)+$D$137)&lt;$AO$137),AJ137,IF(AND(AL85=$AN$137+1,(SUM($D$137:AJ137)+$D$137)&lt;$AO$137),$AO$137-($D$137*AJ85),IF(SUM(($D$137:AJ137)+$D$137)&gt;=$AO$137,$AO$137-SUM($D$137:AJ137),0))))))))</f>
        <v>0</v>
      </c>
      <c r="AL137" s="1581" cm="1">
        <f t="array" ref="AL137">IF(AND($C$137=$BD$123,(SUM($D$137:AK137)+AL134*($D$136/100))&lt;=$AO$137),(AL134*($D$136/100)),IF(AND($C$137=$BD$123,(SUM($D$137:AK137)+AL134*($D$136/100))&gt;=$AO$137,AL134&gt;=$AO$137-(SUM($D$137:AK137)+AL134*($D$136/100))),($AO$137-(SUM($D$137:AK137))),IF(AND($C$137=$BD$121,(SUM($D$137:AK137)+AL134&lt;=$AO$137)),AL134,IF(AND($C$137=$BD$121,(SUM($D$137:AK137)+AL134&gt;$AO$137),AL134&gt;=$AO$137-(SUM($D$137:AK137))),$AO$137-(SUM($D$137:AK137)),IF(AND($C$137=$BD$124,$AN$137=AL85),$AO$137-SUM($D$136:AL136),IF(AND(AM87&lt;=$AN$137,(SUM($D$137:AK137)+$D$137)&lt;$AO$137),AK137,IF(AND(AM87=$AN$137+1,(SUM($D$137:AK137)+$D$137)&lt;$AO$137),$AO$137-($D$137*AK85),IF(SUM(($D$137:AK137)+$D$137)&gt;=$AO$137,$AO$137-SUM($D$137:AK137),0))))))))</f>
        <v>0</v>
      </c>
      <c r="AM137" s="1174"/>
      <c r="AN137" s="1512">
        <f>_xlfn.XLOOKUP(C136,'12. Funding Sources'!$C$11:$C$20,'12. Funding Sources'!$L$11:$L$20,36)</f>
        <v>36</v>
      </c>
      <c r="AO137" s="1515">
        <f>_xlfn.XLOOKUP(C136,'12. Funding Sources'!$C$11:$C$20,'17. Cash Flow and Reserves'!$AT$121:$AT$130,0)*AN137</f>
        <v>0</v>
      </c>
      <c r="AR137" s="9">
        <f>(IF(D134&gt;=_xlfn.XLOOKUP(C136,'12. Funding Sources'!$C$11:$C$20,'17. Cash Flow and Reserves'!$AT$121:$AT$130,0),_xlfn.XLOOKUP(C136,'12. Funding Sources'!$C$11:$C$20,'17. Cash Flow and Reserves'!$AT$121:$AT$130,0),D134))</f>
        <v>0</v>
      </c>
      <c r="BH137" s="9">
        <v>17</v>
      </c>
      <c r="BI137" s="1510">
        <f>IF(AND($AN$122&gt;BH137,$C$122=$BD$121),(T$122),IF(AND($AN$122&gt;BH137,$C$122=$BD$122),(T$122),IF(AND($AN$122&gt;BH137,$C$122=$BD$123),(T$122),IF(AND($AN$122&gt;BH137,$C$122=$BD$124),(T$121),IF(AND($AN$122&gt;BH137,$C$122=$BD$125),(T$122),0)))))</f>
        <v>0</v>
      </c>
      <c r="BJ137" s="1510">
        <v>0</v>
      </c>
      <c r="BK137" s="1510">
        <v>0</v>
      </c>
      <c r="BL137" s="1510">
        <f t="shared" si="312"/>
        <v>0</v>
      </c>
      <c r="BM137" s="1505">
        <f t="shared" si="313"/>
        <v>0</v>
      </c>
      <c r="BN137" s="9">
        <v>17</v>
      </c>
      <c r="BO137" s="1510">
        <f>IF(AND($AN$127&gt;BN137,$C$127=$BD$121),(T$127),IF(AND($AN$127&gt;BN137,$C$127=$BD$122),(T$127),IF(AND($AN$127&gt;BN137,$C$127=$BD$123),(T$127),IF(AND($AN$127&gt;BN137,$C$127=$BD$124),(T$126),IF(AND($AN$127&gt;BN137,$C$127=$BD$125),(T$127),0)))))</f>
        <v>0</v>
      </c>
      <c r="BP137" s="1510">
        <v>0</v>
      </c>
      <c r="BQ137" s="1510">
        <v>0</v>
      </c>
      <c r="BR137" s="1510">
        <f t="shared" si="301"/>
        <v>0</v>
      </c>
      <c r="BS137" s="1511">
        <f t="shared" si="309"/>
        <v>0</v>
      </c>
      <c r="BT137" s="9">
        <v>17</v>
      </c>
      <c r="BU137" s="1510">
        <f>IF(AND($AN$132&gt;BT137,$C$132=$BD$121),(T$132),IF(AND($AN$132&gt;BT137,$C$132=$BD$122),(T$132),IF(AND($AN$132&gt;BT137,$C$132=$BD$123),(T$132),IF(AND($AN$132&gt;BT137,$C$132=$BD$124),(T$131),IF(AND($AN$132&gt;BT137,$C$132=$BD$125),(T$132),0)))))</f>
        <v>0</v>
      </c>
      <c r="BV137" s="1510">
        <v>0</v>
      </c>
      <c r="BW137" s="1510">
        <v>0</v>
      </c>
      <c r="BX137" s="1510">
        <f t="shared" si="302"/>
        <v>0</v>
      </c>
      <c r="BY137" s="1511">
        <f t="shared" si="303"/>
        <v>0</v>
      </c>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row>
    <row r="138" spans="2:102" ht="14.5" hidden="1" customHeight="1">
      <c r="B138" s="1626"/>
      <c r="C138" s="1570" t="s">
        <v>4489</v>
      </c>
      <c r="D138" s="1582">
        <f>IFERROR(IF($C$137=$BD$124,(D$86/(D$90+D$96+D$100+D$104+D$108+D$112+D$116+SUM(D121:D122)+SUM(D126:D127)+SUM(D131:D132)+D$136)),IF(OR($C$137=$BD$121,$C$137=$BD$122,$C$137=$BD$123),(D$86/(D$90+D$96+D$100+D$104+D$108+D$112+D$116+D$137)),D133)),D133)</f>
        <v>0</v>
      </c>
      <c r="E138" s="1582">
        <f t="shared" ref="E138:AL138" si="318">IFERROR(IF($C$137=$BD$124,(E$86/(E$90+E$96+E$100+E$104+E$108+E$112+E$116+SUM(E121:E122)+SUM(E126:E127)+SUM(E131:E132)+E$136)),IF(OR($C$137=$BD$121,$C$137=$BD$122,$C$137=$BD$123),(E$86/(E$90+E$96+E$100+E$104+E$108+E$112+E$116+E$137)),0)),0)</f>
        <v>0</v>
      </c>
      <c r="F138" s="1582">
        <f t="shared" si="318"/>
        <v>0</v>
      </c>
      <c r="G138" s="1582">
        <f t="shared" si="318"/>
        <v>0</v>
      </c>
      <c r="H138" s="1582">
        <f t="shared" si="318"/>
        <v>0</v>
      </c>
      <c r="I138" s="1582">
        <f t="shared" si="318"/>
        <v>0</v>
      </c>
      <c r="J138" s="1582">
        <f t="shared" si="318"/>
        <v>0</v>
      </c>
      <c r="K138" s="1582">
        <f t="shared" si="318"/>
        <v>0</v>
      </c>
      <c r="L138" s="1582">
        <f t="shared" si="318"/>
        <v>0</v>
      </c>
      <c r="M138" s="1582">
        <f t="shared" si="318"/>
        <v>0</v>
      </c>
      <c r="N138" s="1582">
        <f t="shared" si="318"/>
        <v>0</v>
      </c>
      <c r="O138" s="1582">
        <f t="shared" si="318"/>
        <v>0</v>
      </c>
      <c r="P138" s="1582">
        <f t="shared" si="318"/>
        <v>0</v>
      </c>
      <c r="Q138" s="1582">
        <f t="shared" si="318"/>
        <v>0</v>
      </c>
      <c r="R138" s="1582">
        <f t="shared" si="318"/>
        <v>0</v>
      </c>
      <c r="S138" s="1582">
        <f t="shared" si="318"/>
        <v>0</v>
      </c>
      <c r="T138" s="1582">
        <f t="shared" si="318"/>
        <v>0</v>
      </c>
      <c r="U138" s="1582">
        <f t="shared" si="318"/>
        <v>0</v>
      </c>
      <c r="V138" s="1582">
        <f t="shared" si="318"/>
        <v>0</v>
      </c>
      <c r="W138" s="1582">
        <f t="shared" si="318"/>
        <v>0</v>
      </c>
      <c r="X138" s="1582">
        <f t="shared" si="318"/>
        <v>0</v>
      </c>
      <c r="Y138" s="1582">
        <f t="shared" si="318"/>
        <v>0</v>
      </c>
      <c r="Z138" s="1582">
        <f t="shared" si="318"/>
        <v>0</v>
      </c>
      <c r="AA138" s="1582">
        <f t="shared" si="318"/>
        <v>0</v>
      </c>
      <c r="AB138" s="1582">
        <f t="shared" si="318"/>
        <v>0</v>
      </c>
      <c r="AC138" s="1582">
        <f t="shared" si="318"/>
        <v>0</v>
      </c>
      <c r="AD138" s="1582">
        <f t="shared" si="318"/>
        <v>0</v>
      </c>
      <c r="AE138" s="1582">
        <f t="shared" si="318"/>
        <v>0</v>
      </c>
      <c r="AF138" s="1582">
        <f t="shared" si="318"/>
        <v>0</v>
      </c>
      <c r="AG138" s="1582">
        <f t="shared" si="318"/>
        <v>0</v>
      </c>
      <c r="AH138" s="1582">
        <f t="shared" si="318"/>
        <v>0</v>
      </c>
      <c r="AI138" s="1582">
        <f t="shared" si="318"/>
        <v>0</v>
      </c>
      <c r="AJ138" s="1582">
        <f t="shared" si="318"/>
        <v>0</v>
      </c>
      <c r="AK138" s="1582">
        <f t="shared" si="318"/>
        <v>0</v>
      </c>
      <c r="AL138" s="1582">
        <f t="shared" si="318"/>
        <v>0</v>
      </c>
      <c r="AM138" s="1174"/>
      <c r="BH138" s="9">
        <v>18</v>
      </c>
      <c r="BI138" s="1510">
        <f>IF(AND($AN$122&gt;BH138,$C$122=$BD$121),(U$122),IF(AND($AN$122&gt;BH138,$C$122=$BD$122),(U$122),IF(AND($AN$122&gt;BH138,$C$122=$BD$123),(U$122),IF(AND($AN$122&gt;BH138,$C$122=$BD$124),(U$121),IF(AND($AN$122&gt;BH138,$C$122=$BD$125),(U$122),0)))))</f>
        <v>0</v>
      </c>
      <c r="BJ138" s="1510">
        <v>0</v>
      </c>
      <c r="BK138" s="1510">
        <v>0</v>
      </c>
      <c r="BL138" s="1510">
        <f t="shared" si="312"/>
        <v>0</v>
      </c>
      <c r="BM138" s="1505">
        <f t="shared" si="313"/>
        <v>0</v>
      </c>
      <c r="BN138" s="9">
        <v>18</v>
      </c>
      <c r="BO138" s="1510">
        <f>IF(AND($AN$127&gt;BN138,$C$127=$BD$121),(U$127),IF(AND($AN$127&gt;BN138,$C$127=$BD$122),(U$127),IF(AND($AN$127&gt;BN138,$C$127=$BD$123),(U$127),IF(AND($AN$127&gt;BN138,$C$127=$BD$124),(U$126),IF(AND($AN$127&gt;BN138,$C$127=$BD$125),(U$127),0)))))</f>
        <v>0</v>
      </c>
      <c r="BP138" s="1510">
        <v>0</v>
      </c>
      <c r="BQ138" s="1510">
        <v>0</v>
      </c>
      <c r="BR138" s="1510">
        <f t="shared" si="301"/>
        <v>0</v>
      </c>
      <c r="BS138" s="1511">
        <f t="shared" si="309"/>
        <v>0</v>
      </c>
      <c r="BT138" s="9">
        <v>18</v>
      </c>
      <c r="BU138" s="1510">
        <f>IF(AND($AN$132&gt;BT138,$C$132=$BD$121),(U$132),IF(AND($AN$132&gt;BT138,$C$132=$BD$122),(U$132),IF(AND($AN$132&gt;BT138,$C$132=$BD$123),(U$132),IF(AND($AN$132&gt;BT138,$C$132=$BD$124),(U$131),IF(AND($AN$132&gt;BT138,$C$132=$BD$125),(U$132),0)))))</f>
        <v>0</v>
      </c>
      <c r="BV138" s="1510">
        <v>0</v>
      </c>
      <c r="BW138" s="1510">
        <v>0</v>
      </c>
      <c r="BX138" s="1510">
        <f t="shared" si="302"/>
        <v>0</v>
      </c>
      <c r="BY138" s="1511">
        <f t="shared" si="303"/>
        <v>0</v>
      </c>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row>
    <row r="139" spans="2:102" ht="14.5" hidden="1" customHeight="1">
      <c r="B139" s="1626"/>
      <c r="C139" s="1570" t="s">
        <v>4507</v>
      </c>
      <c r="D139" s="1583">
        <f t="shared" ref="D139:AL139" si="319">IF($C$137=$BD$124,D134-D137,IF($C$137=$BD$123,D134-D137,IF($C$137=$BD$122,D134-D137,IF($C$137=$BD$121,D134-D137,D134))))</f>
        <v>0</v>
      </c>
      <c r="E139" s="1583">
        <f t="shared" si="319"/>
        <v>0</v>
      </c>
      <c r="F139" s="1583">
        <f t="shared" si="319"/>
        <v>0</v>
      </c>
      <c r="G139" s="1583">
        <f t="shared" si="319"/>
        <v>0</v>
      </c>
      <c r="H139" s="1583">
        <f t="shared" si="319"/>
        <v>0</v>
      </c>
      <c r="I139" s="1583">
        <f t="shared" si="319"/>
        <v>0</v>
      </c>
      <c r="J139" s="1583">
        <f t="shared" si="319"/>
        <v>0</v>
      </c>
      <c r="K139" s="1583">
        <f t="shared" si="319"/>
        <v>0</v>
      </c>
      <c r="L139" s="1583">
        <f t="shared" si="319"/>
        <v>0</v>
      </c>
      <c r="M139" s="1583">
        <f t="shared" si="319"/>
        <v>0</v>
      </c>
      <c r="N139" s="1583">
        <f t="shared" si="319"/>
        <v>0</v>
      </c>
      <c r="O139" s="1583">
        <f t="shared" si="319"/>
        <v>0</v>
      </c>
      <c r="P139" s="1583">
        <f t="shared" si="319"/>
        <v>0</v>
      </c>
      <c r="Q139" s="1583">
        <f t="shared" si="319"/>
        <v>0</v>
      </c>
      <c r="R139" s="1583">
        <f t="shared" si="319"/>
        <v>0</v>
      </c>
      <c r="S139" s="1583">
        <f t="shared" si="319"/>
        <v>0</v>
      </c>
      <c r="T139" s="1583">
        <f t="shared" si="319"/>
        <v>0</v>
      </c>
      <c r="U139" s="1583">
        <f t="shared" si="319"/>
        <v>0</v>
      </c>
      <c r="V139" s="1583">
        <f t="shared" si="319"/>
        <v>0</v>
      </c>
      <c r="W139" s="1583">
        <f t="shared" si="319"/>
        <v>0</v>
      </c>
      <c r="X139" s="1583">
        <f t="shared" si="319"/>
        <v>0</v>
      </c>
      <c r="Y139" s="1583">
        <f t="shared" si="319"/>
        <v>0</v>
      </c>
      <c r="Z139" s="1583">
        <f t="shared" si="319"/>
        <v>0</v>
      </c>
      <c r="AA139" s="1583">
        <f t="shared" si="319"/>
        <v>0</v>
      </c>
      <c r="AB139" s="1583">
        <f t="shared" si="319"/>
        <v>0</v>
      </c>
      <c r="AC139" s="1583">
        <f t="shared" si="319"/>
        <v>0</v>
      </c>
      <c r="AD139" s="1583">
        <f t="shared" si="319"/>
        <v>0</v>
      </c>
      <c r="AE139" s="1583">
        <f t="shared" si="319"/>
        <v>0</v>
      </c>
      <c r="AF139" s="1583">
        <f t="shared" si="319"/>
        <v>0</v>
      </c>
      <c r="AG139" s="1583">
        <f t="shared" si="319"/>
        <v>0</v>
      </c>
      <c r="AH139" s="1583">
        <f t="shared" si="319"/>
        <v>0</v>
      </c>
      <c r="AI139" s="1583">
        <f t="shared" si="319"/>
        <v>0</v>
      </c>
      <c r="AJ139" s="1583">
        <f t="shared" si="319"/>
        <v>0</v>
      </c>
      <c r="AK139" s="1583">
        <f t="shared" si="319"/>
        <v>0</v>
      </c>
      <c r="AL139" s="1583">
        <f t="shared" si="319"/>
        <v>0</v>
      </c>
      <c r="AM139" s="1174"/>
      <c r="BH139" s="9">
        <v>19</v>
      </c>
      <c r="BI139" s="1510">
        <f>IF(AND($AN$122&gt;BH139,$C$122=$BD$121),(V$122),IF(AND($AN$122&gt;BH139,$C$122=$BD$122),(V$122),IF(AND($AN$122&gt;BH139,$C$122=$BD$123),(V$122),IF(AND($AN$122&gt;BH139,$C$122=$BD$124),(V$121),IF(AND($AN$122&gt;BH139,$C$122=$BD$125),(V$122),0)))))</f>
        <v>0</v>
      </c>
      <c r="BJ139" s="1510">
        <v>0</v>
      </c>
      <c r="BK139" s="1510">
        <v>0</v>
      </c>
      <c r="BL139" s="1510">
        <f t="shared" si="312"/>
        <v>0</v>
      </c>
      <c r="BM139" s="1505">
        <f t="shared" si="313"/>
        <v>0</v>
      </c>
      <c r="BN139" s="9">
        <v>19</v>
      </c>
      <c r="BO139" s="1510">
        <f>IF(AND($AN$127&gt;BN139,$C$127=$BD$121),(V$127),IF(AND($AN$127&gt;BN139,$C$127=$BD$122),(V$127),IF(AND($AN$127&gt;BN139,$C$127=$BD$123),(V$127),IF(AND($AN$127&gt;BN139,$C$127=$BD$124),(V$126),IF(AND($AN$127&gt;BN139,$C$127=$BD$125),(V$127),0)))))</f>
        <v>0</v>
      </c>
      <c r="BP139" s="1510">
        <v>0</v>
      </c>
      <c r="BQ139" s="1510">
        <v>0</v>
      </c>
      <c r="BR139" s="1510">
        <f t="shared" si="301"/>
        <v>0</v>
      </c>
      <c r="BS139" s="1511">
        <f t="shared" si="309"/>
        <v>0</v>
      </c>
      <c r="BT139" s="9">
        <v>19</v>
      </c>
      <c r="BU139" s="1510">
        <f>IF(AND($AN$132&gt;BT139,$C$132=$BD$121),(V$132),IF(AND($AN$132&gt;BT139,$C$132=$BD$122),(V$132),IF(AND($AN$132&gt;BT139,$C$132=$BD$123),(V$132),IF(AND($AN$132&gt;BT139,$C$132=$BD$124),(V$131),IF(AND($AN$132&gt;BT139,$C$132=$BD$125),(V$132),0)))))</f>
        <v>0</v>
      </c>
      <c r="BV139" s="1510">
        <v>0</v>
      </c>
      <c r="BW139" s="1510">
        <v>0</v>
      </c>
      <c r="BX139" s="1510">
        <f t="shared" si="302"/>
        <v>0</v>
      </c>
      <c r="BY139" s="1511">
        <f t="shared" si="303"/>
        <v>0</v>
      </c>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t="14.5" hidden="1" customHeight="1">
      <c r="B140" s="1626"/>
      <c r="C140" s="1602"/>
      <c r="D140" s="1207" t="str">
        <f>IF(OR($C$142=$BD$122,$C$142=$BD$124),"Input Desired Annual Payment Amount",IF($C$142=$BD$123,"Input Desired % of Cashflow", ""))</f>
        <v/>
      </c>
      <c r="E140" s="1207" t="str">
        <f t="shared" ref="E140:AL140" si="320">IF($C$142=$BD$124,"Input Desired Annual Payment Amount","")</f>
        <v/>
      </c>
      <c r="F140" s="1207" t="str">
        <f t="shared" si="320"/>
        <v/>
      </c>
      <c r="G140" s="1207" t="str">
        <f t="shared" si="320"/>
        <v/>
      </c>
      <c r="H140" s="1207" t="str">
        <f t="shared" si="320"/>
        <v/>
      </c>
      <c r="I140" s="1207" t="str">
        <f t="shared" si="320"/>
        <v/>
      </c>
      <c r="J140" s="1207" t="str">
        <f t="shared" si="320"/>
        <v/>
      </c>
      <c r="K140" s="1207" t="str">
        <f t="shared" si="320"/>
        <v/>
      </c>
      <c r="L140" s="1207" t="str">
        <f t="shared" si="320"/>
        <v/>
      </c>
      <c r="M140" s="1207" t="str">
        <f t="shared" si="320"/>
        <v/>
      </c>
      <c r="N140" s="1207" t="str">
        <f t="shared" si="320"/>
        <v/>
      </c>
      <c r="O140" s="1207" t="str">
        <f t="shared" si="320"/>
        <v/>
      </c>
      <c r="P140" s="1207" t="str">
        <f t="shared" si="320"/>
        <v/>
      </c>
      <c r="Q140" s="1207" t="str">
        <f t="shared" si="320"/>
        <v/>
      </c>
      <c r="R140" s="1207" t="str">
        <f t="shared" si="320"/>
        <v/>
      </c>
      <c r="S140" s="1207" t="str">
        <f t="shared" si="320"/>
        <v/>
      </c>
      <c r="T140" s="1207" t="str">
        <f t="shared" si="320"/>
        <v/>
      </c>
      <c r="U140" s="1207" t="str">
        <f t="shared" si="320"/>
        <v/>
      </c>
      <c r="V140" s="1207" t="str">
        <f t="shared" si="320"/>
        <v/>
      </c>
      <c r="W140" s="1207" t="str">
        <f t="shared" si="320"/>
        <v/>
      </c>
      <c r="X140" s="1207" t="str">
        <f t="shared" si="320"/>
        <v/>
      </c>
      <c r="Y140" s="1207" t="str">
        <f t="shared" si="320"/>
        <v/>
      </c>
      <c r="Z140" s="1207" t="str">
        <f t="shared" si="320"/>
        <v/>
      </c>
      <c r="AA140" s="1207" t="str">
        <f t="shared" si="320"/>
        <v/>
      </c>
      <c r="AB140" s="1207" t="str">
        <f t="shared" si="320"/>
        <v/>
      </c>
      <c r="AC140" s="1207" t="str">
        <f t="shared" si="320"/>
        <v/>
      </c>
      <c r="AD140" s="1207" t="str">
        <f t="shared" si="320"/>
        <v/>
      </c>
      <c r="AE140" s="1207" t="str">
        <f t="shared" si="320"/>
        <v/>
      </c>
      <c r="AF140" s="1207" t="str">
        <f t="shared" si="320"/>
        <v/>
      </c>
      <c r="AG140" s="1207" t="str">
        <f t="shared" si="320"/>
        <v/>
      </c>
      <c r="AH140" s="1207" t="str">
        <f t="shared" si="320"/>
        <v/>
      </c>
      <c r="AI140" s="1207" t="str">
        <f t="shared" si="320"/>
        <v/>
      </c>
      <c r="AJ140" s="1207" t="str">
        <f t="shared" si="320"/>
        <v/>
      </c>
      <c r="AK140" s="1207" t="str">
        <f t="shared" si="320"/>
        <v/>
      </c>
      <c r="AL140" s="1207" t="str">
        <f t="shared" si="320"/>
        <v/>
      </c>
      <c r="AM140" s="1174"/>
      <c r="BH140" s="9">
        <v>20</v>
      </c>
      <c r="BI140" s="1510">
        <f>IF(AND($AN$122&gt;BH140,$C$122=$BD$121),(W$122),IF(AND($AN$122&gt;BH140,$C$122=$BD$122),(W$122),IF(AND($AN$122&gt;BH140,$C$122=$BD$123),(W$122),IF(AND($AN$122&gt;BH140,$C$122=$BD$124),(W$121),IF(AND($AN$122&gt;BH140,$C$122=$BD$125),(W$122),0)))))</f>
        <v>0</v>
      </c>
      <c r="BJ140" s="1510">
        <v>0</v>
      </c>
      <c r="BK140" s="1510">
        <v>0</v>
      </c>
      <c r="BL140" s="1510">
        <f t="shared" si="312"/>
        <v>0</v>
      </c>
      <c r="BM140" s="1505">
        <f t="shared" si="313"/>
        <v>0</v>
      </c>
      <c r="BN140" s="9">
        <v>20</v>
      </c>
      <c r="BO140" s="1510">
        <f>IF(AND($AN$127&gt;BN140,$C$127=$BD$121),(W$127),IF(AND($AN$127&gt;BN140,$C$127=$BD$122),(W$127),IF(AND($AN$127&gt;BN140,$C$127=$BD$123),(W$127),IF(AND($AN$127&gt;BN140,$C$127=$BD$124),(W$126),IF(AND($AN$127&gt;BN140,$C$127=$BD$125),(W$127),0)))))</f>
        <v>0</v>
      </c>
      <c r="BP140" s="1510">
        <v>0</v>
      </c>
      <c r="BQ140" s="1510">
        <v>0</v>
      </c>
      <c r="BR140" s="1510">
        <f t="shared" si="301"/>
        <v>0</v>
      </c>
      <c r="BS140" s="1511">
        <f t="shared" si="309"/>
        <v>0</v>
      </c>
      <c r="BT140" s="9">
        <v>20</v>
      </c>
      <c r="BU140" s="1510">
        <f>IF(AND($AN$132&gt;BT140,$C$132=$BD$121),(W$132),IF(AND($AN$132&gt;BT140,$C$132=$BD$122),(W$132),IF(AND($AN$132&gt;BT140,$C$132=$BD$123),(W$132),IF(AND($AN$132&gt;BT140,$C$132=$BD$124),(W$131),IF(AND($AN$132&gt;BT140,$C$132=$BD$125),(W$132),0)))))</f>
        <v>0</v>
      </c>
      <c r="BV140" s="1510">
        <v>0</v>
      </c>
      <c r="BW140" s="1510">
        <v>0</v>
      </c>
      <c r="BX140" s="1510">
        <f t="shared" si="302"/>
        <v>0</v>
      </c>
      <c r="BY140" s="1511">
        <f t="shared" si="303"/>
        <v>0</v>
      </c>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row>
    <row r="141" spans="2:102" ht="14.5" hidden="1" customHeight="1">
      <c r="B141" s="1626">
        <v>15</v>
      </c>
      <c r="C141" s="1603"/>
      <c r="D141" s="1597"/>
      <c r="E141" s="1597"/>
      <c r="F141" s="1597"/>
      <c r="G141" s="1597"/>
      <c r="H141" s="1597"/>
      <c r="I141" s="1597"/>
      <c r="J141" s="1597"/>
      <c r="K141" s="1597"/>
      <c r="L141" s="1597"/>
      <c r="M141" s="1597"/>
      <c r="N141" s="1597"/>
      <c r="O141" s="1597"/>
      <c r="P141" s="1597"/>
      <c r="Q141" s="1597"/>
      <c r="R141" s="1597"/>
      <c r="S141" s="1597"/>
      <c r="T141" s="1597"/>
      <c r="U141" s="1597"/>
      <c r="V141" s="1597"/>
      <c r="W141" s="1597"/>
      <c r="X141" s="1597"/>
      <c r="Y141" s="1597"/>
      <c r="Z141" s="1597"/>
      <c r="AA141" s="1597"/>
      <c r="AB141" s="1597"/>
      <c r="AC141" s="1597"/>
      <c r="AD141" s="1597"/>
      <c r="AE141" s="1597"/>
      <c r="AF141" s="1597"/>
      <c r="AG141" s="1597"/>
      <c r="AH141" s="1597"/>
      <c r="AI141" s="1597"/>
      <c r="AJ141" s="1597"/>
      <c r="AK141" s="1597"/>
      <c r="AL141" s="1597"/>
      <c r="AM141" s="1174"/>
      <c r="BH141" s="9">
        <v>21</v>
      </c>
      <c r="BI141" s="1510">
        <f>IF(AND($AN$122&gt;BH141,$C$122=$BD$121),(X$122),IF(AND($AN$122&gt;BH141,$C$122=$BD$122),(X$122),IF(AND($AN$122&gt;BH141,$C$122=$BD$123),(X$122),IF(AND($AN$122&gt;BH141,$C$122=$BD$124),(X$121),IF(AND($AN$122&gt;BH141,$C$122=$BD$125),(X$122),0)))))</f>
        <v>0</v>
      </c>
      <c r="BJ141" s="1510">
        <v>0</v>
      </c>
      <c r="BK141" s="1510">
        <v>0</v>
      </c>
      <c r="BL141" s="1510">
        <f t="shared" si="312"/>
        <v>0</v>
      </c>
      <c r="BM141" s="1505">
        <f t="shared" si="313"/>
        <v>0</v>
      </c>
      <c r="BN141" s="9">
        <v>21</v>
      </c>
      <c r="BO141" s="1510">
        <f>IF(AND($AN$127&gt;BN141,$C$127=$BD$121),(X$127),IF(AND($AN$127&gt;BN141,$C$127=$BD$122),(X$127),IF(AND($AN$127&gt;BN141,$C$127=$BD$123),(X$127),IF(AND($AN$127&gt;BN141,$C$127=$BD$124),(X$126),IF(AND($AN$127&gt;BN141,$C$127=$BD$125),(X$127),0)))))</f>
        <v>0</v>
      </c>
      <c r="BP141" s="1510">
        <v>0</v>
      </c>
      <c r="BQ141" s="1510">
        <v>0</v>
      </c>
      <c r="BR141" s="1510">
        <f t="shared" si="301"/>
        <v>0</v>
      </c>
      <c r="BS141" s="1511">
        <f t="shared" si="309"/>
        <v>0</v>
      </c>
      <c r="BT141" s="9">
        <v>21</v>
      </c>
      <c r="BU141" s="1510">
        <f>IF(AND($AN$132&gt;BT141,$C$132=$BD$121),(X$132),IF(AND($AN$132&gt;BT141,$C$132=$BD$122),(X$132),IF(AND($AN$132&gt;BT141,$C$132=$BD$123),(X$132),IF(AND($AN$132&gt;BT141,$C$132=$BD$124),(X$131),IF(AND($AN$132&gt;BT141,$C$132=$BD$125),(X$132),0)))))</f>
        <v>0</v>
      </c>
      <c r="BV141" s="1510">
        <v>0</v>
      </c>
      <c r="BW141" s="1510">
        <v>0</v>
      </c>
      <c r="BX141" s="1510">
        <f t="shared" si="302"/>
        <v>0</v>
      </c>
      <c r="BY141" s="1511">
        <f t="shared" si="303"/>
        <v>0</v>
      </c>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2:102" ht="14.5" hidden="1" customHeight="1">
      <c r="B142" s="1626"/>
      <c r="C142" s="1570" t="s">
        <v>4500</v>
      </c>
      <c r="D142" s="1581">
        <f>IF(C142=$BD$121,AR142,IF(C142=$BD$123,(D139*(D141/100)),IF(C142=$BD$122,D141,IF(C142=$BD$124,0,0))))</f>
        <v>0</v>
      </c>
      <c r="E142" s="1581" cm="1">
        <f t="array" ref="E142">IF(AND($C$142=$BD$123,(SUM($D$142:D142)+E139*($D$141/100))&lt;=$AO$142),(E139*($D$141/100)),IF(AND($C$142=$BD$123,(SUM($D$142:D142)+E139*($D$141/100))&gt;=$AO$142,E139&gt;=$AO$142-(SUM($D$142:D142)+E139*($D$141/100))),($AO$142-(SUM($D$142:D142))),IF(AND($C$142=$BD$121,(SUM($D$142:D142)+E139&lt;=$AO$142)),E139,IF(AND($C$142=$BD$121,(SUM($D$142:D142)+E139&gt;$AO$142),E139&gt;=$AO$142-(SUM($D$142:D142))),$AO$142-(SUM($D$142:D142)),IF(AND($C$142=$BD$124,$AN$142=E85),$AO$142-SUM($D$141:E141),IF(AND(F85&lt;=$AN$142,(SUM($D$142:D142)+$D$142)&lt;$AO$142),D142,IF(AND(F85=$AN$142+1,(SUM($D$142:D142)+$D$142)&lt;$AO$142),$AO$142-($D$142*D85),IF(SUM(($D$142:D142)+$D$142)&gt;=$AO$142,$AO$142-SUM($D$142:D142),0))))))))</f>
        <v>0</v>
      </c>
      <c r="F142" s="1581" cm="1">
        <f t="array" ref="F142">IF(AND($C$142=$BD$123,(SUM($D$142:E142)+F139*($D$141/100))&lt;=$AO$142),(F139*($D$141/100)),IF(AND($C$142=$BD$123,(SUM($D$142:E142)+F139*($D$141/100))&gt;=$AO$142,F139&gt;=$AO$142-(SUM($D$142:E142)+F139*($D$141/100))),($AO$142-(SUM($D$142:E142))),IF(AND($C$142=$BD$121,(SUM($D$142:E142)+F139&lt;=$AO$142)),F139,IF(AND($C$142=$BD$121,(SUM($D$142:E142)+F139&gt;$AO$142),F139&gt;=$AO$142-(SUM($D$142:E142))),$AO$142-(SUM($D$142:E142)),IF(AND($C$142=$BD$124,$AN$142=F85),$AO$142-SUM($D$141:F141),IF(AND(G85&lt;=$AN$142,(SUM($D$142:E142)+$D$142)&lt;$AO$142),E142,IF(AND(G85=$AN$142+1,(SUM($D$142:E142)+$D$142)&lt;$AO$142),$AO$142-($D$142*E85),IF(SUM(($D$142:E142)+$D$142)&gt;=$AO$142,$AO$142-SUM($D$142:E142),0))))))))</f>
        <v>0</v>
      </c>
      <c r="G142" s="1581" cm="1">
        <f t="array" ref="G142">IF(AND($C$142=$BD$123,(SUM($D$142:F142)+G139*($D$141/100))&lt;=$AO$142),(G139*($D$141/100)),IF(AND($C$142=$BD$123,(SUM($D$142:F142)+G139*($D$141/100))&gt;=$AO$142,G139&gt;=$AO$142-(SUM($D$142:F142)+G139*($D$141/100))),($AO$142-(SUM($D$142:F142))),IF(AND($C$142=$BD$121,(SUM($D$142:F142)+G139&lt;=$AO$142)),G139,IF(AND($C$142=$BD$121,(SUM($D$142:F142)+G139&gt;$AO$142),G139&gt;=$AO$142-(SUM($D$142:F142))),$AO$142-(SUM($D$142:F142)),IF(AND($C$142=$BD$124,$AN$142=G85),$AO$142-SUM($D$141:G141),IF(AND(H85&lt;=$AN$142,(SUM($D$142:F142)+$D$142)&lt;$AO$142),F142,IF(AND(H85=$AN$142+1,(SUM($D$142:F142)+$D$142)&lt;$AO$142),$AO$142-($D$142*F85),IF(SUM(($D$142:F142)+$D$142)&gt;=$AO$142,$AO$142-SUM($D$142:F142),0))))))))</f>
        <v>0</v>
      </c>
      <c r="H142" s="1581" cm="1">
        <f t="array" ref="H142">IF(AND($C$142=$BD$123,(SUM($D$142:G142)+H139*($D$141/100))&lt;=$AO$142),(H139*($D$141/100)),IF(AND($C$142=$BD$123,(SUM($D$142:G142)+H139*($D$141/100))&gt;=$AO$142,H139&gt;=$AO$142-(SUM($D$142:G142)+H139*($D$141/100))),($AO$142-(SUM($D$142:G142))),IF(AND($C$142=$BD$121,(SUM($D$142:G142)+H139&lt;=$AO$142)),H139,IF(AND($C$142=$BD$121,(SUM($D$142:G142)+H139&gt;$AO$142),H139&gt;=$AO$142-(SUM($D$142:G142))),$AO$142-(SUM($D$142:G142)),IF(AND($C$142=$BD$124,$AN$142=H85),$AO$142-SUM($D$141:H141),IF(AND(I85&lt;=$AN$142,(SUM($D$142:G142)+$D$142)&lt;$AO$142),G142,IF(AND(I85=$AN$142+1,(SUM($D$142:G142)+$D$142)&lt;$AO$142),$AO$142-($D$142*G85),IF(SUM(($D$142:G142)+$D$142)&gt;=$AO$142,$AO$142-SUM($D$142:G142),0))))))))</f>
        <v>0</v>
      </c>
      <c r="I142" s="1581" cm="1">
        <f t="array" ref="I142">IF(AND($C$142=$BD$123,(SUM($D$142:H142)+I139*($D$141/100))&lt;=$AO$142),(I139*($D$141/100)),IF(AND($C$142=$BD$123,(SUM($D$142:H142)+I139*($D$141/100))&gt;=$AO$142,I139&gt;=$AO$142-(SUM($D$142:H142)+I139*($D$141/100))),($AO$142-(SUM($D$142:H142))),IF(AND($C$142=$BD$121,(SUM($D$142:H142)+I139&lt;=$AO$142)),I139,IF(AND($C$142=$BD$121,(SUM($D$142:H142)+I139&gt;$AO$142),I139&gt;=$AO$142-(SUM($D$142:H142))),$AO$142-(SUM($D$142:H142)),IF(AND($C$142=$BD$124,$AN$142=I85),$AO$142-SUM($D$141:I141),IF(AND(J85&lt;=$AN$142,(SUM($D$142:H142)+$D$142)&lt;$AO$142),H142,IF(AND(J85=$AN$142+1,(SUM($D$142:H142)+$D$142)&lt;$AO$142),$AO$142-($D$142*H85),IF(SUM(($D$142:H142)+$D$142)&gt;=$AO$142,$AO$142-SUM($D$142:H142),0))))))))</f>
        <v>0</v>
      </c>
      <c r="J142" s="1581" cm="1">
        <f t="array" ref="J142">IF(AND($C$142=$BD$123,(SUM($D$142:I142)+J139*($D$141/100))&lt;=$AO$142),(J139*($D$141/100)),IF(AND($C$142=$BD$123,(SUM($D$142:I142)+J139*($D$141/100))&gt;=$AO$142,J139&gt;=$AO$142-(SUM($D$142:I142)+J139*($D$141/100))),($AO$142-(SUM($D$142:I142))),IF(AND($C$142=$BD$121,(SUM($D$142:I142)+J139&lt;=$AO$142)),J139,IF(AND($C$142=$BD$121,(SUM($D$142:I142)+J139&gt;$AO$142),J139&gt;=$AO$142-(SUM($D$142:I142))),$AO$142-(SUM($D$142:I142)),IF(AND($C$142=$BD$124,$AN$142=J85),$AO$142-SUM($D$141:J141),IF(AND(K85&lt;=$AN$142,(SUM($D$142:I142)+$D$142)&lt;$AO$142),I142,IF(AND(K85=$AN$142+1,(SUM($D$142:I142)+$D$142)&lt;$AO$142),$AO$142-($D$142*I85),IF(SUM(($D$142:I142)+$D$142)&gt;=$AO$142,$AO$142-SUM($D$142:I142),0))))))))</f>
        <v>0</v>
      </c>
      <c r="K142" s="1581" cm="1">
        <f t="array" ref="K142">IF(AND($C$142=$BD$123,(SUM($D$142:J142)+K139*($D$141/100))&lt;=$AO$142),(K139*($D$141/100)),IF(AND($C$142=$BD$123,(SUM($D$142:J142)+K139*($D$141/100))&gt;=$AO$142,K139&gt;=$AO$142-(SUM($D$142:J142)+K139*($D$141/100))),($AO$142-(SUM($D$142:J142))),IF(AND($C$142=$BD$121,(SUM($D$142:J142)+K139&lt;=$AO$142)),K139,IF(AND($C$142=$BD$121,(SUM($D$142:J142)+K139&gt;$AO$142),K139&gt;=$AO$142-(SUM($D$142:J142))),$AO$142-(SUM($D$142:J142)),IF(AND($C$142=$BD$124,$AN$142=K85),$AO$142-SUM($D$141:K141),IF(AND(L85&lt;=$AN$142,(SUM($D$142:J142)+$D$142)&lt;$AO$142),J142,IF(AND(L85=$AN$142+1,(SUM($D$142:J142)+$D$142)&lt;$AO$142),$AO$142-($D$142*J85),IF(SUM(($D$142:J142)+$D$142)&gt;=$AO$142,$AO$142-SUM($D$142:J142),0))))))))</f>
        <v>0</v>
      </c>
      <c r="L142" s="1581" cm="1">
        <f t="array" ref="L142">IF(AND($C$142=$BD$123,(SUM($D$142:K142)+L139*($D$141/100))&lt;=$AO$142),(L139*($D$141/100)),IF(AND($C$142=$BD$123,(SUM($D$142:K142)+L139*($D$141/100))&gt;=$AO$142,L139&gt;=$AO$142-(SUM($D$142:K142)+L139*($D$141/100))),($AO$142-(SUM($D$142:K142))),IF(AND($C$142=$BD$121,(SUM($D$142:K142)+L139&lt;=$AO$142)),L139,IF(AND($C$142=$BD$121,(SUM($D$142:K142)+L139&gt;$AO$142),L139&gt;=$AO$142-(SUM($D$142:K142))),$AO$142-(SUM($D$142:K142)),IF(AND($C$142=$BD$124,$AN$142=L85),$AO$142-SUM($D$141:L141),IF(AND(M85&lt;=$AN$142,(SUM($D$142:K142)+$D$142)&lt;$AO$142),K142,IF(AND(M85=$AN$142+1,(SUM($D$142:K142)+$D$142)&lt;$AO$142),$AO$142-($D$142*K85),IF(SUM(($D$142:K142)+$D$142)&gt;=$AO$142,$AO$142-SUM($D$142:K142),0))))))))</f>
        <v>0</v>
      </c>
      <c r="M142" s="1581" cm="1">
        <f t="array" ref="M142">IF(AND($C$142=$BD$123,(SUM($D$142:L142)+M139*($D$141/100))&lt;=$AO$142),(M139*($D$141/100)),IF(AND($C$142=$BD$123,(SUM($D$142:L142)+M139*($D$141/100))&gt;=$AO$142,M139&gt;=$AO$142-(SUM($D$142:L142)+M139*($D$141/100))),($AO$142-(SUM($D$142:L142))),IF(AND($C$142=$BD$121,(SUM($D$142:L142)+M139&lt;=$AO$142)),M139,IF(AND($C$142=$BD$121,(SUM($D$142:L142)+M139&gt;$AO$142),M139&gt;=$AO$142-(SUM($D$142:L142))),$AO$142-(SUM($D$142:L142)),IF(AND($C$142=$BD$124,$AN$142=M85),$AO$142-SUM($D$141:M141),IF(AND(N85&lt;=$AN$142,(SUM($D$142:L142)+$D$142)&lt;$AO$142),L142,IF(AND(N85=$AN$142+1,(SUM($D$142:L142)+$D$142)&lt;$AO$142),$AO$142-($D$142*L85),IF(SUM(($D$142:L142)+$D$142)&gt;=$AO$142,$AO$142-SUM($D$142:L142),0))))))))</f>
        <v>0</v>
      </c>
      <c r="N142" s="1581" cm="1">
        <f t="array" ref="N142">IF(AND($C$142=$BD$123,(SUM($D$142:M142)+N139*($D$141/100))&lt;=$AO$142),(N139*($D$141/100)),IF(AND($C$142=$BD$123,(SUM($D$142:M142)+N139*($D$141/100))&gt;=$AO$142,N139&gt;=$AO$142-(SUM($D$142:M142)+N139*($D$141/100))),($AO$142-(SUM($D$142:M142))),IF(AND($C$142=$BD$121,(SUM($D$142:M142)+N139&lt;=$AO$142)),N139,IF(AND($C$142=$BD$121,(SUM($D$142:M142)+N139&gt;$AO$142),N139&gt;=$AO$142-(SUM($D$142:M142))),$AO$142-(SUM($D$142:M142)),IF(AND($C$142=$BD$124,$AN$142=N85),$AO$142-SUM($D$141:N141),IF(AND(O85&lt;=$AN$142,(SUM($D$142:M142)+$D$142)&lt;$AO$142),M142,IF(AND(O85=$AN$142+1,(SUM($D$142:M142)+$D$142)&lt;$AO$142),$AO$142-($D$142*M85),IF(SUM(($D$142:M142)+$D$142)&gt;=$AO$142,$AO$142-SUM($D$142:M142),0))))))))</f>
        <v>0</v>
      </c>
      <c r="O142" s="1581" cm="1">
        <f t="array" ref="O142">IF(AND($C$142=$BD$123,(SUM($D$142:N142)+O139*($D$141/100))&lt;=$AO$142),(O139*($D$141/100)),IF(AND($C$142=$BD$123,(SUM($D$142:N142)+O139*($D$141/100))&gt;=$AO$142,O139&gt;=$AO$142-(SUM($D$142:N142)+O139*($D$141/100))),($AO$142-(SUM($D$142:N142))),IF(AND($C$142=$BD$121,(SUM($D$142:N142)+O139&lt;=$AO$142)),O139,IF(AND($C$142=$BD$121,(SUM($D$142:N142)+O139&gt;$AO$142),O139&gt;=$AO$142-(SUM($D$142:N142))),$AO$142-(SUM($D$142:N142)),IF(AND($C$142=$BD$124,$AN$142=O85),$AO$142-SUM($D$141:O141),IF(AND(P85&lt;=$AN$142,(SUM($D$142:N142)+$D$142)&lt;$AO$142),N142,IF(AND(P85=$AN$142+1,(SUM($D$142:N142)+$D$142)&lt;$AO$142),$AO$142-($D$142*N85),IF(SUM(($D$142:N142)+$D$142)&gt;=$AO$142,$AO$142-SUM($D$142:N142),0))))))))</f>
        <v>0</v>
      </c>
      <c r="P142" s="1581" cm="1">
        <f t="array" ref="P142">IF(AND($C$142=$BD$123,(SUM($D$142:O142)+P139*($D$141/100))&lt;=$AO$142),(P139*($D$141/100)),IF(AND($C$142=$BD$123,(SUM($D$142:O142)+P139*($D$141/100))&gt;=$AO$142,P139&gt;=$AO$142-(SUM($D$142:O142)+P139*($D$141/100))),($AO$142-(SUM($D$142:O142))),IF(AND($C$142=$BD$121,(SUM($D$142:O142)+P139&lt;=$AO$142)),P139,IF(AND($C$142=$BD$121,(SUM($D$142:O142)+P139&gt;$AO$142),P139&gt;=$AO$142-(SUM($D$142:O142))),$AO$142-(SUM($D$142:O142)),IF(AND($C$142=$BD$124,$AN$142=P85),$AO$142-SUM($D$141:P141),IF(AND(Q85&lt;=$AN$142,(SUM($D$142:O142)+$D$142)&lt;$AO$142),O142,IF(AND(Q85=$AN$142+1,(SUM($D$142:O142)+$D$142)&lt;$AO$142),$AO$142-($D$142*O85),IF(SUM(($D$142:O142)+$D$142)&gt;=$AO$142,$AO$142-SUM($D$142:O142),0))))))))</f>
        <v>0</v>
      </c>
      <c r="Q142" s="1581" cm="1">
        <f t="array" ref="Q142">IF(AND($C$142=$BD$123,(SUM($D$142:P142)+Q139*($D$141/100))&lt;=$AO$142),(Q139*($D$141/100)),IF(AND($C$142=$BD$123,(SUM($D$142:P142)+Q139*($D$141/100))&gt;=$AO$142,Q139&gt;=$AO$142-(SUM($D$142:P142)+Q139*($D$141/100))),($AO$142-(SUM($D$142:P142))),IF(AND($C$142=$BD$121,(SUM($D$142:P142)+Q139&lt;=$AO$142)),Q139,IF(AND($C$142=$BD$121,(SUM($D$142:P142)+Q139&gt;$AO$142),Q139&gt;=$AO$142-(SUM($D$142:P142))),$AO$142-(SUM($D$142:P142)),IF(AND($C$142=$BD$124,$AN$142=Q85),$AO$142-SUM($D$141:Q141),IF(AND(R85&lt;=$AN$142,(SUM($D$142:P142)+$D$142)&lt;$AO$142),P142,IF(AND(R85=$AN$142+1,(SUM($D$142:P142)+$D$142)&lt;$AO$142),$AO$142-($D$142*P85),IF(SUM(($D$142:P142)+$D$142)&gt;=$AO$142,$AO$142-SUM($D$142:P142),0))))))))</f>
        <v>0</v>
      </c>
      <c r="R142" s="1581" cm="1">
        <f t="array" ref="R142">IF(AND($C$142=$BD$123,(SUM($D$142:Q142)+R139*($D$141/100))&lt;=$AO$142),(R139*($D$141/100)),IF(AND($C$142=$BD$123,(SUM($D$142:Q142)+R139*($D$141/100))&gt;=$AO$142,R139&gt;=$AO$142-(SUM($D$142:Q142)+R139*($D$141/100))),($AO$142-(SUM($D$142:Q142))),IF(AND($C$142=$BD$121,(SUM($D$142:Q142)+R139&lt;=$AO$142)),R139,IF(AND($C$142=$BD$121,(SUM($D$142:Q142)+R139&gt;$AO$142),R139&gt;=$AO$142-(SUM($D$142:Q142))),$AO$142-(SUM($D$142:Q142)),IF(AND($C$142=$BD$124,$AN$142=R85),$AO$142-SUM($D$141:R141),IF(AND(S85&lt;=$AN$142,(SUM($D$142:Q142)+$D$142)&lt;$AO$142),Q142,IF(AND(S85=$AN$142+1,(SUM($D$142:Q142)+$D$142)&lt;$AO$142),$AO$142-($D$142*Q85),IF(SUM(($D$142:Q142)+$D$142)&gt;=$AO$142,$AO$142-SUM($D$142:Q142),0))))))))</f>
        <v>0</v>
      </c>
      <c r="S142" s="1581" cm="1">
        <f t="array" ref="S142">IF(AND($C$142=$BD$123,(SUM($D$142:R142)+S139*($D$141/100))&lt;=$AO$142),(S139*($D$141/100)),IF(AND($C$142=$BD$123,(SUM($D$142:R142)+S139*($D$141/100))&gt;=$AO$142,S139&gt;=$AO$142-(SUM($D$142:R142)+S139*($D$141/100))),($AO$142-(SUM($D$142:R142))),IF(AND($C$142=$BD$121,(SUM($D$142:R142)+S139&lt;=$AO$142)),S139,IF(AND($C$142=$BD$121,(SUM($D$142:R142)+S139&gt;$AO$142),S139&gt;=$AO$142-(SUM($D$142:R142))),$AO$142-(SUM($D$142:R142)),IF(AND($C$142=$BD$124,$AN$142=S85),$AO$142-SUM($D$141:S141),IF(AND(T85&lt;=$AN$142,(SUM($D$142:R142)+$D$142)&lt;$AO$142),R142,IF(AND(T85=$AN$142+1,(SUM($D$142:R142)+$D$142)&lt;$AO$142),$AO$142-($D$142*R85),IF(SUM(($D$142:R142)+$D$142)&gt;=$AO$142,$AO$142-SUM($D$142:R142),0))))))))</f>
        <v>0</v>
      </c>
      <c r="T142" s="1581" cm="1">
        <f t="array" ref="T142">IF(AND($C$142=$BD$123,(SUM($D$142:S142)+T139*($D$141/100))&lt;=$AO$142),(T139*($D$141/100)),IF(AND($C$142=$BD$123,(SUM($D$142:S142)+T139*($D$141/100))&gt;=$AO$142,T139&gt;=$AO$142-(SUM($D$142:S142)+T139*($D$141/100))),($AO$142-(SUM($D$142:S142))),IF(AND($C$142=$BD$121,(SUM($D$142:S142)+T139&lt;=$AO$142)),T139,IF(AND($C$142=$BD$121,(SUM($D$142:S142)+T139&gt;$AO$142),T139&gt;=$AO$142-(SUM($D$142:S142))),$AO$142-(SUM($D$142:S142)),IF(AND($C$142=$BD$124,$AN$142=T85),$AO$142-SUM($D$141:T141),IF(AND(U85&lt;=$AN$142,(SUM($D$142:S142)+$D$142)&lt;$AO$142),S142,IF(AND(U85=$AN$142+1,(SUM($D$142:S142)+$D$142)&lt;$AO$142),$AO$142-($D$142*S85),IF(SUM(($D$142:S142)+$D$142)&gt;=$AO$142,$AO$142-SUM($D$142:S142),0))))))))</f>
        <v>0</v>
      </c>
      <c r="U142" s="1581" cm="1">
        <f t="array" ref="U142">IF(AND($C$142=$BD$123,(SUM($D$142:T142)+U139*($D$141/100))&lt;=$AO$142),(U139*($D$141/100)),IF(AND($C$142=$BD$123,(SUM($D$142:T142)+U139*($D$141/100))&gt;=$AO$142,U139&gt;=$AO$142-(SUM($D$142:T142)+U139*($D$141/100))),($AO$142-(SUM($D$142:T142))),IF(AND($C$142=$BD$121,(SUM($D$142:T142)+U139&lt;=$AO$142)),U139,IF(AND($C$142=$BD$121,(SUM($D$142:T142)+U139&gt;$AO$142),U139&gt;=$AO$142-(SUM($D$142:T142))),$AO$142-(SUM($D$142:T142)),IF(AND($C$142=$BD$124,$AN$142=U85),$AO$142-SUM($D$141:U141),IF(AND(V85&lt;=$AN$142,(SUM($D$142:T142)+$D$142)&lt;$AO$142),T142,IF(AND(V85=$AN$142+1,(SUM($D$142:T142)+$D$142)&lt;$AO$142),$AO$142-($D$142*T85),IF(SUM(($D$142:T142)+$D$142)&gt;=$AO$142,$AO$142-SUM($D$142:T142),0))))))))</f>
        <v>0</v>
      </c>
      <c r="V142" s="1581" cm="1">
        <f t="array" ref="V142">IF(AND($C$142=$BD$123,(SUM($D$142:U142)+V139*($D$141/100))&lt;=$AO$142),(V139*($D$141/100)),IF(AND($C$142=$BD$123,(SUM($D$142:U142)+V139*($D$141/100))&gt;=$AO$142,V139&gt;=$AO$142-(SUM($D$142:U142)+V139*($D$141/100))),($AO$142-(SUM($D$142:U142))),IF(AND($C$142=$BD$121,(SUM($D$142:U142)+V139&lt;=$AO$142)),V139,IF(AND($C$142=$BD$121,(SUM($D$142:U142)+V139&gt;$AO$142),V139&gt;=$AO$142-(SUM($D$142:U142))),$AO$142-(SUM($D$142:U142)),IF(AND($C$142=$BD$124,$AN$142=V85),$AO$142-SUM($D$141:V141),IF(AND(W85&lt;=$AN$142,(SUM($D$142:U142)+$D$142)&lt;$AO$142),U142,IF(AND(W85=$AN$142+1,(SUM($D$142:U142)+$D$142)&lt;$AO$142),$AO$142-($D$142*U85),IF(SUM(($D$142:U142)+$D$142)&gt;=$AO$142,$AO$142-SUM($D$142:U142),0))))))))</f>
        <v>0</v>
      </c>
      <c r="W142" s="1581" cm="1">
        <f t="array" ref="W142">IF(AND($C$142=$BD$123,(SUM($D$142:V142)+W139*($D$141/100))&lt;=$AO$142),(W139*($D$141/100)),IF(AND($C$142=$BD$123,(SUM($D$142:V142)+W139*($D$141/100))&gt;=$AO$142,W139&gt;=$AO$142-(SUM($D$142:V142)+W139*($D$141/100))),($AO$142-(SUM($D$142:V142))),IF(AND($C$142=$BD$121,(SUM($D$142:V142)+W139&lt;=$AO$142)),W139,IF(AND($C$142=$BD$121,(SUM($D$142:V142)+W139&gt;$AO$142),W139&gt;=$AO$142-(SUM($D$142:V142))),$AO$142-(SUM($D$142:V142)),IF(AND($C$142=$BD$124,$AN$142=W85),$AO$142-SUM($D$141:W141),IF(AND(X85&lt;=$AN$142,(SUM($D$142:V142)+$D$142)&lt;$AO$142),V142,IF(AND(X85=$AN$142+1,(SUM($D$142:V142)+$D$142)&lt;$AO$142),$AO$142-($D$142*V85),IF(SUM(($D$142:V142)+$D$142)&gt;=$AO$142,$AO$142-SUM($D$142:V142),0))))))))</f>
        <v>0</v>
      </c>
      <c r="X142" s="1581" cm="1">
        <f t="array" ref="X142">IF(AND($C$142=$BD$123,(SUM($D$142:W142)+X139*($D$141/100))&lt;=$AO$142),(X139*($D$141/100)),IF(AND($C$142=$BD$123,(SUM($D$142:W142)+X139*($D$141/100))&gt;=$AO$142,X139&gt;=$AO$142-(SUM($D$142:W142)+X139*($D$141/100))),($AO$142-(SUM($D$142:W142))),IF(AND($C$142=$BD$121,(SUM($D$142:W142)+X139&lt;=$AO$142)),X139,IF(AND($C$142=$BD$121,(SUM($D$142:W142)+X139&gt;$AO$142),X139&gt;=$AO$142-(SUM($D$142:W142))),$AO$142-(SUM($D$142:W142)),IF(AND($C$142=$BD$124,$AN$142=X85),$AO$142-SUM($D$141:X141),IF(AND(Y85&lt;=$AN$142,(SUM($D$142:W142)+$D$142)&lt;$AO$142),W142,IF(AND(Y85=$AN$142+1,(SUM($D$142:W142)+$D$142)&lt;$AO$142),$AO$142-($D$142*W85),IF(SUM(($D$142:W142)+$D$142)&gt;=$AO$142,$AO$142-SUM($D$142:W142),0))))))))</f>
        <v>0</v>
      </c>
      <c r="Y142" s="1581" cm="1">
        <f t="array" ref="Y142">IF(AND($C$142=$BD$123,(SUM($D$142:X142)+Y139*($D$141/100))&lt;=$AO$142),(Y139*($D$141/100)),IF(AND($C$142=$BD$123,(SUM($D$142:X142)+Y139*($D$141/100))&gt;=$AO$142,Y139&gt;=$AO$142-(SUM($D$142:X142)+Y139*($D$141/100))),($AO$142-(SUM($D$142:X142))),IF(AND($C$142=$BD$121,(SUM($D$142:X142)+Y139&lt;=$AO$142)),Y139,IF(AND($C$142=$BD$121,(SUM($D$142:X142)+Y139&gt;$AO$142),Y139&gt;=$AO$142-(SUM($D$142:X142))),$AO$142-(SUM($D$142:X142)),IF(AND($C$142=$BD$124,$AN$142=Y85),$AO$142-SUM($D$141:Y141),IF(AND(Z85&lt;=$AN$142,(SUM($D$142:X142)+$D$142)&lt;$AO$142),X142,IF(AND(Z85=$AN$142+1,(SUM($D$142:X142)+$D$142)&lt;$AO$142),$AO$142-($D$142*X85),IF(SUM(($D$142:X142)+$D$142)&gt;=$AO$142,$AO$142-SUM($D$142:X142),0))))))))</f>
        <v>0</v>
      </c>
      <c r="Z142" s="1581" cm="1">
        <f t="array" ref="Z142">IF(AND($C$142=$BD$123,(SUM($D$142:Y142)+Z139*($D$141/100))&lt;=$AO$142),(Z139*($D$141/100)),IF(AND($C$142=$BD$123,(SUM($D$142:Y142)+Z139*($D$141/100))&gt;=$AO$142,Z139&gt;=$AO$142-(SUM($D$142:Y142)+Z139*($D$141/100))),($AO$142-(SUM($D$142:Y142))),IF(AND($C$142=$BD$121,(SUM($D$142:Y142)+Z139&lt;=$AO$142)),Z139,IF(AND($C$142=$BD$121,(SUM($D$142:Y142)+Z139&gt;$AO$142),Z139&gt;=$AO$142-(SUM($D$142:Y142))),$AO$142-(SUM($D$142:Y142)),IF(AND($C$142=$BD$124,$AN$142=Z85),$AO$142-SUM($D$141:Z141),IF(AND(AA85&lt;=$AN$142,(SUM($D$142:Y142)+$D$142)&lt;$AO$142),Y142,IF(AND(AA85=$AN$142+1,(SUM($D$142:Y142)+$D$142)&lt;$AO$142),$AO$142-($D$142*Y85),IF(SUM(($D$142:Y142)+$D$142)&gt;=$AO$142,$AO$142-SUM($D$142:Y142),0))))))))</f>
        <v>0</v>
      </c>
      <c r="AA142" s="1581" cm="1">
        <f t="array" ref="AA142">IF(AND($C$142=$BD$123,(SUM($D$142:Z142)+AA139*($D$141/100))&lt;=$AO$142),(AA139*($D$141/100)),IF(AND($C$142=$BD$123,(SUM($D$142:Z142)+AA139*($D$141/100))&gt;=$AO$142,AA139&gt;=$AO$142-(SUM($D$142:Z142)+AA139*($D$141/100))),($AO$142-(SUM($D$142:Z142))),IF(AND($C$142=$BD$121,(SUM($D$142:Z142)+AA139&lt;=$AO$142)),AA139,IF(AND($C$142=$BD$121,(SUM($D$142:Z142)+AA139&gt;$AO$142),AA139&gt;=$AO$142-(SUM($D$142:Z142))),$AO$142-(SUM($D$142:Z142)),IF(AND($C$142=$BD$124,$AN$142=AA85),$AO$142-SUM($D$141:AA141),IF(AND(AB85&lt;=$AN$142,(SUM($D$142:Z142)+$D$142)&lt;$AO$142),Z142,IF(AND(AB85=$AN$142+1,(SUM($D$142:Z142)+$D$142)&lt;$AO$142),$AO$142-($D$142*Z85),IF(SUM(($D$142:Z142)+$D$142)&gt;=$AO$142,$AO$142-SUM($D$142:Z142),0))))))))</f>
        <v>0</v>
      </c>
      <c r="AB142" s="1581" cm="1">
        <f t="array" ref="AB142">IF(AND($C$142=$BD$123,(SUM($D$142:AA142)+AB139*($D$141/100))&lt;=$AO$142),(AB139*($D$141/100)),IF(AND($C$142=$BD$123,(SUM($D$142:AA142)+AB139*($D$141/100))&gt;=$AO$142,AB139&gt;=$AO$142-(SUM($D$142:AA142)+AB139*($D$141/100))),($AO$142-(SUM($D$142:AA142))),IF(AND($C$142=$BD$121,(SUM($D$142:AA142)+AB139&lt;=$AO$142)),AB139,IF(AND($C$142=$BD$121,(SUM($D$142:AA142)+AB139&gt;$AO$142),AB139&gt;=$AO$142-(SUM($D$142:AA142))),$AO$142-(SUM($D$142:AA142)),IF(AND($C$142=$BD$124,$AN$142=AB85),$AO$142-SUM($D$141:AB141),IF(AND(AC85&lt;=$AN$142,(SUM($D$142:AA142)+$D$142)&lt;$AO$142),AA142,IF(AND(AC85=$AN$142+1,(SUM($D$142:AA142)+$D$142)&lt;$AO$142),$AO$142-($D$142*AA85),IF(SUM(($D$142:AA142)+$D$142)&gt;=$AO$142,$AO$142-SUM($D$142:AA142),0))))))))</f>
        <v>0</v>
      </c>
      <c r="AC142" s="1581" cm="1">
        <f t="array" ref="AC142">IF(AND($C$142=$BD$123,(SUM($D$142:AB142)+AC139*($D$141/100))&lt;=$AO$142),(AC139*($D$141/100)),IF(AND($C$142=$BD$123,(SUM($D$142:AB142)+AC139*($D$141/100))&gt;=$AO$142,AC139&gt;=$AO$142-(SUM($D$142:AB142)+AC139*($D$141/100))),($AO$142-(SUM($D$142:AB142))),IF(AND($C$142=$BD$121,(SUM($D$142:AB142)+AC139&lt;=$AO$142)),AC139,IF(AND($C$142=$BD$121,(SUM($D$142:AB142)+AC139&gt;$AO$142),AC139&gt;=$AO$142-(SUM($D$142:AB142))),$AO$142-(SUM($D$142:AB142)),IF(AND($C$142=$BD$124,$AN$142=AC85),$AO$142-SUM($D$141:AC141),IF(AND(AD85&lt;=$AN$142,(SUM($D$142:AB142)+$D$142)&lt;$AO$142),AB142,IF(AND(AD85=$AN$142+1,(SUM($D$142:AB142)+$D$142)&lt;$AO$142),$AO$142-($D$142*AB85),IF(SUM(($D$142:AB142)+$D$142)&gt;=$AO$142,$AO$142-SUM($D$142:AB142),0))))))))</f>
        <v>0</v>
      </c>
      <c r="AD142" s="1581" cm="1">
        <f t="array" ref="AD142">IF(AND($C$142=$BD$123,(SUM($D$142:AC142)+AD139*($D$141/100))&lt;=$AO$142),(AD139*($D$141/100)),IF(AND($C$142=$BD$123,(SUM($D$142:AC142)+AD139*($D$141/100))&gt;=$AO$142,AD139&gt;=$AO$142-(SUM($D$142:AC142)+AD139*($D$141/100))),($AO$142-(SUM($D$142:AC142))),IF(AND($C$142=$BD$121,(SUM($D$142:AC142)+AD139&lt;=$AO$142)),AD139,IF(AND($C$142=$BD$121,(SUM($D$142:AC142)+AD139&gt;$AO$142),AD139&gt;=$AO$142-(SUM($D$142:AC142))),$AO$142-(SUM($D$142:AC142)),IF(AND($C$142=$BD$124,$AN$142=AD85),$AO$142-SUM($D$141:AD141),IF(AND(AE85&lt;=$AN$142,(SUM($D$142:AC142)+$D$142)&lt;$AO$142),AC142,IF(AND(AE85=$AN$142+1,(SUM($D$142:AC142)+$D$142)&lt;$AO$142),$AO$142-($D$142*AC85),IF(SUM(($D$142:AC142)+$D$142)&gt;=$AO$142,$AO$142-SUM($D$142:AC142),0))))))))</f>
        <v>0</v>
      </c>
      <c r="AE142" s="1581" cm="1">
        <f t="array" ref="AE142">IF(AND($C$142=$BD$123,(SUM($D$142:AD142)+AE139*($D$141/100))&lt;=$AO$142),(AE139*($D$141/100)),IF(AND($C$142=$BD$123,(SUM($D$142:AD142)+AE139*($D$141/100))&gt;=$AO$142,AE139&gt;=$AO$142-(SUM($D$142:AD142)+AE139*($D$141/100))),($AO$142-(SUM($D$142:AD142))),IF(AND($C$142=$BD$121,(SUM($D$142:AD142)+AE139&lt;=$AO$142)),AE139,IF(AND($C$142=$BD$121,(SUM($D$142:AD142)+AE139&gt;$AO$142),AE139&gt;=$AO$142-(SUM($D$142:AD142))),$AO$142-(SUM($D$142:AD142)),IF(AND($C$142=$BD$124,$AN$142=AE85),$AO$142-SUM($D$141:AE141),IF(AND(AF85&lt;=$AN$142,(SUM($D$142:AD142)+$D$142)&lt;$AO$142),AD142,IF(AND(AF85=$AN$142+1,(SUM($D$142:AD142)+$D$142)&lt;$AO$142),$AO$142-($D$142*AD85),IF(SUM(($D$142:AD142)+$D$142)&gt;=$AO$142,$AO$142-SUM($D$142:AD142),0))))))))</f>
        <v>0</v>
      </c>
      <c r="AF142" s="1581" cm="1">
        <f t="array" ref="AF142">IF(AND($C$142=$BD$123,(SUM($D$142:AE142)+AF139*($D$141/100))&lt;=$AO$142),(AF139*($D$141/100)),IF(AND($C$142=$BD$123,(SUM($D$142:AE142)+AF139*($D$141/100))&gt;=$AO$142,AF139&gt;=$AO$142-(SUM($D$142:AE142)+AF139*($D$141/100))),($AO$142-(SUM($D$142:AE142))),IF(AND($C$142=$BD$121,(SUM($D$142:AE142)+AF139&lt;=$AO$142)),AF139,IF(AND($C$142=$BD$121,(SUM($D$142:AE142)+AF139&gt;$AO$142),AF139&gt;=$AO$142-(SUM($D$142:AE142))),$AO$142-(SUM($D$142:AE142)),IF(AND($C$142=$BD$124,$AN$142=AF85),$AO$142-SUM($D$141:AF141),IF(AND(AG85&lt;=$AN$142,(SUM($D$142:AE142)+$D$142)&lt;$AO$142),AE142,IF(AND(AG85=$AN$142+1,(SUM($D$142:AE142)+$D$142)&lt;$AO$142),$AO$142-($D$142*AE85),IF(SUM(($D$142:AE142)+$D$142)&gt;=$AO$142,$AO$142-SUM($D$142:AE142),0))))))))</f>
        <v>0</v>
      </c>
      <c r="AG142" s="1581" cm="1">
        <f t="array" ref="AG142">IF(AND($C$142=$BD$123,(SUM($D$142:AF142)+AG139*($D$141/100))&lt;=$AO$142),(AG139*($D$141/100)),IF(AND($C$142=$BD$123,(SUM($D$142:AF142)+AG139*($D$141/100))&gt;=$AO$142,AG139&gt;=$AO$142-(SUM($D$142:AF142)+AG139*($D$141/100))),($AO$142-(SUM($D$142:AF142))),IF(AND($C$142=$BD$121,(SUM($D$142:AF142)+AG139&lt;=$AO$142)),AG139,IF(AND($C$142=$BD$121,(SUM($D$142:AF142)+AG139&gt;$AO$142),AG139&gt;=$AO$142-(SUM($D$142:AF142))),$AO$142-(SUM($D$142:AF142)),IF(AND($C$142=$BD$124,$AN$142=AG85),$AO$142-SUM($D$141:AG141),IF(AND(AH85&lt;=$AN$142,(SUM($D$142:AF142)+$D$142)&lt;$AO$142),AF142,IF(AND(AH85=$AN$142+1,(SUM($D$142:AF142)+$D$142)&lt;$AO$142),$AO$142-($D$142*AF85),IF(SUM(($D$142:AF142)+$D$142)&gt;=$AO$142,$AO$142-SUM($D$142:AF142),0))))))))</f>
        <v>0</v>
      </c>
      <c r="AH142" s="1581" cm="1">
        <f t="array" ref="AH142">IF(AND($C$142=$BD$123,(SUM($D$142:AG142)+AH139*($D$141/100))&lt;=$AO$142),(AH139*($D$141/100)),IF(AND($C$142=$BD$123,(SUM($D$142:AG142)+AH139*($D$141/100))&gt;=$AO$142,AH139&gt;=$AO$142-(SUM($D$142:AG142)+AH139*($D$141/100))),($AO$142-(SUM($D$142:AG142))),IF(AND($C$142=$BD$121,(SUM($D$142:AG142)+AH139&lt;=$AO$142)),AH139,IF(AND($C$142=$BD$121,(SUM($D$142:AG142)+AH139&gt;$AO$142),AH139&gt;=$AO$142-(SUM($D$142:AG142))),$AO$142-(SUM($D$142:AG142)),IF(AND($C$142=$BD$124,$AN$142=AH85),$AO$142-SUM($D$141:AH141),IF(AND(AI85&lt;=$AN$142,(SUM($D$142:AG142)+$D$142)&lt;$AO$142),AG142,IF(AND(AI85=$AN$142+1,(SUM($D$142:AG142)+$D$142)&lt;$AO$142),$AO$142-($D$142*AG85),IF(SUM(($D$142:AG142)+$D$142)&gt;=$AO$142,$AO$142-SUM($D$142:AG142),0))))))))</f>
        <v>0</v>
      </c>
      <c r="AI142" s="1581" cm="1">
        <f t="array" ref="AI142">IF(AND($C$142=$BD$123,(SUM($D$142:AH142)+AI139*($D$141/100))&lt;=$AO$142),(AI139*($D$141/100)),IF(AND($C$142=$BD$123,(SUM($D$142:AH142)+AI139*($D$141/100))&gt;=$AO$142,AI139&gt;=$AO$142-(SUM($D$142:AH142)+AI139*($D$141/100))),($AO$142-(SUM($D$142:AH142))),IF(AND($C$142=$BD$121,(SUM($D$142:AH142)+AI139&lt;=$AO$142)),AI139,IF(AND($C$142=$BD$121,(SUM($D$142:AH142)+AI139&gt;$AO$142),AI139&gt;=$AO$142-(SUM($D$142:AH142))),$AO$142-(SUM($D$142:AH142)),IF(AND($C$142=$BD$124,$AN$142=AI85),$AO$142-SUM($D$141:AI141),IF(AND(AJ85&lt;=$AN$142,(SUM($D$142:AH142)+$D$142)&lt;$AO$142),AH142,IF(AND(AJ85=$AN$142+1,(SUM($D$142:AH142)+$D$142)&lt;$AO$142),$AO$142-($D$142*AH85),IF(SUM(($D$142:AH142)+$D$142)&gt;=$AO$142,$AO$142-SUM($D$142:AH142),0))))))))</f>
        <v>0</v>
      </c>
      <c r="AJ142" s="1581" cm="1">
        <f t="array" ref="AJ142">IF(AND($C$142=$BD$123,(SUM($D$142:AI142)+AJ139*($D$141/100))&lt;=$AO$142),(AJ139*($D$141/100)),IF(AND($C$142=$BD$123,(SUM($D$142:AI142)+AJ139*($D$141/100))&gt;=$AO$142,AJ139&gt;=$AO$142-(SUM($D$142:AI142)+AJ139*($D$141/100))),($AO$142-(SUM($D$142:AI142))),IF(AND($C$142=$BD$121,(SUM($D$142:AI142)+AJ139&lt;=$AO$142)),AJ139,IF(AND($C$142=$BD$121,(SUM($D$142:AI142)+AJ139&gt;$AO$142),AJ139&gt;=$AO$142-(SUM($D$142:AI142))),$AO$142-(SUM($D$142:AI142)),IF(AND($C$142=$BD$124,$AN$142=AJ85),$AO$142-SUM($D$141:AJ141),IF(AND(AK85&lt;=$AN$142,(SUM($D$142:AI142)+$D$142)&lt;$AO$142),AI142,IF(AND(AK85=$AN$142+1,(SUM($D$142:AI142)+$D$142)&lt;$AO$142),$AO$142-($D$142*AI85),IF(SUM(($D$142:AI142)+$D$142)&gt;=$AO$142,$AO$142-SUM($D$142:AI142),0))))))))</f>
        <v>0</v>
      </c>
      <c r="AK142" s="1581" cm="1">
        <f t="array" ref="AK142">IF(AND($C$142=$BD$123,(SUM($D$142:AJ142)+AK139*($D$141/100))&lt;=$AO$142),(AK139*($D$141/100)),IF(AND($C$142=$BD$123,(SUM($D$142:AJ142)+AK139*($D$141/100))&gt;=$AO$142,AK139&gt;=$AO$142-(SUM($D$142:AJ142)+AK139*($D$141/100))),($AO$142-(SUM($D$142:AJ142))),IF(AND($C$142=$BD$121,(SUM($D$142:AJ142)+AK139&lt;=$AO$142)),AK139,IF(AND($C$142=$BD$121,(SUM($D$142:AJ142)+AK139&gt;$AO$142),AK139&gt;=$AO$142-(SUM($D$142:AJ142))),$AO$142-(SUM($D$142:AJ142)),IF(AND($C$142=$BD$124,$AN$142=AK85),$AO$142-SUM($D$141:AK141),IF(AND(AL85&lt;=$AN$142,(SUM($D$142:AJ142)+$D$142)&lt;$AO$142),AJ142,IF(AND(AL85=$AN$142+1,(SUM($D$142:AJ142)+$D$142)&lt;$AO$142),$AO$142-($D$142*AJ85),IF(SUM(($D$142:AJ142)+$D$142)&gt;=$AO$142,$AO$142-SUM($D$142:AJ142),0))))))))</f>
        <v>0</v>
      </c>
      <c r="AL142" s="1581" cm="1">
        <f t="array" ref="AL142">IF(AND($C$142=$BD$123,(SUM($D$142:AK142)+AL139*($D$141/100))&lt;=$AO$142),(AL139*($D$141/100)),IF(AND($C$142=$BD$123,(SUM($D$142:AK142)+AL139*($D$141/100))&gt;=$AO$142,AL139&gt;=$AO$142-(SUM($D$142:AK142)+AL139*($D$141/100))),($AO$142-(SUM($D$142:AK142))),IF(AND($C$142=$BD$121,(SUM($D$142:AK142)+AL139&lt;=$AO$142)),AL139,IF(AND($C$142=$BD$121,(SUM($D$142:AK142)+AL139&gt;$AO$142),AL139&gt;=$AO$142-(SUM($D$142:AK142))),$AO$142-(SUM($D$142:AK142)),IF(AND($C$142=$BD$124,$AN$142=AL85),$AO$142-SUM($D$141:AL141),IF(AND(AM87&lt;=$AN$142,(SUM($D$142:AK142)+$D$142)&lt;$AO$142),AK142,IF(AND(AM87=$AN$142+1,(SUM($D$142:AK142)+$D$142)&lt;$AO$142),$AO$142-($D$142*AK85),IF(SUM(($D$142:AK142)+$D$142)&gt;=$AO$142,$AO$142-SUM($D$142:AK142),0))))))))</f>
        <v>0</v>
      </c>
      <c r="AM142" s="1174"/>
      <c r="AN142" s="1516">
        <f>_xlfn.XLOOKUP(C141,'12. Funding Sources'!$C$11:$C$20,'12. Funding Sources'!$L$11:$L$20,36)</f>
        <v>36</v>
      </c>
      <c r="AO142" s="1515">
        <f>_xlfn.XLOOKUP(C141,'12. Funding Sources'!$C$11:$C$20,'17. Cash Flow and Reserves'!$AT$121:$AT$130,0)*AN142</f>
        <v>0</v>
      </c>
      <c r="AR142" s="9">
        <f>(IF(D139&gt;=_xlfn.XLOOKUP(C141,'12. Funding Sources'!$C$11:$C$20,'17. Cash Flow and Reserves'!$AT$121:$AT$130,0),_xlfn.XLOOKUP(C141,'12. Funding Sources'!$C$11:$C$20,'17. Cash Flow and Reserves'!$AT$121:$AT$130,0),D139))</f>
        <v>0</v>
      </c>
      <c r="BH142" s="9">
        <v>22</v>
      </c>
      <c r="BI142" s="1510">
        <f>IF(AND($AN$122&gt;BH142,$C$122=$BD$121),(Y$122),IF(AND($AN$122&gt;BH142,$C$122=$BD$122),(Y$122),IF(AND($AN$122&gt;BH142,$C$122=$BD$123),(Y$122),IF(AND($AN$122&gt;BH142,$C$122=$BD$124),(Y$121),IF(AND($AN$122&gt;BH142,$C$122=$BD$125),(Y$122),0)))))</f>
        <v>0</v>
      </c>
      <c r="BJ142" s="1510">
        <v>0</v>
      </c>
      <c r="BK142" s="1510">
        <v>0</v>
      </c>
      <c r="BL142" s="1510">
        <f t="shared" si="312"/>
        <v>0</v>
      </c>
      <c r="BM142" s="1505">
        <f t="shared" si="313"/>
        <v>0</v>
      </c>
      <c r="BN142" s="9">
        <v>22</v>
      </c>
      <c r="BO142" s="1510">
        <f>IF(AND($AN$127&gt;BN142,$C$127=$BD$121),(Y$127),IF(AND($AN$127&gt;BN142,$C$127=$BD$122),(Y$127),IF(AND($AN$127&gt;BN142,$C$127=$BD$123),(Y$127),IF(AND($AN$127&gt;BN142,$C$127=$BD$124),(Y$126),IF(AND($AN$127&gt;BN142,$C$127=$BD$125),(Y$127),0)))))</f>
        <v>0</v>
      </c>
      <c r="BP142" s="1510">
        <v>0</v>
      </c>
      <c r="BQ142" s="1510">
        <v>0</v>
      </c>
      <c r="BR142" s="1510">
        <f t="shared" si="301"/>
        <v>0</v>
      </c>
      <c r="BS142" s="1511">
        <f t="shared" si="309"/>
        <v>0</v>
      </c>
      <c r="BT142" s="9">
        <v>22</v>
      </c>
      <c r="BU142" s="1510">
        <f>IF(AND($AN$132&gt;BT142,$C$132=$BD$121),(Y$132),IF(AND($AN$132&gt;BT142,$C$132=$BD$122),(Y$132),IF(AND($AN$132&gt;BT142,$C$132=$BD$123),(Y$132),IF(AND($AN$132&gt;BT142,$C$132=$BD$124),(Y$131),IF(AND($AN$132&gt;BT142,$C$132=$BD$125),(Y$132),0)))))</f>
        <v>0</v>
      </c>
      <c r="BV142" s="1510">
        <v>0</v>
      </c>
      <c r="BW142" s="1510">
        <v>0</v>
      </c>
      <c r="BX142" s="1510">
        <f t="shared" si="302"/>
        <v>0</v>
      </c>
      <c r="BY142" s="1511">
        <f t="shared" si="303"/>
        <v>0</v>
      </c>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2:102" ht="14.5" hidden="1" customHeight="1">
      <c r="B143" s="1626"/>
      <c r="C143" s="1570" t="s">
        <v>4489</v>
      </c>
      <c r="D143" s="1582">
        <f>IFERROR(IF($C$142=$BD$124,(D$86/(D$90+D$96+D$100+D$104+D$108+D$112+D$116+SUM(D126:D127)+SUM(D131:D132)+SUM(D136:D137)+D$141)),IF(OR($C$142=$BD$121,$C$142=$BD$122,$C$142=$BD$123),(D$86/(D$90+D$96+D$100+D$104+D$108+D$112+D$116+D$142)),D138)),D138)</f>
        <v>0</v>
      </c>
      <c r="E143" s="1582">
        <f t="shared" ref="E143:AL143" si="321">IFERROR(IF($C$142=$BD$124,(E$86/(E$90+E$96+E$100+E$104+E$108+E$112+E$116+SUM(E126:E127)+SUM(E131:E132)+SUM(E136:E137)+E$141)),IF(OR($C$142=$BD$121,$C$142=$BD$122,$C$142=$BD$123),(E$86/(E$90+E$96+E$100+E$104+E$108+E$112+E$116+E$142)),0)),0)</f>
        <v>0</v>
      </c>
      <c r="F143" s="1582">
        <f t="shared" si="321"/>
        <v>0</v>
      </c>
      <c r="G143" s="1582">
        <f t="shared" si="321"/>
        <v>0</v>
      </c>
      <c r="H143" s="1582">
        <f t="shared" si="321"/>
        <v>0</v>
      </c>
      <c r="I143" s="1582">
        <f t="shared" si="321"/>
        <v>0</v>
      </c>
      <c r="J143" s="1582">
        <f t="shared" si="321"/>
        <v>0</v>
      </c>
      <c r="K143" s="1582">
        <f t="shared" si="321"/>
        <v>0</v>
      </c>
      <c r="L143" s="1582">
        <f t="shared" si="321"/>
        <v>0</v>
      </c>
      <c r="M143" s="1582">
        <f t="shared" si="321"/>
        <v>0</v>
      </c>
      <c r="N143" s="1582">
        <f t="shared" si="321"/>
        <v>0</v>
      </c>
      <c r="O143" s="1582">
        <f t="shared" si="321"/>
        <v>0</v>
      </c>
      <c r="P143" s="1582">
        <f t="shared" si="321"/>
        <v>0</v>
      </c>
      <c r="Q143" s="1582">
        <f t="shared" si="321"/>
        <v>0</v>
      </c>
      <c r="R143" s="1582">
        <f t="shared" si="321"/>
        <v>0</v>
      </c>
      <c r="S143" s="1582">
        <f t="shared" si="321"/>
        <v>0</v>
      </c>
      <c r="T143" s="1582">
        <f t="shared" si="321"/>
        <v>0</v>
      </c>
      <c r="U143" s="1582">
        <f t="shared" si="321"/>
        <v>0</v>
      </c>
      <c r="V143" s="1582">
        <f t="shared" si="321"/>
        <v>0</v>
      </c>
      <c r="W143" s="1582">
        <f t="shared" si="321"/>
        <v>0</v>
      </c>
      <c r="X143" s="1582">
        <f t="shared" si="321"/>
        <v>0</v>
      </c>
      <c r="Y143" s="1582">
        <f t="shared" si="321"/>
        <v>0</v>
      </c>
      <c r="Z143" s="1582">
        <f t="shared" si="321"/>
        <v>0</v>
      </c>
      <c r="AA143" s="1582">
        <f t="shared" si="321"/>
        <v>0</v>
      </c>
      <c r="AB143" s="1582">
        <f t="shared" si="321"/>
        <v>0</v>
      </c>
      <c r="AC143" s="1582">
        <f t="shared" si="321"/>
        <v>0</v>
      </c>
      <c r="AD143" s="1582">
        <f t="shared" si="321"/>
        <v>0</v>
      </c>
      <c r="AE143" s="1582">
        <f t="shared" si="321"/>
        <v>0</v>
      </c>
      <c r="AF143" s="1582">
        <f t="shared" si="321"/>
        <v>0</v>
      </c>
      <c r="AG143" s="1582">
        <f t="shared" si="321"/>
        <v>0</v>
      </c>
      <c r="AH143" s="1582">
        <f t="shared" si="321"/>
        <v>0</v>
      </c>
      <c r="AI143" s="1582">
        <f t="shared" si="321"/>
        <v>0</v>
      </c>
      <c r="AJ143" s="1582">
        <f t="shared" si="321"/>
        <v>0</v>
      </c>
      <c r="AK143" s="1582">
        <f t="shared" si="321"/>
        <v>0</v>
      </c>
      <c r="AL143" s="1582">
        <f t="shared" si="321"/>
        <v>0</v>
      </c>
      <c r="AM143" s="1174"/>
      <c r="BH143" s="9">
        <v>23</v>
      </c>
      <c r="BI143" s="1510">
        <f>IF(AND($AN$122&gt;BH143,$C$122=$BD$121),(Z$122),IF(AND($AN$122&gt;BH143,$C$122=$BD$122),(Z$122),IF(AND($AN$122&gt;BH143,$C$122=$BD$123),(Z$122),IF(AND($AN$122&gt;BH143,$C$122=$BD$124),(Z$121),IF(AND($AN$122&gt;BH143,$C$122=$BD$125),(Z$122),0)))))</f>
        <v>0</v>
      </c>
      <c r="BJ143" s="1510">
        <v>0</v>
      </c>
      <c r="BK143" s="1510">
        <v>0</v>
      </c>
      <c r="BL143" s="1510">
        <f t="shared" si="312"/>
        <v>0</v>
      </c>
      <c r="BM143" s="1505">
        <f t="shared" si="313"/>
        <v>0</v>
      </c>
      <c r="BN143" s="9">
        <v>23</v>
      </c>
      <c r="BO143" s="1510">
        <f>IF(AND($AN$127&gt;BN143,$C$127=$BD$121),(Z$127),IF(AND($AN$127&gt;BN143,$C$127=$BD$122),(Z$127),IF(AND($AN$127&gt;BN143,$C$127=$BD$123),(Z$127),IF(AND($AN$127&gt;BN143,$C$127=$BD$124),(Z$126),IF(AND($AN$127&gt;BN143,$C$127=$BD$125),(Z$127),0)))))</f>
        <v>0</v>
      </c>
      <c r="BP143" s="1510">
        <v>0</v>
      </c>
      <c r="BQ143" s="1510">
        <v>0</v>
      </c>
      <c r="BR143" s="1510">
        <f t="shared" si="301"/>
        <v>0</v>
      </c>
      <c r="BS143" s="1511">
        <f t="shared" si="309"/>
        <v>0</v>
      </c>
      <c r="BT143" s="9">
        <v>23</v>
      </c>
      <c r="BU143" s="1510">
        <f>IF(AND($AN$132&gt;BT143,$C$132=$BD$121),(Z$132),IF(AND($AN$132&gt;BT143,$C$132=$BD$122),(Z$132),IF(AND($AN$132&gt;BT143,$C$132=$BD$123),(Z$132),IF(AND($AN$132&gt;BT143,$C$132=$BD$124),(Z$131),IF(AND($AN$132&gt;BT143,$C$132=$BD$125),(Z$132),0)))))</f>
        <v>0</v>
      </c>
      <c r="BV143" s="1510">
        <v>0</v>
      </c>
      <c r="BW143" s="1510">
        <v>0</v>
      </c>
      <c r="BX143" s="1510">
        <f t="shared" si="302"/>
        <v>0</v>
      </c>
      <c r="BY143" s="1511">
        <f t="shared" si="303"/>
        <v>0</v>
      </c>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t="14.5" hidden="1" customHeight="1">
      <c r="B144" s="1626"/>
      <c r="C144" s="1570" t="s">
        <v>4507</v>
      </c>
      <c r="D144" s="1583">
        <f t="shared" ref="D144:AL144" si="322">IF($C$142=$BD$124,D139-D142,IF($C$142=$BD$123,D139-D142,IF($C$142=$BD$122,D139-D142,IF($C$142=$BD$121,D139-D142,D139))))</f>
        <v>0</v>
      </c>
      <c r="E144" s="1583">
        <f t="shared" si="322"/>
        <v>0</v>
      </c>
      <c r="F144" s="1583">
        <f t="shared" si="322"/>
        <v>0</v>
      </c>
      <c r="G144" s="1583">
        <f t="shared" si="322"/>
        <v>0</v>
      </c>
      <c r="H144" s="1583">
        <f t="shared" si="322"/>
        <v>0</v>
      </c>
      <c r="I144" s="1583">
        <f t="shared" si="322"/>
        <v>0</v>
      </c>
      <c r="J144" s="1583">
        <f t="shared" si="322"/>
        <v>0</v>
      </c>
      <c r="K144" s="1583">
        <f t="shared" si="322"/>
        <v>0</v>
      </c>
      <c r="L144" s="1583">
        <f t="shared" si="322"/>
        <v>0</v>
      </c>
      <c r="M144" s="1583">
        <f t="shared" si="322"/>
        <v>0</v>
      </c>
      <c r="N144" s="1583">
        <f t="shared" si="322"/>
        <v>0</v>
      </c>
      <c r="O144" s="1583">
        <f t="shared" si="322"/>
        <v>0</v>
      </c>
      <c r="P144" s="1583">
        <f t="shared" si="322"/>
        <v>0</v>
      </c>
      <c r="Q144" s="1583">
        <f t="shared" si="322"/>
        <v>0</v>
      </c>
      <c r="R144" s="1583">
        <f t="shared" si="322"/>
        <v>0</v>
      </c>
      <c r="S144" s="1583">
        <f t="shared" si="322"/>
        <v>0</v>
      </c>
      <c r="T144" s="1583">
        <f t="shared" si="322"/>
        <v>0</v>
      </c>
      <c r="U144" s="1583">
        <f t="shared" si="322"/>
        <v>0</v>
      </c>
      <c r="V144" s="1583">
        <f t="shared" si="322"/>
        <v>0</v>
      </c>
      <c r="W144" s="1583">
        <f t="shared" si="322"/>
        <v>0</v>
      </c>
      <c r="X144" s="1583">
        <f t="shared" si="322"/>
        <v>0</v>
      </c>
      <c r="Y144" s="1583">
        <f t="shared" si="322"/>
        <v>0</v>
      </c>
      <c r="Z144" s="1583">
        <f t="shared" si="322"/>
        <v>0</v>
      </c>
      <c r="AA144" s="1583">
        <f t="shared" si="322"/>
        <v>0</v>
      </c>
      <c r="AB144" s="1583">
        <f t="shared" si="322"/>
        <v>0</v>
      </c>
      <c r="AC144" s="1583">
        <f t="shared" si="322"/>
        <v>0</v>
      </c>
      <c r="AD144" s="1583">
        <f t="shared" si="322"/>
        <v>0</v>
      </c>
      <c r="AE144" s="1583">
        <f t="shared" si="322"/>
        <v>0</v>
      </c>
      <c r="AF144" s="1583">
        <f t="shared" si="322"/>
        <v>0</v>
      </c>
      <c r="AG144" s="1583">
        <f t="shared" si="322"/>
        <v>0</v>
      </c>
      <c r="AH144" s="1583">
        <f t="shared" si="322"/>
        <v>0</v>
      </c>
      <c r="AI144" s="1583">
        <f t="shared" si="322"/>
        <v>0</v>
      </c>
      <c r="AJ144" s="1583">
        <f t="shared" si="322"/>
        <v>0</v>
      </c>
      <c r="AK144" s="1583">
        <f t="shared" si="322"/>
        <v>0</v>
      </c>
      <c r="AL144" s="1583">
        <f t="shared" si="322"/>
        <v>0</v>
      </c>
      <c r="AM144" s="1174"/>
      <c r="BH144" s="9">
        <v>24</v>
      </c>
      <c r="BI144" s="1510">
        <f>IF(AND($AN$122&gt;BH144,$C$122=$BD$121),(AA$122),IF(AND($AN$122&gt;BH144,$C$122=$BD$122),(AA$122),IF(AND($AN$122&gt;BH144,$C$122=$BD$123),(AA$122),IF(AND($AN$122&gt;BH144,$C$122=$BD$124),(AA$121),IF(AND($AN$122&gt;BH144,$C$122=$BD$125),(AA$122),0)))))</f>
        <v>0</v>
      </c>
      <c r="BJ144" s="1510">
        <v>0</v>
      </c>
      <c r="BK144" s="1510">
        <v>0</v>
      </c>
      <c r="BL144" s="1510">
        <f t="shared" si="312"/>
        <v>0</v>
      </c>
      <c r="BM144" s="1505">
        <f t="shared" si="313"/>
        <v>0</v>
      </c>
      <c r="BN144" s="9">
        <v>24</v>
      </c>
      <c r="BO144" s="1510">
        <f>IF(AND($AN$127&gt;BN144,$C$127=$BD$121),(AA$127),IF(AND($AN$127&gt;BN144,$C$127=$BD$122),(AA$127),IF(AND($AN$127&gt;BN144,$C$127=$BD$123),(AA$127),IF(AND($AN$127&gt;BN144,$C$127=$BD$124),(AA$126),IF(AND($AN$127&gt;BN144,$C$127=$BD$125),(AA$127),0)))))</f>
        <v>0</v>
      </c>
      <c r="BP144" s="1510">
        <v>0</v>
      </c>
      <c r="BQ144" s="1510">
        <v>0</v>
      </c>
      <c r="BR144" s="1510">
        <f t="shared" si="301"/>
        <v>0</v>
      </c>
      <c r="BS144" s="1511">
        <f t="shared" si="309"/>
        <v>0</v>
      </c>
      <c r="BT144" s="9">
        <v>24</v>
      </c>
      <c r="BU144" s="1510">
        <f>IF(AND($AN$132&gt;BT144,$C$132=$BD$121),(AA$132),IF(AND($AN$132&gt;BT144,$C$132=$BD$122),(AA$132),IF(AND($AN$132&gt;BT144,$C$132=$BD$123),(AA$132),IF(AND($AN$132&gt;BT144,$C$132=$BD$124),(AA$131),IF(AND($AN$132&gt;BT144,$C$132=$BD$125),(AA$132),0)))))</f>
        <v>0</v>
      </c>
      <c r="BV144" s="1510">
        <v>0</v>
      </c>
      <c r="BW144" s="1510">
        <v>0</v>
      </c>
      <c r="BX144" s="1510">
        <f t="shared" si="302"/>
        <v>0</v>
      </c>
      <c r="BY144" s="1511">
        <f t="shared" si="303"/>
        <v>0</v>
      </c>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row>
    <row r="145" spans="2:102" ht="14.5" hidden="1" customHeight="1">
      <c r="B145" s="1626"/>
      <c r="C145" s="1304"/>
      <c r="D145" s="1167"/>
      <c r="E145" s="1167"/>
      <c r="F145" s="1167"/>
      <c r="G145" s="1167"/>
      <c r="H145" s="1167"/>
      <c r="I145" s="1167"/>
      <c r="J145" s="1167"/>
      <c r="K145" s="1167"/>
      <c r="L145" s="1167"/>
      <c r="M145" s="1167"/>
      <c r="N145" s="1167"/>
      <c r="O145" s="1167"/>
      <c r="P145" s="1167"/>
      <c r="Q145" s="1167"/>
      <c r="R145" s="1167"/>
      <c r="S145" s="1167"/>
      <c r="T145" s="1167"/>
      <c r="U145" s="1167"/>
      <c r="V145" s="1167"/>
      <c r="W145" s="1167"/>
      <c r="X145" s="1167"/>
      <c r="Y145" s="1382"/>
      <c r="Z145" s="1175"/>
      <c r="AA145" s="1167"/>
      <c r="AB145" s="1167"/>
      <c r="AC145" s="1167"/>
      <c r="AD145" s="1167"/>
      <c r="AE145" s="1167"/>
      <c r="AF145" s="1167"/>
      <c r="AG145" s="1167"/>
      <c r="AH145" s="1167"/>
      <c r="AI145" s="1167"/>
      <c r="AJ145" s="1167"/>
      <c r="AK145" s="1167"/>
      <c r="AL145" s="1167"/>
      <c r="AM145" s="1178"/>
      <c r="BH145" s="9">
        <v>25</v>
      </c>
      <c r="BI145" s="1510">
        <f>IF(AND($AN$122&gt;BH145,$C$122=$BD$121),(AB$122),IF(AND($AN$122&gt;BH145,$C$122=$BD$122),(AB$122),IF(AND($AN$122&gt;BH145,$C$122=$BD$123),(AB$122),IF(AND($AN$122&gt;BH145,$C$122=$BD$124),(AB$121),IF(AND($AN$122&gt;BH145,$C$122=$BD$125),(AB$122),0)))))</f>
        <v>0</v>
      </c>
      <c r="BJ145" s="1510">
        <v>0</v>
      </c>
      <c r="BK145" s="1510">
        <v>0</v>
      </c>
      <c r="BL145" s="1510">
        <f t="shared" si="312"/>
        <v>0</v>
      </c>
      <c r="BM145" s="1505">
        <f t="shared" si="313"/>
        <v>0</v>
      </c>
      <c r="BN145" s="9">
        <v>25</v>
      </c>
      <c r="BO145" s="1510">
        <f>IF(AND($AN$127&gt;BN145,$C$127=$BD$121),(AB$127),IF(AND($AN$127&gt;BN145,$C$127=$BD$122),(AB$127),IF(AND($AN$127&gt;BN145,$C$127=$BD$123),(AB$127),IF(AND($AN$127&gt;BN145,$C$127=$BD$124),(AB$126),IF(AND($AN$127&gt;BN145,$C$127=$BD$125),(AB$127),0)))))</f>
        <v>0</v>
      </c>
      <c r="BP145" s="1510">
        <v>0</v>
      </c>
      <c r="BQ145" s="1510">
        <v>0</v>
      </c>
      <c r="BR145" s="1510">
        <f t="shared" si="301"/>
        <v>0</v>
      </c>
      <c r="BS145" s="1511">
        <f t="shared" si="309"/>
        <v>0</v>
      </c>
      <c r="BT145" s="9">
        <v>25</v>
      </c>
      <c r="BU145" s="1510">
        <f>IF(AND($AN$132&gt;BT145,$C$132=$BD$121),(AB$132),IF(AND($AN$132&gt;BT145,$C$132=$BD$122),(AB$132),IF(AND($AN$132&gt;BT145,$C$132=$BD$123),(AB$132),IF(AND($AN$132&gt;BT145,$C$132=$BD$124),(AB$131),IF(AND($AN$132&gt;BT145,$C$132=$BD$125),(AB$132),0)))))</f>
        <v>0</v>
      </c>
      <c r="BV145" s="1510">
        <v>0</v>
      </c>
      <c r="BW145" s="1510">
        <v>0</v>
      </c>
      <c r="BX145" s="1510">
        <f t="shared" si="302"/>
        <v>0</v>
      </c>
      <c r="BY145" s="1511">
        <f t="shared" si="303"/>
        <v>0</v>
      </c>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row>
    <row r="146" spans="2:102" ht="14.5" hidden="1" customHeight="1">
      <c r="B146" s="1626"/>
      <c r="C146" s="1587"/>
      <c r="D146" s="1588"/>
      <c r="E146" s="1588"/>
      <c r="F146" s="1588"/>
      <c r="G146" s="1588"/>
      <c r="H146" s="1588"/>
      <c r="I146" s="1588"/>
      <c r="J146" s="1588"/>
      <c r="K146" s="1588"/>
      <c r="L146" s="1588"/>
      <c r="M146" s="1588"/>
      <c r="N146" s="1588"/>
      <c r="O146" s="1588"/>
      <c r="P146" s="1588"/>
      <c r="Q146" s="1588"/>
      <c r="R146" s="1588"/>
      <c r="S146" s="1588"/>
      <c r="T146" s="1588"/>
      <c r="U146" s="1588"/>
      <c r="V146" s="1588"/>
      <c r="W146" s="1588"/>
      <c r="X146" s="1588"/>
      <c r="Y146" s="1589"/>
      <c r="Z146" s="750"/>
      <c r="AA146" s="3"/>
      <c r="AB146" s="3"/>
      <c r="AC146" s="3"/>
      <c r="AD146" s="3"/>
      <c r="AE146" s="3"/>
      <c r="AF146" s="3"/>
      <c r="AG146" s="3"/>
      <c r="AH146" s="3"/>
      <c r="AI146" s="3"/>
      <c r="AJ146" s="3"/>
      <c r="AK146" s="3"/>
      <c r="AL146" s="3"/>
      <c r="AM146" s="1178"/>
      <c r="BH146" s="9">
        <v>26</v>
      </c>
      <c r="BI146" s="1510">
        <f>IF(AND($AN$122&gt;BH146,$C$122=$BD$121),(AC$122),IF(AND($AN$122&gt;BH146,$C$122=$BD$122),(AC$122),IF(AND($AN$122&gt;BH146,$C$122=$BD$123),(AC$122),IF(AND($AN$122&gt;BH146,$C$122=$BD$124),(AC$121),IF(AND($AN$122&gt;BH146,$C$122=$BD$125),(AC$122),0)))))</f>
        <v>0</v>
      </c>
      <c r="BJ146" s="1510">
        <v>0</v>
      </c>
      <c r="BK146" s="1510">
        <v>0</v>
      </c>
      <c r="BL146" s="1510">
        <f t="shared" si="312"/>
        <v>0</v>
      </c>
      <c r="BM146" s="1505">
        <f t="shared" si="313"/>
        <v>0</v>
      </c>
      <c r="BN146" s="9">
        <v>26</v>
      </c>
      <c r="BO146" s="1510">
        <f>IF(AND($AN$127&gt;BN146,$C$127=$BD$121),(AC$127),IF(AND($AN$127&gt;BN146,$C$127=$BD$122),(AC$127),IF(AND($AN$127&gt;BN146,$C$127=$BD$123),(AC$127),IF(AND($AN$127&gt;BN146,$C$127=$BD$124),(AC$126),IF(AND($AN$127&gt;BN146,$C$127=$BD$125),(AC$127),0)))))</f>
        <v>0</v>
      </c>
      <c r="BP146" s="1510">
        <v>0</v>
      </c>
      <c r="BQ146" s="1510">
        <v>0</v>
      </c>
      <c r="BR146" s="1510">
        <f t="shared" si="301"/>
        <v>0</v>
      </c>
      <c r="BS146" s="1511">
        <f t="shared" si="309"/>
        <v>0</v>
      </c>
      <c r="BT146" s="9">
        <v>26</v>
      </c>
      <c r="BU146" s="1510">
        <f>IF(AND($AN$132&gt;BT146,$C$132=$BD$121),(AC$132),IF(AND($AN$132&gt;BT146,$C$132=$BD$122),(AC$132),IF(AND($AN$132&gt;BT146,$C$132=$BD$123),(AC$132),IF(AND($AN$132&gt;BT146,$C$132=$BD$124),(AC$131),IF(AND($AN$132&gt;BT146,$C$132=$BD$125),(AC$132),0)))))</f>
        <v>0</v>
      </c>
      <c r="BV146" s="1510">
        <v>0</v>
      </c>
      <c r="BW146" s="1510">
        <v>0</v>
      </c>
      <c r="BX146" s="1510">
        <f t="shared" si="302"/>
        <v>0</v>
      </c>
      <c r="BY146" s="1511">
        <f t="shared" si="303"/>
        <v>0</v>
      </c>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02" ht="14.5" hidden="1" customHeight="1">
      <c r="B147" s="1626" t="b">
        <f>'12. Funding Sources'!I19="Yes"</f>
        <v>0</v>
      </c>
      <c r="C147" s="1570" t="s">
        <v>4508</v>
      </c>
      <c r="D147" s="1581">
        <f>IF(AND($B$147,D85&lt;=Term_9), '12. Funding Sources'!$N$19, 0)</f>
        <v>0</v>
      </c>
      <c r="E147" s="1581">
        <f>IF(AND($B$147,E85&lt;=Term_9), '12. Funding Sources'!$N$19, 0)</f>
        <v>0</v>
      </c>
      <c r="F147" s="1581">
        <f>IF(AND($B$147,F85&lt;=Term_9), '12. Funding Sources'!$N$19, 0)</f>
        <v>0</v>
      </c>
      <c r="G147" s="1581">
        <f>IF(AND($B$147,G85&lt;=Term_9), '12. Funding Sources'!$N$19, 0)</f>
        <v>0</v>
      </c>
      <c r="H147" s="1581">
        <f>IF(AND($B$147,H85&lt;=Term_9), '12. Funding Sources'!$N$19, 0)</f>
        <v>0</v>
      </c>
      <c r="I147" s="1581">
        <f>IF(AND($B$147,I85&lt;=Term_9), '12. Funding Sources'!$N$19, 0)</f>
        <v>0</v>
      </c>
      <c r="J147" s="1581">
        <f>IF(AND($B$147,J85&lt;=Term_9), '12. Funding Sources'!$N$19, 0)</f>
        <v>0</v>
      </c>
      <c r="K147" s="1581">
        <f>IF(AND($B$147,K85&lt;=Term_9), '12. Funding Sources'!$N$19, 0)</f>
        <v>0</v>
      </c>
      <c r="L147" s="1581">
        <f>IF(AND($B$147,L85&lt;=Term_9), '12. Funding Sources'!$N$19, 0)</f>
        <v>0</v>
      </c>
      <c r="M147" s="1581">
        <f>IF(AND($B$147,M85&lt;=Term_9), '12. Funding Sources'!$N$19, 0)</f>
        <v>0</v>
      </c>
      <c r="N147" s="1581">
        <f>IF(AND($B$147,N85&lt;=Term_9), '12. Funding Sources'!$N$19, 0)</f>
        <v>0</v>
      </c>
      <c r="O147" s="1581">
        <f>IF(AND($B$147,O85&lt;=Term_9), '12. Funding Sources'!$N$19, 0)</f>
        <v>0</v>
      </c>
      <c r="P147" s="1581">
        <f>IF(AND($B$147,P85&lt;=Term_9), '12. Funding Sources'!$N$19, 0)</f>
        <v>0</v>
      </c>
      <c r="Q147" s="1581">
        <f>IF(AND($B$147,Q85&lt;=Term_9), '12. Funding Sources'!$N$19, 0)</f>
        <v>0</v>
      </c>
      <c r="R147" s="1581">
        <f>IF(AND($B$147,R85&lt;=Term_9), '12. Funding Sources'!$N$19, 0)</f>
        <v>0</v>
      </c>
      <c r="S147" s="1581">
        <f>IF(AND($B$147,S85&lt;=Term_9), '12. Funding Sources'!$N$19, 0)</f>
        <v>0</v>
      </c>
      <c r="T147" s="1581">
        <f>IF(AND($B$147,T85&lt;=Term_9), '12. Funding Sources'!$N$19, 0)</f>
        <v>0</v>
      </c>
      <c r="U147" s="1581">
        <f>IF(AND($B$147,U85&lt;=Term_9), '12. Funding Sources'!$N$19, 0)</f>
        <v>0</v>
      </c>
      <c r="V147" s="1581">
        <f>IF(AND($B$147,V85&lt;=Term_9), '12. Funding Sources'!$N$19, 0)</f>
        <v>0</v>
      </c>
      <c r="W147" s="1581">
        <f>IF(AND($B$147,W85&lt;=Term_9), '12. Funding Sources'!$N$19, 0)</f>
        <v>0</v>
      </c>
      <c r="X147" s="1581">
        <f>IF(AND($B$147,X85&lt;=Term_9), '12. Funding Sources'!$N$19, 0)</f>
        <v>0</v>
      </c>
      <c r="Y147" s="1581">
        <f>IF(AND($B$147,Y85&lt;=Term_9), '12. Funding Sources'!$N$19, 0)</f>
        <v>0</v>
      </c>
      <c r="Z147" s="750"/>
      <c r="AA147" s="3"/>
      <c r="AB147" s="3"/>
      <c r="AC147" s="3"/>
      <c r="AD147" s="3"/>
      <c r="AE147" s="3"/>
      <c r="AF147" s="3"/>
      <c r="AG147" s="3"/>
      <c r="AH147" s="3"/>
      <c r="AI147" s="3"/>
      <c r="AJ147" s="3"/>
      <c r="AK147" s="3"/>
      <c r="AL147" s="3"/>
      <c r="AM147" s="1178"/>
      <c r="BH147" s="9">
        <v>27</v>
      </c>
      <c r="BI147" s="1510">
        <f>IF(AND($AN$122&gt;BH147,$C$122=$BD$121),(AD$122),IF(AND($AN$122&gt;BH147,$C$122=$BD$122),(AD$122),IF(AND($AN$122&gt;BH147,$C$122=$BD$123),(AD$122),IF(AND($AN$122&gt;BH147,$C$122=$BD$124),(AD$121),IF(AND($AN$122&gt;BH147,$C$122=$BD$125),(AD$122),0)))))</f>
        <v>0</v>
      </c>
      <c r="BJ147" s="1510">
        <v>0</v>
      </c>
      <c r="BK147" s="1510">
        <v>0</v>
      </c>
      <c r="BL147" s="1510">
        <f t="shared" si="312"/>
        <v>0</v>
      </c>
      <c r="BM147" s="1505">
        <f t="shared" si="313"/>
        <v>0</v>
      </c>
      <c r="BN147" s="9">
        <v>27</v>
      </c>
      <c r="BO147" s="1510">
        <f>IF(AND($AN$127&gt;BN147,$C$127=$BD$121),(AD$127),IF(AND($AN$127&gt;BN147,$C$127=$BD$122),(AD$127),IF(AND($AN$127&gt;BN147,$C$127=$BD$123),(AD$127),IF(AND($AN$127&gt;BN147,$C$127=$BD$124),(AD$126),IF(AND($AN$127&gt;BN147,$C$127=$BD$125),(AD$127),0)))))</f>
        <v>0</v>
      </c>
      <c r="BP147" s="1510">
        <v>0</v>
      </c>
      <c r="BQ147" s="1510">
        <v>0</v>
      </c>
      <c r="BR147" s="1510">
        <f t="shared" si="301"/>
        <v>0</v>
      </c>
      <c r="BS147" s="1511">
        <f t="shared" si="309"/>
        <v>0</v>
      </c>
      <c r="BT147" s="9">
        <v>27</v>
      </c>
      <c r="BU147" s="1510">
        <f>IF(AND($AN$132&gt;BT147,$C$132=$BD$121),(AD$132),IF(AND($AN$132&gt;BT147,$C$132=$BD$122),(AD$132),IF(AND($AN$132&gt;BT147,$C$132=$BD$123),(AD$132),IF(AND($AN$132&gt;BT147,$C$132=$BD$124),(AD$131),IF(AND($AN$132&gt;BT147,$C$132=$BD$125),(AD$132),0)))))</f>
        <v>0</v>
      </c>
      <c r="BV147" s="1510">
        <v>0</v>
      </c>
      <c r="BW147" s="1510">
        <v>0</v>
      </c>
      <c r="BX147" s="1510">
        <f t="shared" si="302"/>
        <v>0</v>
      </c>
      <c r="BY147" s="1511">
        <f t="shared" si="303"/>
        <v>0</v>
      </c>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2:102" ht="14.5" hidden="1" customHeight="1">
      <c r="B148" s="1626"/>
      <c r="C148" s="1570" t="s">
        <v>4509</v>
      </c>
      <c r="D148" s="1582">
        <f t="shared" ref="D148:Y148" si="323">+IFERROR(IF(D147&gt;0,D$86/(D$90+D$96+D$100+D$104+D$108+D$112+D$116+D$147),0),"N/A")</f>
        <v>0</v>
      </c>
      <c r="E148" s="1582">
        <f t="shared" si="323"/>
        <v>0</v>
      </c>
      <c r="F148" s="1582">
        <f t="shared" si="323"/>
        <v>0</v>
      </c>
      <c r="G148" s="1582">
        <f t="shared" si="323"/>
        <v>0</v>
      </c>
      <c r="H148" s="1582">
        <f t="shared" si="323"/>
        <v>0</v>
      </c>
      <c r="I148" s="1582">
        <f t="shared" si="323"/>
        <v>0</v>
      </c>
      <c r="J148" s="1582">
        <f t="shared" si="323"/>
        <v>0</v>
      </c>
      <c r="K148" s="1582">
        <f t="shared" si="323"/>
        <v>0</v>
      </c>
      <c r="L148" s="1582">
        <f t="shared" si="323"/>
        <v>0</v>
      </c>
      <c r="M148" s="1582">
        <f t="shared" si="323"/>
        <v>0</v>
      </c>
      <c r="N148" s="1582">
        <f t="shared" si="323"/>
        <v>0</v>
      </c>
      <c r="O148" s="1582">
        <f t="shared" si="323"/>
        <v>0</v>
      </c>
      <c r="P148" s="1582">
        <f t="shared" si="323"/>
        <v>0</v>
      </c>
      <c r="Q148" s="1582">
        <f t="shared" si="323"/>
        <v>0</v>
      </c>
      <c r="R148" s="1582">
        <f t="shared" si="323"/>
        <v>0</v>
      </c>
      <c r="S148" s="1582">
        <f t="shared" si="323"/>
        <v>0</v>
      </c>
      <c r="T148" s="1582">
        <f t="shared" si="323"/>
        <v>0</v>
      </c>
      <c r="U148" s="1582">
        <f t="shared" si="323"/>
        <v>0</v>
      </c>
      <c r="V148" s="1582">
        <f t="shared" si="323"/>
        <v>0</v>
      </c>
      <c r="W148" s="1582">
        <f t="shared" si="323"/>
        <v>0</v>
      </c>
      <c r="X148" s="1582">
        <f t="shared" si="323"/>
        <v>0</v>
      </c>
      <c r="Y148" s="1582">
        <f t="shared" si="323"/>
        <v>0</v>
      </c>
      <c r="Z148" s="750"/>
      <c r="AA148" s="3"/>
      <c r="AB148" s="3"/>
      <c r="AC148" s="3"/>
      <c r="AD148" s="3"/>
      <c r="AE148" s="3"/>
      <c r="AF148" s="3"/>
      <c r="AG148" s="3"/>
      <c r="AH148" s="3"/>
      <c r="AI148" s="3"/>
      <c r="AJ148" s="3"/>
      <c r="AK148" s="3"/>
      <c r="AL148" s="3"/>
      <c r="AM148" s="1178"/>
      <c r="BH148" s="9">
        <v>28</v>
      </c>
      <c r="BI148" s="1510">
        <f>IF(AND($AN$122&gt;BH148,$C$122=$BD$121),(AE$122),IF(AND($AN$122&gt;BH148,$C$122=$BD$122),(AE$122),IF(AND($AN$122&gt;BH148,$C$122=$BD$123),(AE$122),IF(AND($AN$122&gt;BH148,$C$122=$BD$124),(AE$121),IF(AND($AN$122&gt;BH148,$C$122=$BD$125),(AE$122),0)))))</f>
        <v>0</v>
      </c>
      <c r="BJ148" s="1510">
        <v>0</v>
      </c>
      <c r="BK148" s="1510">
        <v>0</v>
      </c>
      <c r="BL148" s="1510">
        <f t="shared" si="312"/>
        <v>0</v>
      </c>
      <c r="BM148" s="1505">
        <f t="shared" si="313"/>
        <v>0</v>
      </c>
      <c r="BN148" s="9">
        <v>28</v>
      </c>
      <c r="BO148" s="1510">
        <f>IF(AND($AN$127&gt;BN148,$C$127=$BD$121),(AE$127),IF(AND($AN$127&gt;BN148,$C$127=$BD$122),(AE$127),IF(AND($AN$127&gt;BN148,$C$127=$BD$123),(AE$127),IF(AND($AN$127&gt;BN148,$C$127=$BD$124),(AE$126),IF(AND($AN$127&gt;BN148,$C$127=$BD$125),(AE$127),0)))))</f>
        <v>0</v>
      </c>
      <c r="BP148" s="1510">
        <v>0</v>
      </c>
      <c r="BQ148" s="1510">
        <v>0</v>
      </c>
      <c r="BR148" s="1510">
        <f t="shared" si="301"/>
        <v>0</v>
      </c>
      <c r="BS148" s="1511">
        <f t="shared" si="309"/>
        <v>0</v>
      </c>
      <c r="BT148" s="9">
        <v>28</v>
      </c>
      <c r="BU148" s="1510">
        <f>IF(AND($AN$132&gt;BT148,$C$132=$BD$121),(AE$132),IF(AND($AN$132&gt;BT148,$C$132=$BD$122),(AE$132),IF(AND($AN$132&gt;BT148,$C$132=$BD$123),(AE$132),IF(AND($AN$132&gt;BT148,$C$132=$BD$124),(AE$131),IF(AND($AN$132&gt;BT148,$C$132=$BD$125),(AE$132),0)))))</f>
        <v>0</v>
      </c>
      <c r="BV148" s="1510">
        <v>0</v>
      </c>
      <c r="BW148" s="1510">
        <v>0</v>
      </c>
      <c r="BX148" s="1510">
        <f t="shared" si="302"/>
        <v>0</v>
      </c>
      <c r="BY148" s="1511">
        <f t="shared" si="303"/>
        <v>0</v>
      </c>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row>
    <row r="149" spans="2:102" ht="14.5" hidden="1" customHeight="1">
      <c r="B149" s="1626"/>
      <c r="C149" s="1570" t="s">
        <v>4510</v>
      </c>
      <c r="D149" s="1583">
        <f t="shared" ref="D149:Y149" si="324">D118-D147</f>
        <v>0</v>
      </c>
      <c r="E149" s="1583">
        <f t="shared" si="324"/>
        <v>0</v>
      </c>
      <c r="F149" s="1583">
        <f t="shared" si="324"/>
        <v>0</v>
      </c>
      <c r="G149" s="1583">
        <f t="shared" si="324"/>
        <v>0</v>
      </c>
      <c r="H149" s="1583">
        <f t="shared" si="324"/>
        <v>0</v>
      </c>
      <c r="I149" s="1583">
        <f t="shared" si="324"/>
        <v>0</v>
      </c>
      <c r="J149" s="1583">
        <f t="shared" si="324"/>
        <v>0</v>
      </c>
      <c r="K149" s="1583">
        <f t="shared" si="324"/>
        <v>0</v>
      </c>
      <c r="L149" s="1583">
        <f t="shared" si="324"/>
        <v>0</v>
      </c>
      <c r="M149" s="1583">
        <f t="shared" si="324"/>
        <v>0</v>
      </c>
      <c r="N149" s="1583">
        <f t="shared" si="324"/>
        <v>0</v>
      </c>
      <c r="O149" s="1583">
        <f t="shared" si="324"/>
        <v>0</v>
      </c>
      <c r="P149" s="1583">
        <f t="shared" si="324"/>
        <v>0</v>
      </c>
      <c r="Q149" s="1583">
        <f t="shared" si="324"/>
        <v>0</v>
      </c>
      <c r="R149" s="1583">
        <f t="shared" si="324"/>
        <v>0</v>
      </c>
      <c r="S149" s="1583">
        <f t="shared" si="324"/>
        <v>0</v>
      </c>
      <c r="T149" s="1583">
        <f t="shared" si="324"/>
        <v>0</v>
      </c>
      <c r="U149" s="1583">
        <f t="shared" si="324"/>
        <v>0</v>
      </c>
      <c r="V149" s="1583">
        <f t="shared" si="324"/>
        <v>0</v>
      </c>
      <c r="W149" s="1583">
        <f t="shared" si="324"/>
        <v>0</v>
      </c>
      <c r="X149" s="1583">
        <f t="shared" si="324"/>
        <v>0</v>
      </c>
      <c r="Y149" s="1583">
        <f t="shared" si="324"/>
        <v>0</v>
      </c>
      <c r="Z149" s="750"/>
      <c r="AA149" s="3"/>
      <c r="AB149" s="3"/>
      <c r="AC149" s="3"/>
      <c r="AD149" s="3"/>
      <c r="AE149" s="3"/>
      <c r="AF149" s="3"/>
      <c r="AG149" s="3"/>
      <c r="AH149" s="3"/>
      <c r="AI149" s="3"/>
      <c r="AJ149" s="3"/>
      <c r="AK149" s="3"/>
      <c r="AL149" s="3"/>
      <c r="AM149" s="1178"/>
      <c r="BH149" s="9">
        <v>29</v>
      </c>
      <c r="BI149" s="1510">
        <f>IF(AND($AN$122&gt;BH149,$C$122=$BD$121),(AF$122),IF(AND($AN$122&gt;BH149,$C$122=$BD$122),(AF$122),IF(AND($AN$122&gt;BH149,$C$122=$BD$123),(AF$122),IF(AND($AN$122&gt;BH149,$C$122=$BD$124),(AF$121),IF(AND($AN$122&gt;BH149,$C$122=$BD$125),(AF$122),0)))))</f>
        <v>0</v>
      </c>
      <c r="BJ149" s="1510">
        <v>0</v>
      </c>
      <c r="BK149" s="1510">
        <v>0</v>
      </c>
      <c r="BL149" s="1510">
        <f t="shared" si="312"/>
        <v>0</v>
      </c>
      <c r="BM149" s="1505">
        <f t="shared" si="313"/>
        <v>0</v>
      </c>
      <c r="BN149" s="9">
        <v>29</v>
      </c>
      <c r="BO149" s="1510">
        <f>IF(AND($AN$127&gt;BN149,$C$127=$BD$121),(AF$127),IF(AND($AN$127&gt;BN149,$C$127=$BD$122),(AF$127),IF(AND($AN$127&gt;BN149,$C$127=$BD$123),(AF$127),IF(AND($AN$127&gt;BN149,$C$127=$BD$124),(AF$126),IF(AND($AN$127&gt;BN149,$C$127=$BD$125),(AF$127),0)))))</f>
        <v>0</v>
      </c>
      <c r="BP149" s="1510">
        <v>0</v>
      </c>
      <c r="BQ149" s="1510">
        <v>0</v>
      </c>
      <c r="BR149" s="1510">
        <f t="shared" si="301"/>
        <v>0</v>
      </c>
      <c r="BS149" s="1511">
        <f t="shared" si="309"/>
        <v>0</v>
      </c>
      <c r="BT149" s="9">
        <v>29</v>
      </c>
      <c r="BU149" s="1510">
        <f>IF(AND($AN$132&gt;BT149,$C$132=$BD$121),(AF$132),IF(AND($AN$132&gt;BT149,$C$132=$BD$122),(AF$132),IF(AND($AN$132&gt;BT149,$C$132=$BD$123),(AF$132),IF(AND($AN$132&gt;BT149,$C$132=$BD$124),(AF$131),IF(AND($AN$132&gt;BT149,$C$132=$BD$125),(AF$132),0)))))</f>
        <v>0</v>
      </c>
      <c r="BV149" s="1510">
        <v>0</v>
      </c>
      <c r="BW149" s="1510">
        <v>0</v>
      </c>
      <c r="BX149" s="1510">
        <f t="shared" si="302"/>
        <v>0</v>
      </c>
      <c r="BY149" s="1511">
        <f t="shared" si="303"/>
        <v>0</v>
      </c>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ht="14.5" hidden="1" customHeight="1">
      <c r="B150" s="1626"/>
      <c r="C150" s="1587"/>
      <c r="D150" s="1588"/>
      <c r="E150" s="1588"/>
      <c r="F150" s="1588"/>
      <c r="G150" s="1588"/>
      <c r="H150" s="1588"/>
      <c r="I150" s="1588"/>
      <c r="J150" s="1588"/>
      <c r="K150" s="1588"/>
      <c r="L150" s="1588"/>
      <c r="M150" s="1588"/>
      <c r="N150" s="1588"/>
      <c r="O150" s="1588"/>
      <c r="P150" s="1588"/>
      <c r="Q150" s="1588"/>
      <c r="R150" s="1588"/>
      <c r="S150" s="1588"/>
      <c r="T150" s="1588"/>
      <c r="U150" s="1588"/>
      <c r="V150" s="1588"/>
      <c r="W150" s="1588"/>
      <c r="X150" s="1588"/>
      <c r="Y150" s="1589"/>
      <c r="Z150" s="750"/>
      <c r="AA150" s="3"/>
      <c r="AB150" s="3"/>
      <c r="AC150" s="3"/>
      <c r="AD150" s="3"/>
      <c r="AE150" s="3"/>
      <c r="AF150" s="3"/>
      <c r="AG150" s="3"/>
      <c r="AH150" s="3"/>
      <c r="AI150" s="3"/>
      <c r="AJ150" s="3"/>
      <c r="AK150" s="3"/>
      <c r="AL150" s="3"/>
      <c r="AM150" s="1178"/>
      <c r="BH150" s="9">
        <v>30</v>
      </c>
      <c r="BI150" s="1510">
        <f>IF(AND($AN$122&gt;BH150,$C$122=$BD$121),(AG$122),IF(AND($AN$122&gt;BH150,$C$122=$BD$122),(AG$122),IF(AND($AN$122&gt;BH150,$C$122=$BD$123),(AG$122),IF(AND($AN$122&gt;BH150,$C$122=$BD$124),(AG$121),IF(AND($AN$122&gt;BH150,$C$122=$BD$125),(AG$122),0)))))</f>
        <v>0</v>
      </c>
      <c r="BJ150" s="1510">
        <v>0</v>
      </c>
      <c r="BK150" s="1510">
        <v>0</v>
      </c>
      <c r="BL150" s="1510">
        <f t="shared" si="312"/>
        <v>0</v>
      </c>
      <c r="BM150" s="1505">
        <f t="shared" si="313"/>
        <v>0</v>
      </c>
      <c r="BN150" s="9">
        <v>30</v>
      </c>
      <c r="BO150" s="1510">
        <f>IF(AND($AN$127&gt;BN150,$C$127=$BD$121),(AG$127),IF(AND($AN$127&gt;BN150,$C$127=$BD$122),(AG$127),IF(AND($AN$127&gt;BN150,$C$127=$BD$123),(AG$127),IF(AND($AN$127&gt;BN150,$C$127=$BD$124),(AG$126),IF(AND($AN$127&gt;BN150,$C$127=$BD$125),(AG$127),0)))))</f>
        <v>0</v>
      </c>
      <c r="BP150" s="1510">
        <v>0</v>
      </c>
      <c r="BQ150" s="1510">
        <v>0</v>
      </c>
      <c r="BR150" s="1510">
        <f t="shared" si="301"/>
        <v>0</v>
      </c>
      <c r="BS150" s="1511">
        <f t="shared" si="309"/>
        <v>0</v>
      </c>
      <c r="BT150" s="9">
        <v>30</v>
      </c>
      <c r="BU150" s="1510">
        <f>IF(AND($AN$132&gt;BT150,$C$132=$BD$121),(AG$132),IF(AND($AN$132&gt;BT150,$C$132=$BD$122),(AG$132),IF(AND($AN$132&gt;BT150,$C$132=$BD$123),(AG$132),IF(AND($AN$132&gt;BT150,$C$132=$BD$124),(AG$131),IF(AND($AN$132&gt;BT150,$C$132=$BD$125),(AG$132),0)))))</f>
        <v>0</v>
      </c>
      <c r="BV150" s="1510">
        <v>0</v>
      </c>
      <c r="BW150" s="1510">
        <v>0</v>
      </c>
      <c r="BX150" s="1510">
        <f t="shared" si="302"/>
        <v>0</v>
      </c>
      <c r="BY150" s="1511">
        <f t="shared" si="303"/>
        <v>0</v>
      </c>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ht="14.5" hidden="1" customHeight="1">
      <c r="B151" s="1626" t="b">
        <f>'12. Funding Sources'!I20="Yes"</f>
        <v>0</v>
      </c>
      <c r="C151" s="1570" t="s">
        <v>4511</v>
      </c>
      <c r="D151" s="1581">
        <f>IF(AND($B$151,D85&lt;=Term_10), '12. Funding Sources'!$N$20, 0)</f>
        <v>0</v>
      </c>
      <c r="E151" s="1581">
        <f>IF(AND($B$151,E85&lt;=Term_10), '12. Funding Sources'!$N$20, 0)</f>
        <v>0</v>
      </c>
      <c r="F151" s="1581">
        <f>IF(AND($B$151,F85&lt;=Term_10), '12. Funding Sources'!$N$20, 0)</f>
        <v>0</v>
      </c>
      <c r="G151" s="1581">
        <f>IF(AND($B$151,G85&lt;=Term_10), '12. Funding Sources'!$N$20, 0)</f>
        <v>0</v>
      </c>
      <c r="H151" s="1581">
        <f>IF(AND($B$151,H85&lt;=Term_10), '12. Funding Sources'!$N$20, 0)</f>
        <v>0</v>
      </c>
      <c r="I151" s="1581">
        <f>IF(AND($B$151,I85&lt;=Term_10), '12. Funding Sources'!$N$20, 0)</f>
        <v>0</v>
      </c>
      <c r="J151" s="1581">
        <f>IF(AND($B$151,J85&lt;=Term_10), '12. Funding Sources'!$N$20, 0)</f>
        <v>0</v>
      </c>
      <c r="K151" s="1581">
        <f>IF(AND($B$151,K85&lt;=Term_10), '12. Funding Sources'!$N$20, 0)</f>
        <v>0</v>
      </c>
      <c r="L151" s="1581">
        <f>IF(AND($B$151,L85&lt;=Term_10), '12. Funding Sources'!$N$20, 0)</f>
        <v>0</v>
      </c>
      <c r="M151" s="1581">
        <f>IF(AND($B$151,M85&lt;=Term_10), '12. Funding Sources'!$N$20, 0)</f>
        <v>0</v>
      </c>
      <c r="N151" s="1581">
        <f>IF(AND($B$151,N85&lt;=Term_10), '12. Funding Sources'!$N$20, 0)</f>
        <v>0</v>
      </c>
      <c r="O151" s="1581">
        <f>IF(AND($B$151,O85&lt;=Term_10), '12. Funding Sources'!$N$20, 0)</f>
        <v>0</v>
      </c>
      <c r="P151" s="1581">
        <f>IF(AND($B$151,P85&lt;=Term_10), '12. Funding Sources'!$N$20, 0)</f>
        <v>0</v>
      </c>
      <c r="Q151" s="1581">
        <f>IF(AND($B$151,Q85&lt;=Term_10), '12. Funding Sources'!$N$20, 0)</f>
        <v>0</v>
      </c>
      <c r="R151" s="1581">
        <f>IF(AND($B$151,R85&lt;=Term_10), '12. Funding Sources'!$N$20, 0)</f>
        <v>0</v>
      </c>
      <c r="S151" s="1581">
        <f>IF(AND($B$151,S85&lt;=Term_10), '12. Funding Sources'!$N$20, 0)</f>
        <v>0</v>
      </c>
      <c r="T151" s="1581">
        <f>IF(AND($B$151,T85&lt;=Term_10), '12. Funding Sources'!$N$20, 0)</f>
        <v>0</v>
      </c>
      <c r="U151" s="1581">
        <f>IF(AND($B$151,U85&lt;=Term_10), '12. Funding Sources'!$N$20, 0)</f>
        <v>0</v>
      </c>
      <c r="V151" s="1581">
        <f>IF(AND($B$151,V85&lt;=Term_10), '12. Funding Sources'!$N$20, 0)</f>
        <v>0</v>
      </c>
      <c r="W151" s="1581">
        <f>IF(AND($B$151,W85&lt;=Term_10), '12. Funding Sources'!$N$20, 0)</f>
        <v>0</v>
      </c>
      <c r="X151" s="1581">
        <f>IF(AND($B$151,X85&lt;=Term_10), '12. Funding Sources'!$N$20, 0)</f>
        <v>0</v>
      </c>
      <c r="Y151" s="1581">
        <f>IF(AND($B$151,Y85&lt;=Term_10), '12. Funding Sources'!$N$20, 0)</f>
        <v>0</v>
      </c>
      <c r="Z151" s="750"/>
      <c r="AA151" s="3"/>
      <c r="AB151" s="3"/>
      <c r="AC151" s="3"/>
      <c r="AD151" s="3"/>
      <c r="AE151" s="3"/>
      <c r="AF151" s="3"/>
      <c r="AG151" s="3"/>
      <c r="AH151" s="3"/>
      <c r="AI151" s="3"/>
      <c r="AJ151" s="3"/>
      <c r="AK151" s="3"/>
      <c r="AL151" s="3"/>
      <c r="AM151" s="1178"/>
      <c r="AN151" s="1517">
        <f>_xlfn.XLOOKUP(C150,'12. Funding Sources'!$C$11:$C$20,'12. Funding Sources'!$L$11:$L$20,36)</f>
        <v>36</v>
      </c>
      <c r="AO151" s="1515">
        <f>_xlfn.XLOOKUP(C150,'12. Funding Sources'!$C$11:$C$20,'17. Cash Flow and Reserves'!$AT$121:$AT$130,0)*AN151</f>
        <v>0</v>
      </c>
      <c r="BH151" s="9">
        <v>31</v>
      </c>
      <c r="BI151" s="1510">
        <f>IF(AND($AN$122&gt;BH151,$C$122=$BD$121),(AH$122),IF(AND($AN$122&gt;BH151,$C$122=$BD$122),(AH$122),IF(AND($AN$122&gt;BH151,$C$122=$BD$123),(AH$122),IF(AND($AN$122&gt;BH151,$C$122=$BD$124),(AH$121),IF(AND($AN$122&gt;BH151,$C$122=$BD$125),(AH$122),0)))))</f>
        <v>0</v>
      </c>
      <c r="BJ151" s="1510">
        <v>0</v>
      </c>
      <c r="BK151" s="1510">
        <v>0</v>
      </c>
      <c r="BL151" s="1510">
        <f t="shared" si="312"/>
        <v>0</v>
      </c>
      <c r="BM151" s="1505">
        <f t="shared" si="313"/>
        <v>0</v>
      </c>
      <c r="BN151" s="9">
        <v>31</v>
      </c>
      <c r="BO151" s="1510">
        <f>IF(AND($AN$127&gt;BN151,$C$127=$BD$121),(AH$127),IF(AND($AN$127&gt;BN151,$C$127=$BD$122),(AH$127),IF(AND($AN$127&gt;BN151,$C$127=$BD$123),(AH$127),IF(AND($AN$127&gt;BN151,$C$127=$BD$124),(AH$126),IF(AND($AN$127&gt;BN151,$C$127=$BD$125),(AH$127),0)))))</f>
        <v>0</v>
      </c>
      <c r="BP151" s="1510">
        <v>0</v>
      </c>
      <c r="BQ151" s="1510">
        <v>0</v>
      </c>
      <c r="BR151" s="1510">
        <f t="shared" si="301"/>
        <v>0</v>
      </c>
      <c r="BS151" s="1511">
        <f t="shared" si="309"/>
        <v>0</v>
      </c>
      <c r="BT151" s="9">
        <v>31</v>
      </c>
      <c r="BU151" s="1510">
        <f>IF(AND($AN$132&gt;BT151,$C$132=$BD$121),(AH$132),IF(AND($AN$132&gt;BT151,$C$132=$BD$122),(AH$132),IF(AND($AN$132&gt;BT151,$C$132=$BD$123),(AH$132),IF(AND($AN$132&gt;BT151,$C$132=$BD$124),(AH$131),IF(AND($AN$132&gt;BT151,$C$132=$BD$125),(AH$132),0)))))</f>
        <v>0</v>
      </c>
      <c r="BV151" s="1510">
        <v>0</v>
      </c>
      <c r="BW151" s="1510">
        <v>0</v>
      </c>
      <c r="BX151" s="1510">
        <f t="shared" si="302"/>
        <v>0</v>
      </c>
      <c r="BY151" s="1511">
        <f t="shared" si="303"/>
        <v>0</v>
      </c>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t="14.5" hidden="1" customHeight="1">
      <c r="B152" s="1626"/>
      <c r="C152" s="1570" t="s">
        <v>4512</v>
      </c>
      <c r="D152" s="1582">
        <f t="shared" ref="D152:Y152" si="325">+IFERROR(IF(D151&gt;0,D$86/(D$90+D$96+D$100+D$104+D$108+D$112+D$116+D$147+D151),0),"N/A")</f>
        <v>0</v>
      </c>
      <c r="E152" s="1582">
        <f t="shared" si="325"/>
        <v>0</v>
      </c>
      <c r="F152" s="1582">
        <f t="shared" si="325"/>
        <v>0</v>
      </c>
      <c r="G152" s="1582">
        <f t="shared" si="325"/>
        <v>0</v>
      </c>
      <c r="H152" s="1582">
        <f t="shared" si="325"/>
        <v>0</v>
      </c>
      <c r="I152" s="1582">
        <f t="shared" si="325"/>
        <v>0</v>
      </c>
      <c r="J152" s="1582">
        <f t="shared" si="325"/>
        <v>0</v>
      </c>
      <c r="K152" s="1582">
        <f t="shared" si="325"/>
        <v>0</v>
      </c>
      <c r="L152" s="1582">
        <f t="shared" si="325"/>
        <v>0</v>
      </c>
      <c r="M152" s="1582">
        <f t="shared" si="325"/>
        <v>0</v>
      </c>
      <c r="N152" s="1582">
        <f t="shared" si="325"/>
        <v>0</v>
      </c>
      <c r="O152" s="1582">
        <f t="shared" si="325"/>
        <v>0</v>
      </c>
      <c r="P152" s="1582">
        <f t="shared" si="325"/>
        <v>0</v>
      </c>
      <c r="Q152" s="1582">
        <f t="shared" si="325"/>
        <v>0</v>
      </c>
      <c r="R152" s="1582">
        <f t="shared" si="325"/>
        <v>0</v>
      </c>
      <c r="S152" s="1582">
        <f t="shared" si="325"/>
        <v>0</v>
      </c>
      <c r="T152" s="1582">
        <f t="shared" si="325"/>
        <v>0</v>
      </c>
      <c r="U152" s="1582">
        <f t="shared" si="325"/>
        <v>0</v>
      </c>
      <c r="V152" s="1582">
        <f t="shared" si="325"/>
        <v>0</v>
      </c>
      <c r="W152" s="1582">
        <f t="shared" si="325"/>
        <v>0</v>
      </c>
      <c r="X152" s="1582">
        <f t="shared" si="325"/>
        <v>0</v>
      </c>
      <c r="Y152" s="1582">
        <f t="shared" si="325"/>
        <v>0</v>
      </c>
      <c r="Z152" s="750"/>
      <c r="AA152" s="3"/>
      <c r="AB152" s="3"/>
      <c r="AC152" s="3"/>
      <c r="AD152" s="3"/>
      <c r="AE152" s="3"/>
      <c r="AF152" s="3"/>
      <c r="AG152" s="3"/>
      <c r="AH152" s="3"/>
      <c r="AI152" s="3"/>
      <c r="AJ152" s="3"/>
      <c r="AK152" s="3"/>
      <c r="AL152" s="3"/>
      <c r="AM152" s="1178"/>
      <c r="BH152" s="9">
        <v>32</v>
      </c>
      <c r="BI152" s="1510">
        <f>IF(AND($AN$122&gt;BH152,$C$122=$BD$121),(AI$122),IF(AND($AN$122&gt;BH152,$C$122=$BD$122),(AI$122),IF(AND($AN$122&gt;BH152,$C$122=$BD$123),(AI$122),IF(AND($AN$122&gt;BH152,$C$122=$BD$124),(AI$121),IF(AND($AN$122&gt;BH152,$C$122=$BD$125),(AI$122),0)))))</f>
        <v>0</v>
      </c>
      <c r="BJ152" s="1510">
        <v>0</v>
      </c>
      <c r="BK152" s="1510">
        <v>0</v>
      </c>
      <c r="BL152" s="1510">
        <f t="shared" si="312"/>
        <v>0</v>
      </c>
      <c r="BM152" s="1505">
        <f t="shared" si="313"/>
        <v>0</v>
      </c>
      <c r="BN152" s="9">
        <v>32</v>
      </c>
      <c r="BO152" s="1510">
        <f>IF(AND($AN$127&gt;BN152,$C$127=$BD$121),(AI$127),IF(AND($AN$127&gt;BN152,$C$127=$BD$122),(AI$127),IF(AND($AN$127&gt;BN152,$C$127=$BD$123),(AI$127),IF(AND($AN$127&gt;BN152,$C$127=$BD$124),(AI$126),IF(AND($AN$127&gt;BN152,$C$127=$BD$125),(AI$127),0)))))</f>
        <v>0</v>
      </c>
      <c r="BP152" s="1510">
        <v>0</v>
      </c>
      <c r="BQ152" s="1510">
        <v>0</v>
      </c>
      <c r="BR152" s="1510">
        <f t="shared" si="301"/>
        <v>0</v>
      </c>
      <c r="BS152" s="1511">
        <f t="shared" si="309"/>
        <v>0</v>
      </c>
      <c r="BT152" s="9">
        <v>32</v>
      </c>
      <c r="BU152" s="1510">
        <f>IF(AND($AN$132&gt;BT152,$C$132=$BD$121),(AI$132),IF(AND($AN$132&gt;BT152,$C$132=$BD$122),(AI$132),IF(AND($AN$132&gt;BT152,$C$132=$BD$123),(AI$132),IF(AND($AN$132&gt;BT152,$C$132=$BD$124),(AI$131),IF(AND($AN$132&gt;BT152,$C$132=$BD$125),(AI$132),0)))))</f>
        <v>0</v>
      </c>
      <c r="BV152" s="1510">
        <v>0</v>
      </c>
      <c r="BW152" s="1510">
        <v>0</v>
      </c>
      <c r="BX152" s="1510">
        <f t="shared" si="302"/>
        <v>0</v>
      </c>
      <c r="BY152" s="1511">
        <f t="shared" si="303"/>
        <v>0</v>
      </c>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ht="14.5" hidden="1" customHeight="1" thickBot="1">
      <c r="B153" s="1626"/>
      <c r="C153" s="1570" t="s">
        <v>4507</v>
      </c>
      <c r="D153" s="1583">
        <f t="shared" ref="D153:Y153" si="326">D149-D151</f>
        <v>0</v>
      </c>
      <c r="E153" s="1583">
        <f t="shared" si="326"/>
        <v>0</v>
      </c>
      <c r="F153" s="1583">
        <f t="shared" si="326"/>
        <v>0</v>
      </c>
      <c r="G153" s="1583">
        <f t="shared" si="326"/>
        <v>0</v>
      </c>
      <c r="H153" s="1583">
        <f t="shared" si="326"/>
        <v>0</v>
      </c>
      <c r="I153" s="1583">
        <f t="shared" si="326"/>
        <v>0</v>
      </c>
      <c r="J153" s="1583">
        <f t="shared" si="326"/>
        <v>0</v>
      </c>
      <c r="K153" s="1583">
        <f t="shared" si="326"/>
        <v>0</v>
      </c>
      <c r="L153" s="1583">
        <f t="shared" si="326"/>
        <v>0</v>
      </c>
      <c r="M153" s="1583">
        <f t="shared" si="326"/>
        <v>0</v>
      </c>
      <c r="N153" s="1583">
        <f t="shared" si="326"/>
        <v>0</v>
      </c>
      <c r="O153" s="1583">
        <f t="shared" si="326"/>
        <v>0</v>
      </c>
      <c r="P153" s="1583">
        <f t="shared" si="326"/>
        <v>0</v>
      </c>
      <c r="Q153" s="1583">
        <f t="shared" si="326"/>
        <v>0</v>
      </c>
      <c r="R153" s="1583">
        <f t="shared" si="326"/>
        <v>0</v>
      </c>
      <c r="S153" s="1583">
        <f t="shared" si="326"/>
        <v>0</v>
      </c>
      <c r="T153" s="1583">
        <f t="shared" si="326"/>
        <v>0</v>
      </c>
      <c r="U153" s="1583">
        <f t="shared" si="326"/>
        <v>0</v>
      </c>
      <c r="V153" s="1583">
        <f t="shared" si="326"/>
        <v>0</v>
      </c>
      <c r="W153" s="1583">
        <f t="shared" si="326"/>
        <v>0</v>
      </c>
      <c r="X153" s="1583">
        <f t="shared" si="326"/>
        <v>0</v>
      </c>
      <c r="Y153" s="1583">
        <f t="shared" si="326"/>
        <v>0</v>
      </c>
      <c r="Z153" s="750"/>
      <c r="AA153" s="3"/>
      <c r="AB153" s="3"/>
      <c r="AC153" s="3"/>
      <c r="AD153" s="3"/>
      <c r="AE153" s="3"/>
      <c r="AF153" s="3"/>
      <c r="AG153" s="3"/>
      <c r="AH153" s="3"/>
      <c r="AI153" s="3"/>
      <c r="AJ153" s="3"/>
      <c r="AK153" s="3"/>
      <c r="AL153" s="3"/>
      <c r="AM153" s="1178"/>
      <c r="BH153" s="9">
        <v>33</v>
      </c>
      <c r="BI153" s="1510">
        <f>IF(AND($AN$122&gt;BH153,$C$122=$BD$121),(AJ$122),IF(AND($AN$122&gt;BH153,$C$122=$BD$122),(AJ$122),IF(AND($AN$122&gt;BH153,$C$122=$BD$123),(AJ$122),IF(AND($AN$122&gt;BH153,$C$122=$BD$124),(AJ$121),IF(AND($AN$122&gt;BH153,$C$122=$BD$125),(AJ$122),0)))))</f>
        <v>0</v>
      </c>
      <c r="BJ153" s="1510">
        <v>0</v>
      </c>
      <c r="BK153" s="1510">
        <v>0</v>
      </c>
      <c r="BL153" s="1510">
        <f t="shared" si="312"/>
        <v>0</v>
      </c>
      <c r="BM153" s="1505">
        <f t="shared" si="313"/>
        <v>0</v>
      </c>
      <c r="BN153" s="9">
        <v>33</v>
      </c>
      <c r="BO153" s="1510">
        <f>IF(AND($AN$127&gt;BN153,$C$127=$BD$121),(AJ$127),IF(AND($AN$127&gt;BN153,$C$127=$BD$122),(AJ$127),IF(AND($AN$127&gt;BN153,$C$127=$BD$123),(AJ$127),IF(AND($AN$127&gt;BN153,$C$127=$BD$124),(AJ$126),IF(AND($AN$127&gt;BN153,$C$127=$BD$125),(AJ$127),0)))))</f>
        <v>0</v>
      </c>
      <c r="BP153" s="1510">
        <v>0</v>
      </c>
      <c r="BQ153" s="1510">
        <v>0</v>
      </c>
      <c r="BR153" s="1510">
        <f t="shared" si="301"/>
        <v>0</v>
      </c>
      <c r="BS153" s="1511">
        <f t="shared" si="309"/>
        <v>0</v>
      </c>
      <c r="BT153" s="9">
        <v>33</v>
      </c>
      <c r="BU153" s="1510">
        <f>IF(AND($AN$132&gt;BT153,$C$132=$BD$121),(AJ$132),IF(AND($AN$132&gt;BT153,$C$132=$BD$122),(AJ$132),IF(AND($AN$132&gt;BT153,$C$132=$BD$123),(AJ$132),IF(AND($AN$132&gt;BT153,$C$132=$BD$124),(AJ$131),IF(AND($AN$132&gt;BT153,$C$132=$BD$125),(AJ$132),0)))))</f>
        <v>0</v>
      </c>
      <c r="BV153" s="1510">
        <v>0</v>
      </c>
      <c r="BW153" s="1510">
        <v>0</v>
      </c>
      <c r="BX153" s="1510">
        <f t="shared" si="302"/>
        <v>0</v>
      </c>
      <c r="BY153" s="1511">
        <f t="shared" si="303"/>
        <v>0</v>
      </c>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ht="14.5" customHeight="1" thickBot="1">
      <c r="B154" s="1626"/>
      <c r="C154" s="1604" t="s">
        <v>4513</v>
      </c>
      <c r="D154" s="1605">
        <v>1</v>
      </c>
      <c r="E154" s="1605">
        <f t="shared" ref="E154:AL154" si="327">D154+1</f>
        <v>2</v>
      </c>
      <c r="F154" s="1605">
        <f t="shared" si="327"/>
        <v>3</v>
      </c>
      <c r="G154" s="1605">
        <f t="shared" si="327"/>
        <v>4</v>
      </c>
      <c r="H154" s="1605">
        <f t="shared" si="327"/>
        <v>5</v>
      </c>
      <c r="I154" s="1605">
        <f t="shared" si="327"/>
        <v>6</v>
      </c>
      <c r="J154" s="1605">
        <f t="shared" si="327"/>
        <v>7</v>
      </c>
      <c r="K154" s="1605">
        <f t="shared" si="327"/>
        <v>8</v>
      </c>
      <c r="L154" s="1605">
        <f t="shared" si="327"/>
        <v>9</v>
      </c>
      <c r="M154" s="1605">
        <f t="shared" si="327"/>
        <v>10</v>
      </c>
      <c r="N154" s="1605">
        <f t="shared" si="327"/>
        <v>11</v>
      </c>
      <c r="O154" s="1605">
        <f t="shared" si="327"/>
        <v>12</v>
      </c>
      <c r="P154" s="1605">
        <f t="shared" si="327"/>
        <v>13</v>
      </c>
      <c r="Q154" s="1605">
        <f t="shared" si="327"/>
        <v>14</v>
      </c>
      <c r="R154" s="1605">
        <f t="shared" si="327"/>
        <v>15</v>
      </c>
      <c r="S154" s="1605">
        <f t="shared" si="327"/>
        <v>16</v>
      </c>
      <c r="T154" s="1605">
        <f t="shared" si="327"/>
        <v>17</v>
      </c>
      <c r="U154" s="1605">
        <f t="shared" si="327"/>
        <v>18</v>
      </c>
      <c r="V154" s="1605">
        <f t="shared" si="327"/>
        <v>19</v>
      </c>
      <c r="W154" s="1605">
        <f t="shared" si="327"/>
        <v>20</v>
      </c>
      <c r="X154" s="1605">
        <f t="shared" si="327"/>
        <v>21</v>
      </c>
      <c r="Y154" s="1606">
        <f t="shared" si="327"/>
        <v>22</v>
      </c>
      <c r="Z154" s="1606">
        <f t="shared" si="327"/>
        <v>23</v>
      </c>
      <c r="AA154" s="1606">
        <f t="shared" si="327"/>
        <v>24</v>
      </c>
      <c r="AB154" s="1606">
        <f t="shared" si="327"/>
        <v>25</v>
      </c>
      <c r="AC154" s="1606">
        <f t="shared" si="327"/>
        <v>26</v>
      </c>
      <c r="AD154" s="1606">
        <f t="shared" si="327"/>
        <v>27</v>
      </c>
      <c r="AE154" s="1606">
        <f t="shared" si="327"/>
        <v>28</v>
      </c>
      <c r="AF154" s="1606">
        <f t="shared" si="327"/>
        <v>29</v>
      </c>
      <c r="AG154" s="1606">
        <f t="shared" si="327"/>
        <v>30</v>
      </c>
      <c r="AH154" s="1606">
        <f t="shared" si="327"/>
        <v>31</v>
      </c>
      <c r="AI154" s="1606">
        <f t="shared" si="327"/>
        <v>32</v>
      </c>
      <c r="AJ154" s="1606">
        <f t="shared" si="327"/>
        <v>33</v>
      </c>
      <c r="AK154" s="1606">
        <f t="shared" si="327"/>
        <v>34</v>
      </c>
      <c r="AL154" s="1606">
        <f t="shared" si="327"/>
        <v>35</v>
      </c>
      <c r="AM154" s="1178"/>
      <c r="BH154" s="9">
        <v>34</v>
      </c>
      <c r="BI154" s="1510">
        <f>IF(AND($AN$122&gt;BH154,$C$122=$BD$121),(AK$122),IF(AND($AN$122&gt;BH154,$C$122=$BD$122),(AK$122),IF(AND($AN$122&gt;BH154,$C$122=$BD$123),(AK$122),IF(AND($AN$122&gt;BH154,$C$122=$BD$124),(AK$121),IF(AND($AN$122&gt;BH154,$C$122=$BD$125),(AK$122),0)))))</f>
        <v>0</v>
      </c>
      <c r="BJ154" s="1510">
        <v>0</v>
      </c>
      <c r="BK154" s="1510">
        <v>0</v>
      </c>
      <c r="BL154" s="1510">
        <f t="shared" si="312"/>
        <v>0</v>
      </c>
      <c r="BM154" s="1505">
        <f t="shared" si="313"/>
        <v>0</v>
      </c>
      <c r="BN154" s="9">
        <v>34</v>
      </c>
      <c r="BO154" s="1510">
        <f>IF(AND($AN$127&gt;BN154,$C$127=$BD$121),(AK$127),IF(AND($AN$127&gt;BN154,$C$127=$BD$122),(AK$127),IF(AND($AN$127&gt;BN154,$C$127=$BD$123),(AK$127),IF(AND($AN$127&gt;BN154,$C$127=$BD$124),(AK$126),IF(AND($AN$127&gt;BN154,$C$127=$BD$125),(AK$127),0)))))</f>
        <v>0</v>
      </c>
      <c r="BP154" s="1510">
        <v>0</v>
      </c>
      <c r="BQ154" s="1510">
        <v>0</v>
      </c>
      <c r="BR154" s="1510">
        <f t="shared" si="301"/>
        <v>0</v>
      </c>
      <c r="BS154" s="1511">
        <f t="shared" si="309"/>
        <v>0</v>
      </c>
      <c r="BT154" s="9">
        <v>34</v>
      </c>
      <c r="BU154" s="1510">
        <f>IF(AND($AN$132&gt;BT154,$C$132=$BD$121),(AK$132),IF(AND($AN$132&gt;BT154,$C$132=$BD$122),(AK$132),IF(AND($AN$132&gt;BT154,$C$132=$BD$123),(AK$132),IF(AND($AN$132&gt;BT154,$C$132=$BD$124),(AK$131),IF(AND($AN$132&gt;BT154,$C$132=$BD$125),(AK$132),0)))))</f>
        <v>0</v>
      </c>
      <c r="BV154" s="1510">
        <v>0</v>
      </c>
      <c r="BW154" s="1510">
        <v>0</v>
      </c>
      <c r="BX154" s="1510">
        <f>IF(AND($AN$132&gt;BT154,$AP$132&gt;=BU154),(((BX153+($AP$132-BU154))*($AQ$132+1))-BU154),IF(AND($AN$132&gt;BT154,$AP$132&lt;=BU154),((BX153*($AQ$132+1))-BU154),IF($AN$132&lt;=BX153,BX153,0)))</f>
        <v>0</v>
      </c>
      <c r="BY154" s="1511">
        <f t="shared" si="303"/>
        <v>0</v>
      </c>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ht="16.5" customHeight="1">
      <c r="B155" s="1626"/>
      <c r="C155" s="1607" t="s">
        <v>4514</v>
      </c>
      <c r="D155" s="1608">
        <f>'12. Funding Sources'!$E$48</f>
        <v>0</v>
      </c>
      <c r="E155" s="1608">
        <f>'12. Funding Sources'!$E$48</f>
        <v>0</v>
      </c>
      <c r="F155" s="1608">
        <f>'12. Funding Sources'!$E$48</f>
        <v>0</v>
      </c>
      <c r="G155" s="1608">
        <f>'12. Funding Sources'!$E$48</f>
        <v>0</v>
      </c>
      <c r="H155" s="1608">
        <f>'12. Funding Sources'!$E$48</f>
        <v>0</v>
      </c>
      <c r="I155" s="1608">
        <f>'12. Funding Sources'!$E$48</f>
        <v>0</v>
      </c>
      <c r="J155" s="1608">
        <f>'12. Funding Sources'!$E$48</f>
        <v>0</v>
      </c>
      <c r="K155" s="1608">
        <f>'12. Funding Sources'!$E$48</f>
        <v>0</v>
      </c>
      <c r="L155" s="1608">
        <f>'12. Funding Sources'!$E$48</f>
        <v>0</v>
      </c>
      <c r="M155" s="1608">
        <f>'12. Funding Sources'!$E$48</f>
        <v>0</v>
      </c>
      <c r="N155" s="1608">
        <f>'12. Funding Sources'!$E$48</f>
        <v>0</v>
      </c>
      <c r="O155" s="1608">
        <f>'12. Funding Sources'!$E$48</f>
        <v>0</v>
      </c>
      <c r="P155" s="1608">
        <f>'12. Funding Sources'!$E$48</f>
        <v>0</v>
      </c>
      <c r="Q155" s="1608">
        <f>'12. Funding Sources'!$E$48</f>
        <v>0</v>
      </c>
      <c r="R155" s="1608">
        <f>'12. Funding Sources'!$E$48</f>
        <v>0</v>
      </c>
      <c r="S155" s="1608">
        <f>'12. Funding Sources'!$E$48</f>
        <v>0</v>
      </c>
      <c r="T155" s="1608">
        <f>'12. Funding Sources'!$E$48</f>
        <v>0</v>
      </c>
      <c r="U155" s="1608">
        <f>'12. Funding Sources'!$E$48</f>
        <v>0</v>
      </c>
      <c r="V155" s="1608">
        <f>'12. Funding Sources'!$E$48</f>
        <v>0</v>
      </c>
      <c r="W155" s="1608">
        <f>'12. Funding Sources'!$E$48</f>
        <v>0</v>
      </c>
      <c r="X155" s="1608">
        <f>'12. Funding Sources'!$E$48</f>
        <v>0</v>
      </c>
      <c r="Y155" s="1608">
        <f>'12. Funding Sources'!$E$48</f>
        <v>0</v>
      </c>
      <c r="Z155" s="1608">
        <f>'12. Funding Sources'!$E$48</f>
        <v>0</v>
      </c>
      <c r="AA155" s="1608">
        <f>'12. Funding Sources'!$E$48</f>
        <v>0</v>
      </c>
      <c r="AB155" s="1608">
        <f>'12. Funding Sources'!$E$48</f>
        <v>0</v>
      </c>
      <c r="AC155" s="1608">
        <f>'12. Funding Sources'!$E$48</f>
        <v>0</v>
      </c>
      <c r="AD155" s="1608">
        <f>'12. Funding Sources'!$E$48</f>
        <v>0</v>
      </c>
      <c r="AE155" s="1608">
        <f>'12. Funding Sources'!$E$48</f>
        <v>0</v>
      </c>
      <c r="AF155" s="1608">
        <f>'12. Funding Sources'!$E$48</f>
        <v>0</v>
      </c>
      <c r="AG155" s="1608">
        <f>'12. Funding Sources'!$E$48</f>
        <v>0</v>
      </c>
      <c r="AH155" s="1608">
        <f>'12. Funding Sources'!$E$48</f>
        <v>0</v>
      </c>
      <c r="AI155" s="1608">
        <f>'12. Funding Sources'!$E$48</f>
        <v>0</v>
      </c>
      <c r="AJ155" s="1608">
        <f>'12. Funding Sources'!$E$48</f>
        <v>0</v>
      </c>
      <c r="AK155" s="1608">
        <f>'12. Funding Sources'!$E$48</f>
        <v>0</v>
      </c>
      <c r="AL155" s="1608">
        <f>'12. Funding Sources'!$E$48</f>
        <v>0</v>
      </c>
      <c r="AM155" s="1178"/>
      <c r="BH155" s="9">
        <v>35</v>
      </c>
      <c r="BI155" s="1510">
        <f>IF(AND($AN$122&gt;BH155,$C$122=$BD$121),(AL$122),IF(AND($AN$122&gt;BH155,$C$122=$BD$122),(AL$122),IF(AND($AN$122&gt;BH155,$C$122=$BD$123),(AL$122),IF(AND($AN$122&gt;BH155,$C$122=$BD$124),(AL$121),IF(AND($AN$122&gt;BH155,$C$122=$BD$125),(AL$122),0)))))</f>
        <v>0</v>
      </c>
      <c r="BJ155" s="1510">
        <v>0</v>
      </c>
      <c r="BK155" s="1510">
        <v>0</v>
      </c>
      <c r="BL155" s="1510">
        <f t="shared" si="312"/>
        <v>0</v>
      </c>
      <c r="BM155" s="1505">
        <f t="shared" si="313"/>
        <v>0</v>
      </c>
      <c r="BN155" s="9">
        <v>35</v>
      </c>
      <c r="BO155" s="1510">
        <f>IF(AND($AN$127&gt;BN155,$C$127=$BD$121),(AL$127),IF(AND($AN$127&gt;BN155,$C$127=$BD$122),(AL$127),IF(AND($AN$127&gt;BN155,$C$127=$BD$123),(AL$127),IF(AND($AN$127&gt;BN155,$C$127=$BD$124),(AL$126),IF(AND($AN$127&gt;BN155,$C$127=$BD$125),(AL$127),0)))))</f>
        <v>0</v>
      </c>
      <c r="BP155" s="1510">
        <v>0</v>
      </c>
      <c r="BQ155" s="1510">
        <v>0</v>
      </c>
      <c r="BR155" s="1510">
        <f t="shared" si="301"/>
        <v>0</v>
      </c>
      <c r="BS155" s="1511">
        <f t="shared" si="309"/>
        <v>0</v>
      </c>
      <c r="BT155" s="9">
        <v>35</v>
      </c>
      <c r="BU155" s="1510">
        <f>IF(AND($AN$132&gt;BT155,$C$132=$BD$121),(AL$132),IF(AND($AN$132&gt;BT155,$C$132=$BD$122),(AL$132),IF(AND($AN$132&gt;BT155,$C$132=$BD$123),(AL$132),IF(AND($AN$132&gt;BT155,$C$132=$BD$124),(AL$131),IF(AND($AN$132&gt;BT155,$C$132=$BD$125),(AL$132),0)))))</f>
        <v>0</v>
      </c>
      <c r="BV155" s="1510">
        <v>0</v>
      </c>
      <c r="BW155" s="1510">
        <v>0</v>
      </c>
      <c r="BX155" s="1510">
        <f t="shared" si="302"/>
        <v>0</v>
      </c>
      <c r="BY155" s="1511">
        <f t="shared" si="303"/>
        <v>0</v>
      </c>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t="16.5" customHeight="1">
      <c r="B156" s="1626"/>
      <c r="C156" s="1607" t="s">
        <v>4515</v>
      </c>
      <c r="D156" s="1609" t="str">
        <f>IF(D155&gt;0,"Yes","No")</f>
        <v>No</v>
      </c>
      <c r="E156" s="1609" t="str">
        <f>IF(D158&gt;0,"Yes","No")</f>
        <v>No</v>
      </c>
      <c r="F156" s="1609" t="str">
        <f>IF(E158&gt;0,"Yes","No")</f>
        <v>No</v>
      </c>
      <c r="G156" s="1609" t="str">
        <f t="shared" ref="G156:AL156" si="328">IF(F158&gt;0,"Yes","No")</f>
        <v>No</v>
      </c>
      <c r="H156" s="1609" t="str">
        <f t="shared" si="328"/>
        <v>No</v>
      </c>
      <c r="I156" s="1609" t="str">
        <f t="shared" si="328"/>
        <v>No</v>
      </c>
      <c r="J156" s="1609" t="str">
        <f t="shared" si="328"/>
        <v>No</v>
      </c>
      <c r="K156" s="1609" t="str">
        <f t="shared" si="328"/>
        <v>No</v>
      </c>
      <c r="L156" s="1609" t="str">
        <f t="shared" si="328"/>
        <v>No</v>
      </c>
      <c r="M156" s="1609" t="str">
        <f t="shared" si="328"/>
        <v>No</v>
      </c>
      <c r="N156" s="1609" t="str">
        <f t="shared" si="328"/>
        <v>No</v>
      </c>
      <c r="O156" s="1609" t="str">
        <f t="shared" si="328"/>
        <v>No</v>
      </c>
      <c r="P156" s="1609" t="str">
        <f t="shared" si="328"/>
        <v>No</v>
      </c>
      <c r="Q156" s="1609" t="str">
        <f t="shared" si="328"/>
        <v>No</v>
      </c>
      <c r="R156" s="1609" t="str">
        <f t="shared" si="328"/>
        <v>No</v>
      </c>
      <c r="S156" s="1609" t="str">
        <f t="shared" si="328"/>
        <v>No</v>
      </c>
      <c r="T156" s="1609" t="str">
        <f t="shared" si="328"/>
        <v>No</v>
      </c>
      <c r="U156" s="1609" t="str">
        <f t="shared" si="328"/>
        <v>No</v>
      </c>
      <c r="V156" s="1609" t="str">
        <f t="shared" si="328"/>
        <v>No</v>
      </c>
      <c r="W156" s="1609" t="str">
        <f t="shared" si="328"/>
        <v>No</v>
      </c>
      <c r="X156" s="1609" t="str">
        <f t="shared" si="328"/>
        <v>No</v>
      </c>
      <c r="Y156" s="1609" t="str">
        <f t="shared" si="328"/>
        <v>No</v>
      </c>
      <c r="Z156" s="1609" t="str">
        <f t="shared" si="328"/>
        <v>No</v>
      </c>
      <c r="AA156" s="1609" t="str">
        <f t="shared" si="328"/>
        <v>No</v>
      </c>
      <c r="AB156" s="1609" t="str">
        <f t="shared" si="328"/>
        <v>No</v>
      </c>
      <c r="AC156" s="1609" t="str">
        <f t="shared" si="328"/>
        <v>No</v>
      </c>
      <c r="AD156" s="1609" t="str">
        <f t="shared" si="328"/>
        <v>No</v>
      </c>
      <c r="AE156" s="1609" t="str">
        <f t="shared" si="328"/>
        <v>No</v>
      </c>
      <c r="AF156" s="1609" t="str">
        <f t="shared" si="328"/>
        <v>No</v>
      </c>
      <c r="AG156" s="1609" t="str">
        <f t="shared" si="328"/>
        <v>No</v>
      </c>
      <c r="AH156" s="1609" t="str">
        <f t="shared" si="328"/>
        <v>No</v>
      </c>
      <c r="AI156" s="1609" t="str">
        <f t="shared" si="328"/>
        <v>No</v>
      </c>
      <c r="AJ156" s="1609" t="str">
        <f t="shared" si="328"/>
        <v>No</v>
      </c>
      <c r="AK156" s="1609" t="str">
        <f t="shared" si="328"/>
        <v>No</v>
      </c>
      <c r="AL156" s="1609" t="str">
        <f t="shared" si="328"/>
        <v>No</v>
      </c>
      <c r="AM156" s="1178"/>
      <c r="BI156" s="1510"/>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ht="16.5" customHeight="1">
      <c r="B157" s="1626"/>
      <c r="C157" s="1607" t="s">
        <v>4516</v>
      </c>
      <c r="D157" s="1608">
        <f t="shared" ref="D157:AL157" si="329">IF(AND(D155&gt;=D134,D134&gt;0),D134,IF(D155&lt;D134,D155,0))</f>
        <v>0</v>
      </c>
      <c r="E157" s="1608">
        <f t="shared" si="329"/>
        <v>0</v>
      </c>
      <c r="F157" s="1608">
        <f t="shared" si="329"/>
        <v>0</v>
      </c>
      <c r="G157" s="1608">
        <f t="shared" si="329"/>
        <v>0</v>
      </c>
      <c r="H157" s="1608">
        <f t="shared" si="329"/>
        <v>0</v>
      </c>
      <c r="I157" s="1608">
        <f t="shared" si="329"/>
        <v>0</v>
      </c>
      <c r="J157" s="1608">
        <f t="shared" si="329"/>
        <v>0</v>
      </c>
      <c r="K157" s="1608">
        <f t="shared" si="329"/>
        <v>0</v>
      </c>
      <c r="L157" s="1608">
        <f t="shared" si="329"/>
        <v>0</v>
      </c>
      <c r="M157" s="1608">
        <f t="shared" si="329"/>
        <v>0</v>
      </c>
      <c r="N157" s="1608">
        <f t="shared" si="329"/>
        <v>0</v>
      </c>
      <c r="O157" s="1608">
        <f t="shared" si="329"/>
        <v>0</v>
      </c>
      <c r="P157" s="1608">
        <f t="shared" si="329"/>
        <v>0</v>
      </c>
      <c r="Q157" s="1608">
        <f t="shared" si="329"/>
        <v>0</v>
      </c>
      <c r="R157" s="1608">
        <f t="shared" si="329"/>
        <v>0</v>
      </c>
      <c r="S157" s="1608">
        <f t="shared" si="329"/>
        <v>0</v>
      </c>
      <c r="T157" s="1608">
        <f t="shared" si="329"/>
        <v>0</v>
      </c>
      <c r="U157" s="1608">
        <f t="shared" si="329"/>
        <v>0</v>
      </c>
      <c r="V157" s="1608">
        <f t="shared" si="329"/>
        <v>0</v>
      </c>
      <c r="W157" s="1608">
        <f t="shared" si="329"/>
        <v>0</v>
      </c>
      <c r="X157" s="1608">
        <f t="shared" si="329"/>
        <v>0</v>
      </c>
      <c r="Y157" s="1608">
        <f t="shared" si="329"/>
        <v>0</v>
      </c>
      <c r="Z157" s="1608">
        <f t="shared" si="329"/>
        <v>0</v>
      </c>
      <c r="AA157" s="1608">
        <f t="shared" si="329"/>
        <v>0</v>
      </c>
      <c r="AB157" s="1608">
        <f t="shared" si="329"/>
        <v>0</v>
      </c>
      <c r="AC157" s="1608">
        <f t="shared" si="329"/>
        <v>0</v>
      </c>
      <c r="AD157" s="1608">
        <f t="shared" si="329"/>
        <v>0</v>
      </c>
      <c r="AE157" s="1608">
        <f t="shared" si="329"/>
        <v>0</v>
      </c>
      <c r="AF157" s="1608">
        <f t="shared" si="329"/>
        <v>0</v>
      </c>
      <c r="AG157" s="1608">
        <f t="shared" si="329"/>
        <v>0</v>
      </c>
      <c r="AH157" s="1608">
        <f t="shared" si="329"/>
        <v>0</v>
      </c>
      <c r="AI157" s="1608">
        <f t="shared" si="329"/>
        <v>0</v>
      </c>
      <c r="AJ157" s="1608">
        <f t="shared" si="329"/>
        <v>0</v>
      </c>
      <c r="AK157" s="1608">
        <f t="shared" si="329"/>
        <v>0</v>
      </c>
      <c r="AL157" s="1608">
        <f t="shared" si="329"/>
        <v>0</v>
      </c>
      <c r="AM157" s="1178"/>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1626"/>
      <c r="C158" s="1607" t="s">
        <v>4517</v>
      </c>
      <c r="D158" s="1608">
        <f>D155-D157</f>
        <v>0</v>
      </c>
      <c r="E158" s="1608">
        <f>D158-E157</f>
        <v>0</v>
      </c>
      <c r="F158" s="1608">
        <f t="shared" ref="F158:AL158" si="330">E158-F157</f>
        <v>0</v>
      </c>
      <c r="G158" s="1608">
        <f t="shared" si="330"/>
        <v>0</v>
      </c>
      <c r="H158" s="1608">
        <f t="shared" si="330"/>
        <v>0</v>
      </c>
      <c r="I158" s="1608">
        <f t="shared" si="330"/>
        <v>0</v>
      </c>
      <c r="J158" s="1608">
        <f t="shared" si="330"/>
        <v>0</v>
      </c>
      <c r="K158" s="1608">
        <f t="shared" si="330"/>
        <v>0</v>
      </c>
      <c r="L158" s="1608">
        <f t="shared" si="330"/>
        <v>0</v>
      </c>
      <c r="M158" s="1608">
        <f t="shared" si="330"/>
        <v>0</v>
      </c>
      <c r="N158" s="1608">
        <f t="shared" si="330"/>
        <v>0</v>
      </c>
      <c r="O158" s="1608">
        <f t="shared" si="330"/>
        <v>0</v>
      </c>
      <c r="P158" s="1608">
        <f t="shared" si="330"/>
        <v>0</v>
      </c>
      <c r="Q158" s="1608">
        <f t="shared" si="330"/>
        <v>0</v>
      </c>
      <c r="R158" s="1608">
        <f t="shared" si="330"/>
        <v>0</v>
      </c>
      <c r="S158" s="1608">
        <f t="shared" si="330"/>
        <v>0</v>
      </c>
      <c r="T158" s="1608">
        <f t="shared" si="330"/>
        <v>0</v>
      </c>
      <c r="U158" s="1608">
        <f t="shared" si="330"/>
        <v>0</v>
      </c>
      <c r="V158" s="1608">
        <f t="shared" si="330"/>
        <v>0</v>
      </c>
      <c r="W158" s="1608">
        <f t="shared" si="330"/>
        <v>0</v>
      </c>
      <c r="X158" s="1608">
        <f t="shared" si="330"/>
        <v>0</v>
      </c>
      <c r="Y158" s="1608">
        <f t="shared" si="330"/>
        <v>0</v>
      </c>
      <c r="Z158" s="1608">
        <f t="shared" si="330"/>
        <v>0</v>
      </c>
      <c r="AA158" s="1608">
        <f t="shared" si="330"/>
        <v>0</v>
      </c>
      <c r="AB158" s="1608">
        <f t="shared" si="330"/>
        <v>0</v>
      </c>
      <c r="AC158" s="1608">
        <f t="shared" si="330"/>
        <v>0</v>
      </c>
      <c r="AD158" s="1608">
        <f t="shared" si="330"/>
        <v>0</v>
      </c>
      <c r="AE158" s="1608">
        <f t="shared" si="330"/>
        <v>0</v>
      </c>
      <c r="AF158" s="1608">
        <f t="shared" si="330"/>
        <v>0</v>
      </c>
      <c r="AG158" s="1608">
        <f t="shared" si="330"/>
        <v>0</v>
      </c>
      <c r="AH158" s="1608">
        <f t="shared" si="330"/>
        <v>0</v>
      </c>
      <c r="AI158" s="1608">
        <f t="shared" si="330"/>
        <v>0</v>
      </c>
      <c r="AJ158" s="1608">
        <f t="shared" si="330"/>
        <v>0</v>
      </c>
      <c r="AK158" s="1608">
        <f t="shared" si="330"/>
        <v>0</v>
      </c>
      <c r="AL158" s="1608">
        <f t="shared" si="330"/>
        <v>0</v>
      </c>
      <c r="AM158" s="1178"/>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1626"/>
      <c r="C159" s="1607" t="s">
        <v>4518</v>
      </c>
      <c r="D159" s="1608">
        <f t="shared" ref="D159:AL159" si="331">D134-D157</f>
        <v>0</v>
      </c>
      <c r="E159" s="1608">
        <f t="shared" si="331"/>
        <v>0</v>
      </c>
      <c r="F159" s="1608">
        <f t="shared" si="331"/>
        <v>0</v>
      </c>
      <c r="G159" s="1608">
        <f t="shared" si="331"/>
        <v>0</v>
      </c>
      <c r="H159" s="1608">
        <f t="shared" si="331"/>
        <v>0</v>
      </c>
      <c r="I159" s="1608">
        <f t="shared" si="331"/>
        <v>0</v>
      </c>
      <c r="J159" s="1608">
        <f t="shared" si="331"/>
        <v>0</v>
      </c>
      <c r="K159" s="1608">
        <f t="shared" si="331"/>
        <v>0</v>
      </c>
      <c r="L159" s="1608">
        <f t="shared" si="331"/>
        <v>0</v>
      </c>
      <c r="M159" s="1608">
        <f t="shared" si="331"/>
        <v>0</v>
      </c>
      <c r="N159" s="1608">
        <f t="shared" si="331"/>
        <v>0</v>
      </c>
      <c r="O159" s="1608">
        <f t="shared" si="331"/>
        <v>0</v>
      </c>
      <c r="P159" s="1608">
        <f t="shared" si="331"/>
        <v>0</v>
      </c>
      <c r="Q159" s="1608">
        <f t="shared" si="331"/>
        <v>0</v>
      </c>
      <c r="R159" s="1608">
        <f t="shared" si="331"/>
        <v>0</v>
      </c>
      <c r="S159" s="1608">
        <f t="shared" si="331"/>
        <v>0</v>
      </c>
      <c r="T159" s="1608">
        <f t="shared" si="331"/>
        <v>0</v>
      </c>
      <c r="U159" s="1608">
        <f t="shared" si="331"/>
        <v>0</v>
      </c>
      <c r="V159" s="1608">
        <f t="shared" si="331"/>
        <v>0</v>
      </c>
      <c r="W159" s="1608">
        <f t="shared" si="331"/>
        <v>0</v>
      </c>
      <c r="X159" s="1608">
        <f t="shared" si="331"/>
        <v>0</v>
      </c>
      <c r="Y159" s="1608">
        <f t="shared" si="331"/>
        <v>0</v>
      </c>
      <c r="Z159" s="1608">
        <f t="shared" si="331"/>
        <v>0</v>
      </c>
      <c r="AA159" s="1608">
        <f t="shared" si="331"/>
        <v>0</v>
      </c>
      <c r="AB159" s="1608">
        <f t="shared" si="331"/>
        <v>0</v>
      </c>
      <c r="AC159" s="1608">
        <f t="shared" si="331"/>
        <v>0</v>
      </c>
      <c r="AD159" s="1608">
        <f t="shared" si="331"/>
        <v>0</v>
      </c>
      <c r="AE159" s="1608">
        <f t="shared" si="331"/>
        <v>0</v>
      </c>
      <c r="AF159" s="1608">
        <f t="shared" si="331"/>
        <v>0</v>
      </c>
      <c r="AG159" s="1608">
        <f t="shared" si="331"/>
        <v>0</v>
      </c>
      <c r="AH159" s="1608">
        <f t="shared" si="331"/>
        <v>0</v>
      </c>
      <c r="AI159" s="1608">
        <f t="shared" si="331"/>
        <v>0</v>
      </c>
      <c r="AJ159" s="1608">
        <f t="shared" si="331"/>
        <v>0</v>
      </c>
      <c r="AK159" s="1608">
        <f t="shared" si="331"/>
        <v>0</v>
      </c>
      <c r="AL159" s="1608">
        <f t="shared" si="331"/>
        <v>0</v>
      </c>
      <c r="AM159" s="1178"/>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ht="16" thickBot="1">
      <c r="B160" s="1626"/>
      <c r="C160" s="1610"/>
      <c r="D160" s="1610"/>
      <c r="E160" s="1611"/>
      <c r="F160" s="1612"/>
      <c r="G160" s="1613"/>
      <c r="H160" s="1614"/>
      <c r="I160" s="1614"/>
      <c r="J160" s="1614"/>
      <c r="K160" s="1614"/>
      <c r="L160" s="1614"/>
      <c r="M160" s="1614"/>
      <c r="N160" s="1614"/>
      <c r="O160" s="1614"/>
      <c r="P160" s="1614"/>
      <c r="Q160" s="1614"/>
      <c r="R160" s="1614"/>
      <c r="S160" s="1614"/>
      <c r="T160" s="1614"/>
      <c r="U160" s="1614"/>
      <c r="V160" s="1614"/>
      <c r="W160" s="1614"/>
      <c r="X160" s="1614"/>
      <c r="Y160" s="1610"/>
      <c r="Z160" s="1175"/>
      <c r="AA160" s="1167"/>
      <c r="AB160" s="1167"/>
      <c r="AC160" s="1167"/>
      <c r="AD160" s="1167"/>
      <c r="AE160" s="1167"/>
      <c r="AF160" s="1167"/>
      <c r="AG160" s="1167"/>
      <c r="AH160" s="1167"/>
      <c r="AI160" s="1167"/>
      <c r="AJ160" s="1167"/>
      <c r="AK160" s="1167"/>
      <c r="AL160" s="1167"/>
      <c r="AM160" s="1178"/>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ht="16" thickBot="1">
      <c r="B161" s="1626"/>
      <c r="C161" s="1604" t="s">
        <v>4519</v>
      </c>
      <c r="D161" s="1605">
        <v>1</v>
      </c>
      <c r="E161" s="1605">
        <f t="shared" ref="E161:AL161" si="332">D161+1</f>
        <v>2</v>
      </c>
      <c r="F161" s="1605">
        <f t="shared" si="332"/>
        <v>3</v>
      </c>
      <c r="G161" s="1605">
        <f t="shared" si="332"/>
        <v>4</v>
      </c>
      <c r="H161" s="1605">
        <f t="shared" si="332"/>
        <v>5</v>
      </c>
      <c r="I161" s="1605">
        <f t="shared" si="332"/>
        <v>6</v>
      </c>
      <c r="J161" s="1605">
        <f t="shared" si="332"/>
        <v>7</v>
      </c>
      <c r="K161" s="1605">
        <f t="shared" si="332"/>
        <v>8</v>
      </c>
      <c r="L161" s="1605">
        <f t="shared" si="332"/>
        <v>9</v>
      </c>
      <c r="M161" s="1605">
        <f t="shared" si="332"/>
        <v>10</v>
      </c>
      <c r="N161" s="1605">
        <f t="shared" si="332"/>
        <v>11</v>
      </c>
      <c r="O161" s="1605">
        <f t="shared" si="332"/>
        <v>12</v>
      </c>
      <c r="P161" s="1605">
        <f t="shared" si="332"/>
        <v>13</v>
      </c>
      <c r="Q161" s="1605">
        <f t="shared" si="332"/>
        <v>14</v>
      </c>
      <c r="R161" s="1605">
        <f t="shared" si="332"/>
        <v>15</v>
      </c>
      <c r="S161" s="1605">
        <f t="shared" si="332"/>
        <v>16</v>
      </c>
      <c r="T161" s="1605">
        <f t="shared" si="332"/>
        <v>17</v>
      </c>
      <c r="U161" s="1605">
        <f t="shared" si="332"/>
        <v>18</v>
      </c>
      <c r="V161" s="1605">
        <f t="shared" si="332"/>
        <v>19</v>
      </c>
      <c r="W161" s="1605">
        <f t="shared" si="332"/>
        <v>20</v>
      </c>
      <c r="X161" s="1605">
        <f t="shared" si="332"/>
        <v>21</v>
      </c>
      <c r="Y161" s="1606">
        <f t="shared" si="332"/>
        <v>22</v>
      </c>
      <c r="Z161" s="1606">
        <f t="shared" si="332"/>
        <v>23</v>
      </c>
      <c r="AA161" s="1606">
        <f t="shared" si="332"/>
        <v>24</v>
      </c>
      <c r="AB161" s="1606">
        <f t="shared" si="332"/>
        <v>25</v>
      </c>
      <c r="AC161" s="1606">
        <f t="shared" si="332"/>
        <v>26</v>
      </c>
      <c r="AD161" s="1606">
        <f t="shared" si="332"/>
        <v>27</v>
      </c>
      <c r="AE161" s="1606">
        <f t="shared" si="332"/>
        <v>28</v>
      </c>
      <c r="AF161" s="1606">
        <f t="shared" si="332"/>
        <v>29</v>
      </c>
      <c r="AG161" s="1606">
        <f t="shared" si="332"/>
        <v>30</v>
      </c>
      <c r="AH161" s="1606">
        <f t="shared" si="332"/>
        <v>31</v>
      </c>
      <c r="AI161" s="1606">
        <f t="shared" si="332"/>
        <v>32</v>
      </c>
      <c r="AJ161" s="1606">
        <f t="shared" si="332"/>
        <v>33</v>
      </c>
      <c r="AK161" s="1606">
        <f t="shared" si="332"/>
        <v>34</v>
      </c>
      <c r="AL161" s="1606">
        <f t="shared" si="332"/>
        <v>35</v>
      </c>
      <c r="AM161" s="1178"/>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1626"/>
      <c r="C162" s="1615" t="s">
        <v>4520</v>
      </c>
      <c r="D162" s="1616"/>
      <c r="E162" s="1616"/>
      <c r="F162" s="1616"/>
      <c r="G162" s="1616"/>
      <c r="H162" s="1616"/>
      <c r="I162" s="1616"/>
      <c r="J162" s="1616"/>
      <c r="K162" s="1616"/>
      <c r="L162" s="1616"/>
      <c r="M162" s="1616"/>
      <c r="N162" s="1616"/>
      <c r="O162" s="1616"/>
      <c r="P162" s="1616"/>
      <c r="Q162" s="1616"/>
      <c r="R162" s="1616"/>
      <c r="S162" s="1616"/>
      <c r="T162" s="1616"/>
      <c r="U162" s="1616"/>
      <c r="V162" s="1616"/>
      <c r="W162" s="1616"/>
      <c r="X162" s="1616"/>
      <c r="Y162" s="1617"/>
      <c r="Z162" s="1617"/>
      <c r="AA162" s="1617"/>
      <c r="AB162" s="1617"/>
      <c r="AC162" s="1617"/>
      <c r="AD162" s="1617"/>
      <c r="AE162" s="1617"/>
      <c r="AF162" s="1617"/>
      <c r="AG162" s="1617"/>
      <c r="AH162" s="1617"/>
      <c r="AI162" s="1617"/>
      <c r="AJ162" s="1617"/>
      <c r="AK162" s="1617"/>
      <c r="AL162" s="1617"/>
      <c r="AM162" s="1178"/>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1626" t="b">
        <f>'12. Funding Sources'!I15="Yes"</f>
        <v>0</v>
      </c>
      <c r="C163" s="1618" t="s">
        <v>4521</v>
      </c>
      <c r="D163" s="1619">
        <f>IF(AND($B$163,D85&lt;=Term_5), '12. Funding Sources'!$N$15, 0)</f>
        <v>0</v>
      </c>
      <c r="E163" s="1619">
        <f>IF(AND($B$163,E85&lt;=Term_5), '12. Funding Sources'!$N$15, 0)</f>
        <v>0</v>
      </c>
      <c r="F163" s="1619">
        <f>IF(AND($B$163,F85&lt;=Term_5), '12. Funding Sources'!$N$15, 0)</f>
        <v>0</v>
      </c>
      <c r="G163" s="1619">
        <f>IF(AND($B$163,G85&lt;=Term_5), '12. Funding Sources'!$N$15, 0)</f>
        <v>0</v>
      </c>
      <c r="H163" s="1619">
        <f>IF(AND($B$163,H85&lt;=Term_5), '12. Funding Sources'!$N$15, 0)</f>
        <v>0</v>
      </c>
      <c r="I163" s="1619">
        <f>IF(AND($B$163,I85&lt;=Term_5), '12. Funding Sources'!$N$15, 0)</f>
        <v>0</v>
      </c>
      <c r="J163" s="1619">
        <f>IF(AND($B$163,J85&lt;=Term_5), '12. Funding Sources'!$N$15, 0)</f>
        <v>0</v>
      </c>
      <c r="K163" s="1619">
        <f>IF(AND($B$163,K85&lt;=Term_5), '12. Funding Sources'!$N$15, 0)</f>
        <v>0</v>
      </c>
      <c r="L163" s="1619">
        <f>IF(AND($B$163,L85&lt;=Term_5), '12. Funding Sources'!$N$15, 0)</f>
        <v>0</v>
      </c>
      <c r="M163" s="1619">
        <f>IF(AND($B$163,M85&lt;=Term_5), '12. Funding Sources'!$N$15, 0)</f>
        <v>0</v>
      </c>
      <c r="N163" s="1619">
        <f>IF(AND($B$163,N85&lt;=Term_5), '12. Funding Sources'!$N$15, 0)</f>
        <v>0</v>
      </c>
      <c r="O163" s="1619">
        <f>IF(AND($B$163,O85&lt;=Term_5), '12. Funding Sources'!$N$15, 0)</f>
        <v>0</v>
      </c>
      <c r="P163" s="1619">
        <f>IF(AND($B$163,P85&lt;=Term_5), '12. Funding Sources'!$N$15, 0)</f>
        <v>0</v>
      </c>
      <c r="Q163" s="1619">
        <f>IF(AND($B$163,Q85&lt;=Term_5), '12. Funding Sources'!$N$15, 0)</f>
        <v>0</v>
      </c>
      <c r="R163" s="1619">
        <f>IF(AND($B$163,R85&lt;=Term_5), '12. Funding Sources'!$N$15, 0)</f>
        <v>0</v>
      </c>
      <c r="S163" s="1619">
        <f>IF(AND($B$163,S85&lt;=Term_5), '12. Funding Sources'!$N$15, 0)</f>
        <v>0</v>
      </c>
      <c r="T163" s="1619">
        <f>IF(AND($B$163,T85&lt;=Term_5), '12. Funding Sources'!$N$15, 0)</f>
        <v>0</v>
      </c>
      <c r="U163" s="1619">
        <f>IF(AND($B$163,U85&lt;=Term_5), '12. Funding Sources'!$N$15, 0)</f>
        <v>0</v>
      </c>
      <c r="V163" s="1619">
        <f>IF(AND($B$163,V85&lt;=Term_5), '12. Funding Sources'!$N$15, 0)</f>
        <v>0</v>
      </c>
      <c r="W163" s="1619">
        <f>IF(AND($B$163,W85&lt;=Term_5), '12. Funding Sources'!$N$15, 0)</f>
        <v>0</v>
      </c>
      <c r="X163" s="1619">
        <f>IF(AND($B$163,X85&lt;=Term_5), '12. Funding Sources'!$N$15, 0)</f>
        <v>0</v>
      </c>
      <c r="Y163" s="1620">
        <f>IF(AND($B$163,Y85&lt;=Term_5), '12. Funding Sources'!$N$15, 0)</f>
        <v>0</v>
      </c>
      <c r="Z163" s="1620">
        <f>IF(AND($B$163,Z85&lt;=Term_5), '12. Funding Sources'!$N$15, 0)</f>
        <v>0</v>
      </c>
      <c r="AA163" s="1620">
        <f>IF(AND($B$163,AA85&lt;=Term_5), '12. Funding Sources'!$N$15, 0)</f>
        <v>0</v>
      </c>
      <c r="AB163" s="1620">
        <f>IF(AND($B$163,AB85&lt;=Term_5), '12. Funding Sources'!$N$15, 0)</f>
        <v>0</v>
      </c>
      <c r="AC163" s="1620">
        <f>IF(AND($B$163,AC85&lt;=Term_5), '12. Funding Sources'!$N$15, 0)</f>
        <v>0</v>
      </c>
      <c r="AD163" s="1620">
        <f>IF(AND($B$163,AD85&lt;=Term_5), '12. Funding Sources'!$N$15, 0)</f>
        <v>0</v>
      </c>
      <c r="AE163" s="1620">
        <f>IF(AND($B$163,AE85&lt;=Term_5), '12. Funding Sources'!$N$15, 0)</f>
        <v>0</v>
      </c>
      <c r="AF163" s="1620">
        <f>IF(AND($B$163,AF85&lt;=Term_5), '12. Funding Sources'!$N$15, 0)</f>
        <v>0</v>
      </c>
      <c r="AG163" s="1620">
        <f>IF(AND($B$163,AG85&lt;=Term_5), '12. Funding Sources'!$N$15, 0)</f>
        <v>0</v>
      </c>
      <c r="AH163" s="1620">
        <f>IF(AND($B$163,AH85&lt;=Term_5), '12. Funding Sources'!$N$15, 0)</f>
        <v>0</v>
      </c>
      <c r="AI163" s="1620">
        <f>IF(AND($B$163,AI85&lt;=Term_5), '12. Funding Sources'!$N$15, 0)</f>
        <v>0</v>
      </c>
      <c r="AJ163" s="1620">
        <f>IF(AND($B$163,AJ85&lt;=Term_5), '12. Funding Sources'!$N$15, 0)</f>
        <v>0</v>
      </c>
      <c r="AK163" s="1620">
        <f>IF(AND($B$163,AK85&lt;=Term_5), '12. Funding Sources'!$N$15, 0)</f>
        <v>0</v>
      </c>
      <c r="AL163" s="1620">
        <f>IF(AND($B$163,AL85&lt;=Term_5), '12. Funding Sources'!$N$15, 0)</f>
        <v>0</v>
      </c>
      <c r="AM163" s="1178"/>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1626"/>
      <c r="C164" s="1618" t="s">
        <v>4522</v>
      </c>
      <c r="D164" s="1621"/>
      <c r="E164" s="1621"/>
      <c r="F164" s="1621"/>
      <c r="G164" s="1621"/>
      <c r="H164" s="1621"/>
      <c r="I164" s="1621"/>
      <c r="J164" s="1621"/>
      <c r="K164" s="1621"/>
      <c r="L164" s="1621"/>
      <c r="M164" s="1621"/>
      <c r="N164" s="1621"/>
      <c r="O164" s="1621"/>
      <c r="P164" s="1621"/>
      <c r="Q164" s="1621"/>
      <c r="R164" s="1621"/>
      <c r="S164" s="1621"/>
      <c r="T164" s="1621"/>
      <c r="U164" s="1621"/>
      <c r="V164" s="1621"/>
      <c r="W164" s="1621"/>
      <c r="X164" s="1621"/>
      <c r="Y164" s="1622"/>
      <c r="Z164" s="1622"/>
      <c r="AA164" s="1622"/>
      <c r="AB164" s="1622"/>
      <c r="AC164" s="1622"/>
      <c r="AD164" s="1622"/>
      <c r="AE164" s="1622"/>
      <c r="AF164" s="1622"/>
      <c r="AG164" s="1622"/>
      <c r="AH164" s="1622"/>
      <c r="AI164" s="1622"/>
      <c r="AJ164" s="1622"/>
      <c r="AK164" s="1622"/>
      <c r="AL164" s="1622"/>
      <c r="AM164" s="1178"/>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1626"/>
      <c r="C165" s="1618" t="s">
        <v>4523</v>
      </c>
      <c r="D165" s="1619">
        <f t="shared" ref="D165:AL165" si="333">+SUM(D163:D164)</f>
        <v>0</v>
      </c>
      <c r="E165" s="1619">
        <f t="shared" si="333"/>
        <v>0</v>
      </c>
      <c r="F165" s="1619">
        <f t="shared" si="333"/>
        <v>0</v>
      </c>
      <c r="G165" s="1619">
        <f t="shared" si="333"/>
        <v>0</v>
      </c>
      <c r="H165" s="1619">
        <f t="shared" si="333"/>
        <v>0</v>
      </c>
      <c r="I165" s="1619">
        <f t="shared" si="333"/>
        <v>0</v>
      </c>
      <c r="J165" s="1619">
        <f t="shared" si="333"/>
        <v>0</v>
      </c>
      <c r="K165" s="1619">
        <f t="shared" si="333"/>
        <v>0</v>
      </c>
      <c r="L165" s="1619">
        <f t="shared" si="333"/>
        <v>0</v>
      </c>
      <c r="M165" s="1619">
        <f t="shared" si="333"/>
        <v>0</v>
      </c>
      <c r="N165" s="1619">
        <f t="shared" si="333"/>
        <v>0</v>
      </c>
      <c r="O165" s="1619">
        <f t="shared" si="333"/>
        <v>0</v>
      </c>
      <c r="P165" s="1619">
        <f t="shared" si="333"/>
        <v>0</v>
      </c>
      <c r="Q165" s="1619">
        <f t="shared" si="333"/>
        <v>0</v>
      </c>
      <c r="R165" s="1619">
        <f t="shared" si="333"/>
        <v>0</v>
      </c>
      <c r="S165" s="1619">
        <f t="shared" si="333"/>
        <v>0</v>
      </c>
      <c r="T165" s="1619">
        <f t="shared" si="333"/>
        <v>0</v>
      </c>
      <c r="U165" s="1619">
        <f t="shared" si="333"/>
        <v>0</v>
      </c>
      <c r="V165" s="1619">
        <f t="shared" si="333"/>
        <v>0</v>
      </c>
      <c r="W165" s="1619">
        <f t="shared" si="333"/>
        <v>0</v>
      </c>
      <c r="X165" s="1619">
        <f t="shared" si="333"/>
        <v>0</v>
      </c>
      <c r="Y165" s="1620">
        <f t="shared" si="333"/>
        <v>0</v>
      </c>
      <c r="Z165" s="1620">
        <f t="shared" si="333"/>
        <v>0</v>
      </c>
      <c r="AA165" s="1620">
        <f t="shared" si="333"/>
        <v>0</v>
      </c>
      <c r="AB165" s="1620">
        <f t="shared" si="333"/>
        <v>0</v>
      </c>
      <c r="AC165" s="1620">
        <f t="shared" si="333"/>
        <v>0</v>
      </c>
      <c r="AD165" s="1620">
        <f t="shared" si="333"/>
        <v>0</v>
      </c>
      <c r="AE165" s="1620">
        <f t="shared" si="333"/>
        <v>0</v>
      </c>
      <c r="AF165" s="1620">
        <f t="shared" si="333"/>
        <v>0</v>
      </c>
      <c r="AG165" s="1620">
        <f t="shared" si="333"/>
        <v>0</v>
      </c>
      <c r="AH165" s="1620">
        <f t="shared" si="333"/>
        <v>0</v>
      </c>
      <c r="AI165" s="1620">
        <f t="shared" si="333"/>
        <v>0</v>
      </c>
      <c r="AJ165" s="1620">
        <f t="shared" si="333"/>
        <v>0</v>
      </c>
      <c r="AK165" s="1620">
        <f t="shared" si="333"/>
        <v>0</v>
      </c>
      <c r="AL165" s="1620">
        <f t="shared" si="333"/>
        <v>0</v>
      </c>
      <c r="AM165" s="1178"/>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1626"/>
      <c r="C166" s="1618" t="s">
        <v>4524</v>
      </c>
      <c r="D166" s="1582">
        <f t="shared" ref="D166:AL166" si="334">IFERROR(+D162/D165,0)</f>
        <v>0</v>
      </c>
      <c r="E166" s="1582">
        <f t="shared" si="334"/>
        <v>0</v>
      </c>
      <c r="F166" s="1582">
        <f t="shared" si="334"/>
        <v>0</v>
      </c>
      <c r="G166" s="1582">
        <f t="shared" si="334"/>
        <v>0</v>
      </c>
      <c r="H166" s="1582">
        <f t="shared" si="334"/>
        <v>0</v>
      </c>
      <c r="I166" s="1582">
        <f t="shared" si="334"/>
        <v>0</v>
      </c>
      <c r="J166" s="1582">
        <f t="shared" si="334"/>
        <v>0</v>
      </c>
      <c r="K166" s="1582">
        <f t="shared" si="334"/>
        <v>0</v>
      </c>
      <c r="L166" s="1582">
        <f t="shared" si="334"/>
        <v>0</v>
      </c>
      <c r="M166" s="1582">
        <f t="shared" si="334"/>
        <v>0</v>
      </c>
      <c r="N166" s="1582">
        <f t="shared" si="334"/>
        <v>0</v>
      </c>
      <c r="O166" s="1582">
        <f t="shared" si="334"/>
        <v>0</v>
      </c>
      <c r="P166" s="1582">
        <f t="shared" si="334"/>
        <v>0</v>
      </c>
      <c r="Q166" s="1582">
        <f t="shared" si="334"/>
        <v>0</v>
      </c>
      <c r="R166" s="1582">
        <f t="shared" si="334"/>
        <v>0</v>
      </c>
      <c r="S166" s="1582">
        <f t="shared" si="334"/>
        <v>0</v>
      </c>
      <c r="T166" s="1582">
        <f t="shared" si="334"/>
        <v>0</v>
      </c>
      <c r="U166" s="1582">
        <f t="shared" si="334"/>
        <v>0</v>
      </c>
      <c r="V166" s="1582">
        <f t="shared" si="334"/>
        <v>0</v>
      </c>
      <c r="W166" s="1582">
        <f t="shared" si="334"/>
        <v>0</v>
      </c>
      <c r="X166" s="1582">
        <f t="shared" si="334"/>
        <v>0</v>
      </c>
      <c r="Y166" s="1582">
        <f t="shared" si="334"/>
        <v>0</v>
      </c>
      <c r="Z166" s="1582">
        <f t="shared" si="334"/>
        <v>0</v>
      </c>
      <c r="AA166" s="1582">
        <f t="shared" si="334"/>
        <v>0</v>
      </c>
      <c r="AB166" s="1582">
        <f t="shared" si="334"/>
        <v>0</v>
      </c>
      <c r="AC166" s="1582">
        <f t="shared" si="334"/>
        <v>0</v>
      </c>
      <c r="AD166" s="1582">
        <f t="shared" si="334"/>
        <v>0</v>
      </c>
      <c r="AE166" s="1582">
        <f t="shared" si="334"/>
        <v>0</v>
      </c>
      <c r="AF166" s="1582">
        <f t="shared" si="334"/>
        <v>0</v>
      </c>
      <c r="AG166" s="1582">
        <f t="shared" si="334"/>
        <v>0</v>
      </c>
      <c r="AH166" s="1582">
        <f t="shared" si="334"/>
        <v>0</v>
      </c>
      <c r="AI166" s="1582">
        <f t="shared" si="334"/>
        <v>0</v>
      </c>
      <c r="AJ166" s="1582">
        <f t="shared" si="334"/>
        <v>0</v>
      </c>
      <c r="AK166" s="1582">
        <f t="shared" si="334"/>
        <v>0</v>
      </c>
      <c r="AL166" s="1582">
        <f t="shared" si="334"/>
        <v>0</v>
      </c>
      <c r="AM166" s="1178"/>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ht="16" thickBot="1">
      <c r="B167" s="1626"/>
      <c r="C167" s="1623" t="s">
        <v>4525</v>
      </c>
      <c r="D167" s="1624">
        <f>D162-D163</f>
        <v>0</v>
      </c>
      <c r="E167" s="1624">
        <f t="shared" ref="E167:Y167" si="335">E162-E163</f>
        <v>0</v>
      </c>
      <c r="F167" s="1624">
        <f t="shared" si="335"/>
        <v>0</v>
      </c>
      <c r="G167" s="1624">
        <f t="shared" si="335"/>
        <v>0</v>
      </c>
      <c r="H167" s="1624">
        <f t="shared" si="335"/>
        <v>0</v>
      </c>
      <c r="I167" s="1624">
        <f t="shared" si="335"/>
        <v>0</v>
      </c>
      <c r="J167" s="1624">
        <f t="shared" si="335"/>
        <v>0</v>
      </c>
      <c r="K167" s="1624">
        <f t="shared" si="335"/>
        <v>0</v>
      </c>
      <c r="L167" s="1624">
        <f t="shared" si="335"/>
        <v>0</v>
      </c>
      <c r="M167" s="1624">
        <f t="shared" si="335"/>
        <v>0</v>
      </c>
      <c r="N167" s="1624">
        <f t="shared" si="335"/>
        <v>0</v>
      </c>
      <c r="O167" s="1624">
        <f t="shared" si="335"/>
        <v>0</v>
      </c>
      <c r="P167" s="1624">
        <f t="shared" si="335"/>
        <v>0</v>
      </c>
      <c r="Q167" s="1624">
        <f t="shared" si="335"/>
        <v>0</v>
      </c>
      <c r="R167" s="1624">
        <f t="shared" si="335"/>
        <v>0</v>
      </c>
      <c r="S167" s="1624">
        <f t="shared" si="335"/>
        <v>0</v>
      </c>
      <c r="T167" s="1624">
        <f t="shared" si="335"/>
        <v>0</v>
      </c>
      <c r="U167" s="1624">
        <f t="shared" si="335"/>
        <v>0</v>
      </c>
      <c r="V167" s="1624">
        <f t="shared" si="335"/>
        <v>0</v>
      </c>
      <c r="W167" s="1624">
        <f t="shared" si="335"/>
        <v>0</v>
      </c>
      <c r="X167" s="1624">
        <f t="shared" si="335"/>
        <v>0</v>
      </c>
      <c r="Y167" s="1625">
        <f t="shared" si="335"/>
        <v>0</v>
      </c>
      <c r="Z167" s="1625">
        <f t="shared" ref="Z167:AK167" si="336">Z162-Z163</f>
        <v>0</v>
      </c>
      <c r="AA167" s="1625">
        <f t="shared" si="336"/>
        <v>0</v>
      </c>
      <c r="AB167" s="1625">
        <f t="shared" si="336"/>
        <v>0</v>
      </c>
      <c r="AC167" s="1625">
        <f t="shared" si="336"/>
        <v>0</v>
      </c>
      <c r="AD167" s="1625">
        <f t="shared" si="336"/>
        <v>0</v>
      </c>
      <c r="AE167" s="1625">
        <f t="shared" si="336"/>
        <v>0</v>
      </c>
      <c r="AF167" s="1625">
        <f t="shared" si="336"/>
        <v>0</v>
      </c>
      <c r="AG167" s="1625">
        <f t="shared" si="336"/>
        <v>0</v>
      </c>
      <c r="AH167" s="1625">
        <f t="shared" si="336"/>
        <v>0</v>
      </c>
      <c r="AI167" s="1625">
        <f t="shared" si="336"/>
        <v>0</v>
      </c>
      <c r="AJ167" s="1625">
        <f t="shared" si="336"/>
        <v>0</v>
      </c>
      <c r="AK167" s="1625">
        <f t="shared" si="336"/>
        <v>0</v>
      </c>
      <c r="AL167" s="1625">
        <f>AL162-AL163</f>
        <v>0</v>
      </c>
      <c r="AM167" s="1178"/>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1466"/>
      <c r="C168" s="1167"/>
      <c r="D168" s="1167"/>
      <c r="E168" s="1167"/>
      <c r="F168" s="1167"/>
      <c r="G168" s="1167"/>
      <c r="H168" s="1167"/>
      <c r="I168" s="1167"/>
      <c r="J168" s="1167"/>
      <c r="K168" s="1167"/>
      <c r="L168" s="1167"/>
      <c r="M168" s="1167"/>
      <c r="N168" s="1167"/>
      <c r="O168" s="1167"/>
      <c r="P168" s="1167"/>
      <c r="Q168" s="1167"/>
      <c r="R168" s="1167"/>
      <c r="S168" s="1167"/>
      <c r="T168" s="1167"/>
      <c r="U168" s="1167"/>
      <c r="V168" s="1167"/>
      <c r="W168" s="1167"/>
      <c r="X168" s="1167"/>
      <c r="Y168" s="1167"/>
      <c r="Z168" s="1167"/>
      <c r="AA168" s="1167"/>
      <c r="AB168" s="1167"/>
      <c r="AC168" s="1167"/>
      <c r="AD168" s="1167"/>
      <c r="AE168" s="1167"/>
      <c r="AF168" s="1167"/>
      <c r="AG168" s="1167"/>
      <c r="AH168" s="1167"/>
      <c r="AI168" s="1167"/>
      <c r="AJ168" s="1167"/>
      <c r="AK168" s="1167"/>
      <c r="AL168" s="1167"/>
      <c r="AM168" s="1178"/>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ht="19">
      <c r="B169" s="1160" t="s">
        <v>3274</v>
      </c>
      <c r="C169" s="1135"/>
      <c r="D169" s="1135"/>
      <c r="E169" s="1135"/>
      <c r="F169" s="1135"/>
      <c r="G169" s="1135"/>
      <c r="H169" s="1135"/>
      <c r="I169" s="3"/>
      <c r="J169" s="1135"/>
      <c r="K169" s="1135"/>
      <c r="L169" s="1135"/>
      <c r="M169" s="1135"/>
      <c r="N169" s="1135"/>
      <c r="O169" s="1135"/>
      <c r="P169" s="1135"/>
      <c r="Q169" s="1135"/>
      <c r="R169" s="1135"/>
      <c r="S169" s="1135"/>
      <c r="T169" s="1135"/>
      <c r="U169" s="1135"/>
      <c r="V169" s="1135"/>
      <c r="W169" s="1135"/>
      <c r="X169" s="1135"/>
      <c r="Y169" s="1135"/>
      <c r="Z169" s="1135"/>
      <c r="AA169" s="1135"/>
      <c r="AB169" s="1135"/>
      <c r="AC169" s="1135"/>
      <c r="AD169" s="1135"/>
      <c r="AE169" s="1135"/>
      <c r="AF169" s="1135"/>
      <c r="AG169" s="1135"/>
      <c r="AH169" s="1135"/>
      <c r="AI169" s="1135"/>
      <c r="AJ169" s="1135"/>
      <c r="AK169" s="1135"/>
      <c r="AL169" s="1135"/>
      <c r="AM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1273"/>
      <c r="C170" s="1273"/>
      <c r="D170" s="1273"/>
      <c r="E170" s="1273"/>
      <c r="F170" s="1273"/>
      <c r="G170" s="1273"/>
      <c r="H170" s="1273"/>
      <c r="I170" s="1273"/>
      <c r="J170" s="1273"/>
      <c r="K170" s="1273"/>
      <c r="L170" s="1273"/>
      <c r="M170" s="1273"/>
      <c r="N170" s="1273"/>
      <c r="O170" s="1273"/>
      <c r="P170" s="1273"/>
      <c r="Q170" s="1273"/>
      <c r="R170" s="1273"/>
      <c r="S170" s="1273"/>
      <c r="T170" s="1273"/>
      <c r="U170" s="1135"/>
      <c r="V170" s="1135"/>
      <c r="W170" s="1135"/>
      <c r="X170" s="1135"/>
      <c r="Y170" s="1135"/>
      <c r="Z170" s="1135"/>
      <c r="AA170" s="1135"/>
      <c r="AB170" s="1135"/>
      <c r="AC170" s="1135"/>
      <c r="AD170" s="1135"/>
      <c r="AE170" s="1135"/>
      <c r="AF170" s="1135"/>
      <c r="AG170" s="1135"/>
      <c r="AH170" s="1135"/>
      <c r="AI170" s="1135"/>
      <c r="AJ170" s="1135"/>
      <c r="AK170" s="1135"/>
      <c r="AL170" s="1135"/>
      <c r="AM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1331"/>
      <c r="C171" s="2289" t="s">
        <v>4526</v>
      </c>
      <c r="D171" s="2290"/>
      <c r="E171" s="2290"/>
      <c r="F171" s="2291"/>
      <c r="G171" s="1273"/>
      <c r="H171" s="1273"/>
      <c r="I171" s="1273"/>
      <c r="J171" s="1273"/>
      <c r="K171" s="1273"/>
      <c r="L171" s="1273"/>
      <c r="M171" s="1273"/>
      <c r="N171" s="1273"/>
      <c r="O171" s="1273"/>
      <c r="P171" s="1273"/>
      <c r="Q171" s="1273"/>
      <c r="R171" s="1273"/>
      <c r="S171" s="1273"/>
      <c r="T171" s="1273"/>
      <c r="U171" s="1135"/>
      <c r="V171" s="1135"/>
      <c r="W171" s="1135"/>
      <c r="X171" s="1135"/>
      <c r="Y171" s="1135"/>
      <c r="Z171" s="1135"/>
      <c r="AA171" s="1135"/>
      <c r="AB171" s="1135"/>
      <c r="AC171" s="1135"/>
      <c r="AD171" s="1135"/>
      <c r="AE171" s="1135"/>
      <c r="AF171" s="1135"/>
      <c r="AG171" s="1135"/>
      <c r="AH171" s="1135"/>
      <c r="AI171" s="1135"/>
      <c r="AJ171" s="1135"/>
      <c r="AK171" s="1135"/>
      <c r="AL171" s="1135"/>
      <c r="AM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1331"/>
      <c r="C172" s="1551" t="s">
        <v>4527</v>
      </c>
      <c r="D172" s="1552"/>
      <c r="E172" s="1553"/>
      <c r="F172" s="1161">
        <v>0</v>
      </c>
      <c r="G172" s="1273"/>
      <c r="H172" s="1273"/>
      <c r="I172" s="1273"/>
      <c r="J172" s="1273"/>
      <c r="K172" s="1273"/>
      <c r="L172" s="1273"/>
      <c r="M172" s="1273"/>
      <c r="N172" s="1273"/>
      <c r="O172" s="1273"/>
      <c r="P172" s="1273"/>
      <c r="Q172" s="1273"/>
      <c r="R172" s="1273"/>
      <c r="S172" s="1273"/>
      <c r="T172" s="1273"/>
      <c r="U172" s="1135"/>
      <c r="V172" s="1135"/>
      <c r="W172" s="1135"/>
      <c r="X172" s="1135"/>
      <c r="Y172" s="1135"/>
      <c r="Z172" s="1135"/>
      <c r="AA172" s="1135"/>
      <c r="AB172" s="1135"/>
      <c r="AC172" s="1135"/>
      <c r="AD172" s="1135"/>
      <c r="AE172" s="1135"/>
      <c r="AF172" s="1135"/>
      <c r="AG172" s="1135"/>
      <c r="AH172" s="1135"/>
      <c r="AI172" s="1135"/>
      <c r="AJ172" s="1135"/>
      <c r="AK172" s="1135"/>
      <c r="AL172" s="1135"/>
      <c r="AM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1331"/>
      <c r="C173" s="1551" t="s">
        <v>4528</v>
      </c>
      <c r="D173" s="1552"/>
      <c r="E173" s="1553"/>
      <c r="F173" s="1554">
        <f>Annual_Replacement_Reserve</f>
        <v>0</v>
      </c>
      <c r="G173" s="1273"/>
      <c r="H173" s="1273"/>
      <c r="I173" s="1273"/>
      <c r="J173" s="1273"/>
      <c r="K173" s="1273"/>
      <c r="L173" s="1273"/>
      <c r="M173" s="1273"/>
      <c r="N173" s="1273"/>
      <c r="O173" s="1273"/>
      <c r="P173" s="1273"/>
      <c r="Q173" s="1273"/>
      <c r="R173" s="1273"/>
      <c r="S173" s="1273"/>
      <c r="T173" s="1273"/>
      <c r="U173" s="1135"/>
      <c r="V173" s="1135"/>
      <c r="W173" s="1135"/>
      <c r="X173" s="1135"/>
      <c r="Y173" s="1135"/>
      <c r="Z173" s="1135"/>
      <c r="AA173" s="1135"/>
      <c r="AB173" s="1135"/>
      <c r="AC173" s="1135"/>
      <c r="AD173" s="1135"/>
      <c r="AE173" s="1135"/>
      <c r="AF173" s="1135"/>
      <c r="AG173" s="1135"/>
      <c r="AH173" s="1135"/>
      <c r="AI173" s="1135"/>
      <c r="AJ173" s="1135"/>
      <c r="AK173" s="1135"/>
      <c r="AL173" s="1135"/>
      <c r="AM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1331"/>
      <c r="C174" s="1555" t="s">
        <v>4529</v>
      </c>
      <c r="D174" s="1556"/>
      <c r="E174" s="1557"/>
      <c r="F174" s="1558">
        <v>0</v>
      </c>
      <c r="G174" s="1273"/>
      <c r="H174" s="1273"/>
      <c r="I174" s="1273"/>
      <c r="J174" s="1273"/>
      <c r="K174" s="1273"/>
      <c r="L174" s="1273"/>
      <c r="M174" s="1273"/>
      <c r="N174" s="1273"/>
      <c r="O174" s="1273"/>
      <c r="P174" s="1273"/>
      <c r="Q174" s="1273"/>
      <c r="R174" s="1273"/>
      <c r="S174" s="1273"/>
      <c r="T174" s="1273"/>
      <c r="U174" s="1135"/>
      <c r="V174" s="1135"/>
      <c r="W174" s="1135"/>
      <c r="X174" s="1135"/>
      <c r="Y174" s="1135"/>
      <c r="Z174" s="1135"/>
      <c r="AA174" s="1135"/>
      <c r="AB174" s="1135"/>
      <c r="AC174" s="1135"/>
      <c r="AD174" s="1135"/>
      <c r="AE174" s="1135"/>
      <c r="AF174" s="1135"/>
      <c r="AG174" s="1135"/>
      <c r="AH174" s="1135"/>
      <c r="AI174" s="1135"/>
      <c r="AJ174" s="1135"/>
      <c r="AK174" s="1135"/>
      <c r="AL174" s="1135"/>
      <c r="AM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1331"/>
      <c r="C175" s="1551" t="s">
        <v>4530</v>
      </c>
      <c r="D175" s="1552"/>
      <c r="E175" s="1553"/>
      <c r="F175" s="1554">
        <f>PC_CAP_Replacement_Reserves_Total</f>
        <v>0</v>
      </c>
      <c r="G175" s="1273"/>
      <c r="H175" s="1273"/>
      <c r="I175" s="1273"/>
      <c r="J175" s="1273"/>
      <c r="K175" s="1273"/>
      <c r="L175" s="1273"/>
      <c r="M175" s="1273"/>
      <c r="N175" s="1273"/>
      <c r="O175" s="1273"/>
      <c r="P175" s="1273"/>
      <c r="Q175" s="1273"/>
      <c r="R175" s="1273"/>
      <c r="S175" s="1273"/>
      <c r="T175" s="1273"/>
      <c r="U175" s="1135"/>
      <c r="V175" s="1135"/>
      <c r="W175" s="1135"/>
      <c r="X175" s="1135"/>
      <c r="Y175" s="1135"/>
      <c r="Z175" s="1135"/>
      <c r="AA175" s="1135"/>
      <c r="AB175" s="1135"/>
      <c r="AC175" s="1135"/>
      <c r="AD175" s="1135"/>
      <c r="AE175" s="1135"/>
      <c r="AF175" s="1135"/>
      <c r="AG175" s="1135"/>
      <c r="AH175" s="1135"/>
      <c r="AI175" s="1135"/>
      <c r="AJ175" s="1135"/>
      <c r="AK175" s="1135"/>
      <c r="AL175" s="1135"/>
      <c r="AM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1332"/>
      <c r="C176" s="1559"/>
      <c r="D176" s="1559"/>
      <c r="E176" s="1559"/>
      <c r="F176" s="1560"/>
      <c r="G176" s="1273"/>
      <c r="H176" s="1273"/>
      <c r="I176" s="1273"/>
      <c r="J176" s="1273"/>
      <c r="K176" s="1273"/>
      <c r="L176" s="1273"/>
      <c r="M176" s="1273"/>
      <c r="N176" s="1273"/>
      <c r="O176" s="1273"/>
      <c r="P176" s="1273"/>
      <c r="Q176" s="1273"/>
      <c r="R176" s="1273"/>
      <c r="S176" s="1273"/>
      <c r="T176" s="1273"/>
      <c r="U176" s="1135"/>
      <c r="V176" s="1135"/>
      <c r="W176" s="1135"/>
      <c r="X176" s="1135"/>
      <c r="Y176" s="1135"/>
      <c r="Z176" s="1135"/>
      <c r="AA176" s="1135"/>
      <c r="AB176" s="1135"/>
      <c r="AC176" s="1135"/>
      <c r="AD176" s="1135"/>
      <c r="AE176" s="1135"/>
      <c r="AF176" s="1135"/>
      <c r="AG176" s="1135"/>
      <c r="AH176" s="1135"/>
      <c r="AI176" s="1135"/>
      <c r="AJ176" s="1135"/>
      <c r="AK176" s="1135"/>
      <c r="AL176" s="1135"/>
      <c r="AM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39">
      <c r="B177" s="1332"/>
      <c r="C177" s="1561" t="s">
        <v>4531</v>
      </c>
      <c r="D177" s="1561" t="s">
        <v>4532</v>
      </c>
      <c r="E177" s="1562">
        <v>1</v>
      </c>
      <c r="F177" s="1562">
        <v>2</v>
      </c>
      <c r="G177" s="1562">
        <v>3</v>
      </c>
      <c r="H177" s="1562">
        <v>4</v>
      </c>
      <c r="I177" s="1562">
        <v>5</v>
      </c>
      <c r="J177" s="1562">
        <v>6</v>
      </c>
      <c r="K177" s="1562">
        <v>7</v>
      </c>
      <c r="L177" s="1562">
        <v>8</v>
      </c>
      <c r="M177" s="1562">
        <v>9</v>
      </c>
      <c r="N177" s="1562">
        <v>10</v>
      </c>
      <c r="O177" s="1562">
        <v>11</v>
      </c>
      <c r="P177" s="1562">
        <v>12</v>
      </c>
      <c r="Q177" s="1562">
        <v>13</v>
      </c>
      <c r="R177" s="1562">
        <v>14</v>
      </c>
      <c r="S177" s="1562">
        <v>15</v>
      </c>
      <c r="T177" s="1273"/>
      <c r="U177" s="1135"/>
      <c r="V177" s="1135"/>
      <c r="W177" s="1135"/>
      <c r="X177" s="1135"/>
      <c r="Y177" s="1135"/>
      <c r="Z177" s="1135"/>
      <c r="AA177" s="1135"/>
      <c r="AB177" s="1135"/>
      <c r="AC177" s="1135"/>
      <c r="AD177" s="1135"/>
      <c r="AE177" s="1135"/>
      <c r="AF177" s="1135"/>
      <c r="AG177" s="1135"/>
      <c r="AH177" s="1135"/>
      <c r="AI177" s="1135"/>
      <c r="AJ177" s="1135"/>
      <c r="AK177" s="1135"/>
      <c r="AL177" s="1135"/>
      <c r="AM177" s="9"/>
    </row>
    <row r="178" spans="2:39">
      <c r="B178" s="1287"/>
      <c r="C178" s="1563" t="s">
        <v>4533</v>
      </c>
      <c r="D178" s="1564">
        <f>'17. Cash Flow and Reserves'!F175</f>
        <v>0</v>
      </c>
      <c r="E178" s="1564">
        <f t="shared" ref="E178:S178" si="337">D182</f>
        <v>0</v>
      </c>
      <c r="F178" s="1564">
        <f t="shared" si="337"/>
        <v>0</v>
      </c>
      <c r="G178" s="1564">
        <f t="shared" si="337"/>
        <v>0</v>
      </c>
      <c r="H178" s="1564">
        <f t="shared" si="337"/>
        <v>0</v>
      </c>
      <c r="I178" s="1565">
        <f t="shared" si="337"/>
        <v>0</v>
      </c>
      <c r="J178" s="1564">
        <f t="shared" si="337"/>
        <v>0</v>
      </c>
      <c r="K178" s="1564">
        <f t="shared" si="337"/>
        <v>0</v>
      </c>
      <c r="L178" s="1564">
        <f t="shared" si="337"/>
        <v>0</v>
      </c>
      <c r="M178" s="1564">
        <f t="shared" si="337"/>
        <v>0</v>
      </c>
      <c r="N178" s="1564">
        <f t="shared" si="337"/>
        <v>0</v>
      </c>
      <c r="O178" s="1564">
        <f t="shared" si="337"/>
        <v>0</v>
      </c>
      <c r="P178" s="1564">
        <f t="shared" si="337"/>
        <v>0</v>
      </c>
      <c r="Q178" s="1564">
        <f t="shared" si="337"/>
        <v>0</v>
      </c>
      <c r="R178" s="1564">
        <f t="shared" si="337"/>
        <v>0</v>
      </c>
      <c r="S178" s="1564">
        <f t="shared" si="337"/>
        <v>0</v>
      </c>
      <c r="T178" s="1273"/>
      <c r="U178" s="1135"/>
      <c r="V178" s="1135"/>
      <c r="W178" s="1135"/>
      <c r="X178" s="1135"/>
      <c r="Y178" s="1135"/>
      <c r="Z178" s="1135"/>
      <c r="AA178" s="1135"/>
      <c r="AB178" s="1135"/>
      <c r="AC178" s="1135"/>
      <c r="AD178" s="1135"/>
      <c r="AE178" s="1135"/>
      <c r="AF178" s="1135"/>
      <c r="AG178" s="1135"/>
      <c r="AH178" s="1135"/>
      <c r="AI178" s="1135"/>
      <c r="AJ178" s="1135"/>
      <c r="AK178" s="1135"/>
      <c r="AL178" s="1135"/>
      <c r="AM178" s="9"/>
    </row>
    <row r="179" spans="2:39">
      <c r="B179" s="1287"/>
      <c r="C179" s="1563" t="s">
        <v>4534</v>
      </c>
      <c r="D179" s="1564">
        <f>'17. Cash Flow and Reserves'!$F$172*D178</f>
        <v>0</v>
      </c>
      <c r="E179" s="1564">
        <f>'17. Cash Flow and Reserves'!$F$172*E178</f>
        <v>0</v>
      </c>
      <c r="F179" s="1564">
        <f>'17. Cash Flow and Reserves'!$F$172*F178</f>
        <v>0</v>
      </c>
      <c r="G179" s="1564">
        <f>'17. Cash Flow and Reserves'!$F$172*G178</f>
        <v>0</v>
      </c>
      <c r="H179" s="1564">
        <f>'17. Cash Flow and Reserves'!$F$172*H178</f>
        <v>0</v>
      </c>
      <c r="I179" s="1565">
        <f>'17. Cash Flow and Reserves'!$F$172*I178</f>
        <v>0</v>
      </c>
      <c r="J179" s="1564">
        <f>'17. Cash Flow and Reserves'!$F$172*J178</f>
        <v>0</v>
      </c>
      <c r="K179" s="1564">
        <f>'17. Cash Flow and Reserves'!$F$172*K178</f>
        <v>0</v>
      </c>
      <c r="L179" s="1564">
        <f>'17. Cash Flow and Reserves'!$F$172*L178</f>
        <v>0</v>
      </c>
      <c r="M179" s="1564">
        <f>'17. Cash Flow and Reserves'!$F$172*M178</f>
        <v>0</v>
      </c>
      <c r="N179" s="1564">
        <f>'17. Cash Flow and Reserves'!$F$172*N178</f>
        <v>0</v>
      </c>
      <c r="O179" s="1564">
        <f>'17. Cash Flow and Reserves'!$F$172*O178</f>
        <v>0</v>
      </c>
      <c r="P179" s="1564">
        <f>'17. Cash Flow and Reserves'!$F$172*P178</f>
        <v>0</v>
      </c>
      <c r="Q179" s="1564">
        <f>'17. Cash Flow and Reserves'!$F$172*Q178</f>
        <v>0</v>
      </c>
      <c r="R179" s="1564">
        <f>'17. Cash Flow and Reserves'!$F$172*R178</f>
        <v>0</v>
      </c>
      <c r="S179" s="1564">
        <f>'17. Cash Flow and Reserves'!$F$172*S178</f>
        <v>0</v>
      </c>
      <c r="T179" s="1273"/>
      <c r="U179" s="1135"/>
      <c r="V179" s="1135"/>
      <c r="W179" s="1135"/>
      <c r="X179" s="1135"/>
      <c r="Y179" s="1135"/>
      <c r="Z179" s="1135"/>
      <c r="AA179" s="1135"/>
      <c r="AB179" s="1135"/>
      <c r="AC179" s="1135"/>
      <c r="AD179" s="1135"/>
      <c r="AE179" s="1135"/>
      <c r="AF179" s="1135"/>
      <c r="AG179" s="1135"/>
      <c r="AH179" s="1135"/>
      <c r="AI179" s="1135"/>
      <c r="AJ179" s="1135"/>
      <c r="AK179" s="1135"/>
      <c r="AL179" s="1135"/>
      <c r="AM179" s="9"/>
    </row>
    <row r="180" spans="2:39">
      <c r="B180" s="1287"/>
      <c r="C180" s="1563" t="s">
        <v>4535</v>
      </c>
      <c r="D180" s="1564">
        <f>'17. Cash Flow and Reserves'!F173</f>
        <v>0</v>
      </c>
      <c r="E180" s="1564">
        <f>D180*(100%+'17. Cash Flow and Reserves'!$F$174)</f>
        <v>0</v>
      </c>
      <c r="F180" s="1564">
        <f>E180*(100%+'17. Cash Flow and Reserves'!$F$174)</f>
        <v>0</v>
      </c>
      <c r="G180" s="1564">
        <f>F180*(100%+'17. Cash Flow and Reserves'!$F$174)</f>
        <v>0</v>
      </c>
      <c r="H180" s="1564">
        <f>G180*(100%+'17. Cash Flow and Reserves'!$F$174)</f>
        <v>0</v>
      </c>
      <c r="I180" s="1565">
        <f>H180*(100%+'17. Cash Flow and Reserves'!$F$174)</f>
        <v>0</v>
      </c>
      <c r="J180" s="1564">
        <f>I180*(100%+'17. Cash Flow and Reserves'!$F$174)</f>
        <v>0</v>
      </c>
      <c r="K180" s="1564">
        <f>J180*(100%+'17. Cash Flow and Reserves'!$F$174)</f>
        <v>0</v>
      </c>
      <c r="L180" s="1564">
        <f>K180*(100%+'17. Cash Flow and Reserves'!$F$174)</f>
        <v>0</v>
      </c>
      <c r="M180" s="1564">
        <f>L180*(100%+'17. Cash Flow and Reserves'!$F$174)</f>
        <v>0</v>
      </c>
      <c r="N180" s="1564">
        <f>M180*(100%+'17. Cash Flow and Reserves'!$F$174)</f>
        <v>0</v>
      </c>
      <c r="O180" s="1564">
        <f>N180*(100%+'17. Cash Flow and Reserves'!$F$174)</f>
        <v>0</v>
      </c>
      <c r="P180" s="1564">
        <f>O180*(100%+'17. Cash Flow and Reserves'!$F$174)</f>
        <v>0</v>
      </c>
      <c r="Q180" s="1564">
        <f>P180*(100%+'17. Cash Flow and Reserves'!$F$174)</f>
        <v>0</v>
      </c>
      <c r="R180" s="1564">
        <f>Q180*(100%+'17. Cash Flow and Reserves'!$F$174)</f>
        <v>0</v>
      </c>
      <c r="S180" s="1564">
        <f>R180*(100%+'17. Cash Flow and Reserves'!$F$174)</f>
        <v>0</v>
      </c>
      <c r="T180" s="1273"/>
      <c r="U180" s="1135"/>
      <c r="V180" s="1135"/>
      <c r="W180" s="1135"/>
      <c r="X180" s="1135"/>
      <c r="Y180" s="1135"/>
      <c r="Z180" s="1135"/>
      <c r="AA180" s="1135"/>
      <c r="AB180" s="1135"/>
      <c r="AC180" s="1135"/>
      <c r="AD180" s="1135"/>
      <c r="AE180" s="1135"/>
      <c r="AF180" s="1135"/>
      <c r="AG180" s="1135"/>
      <c r="AH180" s="1135"/>
      <c r="AI180" s="1135"/>
      <c r="AJ180" s="1135"/>
      <c r="AK180" s="1135"/>
      <c r="AL180" s="1135"/>
      <c r="AM180" s="9"/>
    </row>
    <row r="181" spans="2:39">
      <c r="B181" s="1287"/>
      <c r="C181" s="1563" t="s">
        <v>4536</v>
      </c>
      <c r="D181" s="1566"/>
      <c r="E181" s="1566"/>
      <c r="F181" s="1566"/>
      <c r="G181" s="1566"/>
      <c r="H181" s="1566"/>
      <c r="I181" s="1566"/>
      <c r="J181" s="1566"/>
      <c r="K181" s="1566"/>
      <c r="L181" s="1566"/>
      <c r="M181" s="1566"/>
      <c r="N181" s="1566"/>
      <c r="O181" s="1566"/>
      <c r="P181" s="1566"/>
      <c r="Q181" s="1566"/>
      <c r="R181" s="1566"/>
      <c r="S181" s="1566"/>
      <c r="T181" s="1273"/>
      <c r="U181" s="1135"/>
      <c r="V181" s="1135"/>
      <c r="W181" s="1135"/>
      <c r="X181" s="1135"/>
      <c r="Y181" s="1135"/>
      <c r="Z181" s="1135"/>
      <c r="AA181" s="1135"/>
      <c r="AB181" s="1135"/>
      <c r="AC181" s="1135"/>
      <c r="AD181" s="1135"/>
      <c r="AE181" s="1135"/>
      <c r="AF181" s="1135"/>
      <c r="AG181" s="1135"/>
      <c r="AH181" s="1135"/>
      <c r="AI181" s="1135"/>
      <c r="AJ181" s="1135"/>
      <c r="AK181" s="1135"/>
      <c r="AL181" s="1135"/>
      <c r="AM181" s="9"/>
    </row>
    <row r="182" spans="2:39">
      <c r="B182" s="1287"/>
      <c r="C182" s="1563" t="s">
        <v>4537</v>
      </c>
      <c r="D182" s="1564">
        <f>D178+D179+D180-D181</f>
        <v>0</v>
      </c>
      <c r="E182" s="1564">
        <f t="shared" ref="E182:S182" si="338">E178+E179+E180+E181</f>
        <v>0</v>
      </c>
      <c r="F182" s="1564">
        <f t="shared" si="338"/>
        <v>0</v>
      </c>
      <c r="G182" s="1564">
        <f t="shared" si="338"/>
        <v>0</v>
      </c>
      <c r="H182" s="1564">
        <f t="shared" si="338"/>
        <v>0</v>
      </c>
      <c r="I182" s="1565">
        <f t="shared" si="338"/>
        <v>0</v>
      </c>
      <c r="J182" s="1564">
        <f t="shared" si="338"/>
        <v>0</v>
      </c>
      <c r="K182" s="1564">
        <f t="shared" si="338"/>
        <v>0</v>
      </c>
      <c r="L182" s="1564">
        <f t="shared" si="338"/>
        <v>0</v>
      </c>
      <c r="M182" s="1564">
        <f t="shared" si="338"/>
        <v>0</v>
      </c>
      <c r="N182" s="1564">
        <f t="shared" si="338"/>
        <v>0</v>
      </c>
      <c r="O182" s="1564">
        <f t="shared" si="338"/>
        <v>0</v>
      </c>
      <c r="P182" s="1564">
        <f t="shared" si="338"/>
        <v>0</v>
      </c>
      <c r="Q182" s="1564">
        <f t="shared" si="338"/>
        <v>0</v>
      </c>
      <c r="R182" s="1564">
        <f t="shared" si="338"/>
        <v>0</v>
      </c>
      <c r="S182" s="1564">
        <f t="shared" si="338"/>
        <v>0</v>
      </c>
      <c r="T182" s="1273"/>
      <c r="U182" s="1135"/>
      <c r="V182" s="1135"/>
      <c r="W182" s="1135"/>
      <c r="X182" s="1135"/>
      <c r="Y182" s="1135"/>
      <c r="Z182" s="1135"/>
      <c r="AA182" s="1135"/>
      <c r="AB182" s="1135"/>
      <c r="AC182" s="1135"/>
      <c r="AD182" s="1135"/>
      <c r="AE182" s="1135"/>
      <c r="AF182" s="1135"/>
      <c r="AG182" s="1135"/>
      <c r="AH182" s="1135"/>
      <c r="AI182" s="1135"/>
      <c r="AJ182" s="1135"/>
      <c r="AK182" s="1135"/>
      <c r="AL182" s="1135"/>
      <c r="AM182" s="9"/>
    </row>
    <row r="183" spans="2:39">
      <c r="B183" s="1194"/>
      <c r="C183" s="1273"/>
      <c r="D183" s="1273"/>
      <c r="E183" s="1273"/>
      <c r="F183" s="1273"/>
      <c r="G183" s="1273"/>
      <c r="H183" s="1273"/>
      <c r="I183" s="1273"/>
      <c r="J183" s="1273"/>
      <c r="K183" s="1273"/>
      <c r="L183" s="1273"/>
      <c r="M183" s="1273"/>
      <c r="N183" s="1273"/>
      <c r="O183" s="1273"/>
      <c r="P183" s="1273"/>
      <c r="Q183" s="1273"/>
      <c r="R183" s="1273"/>
      <c r="S183" s="1273"/>
      <c r="T183" s="1273"/>
      <c r="U183" s="1135"/>
      <c r="V183" s="1135"/>
      <c r="W183" s="1135"/>
      <c r="X183" s="1135"/>
      <c r="Y183" s="1135"/>
      <c r="Z183" s="1135"/>
      <c r="AA183" s="1135"/>
      <c r="AB183" s="1135"/>
      <c r="AC183" s="1135"/>
      <c r="AD183" s="1135"/>
      <c r="AE183" s="1135"/>
      <c r="AF183" s="1135"/>
      <c r="AG183" s="1135"/>
      <c r="AH183" s="1135"/>
      <c r="AI183" s="1135"/>
      <c r="AJ183" s="1135"/>
      <c r="AK183" s="1135"/>
      <c r="AL183" s="1135"/>
      <c r="AM183" s="9"/>
    </row>
    <row r="184" spans="2:39">
      <c r="B184" s="638"/>
      <c r="C184" s="1135"/>
      <c r="D184" s="1135"/>
      <c r="E184" s="1135"/>
      <c r="F184" s="1135"/>
      <c r="G184" s="1135"/>
      <c r="H184" s="1135"/>
      <c r="I184" s="3"/>
      <c r="J184" s="1135"/>
      <c r="K184" s="1135"/>
      <c r="L184" s="1135"/>
      <c r="M184" s="1135"/>
      <c r="N184" s="1135"/>
      <c r="O184" s="1135"/>
      <c r="P184" s="1135"/>
      <c r="Q184" s="1135"/>
      <c r="R184" s="1135"/>
      <c r="S184" s="1135"/>
      <c r="T184" s="1135"/>
      <c r="U184" s="1135"/>
      <c r="V184" s="1135"/>
      <c r="W184" s="1135"/>
      <c r="X184" s="1135"/>
      <c r="Y184" s="1135"/>
      <c r="Z184" s="1135"/>
      <c r="AA184" s="1135"/>
      <c r="AB184" s="1135"/>
      <c r="AC184" s="1135"/>
      <c r="AD184" s="1135"/>
      <c r="AE184" s="1135"/>
      <c r="AF184" s="1135"/>
      <c r="AG184" s="1135"/>
      <c r="AH184" s="1135"/>
      <c r="AI184" s="1135"/>
      <c r="AJ184" s="1135"/>
      <c r="AK184" s="1135"/>
      <c r="AL184" s="1135"/>
      <c r="AM184" s="9"/>
    </row>
    <row r="185" spans="2:39" ht="19">
      <c r="B185" s="1154" t="s">
        <v>3364</v>
      </c>
      <c r="C185" s="9"/>
      <c r="D185" s="1162"/>
      <c r="E185" s="1162"/>
      <c r="F185" s="1134"/>
      <c r="G185" s="1145"/>
      <c r="H185" s="1145"/>
      <c r="I185" s="1470"/>
      <c r="J185" s="1134"/>
      <c r="K185" s="1135"/>
      <c r="L185" s="1135"/>
      <c r="M185" s="1135"/>
      <c r="N185" s="1135"/>
      <c r="O185" s="1135"/>
      <c r="P185" s="1135"/>
      <c r="Q185" s="1135"/>
      <c r="R185" s="1135"/>
      <c r="S185" s="1135"/>
      <c r="T185" s="1135"/>
      <c r="U185" s="1135"/>
      <c r="V185" s="1135"/>
      <c r="W185" s="1135"/>
      <c r="X185" s="1135"/>
      <c r="Y185" s="1135"/>
      <c r="Z185" s="1135"/>
      <c r="AA185" s="1135"/>
      <c r="AB185" s="1135"/>
      <c r="AC185" s="1135"/>
      <c r="AD185" s="1135"/>
      <c r="AE185" s="1135"/>
      <c r="AF185" s="1135"/>
      <c r="AG185" s="1135"/>
      <c r="AH185" s="1135"/>
      <c r="AI185" s="1135"/>
      <c r="AJ185" s="1135"/>
      <c r="AK185" s="1135"/>
      <c r="AL185" s="1135"/>
      <c r="AM185" s="9"/>
    </row>
    <row r="186" spans="2:39">
      <c r="B186" s="1287"/>
      <c r="C186" s="1333" t="s">
        <v>4538</v>
      </c>
      <c r="D186" s="1333"/>
      <c r="E186" s="1329"/>
      <c r="F186" s="1329"/>
      <c r="G186" s="1329"/>
      <c r="H186" s="1329"/>
      <c r="I186" s="1273"/>
      <c r="J186" s="1329"/>
      <c r="K186" s="1329"/>
      <c r="L186" s="1329"/>
      <c r="M186" s="1329"/>
      <c r="N186" s="1329"/>
      <c r="O186" s="1329"/>
      <c r="P186" s="1329"/>
      <c r="Q186" s="1329"/>
      <c r="R186" s="1329"/>
      <c r="S186" s="1329"/>
      <c r="T186" s="1329"/>
      <c r="U186" s="1135"/>
      <c r="V186" s="1135"/>
      <c r="W186" s="1135"/>
      <c r="X186" s="1135"/>
      <c r="Y186" s="1135"/>
      <c r="Z186" s="1135"/>
      <c r="AA186" s="1135"/>
      <c r="AB186" s="1135"/>
      <c r="AC186" s="1135"/>
      <c r="AD186" s="1135"/>
      <c r="AE186" s="1135"/>
      <c r="AF186" s="1135"/>
      <c r="AG186" s="1135"/>
      <c r="AH186" s="1135"/>
      <c r="AI186" s="1135"/>
      <c r="AJ186" s="1135"/>
      <c r="AK186" s="1135"/>
      <c r="AL186" s="1135"/>
      <c r="AM186" s="9"/>
    </row>
    <row r="187" spans="2:39">
      <c r="B187" s="1287"/>
      <c r="C187" s="2288"/>
      <c r="D187" s="2288"/>
      <c r="E187" s="2288"/>
      <c r="F187" s="2288"/>
      <c r="G187" s="2288"/>
      <c r="H187" s="2288"/>
      <c r="I187" s="1273"/>
      <c r="J187" s="1329"/>
      <c r="K187" s="1329"/>
      <c r="L187" s="1329"/>
      <c r="M187" s="1329"/>
      <c r="N187" s="1329"/>
      <c r="O187" s="1329"/>
      <c r="P187" s="1329"/>
      <c r="Q187" s="1329"/>
      <c r="R187" s="1329"/>
      <c r="S187" s="1329"/>
      <c r="T187" s="1329"/>
      <c r="U187" s="1135"/>
      <c r="V187" s="1135"/>
      <c r="W187" s="1135"/>
      <c r="X187" s="1135"/>
      <c r="Y187" s="1135"/>
      <c r="Z187" s="1135"/>
      <c r="AA187" s="1135"/>
      <c r="AB187" s="1135"/>
      <c r="AC187" s="1135"/>
      <c r="AD187" s="1135"/>
      <c r="AE187" s="1135"/>
      <c r="AF187" s="1135"/>
      <c r="AG187" s="1135"/>
      <c r="AH187" s="1135"/>
      <c r="AI187" s="1135"/>
      <c r="AJ187" s="1135"/>
      <c r="AK187" s="1135"/>
      <c r="AL187" s="1135"/>
      <c r="AM187" s="9"/>
    </row>
    <row r="188" spans="2:39">
      <c r="B188" s="1287"/>
      <c r="C188" s="2288"/>
      <c r="D188" s="2288"/>
      <c r="E188" s="2288"/>
      <c r="F188" s="2288"/>
      <c r="G188" s="2288"/>
      <c r="H188" s="2288"/>
      <c r="I188" s="1273"/>
      <c r="J188" s="1329"/>
      <c r="K188" s="1329"/>
      <c r="L188" s="1329"/>
      <c r="M188" s="1329"/>
      <c r="N188" s="1329"/>
      <c r="O188" s="1329"/>
      <c r="P188" s="1329"/>
      <c r="Q188" s="1329"/>
      <c r="R188" s="1329"/>
      <c r="S188" s="1329"/>
      <c r="T188" s="1329"/>
      <c r="U188" s="1135"/>
      <c r="V188" s="1135"/>
      <c r="W188" s="1135"/>
      <c r="X188" s="1135"/>
      <c r="Y188" s="1135"/>
      <c r="Z188" s="1135"/>
      <c r="AA188" s="1135"/>
      <c r="AB188" s="1135"/>
      <c r="AC188" s="1135"/>
      <c r="AD188" s="1135"/>
      <c r="AE188" s="1135"/>
      <c r="AF188" s="1135"/>
      <c r="AG188" s="1135"/>
      <c r="AH188" s="1135"/>
      <c r="AI188" s="1135"/>
      <c r="AJ188" s="1135"/>
      <c r="AK188" s="1135"/>
      <c r="AL188" s="1135"/>
      <c r="AM188" s="9"/>
    </row>
    <row r="189" spans="2:39">
      <c r="B189" s="1287"/>
      <c r="C189" s="2288"/>
      <c r="D189" s="2288"/>
      <c r="E189" s="2288"/>
      <c r="F189" s="2288"/>
      <c r="G189" s="2288"/>
      <c r="H189" s="2288"/>
      <c r="I189" s="1273"/>
      <c r="J189" s="1329"/>
      <c r="K189" s="1329"/>
      <c r="L189" s="1329"/>
      <c r="M189" s="1329"/>
      <c r="N189" s="1329"/>
      <c r="O189" s="1329"/>
      <c r="P189" s="1329"/>
      <c r="Q189" s="1329"/>
      <c r="R189" s="1329"/>
      <c r="S189" s="1329"/>
      <c r="T189" s="1329"/>
      <c r="U189" s="1135"/>
      <c r="V189" s="1135"/>
      <c r="W189" s="1135"/>
      <c r="X189" s="1135"/>
      <c r="Y189" s="1135"/>
      <c r="Z189" s="1135"/>
      <c r="AA189" s="1135"/>
      <c r="AB189" s="1135"/>
      <c r="AC189" s="1135"/>
      <c r="AD189" s="1135"/>
      <c r="AE189" s="1135"/>
      <c r="AF189" s="1135"/>
      <c r="AG189" s="1135"/>
      <c r="AH189" s="1135"/>
      <c r="AI189" s="1135"/>
      <c r="AJ189" s="1135"/>
      <c r="AK189" s="1135"/>
      <c r="AL189" s="1135"/>
      <c r="AM189" s="9"/>
    </row>
    <row r="190" spans="2:39">
      <c r="B190" s="1287"/>
      <c r="C190" s="2288"/>
      <c r="D190" s="2288"/>
      <c r="E190" s="2288"/>
      <c r="F190" s="2288"/>
      <c r="G190" s="2288"/>
      <c r="H190" s="2288"/>
      <c r="I190" s="1273"/>
      <c r="J190" s="1329"/>
      <c r="K190" s="1329"/>
      <c r="L190" s="1329"/>
      <c r="M190" s="1329"/>
      <c r="N190" s="1329"/>
      <c r="O190" s="1329"/>
      <c r="P190" s="1329"/>
      <c r="Q190" s="1329"/>
      <c r="R190" s="1329"/>
      <c r="S190" s="1329"/>
      <c r="T190" s="1329"/>
      <c r="U190" s="1135"/>
      <c r="V190" s="1135"/>
      <c r="W190" s="1135"/>
      <c r="X190" s="1135"/>
      <c r="Y190" s="1135"/>
      <c r="Z190" s="1135"/>
      <c r="AA190" s="1135"/>
      <c r="AB190" s="1135"/>
      <c r="AC190" s="1135"/>
      <c r="AD190" s="1135"/>
      <c r="AE190" s="1135"/>
      <c r="AF190" s="1135"/>
      <c r="AG190" s="1135"/>
      <c r="AH190" s="1135"/>
      <c r="AI190" s="1135"/>
      <c r="AJ190" s="1135"/>
      <c r="AK190" s="1135"/>
      <c r="AL190" s="1135"/>
      <c r="AM190" s="9"/>
    </row>
    <row r="191" spans="2:39">
      <c r="B191" s="1287"/>
      <c r="C191" s="2288"/>
      <c r="D191" s="2288"/>
      <c r="E191" s="2288"/>
      <c r="F191" s="2288"/>
      <c r="G191" s="2288"/>
      <c r="H191" s="2288"/>
      <c r="I191" s="1273"/>
      <c r="J191" s="1329"/>
      <c r="K191" s="1329"/>
      <c r="L191" s="1329"/>
      <c r="M191" s="1329"/>
      <c r="N191" s="1329"/>
      <c r="O191" s="1329"/>
      <c r="P191" s="1329"/>
      <c r="Q191" s="1329"/>
      <c r="R191" s="1329"/>
      <c r="S191" s="1329"/>
      <c r="T191" s="1329"/>
      <c r="U191" s="1135"/>
      <c r="V191" s="1135"/>
      <c r="W191" s="1135"/>
      <c r="X191" s="1135"/>
      <c r="Y191" s="1135"/>
      <c r="Z191" s="1135"/>
      <c r="AA191" s="1135"/>
      <c r="AB191" s="1135"/>
      <c r="AC191" s="1135"/>
      <c r="AD191" s="1135"/>
      <c r="AE191" s="1135"/>
      <c r="AF191" s="1135"/>
      <c r="AG191" s="1135"/>
      <c r="AH191" s="1135"/>
      <c r="AI191" s="1135"/>
      <c r="AJ191" s="1135"/>
      <c r="AK191" s="1135"/>
      <c r="AL191" s="1135"/>
      <c r="AM191" s="9"/>
    </row>
    <row r="192" spans="2:39">
      <c r="B192" s="1287"/>
      <c r="C192" s="2288"/>
      <c r="D192" s="2288"/>
      <c r="E192" s="2288"/>
      <c r="F192" s="2288"/>
      <c r="G192" s="2288"/>
      <c r="H192" s="2288"/>
      <c r="I192" s="1273"/>
      <c r="J192" s="1329"/>
      <c r="K192" s="1329"/>
      <c r="L192" s="1329"/>
      <c r="M192" s="1329"/>
      <c r="N192" s="1329"/>
      <c r="O192" s="1329"/>
      <c r="P192" s="1329"/>
      <c r="Q192" s="1329"/>
      <c r="R192" s="1329"/>
      <c r="S192" s="1329"/>
      <c r="T192" s="1329"/>
      <c r="U192" s="1135"/>
      <c r="V192" s="1135"/>
      <c r="W192" s="1135"/>
      <c r="X192" s="1135"/>
      <c r="Y192" s="1135"/>
      <c r="Z192" s="1135"/>
      <c r="AA192" s="1135"/>
      <c r="AB192" s="1135"/>
      <c r="AC192" s="1135"/>
      <c r="AD192" s="1135"/>
      <c r="AE192" s="1135"/>
      <c r="AF192" s="1135"/>
      <c r="AG192" s="1135"/>
      <c r="AH192" s="1135"/>
      <c r="AI192" s="1135"/>
      <c r="AJ192" s="1135"/>
      <c r="AK192" s="1135"/>
      <c r="AL192" s="1135"/>
      <c r="AM192" s="9"/>
    </row>
    <row r="193" spans="2:38">
      <c r="B193" s="1287"/>
      <c r="C193" s="2288"/>
      <c r="D193" s="2288"/>
      <c r="E193" s="2288"/>
      <c r="F193" s="2288"/>
      <c r="G193" s="2288"/>
      <c r="H193" s="2288"/>
      <c r="I193" s="1273"/>
      <c r="J193" s="1329"/>
      <c r="K193" s="1329"/>
      <c r="L193" s="1329"/>
      <c r="M193" s="1329"/>
      <c r="N193" s="1329"/>
      <c r="O193" s="1329"/>
      <c r="P193" s="1329"/>
      <c r="Q193" s="1329"/>
      <c r="R193" s="1329"/>
      <c r="S193" s="1329"/>
      <c r="T193" s="1329"/>
      <c r="U193" s="1135"/>
      <c r="V193" s="1135"/>
      <c r="W193" s="1135"/>
      <c r="X193" s="1135"/>
      <c r="Y193" s="1135"/>
      <c r="Z193" s="1135"/>
      <c r="AA193" s="1135"/>
      <c r="AB193" s="1135"/>
      <c r="AC193" s="1135"/>
      <c r="AD193" s="1135"/>
      <c r="AE193" s="1135"/>
      <c r="AF193" s="1135"/>
      <c r="AG193" s="1135"/>
      <c r="AH193" s="1135"/>
      <c r="AI193" s="1135"/>
      <c r="AJ193" s="1135"/>
      <c r="AK193" s="1135"/>
      <c r="AL193" s="1135"/>
    </row>
    <row r="194" spans="2:38">
      <c r="B194" s="1287"/>
      <c r="C194" s="2288"/>
      <c r="D194" s="2288"/>
      <c r="E194" s="2288"/>
      <c r="F194" s="2288"/>
      <c r="G194" s="2288"/>
      <c r="H194" s="2288"/>
      <c r="I194" s="1273"/>
      <c r="J194" s="1329"/>
      <c r="K194" s="1329"/>
      <c r="L194" s="1329"/>
      <c r="M194" s="1329"/>
      <c r="N194" s="1329"/>
      <c r="O194" s="1329"/>
      <c r="P194" s="1329"/>
      <c r="Q194" s="1329"/>
      <c r="R194" s="1329"/>
      <c r="S194" s="1329"/>
      <c r="T194" s="1329"/>
      <c r="U194" s="1135"/>
      <c r="V194" s="1135"/>
      <c r="W194" s="1135"/>
      <c r="X194" s="1135"/>
      <c r="Y194" s="1135"/>
      <c r="Z194" s="1135"/>
      <c r="AA194" s="1135"/>
      <c r="AB194" s="1135"/>
      <c r="AC194" s="1135"/>
      <c r="AD194" s="1135"/>
      <c r="AE194" s="1135"/>
      <c r="AF194" s="1135"/>
      <c r="AG194" s="1135"/>
      <c r="AH194" s="1135"/>
      <c r="AI194" s="1135"/>
      <c r="AJ194" s="1135"/>
      <c r="AK194" s="1135"/>
      <c r="AL194" s="1135"/>
    </row>
    <row r="195" spans="2:38">
      <c r="B195" s="1287"/>
      <c r="C195" s="1329"/>
      <c r="D195" s="1329"/>
      <c r="E195" s="1329"/>
      <c r="F195" s="1329"/>
      <c r="G195" s="1329"/>
      <c r="H195" s="1329"/>
      <c r="I195" s="1273"/>
      <c r="J195" s="1329"/>
      <c r="K195" s="1329"/>
      <c r="L195" s="1329"/>
      <c r="M195" s="1329"/>
      <c r="N195" s="1329"/>
      <c r="O195" s="1329"/>
      <c r="P195" s="1329"/>
      <c r="Q195" s="1329"/>
      <c r="R195" s="1329"/>
      <c r="S195" s="1329"/>
      <c r="T195" s="1329"/>
      <c r="U195" s="1135"/>
      <c r="V195" s="1135"/>
      <c r="W195" s="1135"/>
      <c r="X195" s="1135"/>
      <c r="Y195" s="1135"/>
      <c r="Z195" s="1135"/>
      <c r="AA195" s="1135"/>
      <c r="AB195" s="1135"/>
      <c r="AC195" s="1135"/>
      <c r="AD195" s="1135"/>
      <c r="AE195" s="1135"/>
      <c r="AF195" s="1135"/>
      <c r="AG195" s="1135"/>
      <c r="AH195" s="1135"/>
      <c r="AI195" s="1135"/>
      <c r="AJ195" s="1135"/>
      <c r="AK195" s="1135"/>
      <c r="AL195" s="1135"/>
    </row>
    <row r="196" spans="2:38" ht="16">
      <c r="B196" s="638"/>
      <c r="C196" s="1133"/>
      <c r="D196" s="1133"/>
      <c r="E196" s="1133"/>
      <c r="F196" s="1133"/>
      <c r="G196" s="1163"/>
      <c r="H196" s="1133"/>
      <c r="I196" s="1472"/>
      <c r="J196" s="1146"/>
      <c r="K196" s="1137"/>
      <c r="L196" s="1137"/>
      <c r="M196" s="1137"/>
      <c r="N196" s="1137"/>
      <c r="O196" s="1137"/>
      <c r="P196" s="1137"/>
      <c r="Q196" s="1137"/>
      <c r="R196" s="1137"/>
      <c r="S196" s="1137"/>
      <c r="T196" s="1137"/>
      <c r="U196" s="1135"/>
      <c r="V196" s="1135"/>
      <c r="W196" s="1135"/>
      <c r="X196" s="1135"/>
      <c r="Y196" s="1135"/>
      <c r="Z196" s="1135"/>
      <c r="AA196" s="1135"/>
      <c r="AB196" s="1135"/>
      <c r="AC196" s="1135"/>
      <c r="AD196" s="1135"/>
      <c r="AE196" s="1135"/>
      <c r="AF196" s="1135"/>
      <c r="AG196" s="1135"/>
      <c r="AH196" s="1135"/>
      <c r="AI196" s="1135"/>
      <c r="AJ196" s="1135"/>
      <c r="AK196" s="1135"/>
      <c r="AL196" s="1135"/>
    </row>
    <row r="197" spans="2:38">
      <c r="B197" s="1164" t="s">
        <v>4434</v>
      </c>
      <c r="C197" s="1138"/>
      <c r="D197" s="1138"/>
      <c r="E197" s="1138"/>
      <c r="F197" s="1138"/>
      <c r="G197" s="1138"/>
      <c r="H197" s="1138"/>
      <c r="I197" s="1471"/>
      <c r="J197" s="1135"/>
      <c r="K197" s="1135"/>
      <c r="L197" s="1135"/>
      <c r="M197" s="1135"/>
      <c r="N197" s="1135"/>
      <c r="O197" s="1135"/>
      <c r="P197" s="1135"/>
      <c r="Q197" s="1135"/>
      <c r="R197" s="1135"/>
      <c r="S197" s="1135"/>
      <c r="T197" s="1135"/>
      <c r="U197" s="1135"/>
      <c r="V197" s="1135"/>
      <c r="W197" s="1135"/>
      <c r="X197" s="1135"/>
      <c r="Y197" s="1135"/>
      <c r="Z197" s="1135"/>
      <c r="AA197" s="1135"/>
      <c r="AB197" s="1135"/>
      <c r="AC197" s="1135"/>
      <c r="AD197" s="1135"/>
      <c r="AE197" s="1135"/>
      <c r="AF197" s="1135"/>
      <c r="AG197" s="1135"/>
      <c r="AH197" s="1135"/>
      <c r="AI197" s="1135"/>
      <c r="AJ197" s="1135"/>
      <c r="AK197" s="1135"/>
      <c r="AL197" s="1135"/>
    </row>
    <row r="198" spans="2:38" ht="19">
      <c r="B198" s="1160" t="s">
        <v>3372</v>
      </c>
      <c r="C198" s="1133"/>
      <c r="D198" s="1133"/>
      <c r="E198" s="1133"/>
      <c r="F198" s="1147"/>
      <c r="G198" s="1147"/>
      <c r="H198" s="1147"/>
      <c r="I198" s="1472"/>
      <c r="J198" s="1135"/>
      <c r="K198" s="1135"/>
      <c r="L198" s="1135"/>
      <c r="M198" s="1135"/>
      <c r="N198" s="1135"/>
      <c r="O198" s="1135"/>
      <c r="P198" s="1135"/>
      <c r="Q198" s="1135"/>
      <c r="R198" s="1135"/>
      <c r="S198" s="1135"/>
      <c r="T198" s="1135"/>
      <c r="U198" s="1135"/>
      <c r="V198" s="1135"/>
      <c r="W198" s="1135"/>
      <c r="X198" s="1135"/>
      <c r="Y198" s="1135"/>
      <c r="Z198" s="1135"/>
      <c r="AA198" s="1135"/>
      <c r="AB198" s="1135"/>
      <c r="AC198" s="1135"/>
      <c r="AD198" s="1135"/>
      <c r="AE198" s="1135"/>
      <c r="AF198" s="1135"/>
      <c r="AG198" s="1135"/>
      <c r="AH198" s="1135"/>
      <c r="AI198" s="1135"/>
      <c r="AJ198" s="1135"/>
      <c r="AK198" s="1135"/>
      <c r="AL198" s="1135"/>
    </row>
    <row r="199" spans="2:38">
      <c r="B199" s="1287"/>
      <c r="C199" s="1333"/>
      <c r="D199" s="1333"/>
      <c r="E199" s="1329"/>
      <c r="F199" s="1329"/>
      <c r="G199" s="1329"/>
      <c r="H199" s="1329"/>
      <c r="I199" s="1273"/>
      <c r="J199" s="1329"/>
      <c r="K199" s="1329"/>
      <c r="L199" s="1329"/>
      <c r="M199" s="1329"/>
      <c r="N199" s="1329"/>
      <c r="O199" s="1329"/>
      <c r="P199" s="1329"/>
      <c r="Q199" s="1329"/>
      <c r="R199" s="1329"/>
      <c r="S199" s="1329"/>
      <c r="T199" s="1329"/>
      <c r="U199" s="1135"/>
      <c r="V199" s="1135"/>
      <c r="W199" s="1135"/>
      <c r="X199" s="1135"/>
      <c r="Y199" s="1135"/>
      <c r="Z199" s="1135"/>
      <c r="AA199" s="1135"/>
      <c r="AB199" s="1135"/>
      <c r="AC199" s="1135"/>
      <c r="AD199" s="1135"/>
      <c r="AE199" s="1135"/>
      <c r="AF199" s="1135"/>
      <c r="AG199" s="1135"/>
      <c r="AH199" s="1135"/>
      <c r="AI199" s="1135"/>
      <c r="AJ199" s="1135"/>
      <c r="AK199" s="1135"/>
      <c r="AL199" s="1135"/>
    </row>
    <row r="200" spans="2:38">
      <c r="B200" s="1287"/>
      <c r="C200" s="2279"/>
      <c r="D200" s="2280"/>
      <c r="E200" s="2280"/>
      <c r="F200" s="2280"/>
      <c r="G200" s="2280"/>
      <c r="H200" s="2281"/>
      <c r="I200" s="1273"/>
      <c r="J200" s="1329"/>
      <c r="K200" s="1329"/>
      <c r="L200" s="1329"/>
      <c r="M200" s="1329"/>
      <c r="N200" s="1329"/>
      <c r="O200" s="1329"/>
      <c r="P200" s="1329"/>
      <c r="Q200" s="1329"/>
      <c r="R200" s="1329"/>
      <c r="S200" s="1329"/>
      <c r="T200" s="1329"/>
      <c r="U200" s="1135"/>
      <c r="V200" s="1135"/>
      <c r="W200" s="1135"/>
      <c r="X200" s="1135"/>
      <c r="Y200" s="1135"/>
      <c r="Z200" s="1135"/>
      <c r="AA200" s="1135"/>
      <c r="AB200" s="1135"/>
      <c r="AC200" s="1135"/>
      <c r="AD200" s="1135"/>
      <c r="AE200" s="1135"/>
      <c r="AF200" s="1135"/>
      <c r="AG200" s="1135"/>
      <c r="AH200" s="1135"/>
      <c r="AI200" s="1135"/>
      <c r="AJ200" s="1135"/>
      <c r="AK200" s="1135"/>
      <c r="AL200" s="1135"/>
    </row>
    <row r="201" spans="2:38">
      <c r="B201" s="1287"/>
      <c r="C201" s="2282"/>
      <c r="D201" s="2283"/>
      <c r="E201" s="2283"/>
      <c r="F201" s="2283"/>
      <c r="G201" s="2283"/>
      <c r="H201" s="2284"/>
      <c r="I201" s="1273"/>
      <c r="J201" s="1329"/>
      <c r="K201" s="1329"/>
      <c r="L201" s="1329"/>
      <c r="M201" s="1329"/>
      <c r="N201" s="1329"/>
      <c r="O201" s="1329"/>
      <c r="P201" s="1329"/>
      <c r="Q201" s="1329"/>
      <c r="R201" s="1329"/>
      <c r="S201" s="1329"/>
      <c r="T201" s="1329"/>
      <c r="U201" s="1135"/>
      <c r="V201" s="1135"/>
      <c r="W201" s="1135"/>
      <c r="X201" s="1135"/>
      <c r="Y201" s="1135"/>
      <c r="Z201" s="1135"/>
      <c r="AA201" s="1135"/>
      <c r="AB201" s="1135"/>
      <c r="AC201" s="1135"/>
      <c r="AD201" s="1135"/>
      <c r="AE201" s="1135"/>
      <c r="AF201" s="1135"/>
      <c r="AG201" s="1135"/>
      <c r="AH201" s="1135"/>
      <c r="AI201" s="1135"/>
      <c r="AJ201" s="1135"/>
      <c r="AK201" s="1135"/>
      <c r="AL201" s="1135"/>
    </row>
    <row r="202" spans="2:38">
      <c r="B202" s="1287"/>
      <c r="C202" s="2282"/>
      <c r="D202" s="2283"/>
      <c r="E202" s="2283"/>
      <c r="F202" s="2283"/>
      <c r="G202" s="2283"/>
      <c r="H202" s="2284"/>
      <c r="I202" s="1273"/>
      <c r="J202" s="1329"/>
      <c r="K202" s="1329"/>
      <c r="L202" s="1329"/>
      <c r="M202" s="1329"/>
      <c r="N202" s="1329"/>
      <c r="O202" s="1329"/>
      <c r="P202" s="1329"/>
      <c r="Q202" s="1329"/>
      <c r="R202" s="1329"/>
      <c r="S202" s="1329"/>
      <c r="T202" s="1329"/>
      <c r="U202" s="1135"/>
      <c r="V202" s="1135"/>
      <c r="W202" s="1135"/>
      <c r="X202" s="1135"/>
      <c r="Y202" s="1135"/>
      <c r="Z202" s="1135"/>
      <c r="AA202" s="1135"/>
      <c r="AB202" s="1135"/>
      <c r="AC202" s="1135"/>
      <c r="AD202" s="1135"/>
      <c r="AE202" s="1135"/>
      <c r="AF202" s="1135"/>
      <c r="AG202" s="1135"/>
      <c r="AH202" s="1135"/>
      <c r="AI202" s="1135"/>
      <c r="AJ202" s="1135"/>
      <c r="AK202" s="1135"/>
      <c r="AL202" s="1135"/>
    </row>
    <row r="203" spans="2:38">
      <c r="B203" s="1287"/>
      <c r="C203" s="2285"/>
      <c r="D203" s="2286"/>
      <c r="E203" s="2286"/>
      <c r="F203" s="2286"/>
      <c r="G203" s="2286"/>
      <c r="H203" s="2287"/>
      <c r="I203" s="1273"/>
      <c r="J203" s="1329"/>
      <c r="K203" s="1329"/>
      <c r="L203" s="1329"/>
      <c r="M203" s="1329"/>
      <c r="N203" s="1329"/>
      <c r="O203" s="1329"/>
      <c r="P203" s="1329"/>
      <c r="Q203" s="1329"/>
      <c r="R203" s="1329"/>
      <c r="S203" s="1329"/>
      <c r="T203" s="1329"/>
      <c r="U203" s="1135"/>
      <c r="V203" s="1135"/>
      <c r="W203" s="1135"/>
      <c r="X203" s="1135"/>
      <c r="Y203" s="1135"/>
      <c r="Z203" s="1135"/>
      <c r="AA203" s="1135"/>
      <c r="AB203" s="1135"/>
      <c r="AC203" s="1135"/>
      <c r="AD203" s="1135"/>
      <c r="AE203" s="1135"/>
      <c r="AF203" s="1135"/>
      <c r="AG203" s="1135"/>
      <c r="AH203" s="1135"/>
      <c r="AI203" s="1135"/>
      <c r="AJ203" s="1135"/>
      <c r="AK203" s="1135"/>
      <c r="AL203" s="1135"/>
    </row>
    <row r="204" spans="2:38">
      <c r="B204" s="1287"/>
      <c r="C204" s="1329"/>
      <c r="D204" s="1329"/>
      <c r="E204" s="1329"/>
      <c r="F204" s="1329"/>
      <c r="G204" s="1329"/>
      <c r="H204" s="1329"/>
      <c r="I204" s="1273"/>
      <c r="J204" s="1329"/>
      <c r="K204" s="1329"/>
      <c r="L204" s="1329"/>
      <c r="M204" s="1329"/>
      <c r="N204" s="1329"/>
      <c r="O204" s="1329"/>
      <c r="P204" s="1329"/>
      <c r="Q204" s="1329"/>
      <c r="R204" s="1329"/>
      <c r="S204" s="1329"/>
      <c r="T204" s="1329"/>
      <c r="U204" s="1135"/>
      <c r="V204" s="1135"/>
      <c r="W204" s="1135"/>
      <c r="X204" s="1135"/>
      <c r="Y204" s="1135"/>
      <c r="Z204" s="1135"/>
      <c r="AA204" s="1135"/>
      <c r="AB204" s="1135"/>
      <c r="AC204" s="1135"/>
      <c r="AD204" s="1135"/>
      <c r="AE204" s="1135"/>
      <c r="AF204" s="1135"/>
      <c r="AG204" s="1135"/>
      <c r="AH204" s="1135"/>
      <c r="AI204" s="1135"/>
      <c r="AJ204" s="1135"/>
      <c r="AK204" s="1135"/>
      <c r="AL204" s="1135"/>
    </row>
    <row r="205" spans="2:38">
      <c r="B205" s="638"/>
      <c r="C205" s="1135"/>
      <c r="D205" s="1135"/>
      <c r="E205" s="1135"/>
      <c r="F205" s="1135"/>
      <c r="G205" s="1135"/>
      <c r="H205" s="1135"/>
      <c r="I205" s="3"/>
      <c r="J205" s="1135"/>
      <c r="K205" s="1135"/>
      <c r="L205" s="1135"/>
      <c r="M205" s="1135"/>
      <c r="N205" s="1135"/>
      <c r="O205" s="1135"/>
      <c r="P205" s="1135"/>
      <c r="Q205" s="1135"/>
      <c r="R205" s="1135"/>
      <c r="S205" s="1135"/>
      <c r="T205" s="1135"/>
      <c r="U205" s="1135"/>
      <c r="V205" s="1135"/>
      <c r="W205" s="1135"/>
      <c r="X205" s="1135"/>
      <c r="Y205" s="1135"/>
      <c r="Z205" s="131"/>
      <c r="AA205" s="1135"/>
      <c r="AB205" s="1135"/>
      <c r="AC205" s="1135"/>
      <c r="AD205" s="1135"/>
      <c r="AE205" s="1135"/>
      <c r="AF205" s="1135"/>
      <c r="AG205" s="1135"/>
      <c r="AH205" s="1135"/>
      <c r="AI205" s="1135"/>
      <c r="AJ205" s="1135"/>
      <c r="AK205" s="1135"/>
      <c r="AL205" s="1135"/>
    </row>
    <row r="206" spans="2:38">
      <c r="B206" s="638"/>
      <c r="C206" s="1135"/>
      <c r="D206" s="1135"/>
      <c r="E206" s="1135"/>
      <c r="F206" s="1135"/>
      <c r="G206" s="1135"/>
      <c r="H206" s="1135"/>
      <c r="I206" s="3"/>
      <c r="J206" s="1135"/>
      <c r="K206" s="1135"/>
      <c r="L206" s="1135"/>
      <c r="M206" s="1135"/>
      <c r="N206" s="1135"/>
      <c r="O206" s="1135"/>
      <c r="P206" s="1135"/>
      <c r="Q206" s="1135"/>
      <c r="R206" s="1135"/>
      <c r="S206" s="1135"/>
      <c r="T206" s="1135"/>
      <c r="U206" s="1135"/>
      <c r="V206" s="1135"/>
      <c r="W206" s="1135"/>
      <c r="X206" s="1135"/>
      <c r="Y206" s="1135"/>
      <c r="Z206" s="131"/>
      <c r="AA206" s="1135"/>
      <c r="AB206" s="1135"/>
      <c r="AC206" s="1135"/>
      <c r="AD206" s="1135"/>
      <c r="AE206" s="1135"/>
      <c r="AF206" s="1135"/>
      <c r="AG206" s="1135"/>
      <c r="AH206" s="1135"/>
      <c r="AI206" s="1135"/>
      <c r="AJ206" s="1135"/>
      <c r="AK206" s="1135"/>
      <c r="AL206" s="1135"/>
    </row>
    <row r="207" spans="2:38">
      <c r="B207" s="638"/>
      <c r="C207" s="1135"/>
      <c r="D207" s="1135"/>
      <c r="E207" s="1135"/>
      <c r="F207" s="1135"/>
      <c r="G207" s="1135"/>
      <c r="H207" s="1135"/>
      <c r="I207" s="3"/>
      <c r="J207" s="1135"/>
      <c r="K207" s="1135"/>
      <c r="L207" s="1135"/>
      <c r="M207" s="1135"/>
      <c r="N207" s="1135"/>
      <c r="O207" s="1135"/>
      <c r="P207" s="1135"/>
      <c r="Q207" s="1135"/>
      <c r="R207" s="1135"/>
      <c r="S207" s="1135"/>
      <c r="T207" s="1135"/>
      <c r="U207" s="1135"/>
      <c r="V207" s="1135"/>
      <c r="W207" s="1135"/>
      <c r="X207" s="1135"/>
      <c r="Y207" s="1135"/>
      <c r="Z207" s="131"/>
      <c r="AA207" s="1135"/>
      <c r="AB207" s="1135"/>
      <c r="AC207" s="1135"/>
      <c r="AD207" s="1135"/>
      <c r="AE207" s="1135"/>
      <c r="AF207" s="1135"/>
      <c r="AG207" s="1135"/>
      <c r="AH207" s="1135"/>
      <c r="AI207" s="1135"/>
      <c r="AJ207" s="1135"/>
      <c r="AK207" s="1135"/>
      <c r="AL207" s="1135"/>
    </row>
    <row r="208" spans="2:38">
      <c r="B208" s="638"/>
      <c r="C208" s="1135"/>
      <c r="D208" s="1135"/>
      <c r="E208" s="1135"/>
      <c r="F208" s="1135"/>
      <c r="G208" s="1135"/>
      <c r="H208" s="1135"/>
      <c r="I208" s="3"/>
      <c r="J208" s="1135"/>
      <c r="K208" s="1135"/>
      <c r="L208" s="1135"/>
      <c r="M208" s="1135"/>
      <c r="N208" s="1135"/>
      <c r="O208" s="1135"/>
      <c r="P208" s="1135"/>
      <c r="Q208" s="1135"/>
      <c r="R208" s="1135"/>
      <c r="S208" s="1135"/>
      <c r="T208" s="1135"/>
      <c r="U208" s="1135"/>
      <c r="V208" s="1135"/>
      <c r="W208" s="1135"/>
      <c r="X208" s="1135"/>
      <c r="Y208" s="1135"/>
      <c r="Z208" s="131"/>
      <c r="AA208" s="1135"/>
      <c r="AB208" s="1135"/>
      <c r="AC208" s="1135"/>
      <c r="AD208" s="1135"/>
      <c r="AE208" s="1135"/>
      <c r="AF208" s="1135"/>
      <c r="AG208" s="1135"/>
      <c r="AH208" s="1135"/>
      <c r="AI208" s="1135"/>
      <c r="AJ208" s="1135"/>
      <c r="AK208" s="1135"/>
      <c r="AL208" s="1135"/>
    </row>
    <row r="209" spans="2:38">
      <c r="B209" s="638"/>
      <c r="C209" s="1135"/>
      <c r="D209" s="1135"/>
      <c r="E209" s="1135"/>
      <c r="F209" s="1135"/>
      <c r="G209" s="1135"/>
      <c r="H209" s="1135"/>
      <c r="I209" s="3"/>
      <c r="J209" s="1135"/>
      <c r="K209" s="1135"/>
      <c r="L209" s="1135"/>
      <c r="M209" s="1135"/>
      <c r="N209" s="1135"/>
      <c r="O209" s="1135"/>
      <c r="P209" s="1135"/>
      <c r="Q209" s="1135"/>
      <c r="R209" s="1135"/>
      <c r="S209" s="1135"/>
      <c r="T209" s="1135"/>
      <c r="U209" s="1135"/>
      <c r="V209" s="1135"/>
      <c r="W209" s="1135"/>
      <c r="X209" s="1135"/>
      <c r="Y209" s="1135"/>
      <c r="Z209" s="131"/>
      <c r="AA209" s="1135"/>
      <c r="AB209" s="1135"/>
      <c r="AC209" s="1135"/>
      <c r="AD209" s="1135"/>
      <c r="AE209" s="1135"/>
      <c r="AF209" s="1135"/>
      <c r="AG209" s="1135"/>
      <c r="AH209" s="1135"/>
      <c r="AI209" s="1135"/>
      <c r="AJ209" s="1135"/>
      <c r="AK209" s="1135"/>
      <c r="AL209" s="1135"/>
    </row>
    <row r="210" spans="2:38">
      <c r="B210" s="638"/>
      <c r="C210" s="1135"/>
      <c r="D210" s="1135"/>
      <c r="E210" s="1135"/>
      <c r="F210" s="1135"/>
      <c r="G210" s="1135"/>
      <c r="H210" s="1135"/>
      <c r="I210" s="3"/>
      <c r="J210" s="1135"/>
      <c r="K210" s="1135"/>
      <c r="L210" s="1135"/>
      <c r="M210" s="1135"/>
      <c r="N210" s="1135"/>
      <c r="O210" s="1135"/>
      <c r="P210" s="1135"/>
      <c r="Q210" s="1135"/>
      <c r="R210" s="1135"/>
      <c r="S210" s="1135"/>
      <c r="T210" s="1135"/>
      <c r="U210" s="1135"/>
      <c r="V210" s="1135"/>
      <c r="W210" s="1135"/>
      <c r="X210" s="1135"/>
      <c r="Y210" s="1135"/>
      <c r="Z210" s="131"/>
      <c r="AA210" s="1135"/>
      <c r="AB210" s="1135"/>
      <c r="AC210" s="1135"/>
      <c r="AD210" s="1135"/>
      <c r="AE210" s="1135"/>
      <c r="AF210" s="1135"/>
      <c r="AG210" s="1135"/>
      <c r="AH210" s="1135"/>
      <c r="AI210" s="1135"/>
      <c r="AJ210" s="1135"/>
      <c r="AK210" s="1135"/>
      <c r="AL210" s="1135"/>
    </row>
    <row r="211" spans="2:38">
      <c r="B211" s="638"/>
      <c r="C211" s="1135"/>
      <c r="D211" s="1135"/>
      <c r="E211" s="1135"/>
      <c r="F211" s="1135"/>
      <c r="G211" s="1135"/>
      <c r="H211" s="1135"/>
      <c r="I211" s="3"/>
      <c r="J211" s="1135"/>
      <c r="K211" s="1135"/>
      <c r="L211" s="1135"/>
      <c r="M211" s="1135"/>
      <c r="N211" s="1135"/>
      <c r="O211" s="1135"/>
      <c r="P211" s="1135"/>
      <c r="Q211" s="1135"/>
      <c r="R211" s="1135"/>
      <c r="S211" s="1135"/>
      <c r="T211" s="1135"/>
      <c r="U211" s="1135"/>
      <c r="V211" s="1135"/>
      <c r="W211" s="1135"/>
      <c r="X211" s="1135"/>
      <c r="Y211" s="1135"/>
      <c r="Z211" s="131"/>
      <c r="AA211" s="1135"/>
      <c r="AB211" s="1135"/>
      <c r="AC211" s="1135"/>
      <c r="AD211" s="1135"/>
      <c r="AE211" s="1135"/>
      <c r="AF211" s="1135"/>
      <c r="AG211" s="1135"/>
      <c r="AH211" s="1135"/>
      <c r="AI211" s="1135"/>
      <c r="AJ211" s="1135"/>
      <c r="AK211" s="1135"/>
      <c r="AL211" s="1135"/>
    </row>
    <row r="212" spans="2:38">
      <c r="B212" s="638"/>
      <c r="C212" s="1135"/>
      <c r="D212" s="1135"/>
      <c r="E212" s="1135"/>
      <c r="F212" s="1135"/>
      <c r="G212" s="1135"/>
      <c r="H212" s="1135"/>
      <c r="I212" s="3"/>
      <c r="J212" s="1135"/>
      <c r="K212" s="1135"/>
      <c r="L212" s="1135"/>
      <c r="M212" s="1135"/>
      <c r="N212" s="1135"/>
      <c r="O212" s="1135"/>
      <c r="P212" s="1135"/>
      <c r="Q212" s="1135"/>
      <c r="R212" s="1135"/>
      <c r="S212" s="1135"/>
      <c r="T212" s="1135"/>
      <c r="U212" s="1135"/>
      <c r="V212" s="1135"/>
      <c r="W212" s="1135"/>
      <c r="X212" s="1135"/>
      <c r="Y212" s="1135"/>
      <c r="Z212" s="131"/>
      <c r="AA212" s="1135"/>
      <c r="AB212" s="1135"/>
      <c r="AC212" s="1135"/>
      <c r="AD212" s="1135"/>
      <c r="AE212" s="1135"/>
      <c r="AF212" s="1135"/>
      <c r="AG212" s="1135"/>
      <c r="AH212" s="1135"/>
      <c r="AI212" s="1135"/>
      <c r="AJ212" s="1135"/>
      <c r="AK212" s="1135"/>
      <c r="AL212" s="1135"/>
    </row>
    <row r="213" spans="2:38">
      <c r="B213" s="638"/>
      <c r="C213" s="1135"/>
      <c r="D213" s="1135"/>
      <c r="E213" s="1135"/>
      <c r="F213" s="1135"/>
      <c r="G213" s="1135"/>
      <c r="H213" s="1135"/>
      <c r="I213" s="3"/>
      <c r="J213" s="1135"/>
      <c r="K213" s="1135"/>
      <c r="L213" s="1135"/>
      <c r="M213" s="1135"/>
      <c r="N213" s="1135"/>
      <c r="O213" s="1135"/>
      <c r="P213" s="1135"/>
      <c r="Q213" s="1135"/>
      <c r="R213" s="1135"/>
      <c r="S213" s="1135"/>
      <c r="T213" s="1135"/>
      <c r="U213" s="1135"/>
      <c r="V213" s="1135"/>
      <c r="W213" s="1135"/>
      <c r="X213" s="1135"/>
      <c r="Y213" s="1135"/>
      <c r="Z213" s="131"/>
      <c r="AA213" s="1135"/>
      <c r="AB213" s="1135"/>
      <c r="AC213" s="1135"/>
      <c r="AD213" s="1135"/>
      <c r="AE213" s="1135"/>
      <c r="AF213" s="1135"/>
      <c r="AG213" s="1135"/>
      <c r="AH213" s="1135"/>
      <c r="AI213" s="1135"/>
      <c r="AJ213" s="1135"/>
      <c r="AK213" s="1135"/>
      <c r="AL213" s="1135"/>
    </row>
    <row r="214" spans="2:38">
      <c r="B214" s="638"/>
      <c r="C214" s="1135"/>
      <c r="D214" s="1135"/>
      <c r="E214" s="1135"/>
      <c r="F214" s="1135"/>
      <c r="G214" s="1135"/>
      <c r="H214" s="1135"/>
      <c r="I214" s="3"/>
      <c r="J214" s="1135"/>
      <c r="K214" s="1135"/>
      <c r="L214" s="1135"/>
      <c r="M214" s="1135"/>
      <c r="N214" s="1135"/>
      <c r="O214" s="1135"/>
      <c r="P214" s="1135"/>
      <c r="Q214" s="1135"/>
      <c r="R214" s="1135"/>
      <c r="S214" s="1135"/>
      <c r="T214" s="1135"/>
      <c r="U214" s="1135"/>
      <c r="V214" s="1135"/>
      <c r="W214" s="1135"/>
      <c r="X214" s="1135"/>
      <c r="Y214" s="1135"/>
      <c r="Z214" s="131"/>
      <c r="AA214" s="1135"/>
      <c r="AB214" s="1135"/>
      <c r="AC214" s="1135"/>
      <c r="AD214" s="1135"/>
      <c r="AE214" s="1135"/>
      <c r="AF214" s="1135"/>
      <c r="AG214" s="1135"/>
      <c r="AH214" s="1135"/>
      <c r="AI214" s="1135"/>
      <c r="AJ214" s="1135"/>
      <c r="AK214" s="1135"/>
      <c r="AL214" s="1135"/>
    </row>
    <row r="215" spans="2:38">
      <c r="B215" s="638"/>
      <c r="C215" s="1135"/>
      <c r="D215" s="1135"/>
      <c r="E215" s="1135"/>
      <c r="F215" s="1135"/>
      <c r="G215" s="1135"/>
      <c r="H215" s="1135"/>
      <c r="I215" s="3"/>
      <c r="J215" s="1135"/>
      <c r="K215" s="1135"/>
      <c r="L215" s="1135"/>
      <c r="M215" s="1135"/>
      <c r="N215" s="1135"/>
      <c r="O215" s="1135"/>
      <c r="P215" s="1135"/>
      <c r="Q215" s="1135"/>
      <c r="R215" s="1135"/>
      <c r="S215" s="1135"/>
      <c r="T215" s="1135"/>
      <c r="U215" s="1135"/>
      <c r="V215" s="1135"/>
      <c r="W215" s="1135"/>
      <c r="X215" s="1135"/>
      <c r="Y215" s="1135"/>
      <c r="Z215" s="131"/>
      <c r="AA215" s="1135"/>
      <c r="AB215" s="1135"/>
      <c r="AC215" s="1135"/>
      <c r="AD215" s="1135"/>
      <c r="AE215" s="1135"/>
      <c r="AF215" s="1135"/>
      <c r="AG215" s="1135"/>
      <c r="AH215" s="1135"/>
      <c r="AI215" s="1135"/>
      <c r="AJ215" s="1135"/>
      <c r="AK215" s="1135"/>
      <c r="AL215" s="1135"/>
    </row>
    <row r="216" spans="2:38">
      <c r="B216" s="638"/>
      <c r="C216" s="1135"/>
      <c r="D216" s="1135"/>
      <c r="E216" s="1135"/>
      <c r="F216" s="1135"/>
      <c r="G216" s="1135"/>
      <c r="H216" s="1135"/>
      <c r="I216" s="3"/>
      <c r="J216" s="1135"/>
      <c r="K216" s="1135"/>
      <c r="L216" s="1135"/>
      <c r="M216" s="1135"/>
      <c r="N216" s="1135"/>
      <c r="O216" s="1135"/>
      <c r="P216" s="1135"/>
      <c r="Q216" s="1135"/>
      <c r="R216" s="1135"/>
      <c r="S216" s="1135"/>
      <c r="T216" s="1135"/>
      <c r="U216" s="1135"/>
      <c r="V216" s="1135"/>
      <c r="W216" s="1135"/>
      <c r="X216" s="1135"/>
      <c r="Y216" s="1135"/>
      <c r="Z216" s="131"/>
      <c r="AA216" s="1135"/>
      <c r="AB216" s="1135"/>
      <c r="AC216" s="1135"/>
      <c r="AD216" s="1135"/>
      <c r="AE216" s="1135"/>
      <c r="AF216" s="1135"/>
      <c r="AG216" s="1135"/>
      <c r="AH216" s="1135"/>
      <c r="AI216" s="1135"/>
      <c r="AJ216" s="1135"/>
      <c r="AK216" s="1135"/>
      <c r="AL216" s="1135"/>
    </row>
    <row r="217" spans="2:38">
      <c r="B217" s="638"/>
      <c r="C217" s="1135"/>
      <c r="D217" s="1135"/>
      <c r="E217" s="1135"/>
      <c r="F217" s="1135"/>
      <c r="G217" s="1135"/>
      <c r="H217" s="1135"/>
      <c r="I217" s="3"/>
      <c r="J217" s="1135"/>
      <c r="K217" s="1135"/>
      <c r="L217" s="1135"/>
      <c r="M217" s="1135"/>
      <c r="N217" s="1135"/>
      <c r="O217" s="1135"/>
      <c r="P217" s="1135"/>
      <c r="Q217" s="1135"/>
      <c r="R217" s="1135"/>
      <c r="S217" s="1135"/>
      <c r="T217" s="1135"/>
      <c r="U217" s="1135"/>
      <c r="V217" s="1135"/>
      <c r="W217" s="1135"/>
      <c r="X217" s="1135"/>
      <c r="Y217" s="1135"/>
      <c r="Z217" s="131"/>
      <c r="AA217" s="1135"/>
      <c r="AB217" s="1135"/>
      <c r="AC217" s="1135"/>
      <c r="AD217" s="1135"/>
      <c r="AE217" s="1135"/>
      <c r="AF217" s="1135"/>
      <c r="AG217" s="1135"/>
      <c r="AH217" s="1135"/>
      <c r="AI217" s="1135"/>
      <c r="AJ217" s="1135"/>
      <c r="AK217" s="1135"/>
      <c r="AL217" s="1135"/>
    </row>
    <row r="218" spans="2:38">
      <c r="B218" s="638"/>
      <c r="C218" s="1135"/>
      <c r="D218" s="1135"/>
      <c r="E218" s="1135"/>
      <c r="F218" s="1135"/>
      <c r="G218" s="1135"/>
      <c r="H218" s="1135"/>
      <c r="I218" s="3"/>
      <c r="J218" s="1135"/>
      <c r="K218" s="1135"/>
      <c r="L218" s="1135"/>
      <c r="M218" s="1135"/>
      <c r="N218" s="1135"/>
      <c r="O218" s="1135"/>
      <c r="P218" s="1135"/>
      <c r="Q218" s="1135"/>
      <c r="R218" s="1135"/>
      <c r="S218" s="1135"/>
      <c r="T218" s="1135"/>
      <c r="U218" s="1135"/>
      <c r="V218" s="1135"/>
      <c r="W218" s="1135"/>
      <c r="X218" s="1135"/>
      <c r="Y218" s="1135"/>
      <c r="Z218" s="131"/>
      <c r="AA218" s="1135"/>
      <c r="AB218" s="1135"/>
      <c r="AC218" s="1135"/>
      <c r="AD218" s="1135"/>
      <c r="AE218" s="1135"/>
      <c r="AF218" s="1135"/>
      <c r="AG218" s="1135"/>
      <c r="AH218" s="1135"/>
      <c r="AI218" s="1135"/>
      <c r="AJ218" s="1135"/>
      <c r="AK218" s="1135"/>
      <c r="AL218" s="1135"/>
    </row>
    <row r="219" spans="2:38">
      <c r="B219" s="638"/>
      <c r="C219" s="1135"/>
      <c r="D219" s="1135"/>
      <c r="E219" s="1135"/>
      <c r="F219" s="1135"/>
      <c r="G219" s="1135"/>
      <c r="H219" s="1135"/>
      <c r="I219" s="3"/>
      <c r="J219" s="1135"/>
      <c r="K219" s="1135"/>
      <c r="L219" s="1135"/>
      <c r="M219" s="1135"/>
      <c r="N219" s="1135"/>
      <c r="O219" s="1135"/>
      <c r="P219" s="1135"/>
      <c r="Q219" s="1135"/>
      <c r="R219" s="1135"/>
      <c r="S219" s="1135"/>
      <c r="T219" s="1135"/>
      <c r="U219" s="1135"/>
      <c r="V219" s="1135"/>
      <c r="W219" s="1135"/>
      <c r="X219" s="1135"/>
      <c r="Y219" s="1135"/>
      <c r="Z219" s="131"/>
      <c r="AA219" s="1135"/>
      <c r="AB219" s="1135"/>
      <c r="AC219" s="1135"/>
      <c r="AD219" s="1135"/>
      <c r="AE219" s="1135"/>
      <c r="AF219" s="1135"/>
      <c r="AG219" s="1135"/>
      <c r="AH219" s="1135"/>
      <c r="AI219" s="1135"/>
      <c r="AJ219" s="1135"/>
      <c r="AK219" s="1135"/>
      <c r="AL219" s="1135"/>
    </row>
    <row r="220" spans="2:38">
      <c r="B220" s="638"/>
      <c r="C220" s="1135"/>
      <c r="D220" s="1135"/>
      <c r="E220" s="1135"/>
      <c r="F220" s="1135"/>
      <c r="G220" s="1135"/>
      <c r="H220" s="1135"/>
      <c r="I220" s="3"/>
      <c r="J220" s="1135"/>
      <c r="K220" s="1135"/>
      <c r="L220" s="1135"/>
      <c r="M220" s="1135"/>
      <c r="N220" s="1135"/>
      <c r="O220" s="1135"/>
      <c r="P220" s="1135"/>
      <c r="Q220" s="1135"/>
      <c r="R220" s="1135"/>
      <c r="S220" s="1135"/>
      <c r="T220" s="1135"/>
      <c r="U220" s="1135"/>
      <c r="V220" s="1135"/>
      <c r="W220" s="1135"/>
      <c r="X220" s="1135"/>
      <c r="Y220" s="1135"/>
      <c r="Z220" s="131"/>
      <c r="AA220" s="1135"/>
      <c r="AB220" s="1135"/>
      <c r="AC220" s="1135"/>
      <c r="AD220" s="1135"/>
      <c r="AE220" s="1135"/>
      <c r="AF220" s="1135"/>
      <c r="AG220" s="1135"/>
      <c r="AH220" s="1135"/>
      <c r="AI220" s="1135"/>
      <c r="AJ220" s="1135"/>
      <c r="AK220" s="1135"/>
      <c r="AL220" s="1135"/>
    </row>
    <row r="221" spans="2:38">
      <c r="B221" s="638"/>
      <c r="C221" s="1135"/>
      <c r="D221" s="1135"/>
      <c r="E221" s="1135"/>
      <c r="F221" s="1135"/>
      <c r="G221" s="1135"/>
      <c r="H221" s="1135"/>
      <c r="I221" s="3"/>
      <c r="J221" s="1135"/>
      <c r="K221" s="1135"/>
      <c r="L221" s="1135"/>
      <c r="M221" s="1135"/>
      <c r="N221" s="1135"/>
      <c r="O221" s="1135"/>
      <c r="P221" s="1135"/>
      <c r="Q221" s="1135"/>
      <c r="R221" s="1135"/>
      <c r="S221" s="1135"/>
      <c r="T221" s="1135"/>
      <c r="U221" s="1135"/>
      <c r="V221" s="1135"/>
      <c r="W221" s="1135"/>
      <c r="X221" s="1135"/>
      <c r="Y221" s="1135"/>
      <c r="Z221" s="131"/>
      <c r="AA221" s="1135"/>
      <c r="AB221" s="1135"/>
      <c r="AC221" s="1135"/>
      <c r="AD221" s="1135"/>
      <c r="AE221" s="1135"/>
      <c r="AF221" s="1135"/>
      <c r="AG221" s="1135"/>
      <c r="AH221" s="1135"/>
      <c r="AI221" s="1135"/>
      <c r="AJ221" s="1135"/>
      <c r="AK221" s="1135"/>
      <c r="AL221" s="1135"/>
    </row>
    <row r="222" spans="2:38">
      <c r="B222" s="638"/>
      <c r="C222" s="1135"/>
      <c r="D222" s="1135"/>
      <c r="E222" s="1135"/>
      <c r="F222" s="1135"/>
      <c r="G222" s="1135"/>
      <c r="H222" s="1135"/>
      <c r="I222" s="3"/>
      <c r="J222" s="1135"/>
      <c r="K222" s="1135"/>
      <c r="L222" s="1135"/>
      <c r="M222" s="1135"/>
      <c r="N222" s="1135"/>
      <c r="O222" s="1135"/>
      <c r="P222" s="1135"/>
      <c r="Q222" s="1135"/>
      <c r="R222" s="1135"/>
      <c r="S222" s="1135"/>
      <c r="T222" s="1135"/>
      <c r="U222" s="1135"/>
      <c r="V222" s="1135"/>
      <c r="W222" s="1135"/>
      <c r="X222" s="1135"/>
      <c r="Y222" s="1135"/>
      <c r="Z222" s="131"/>
      <c r="AA222" s="1135"/>
      <c r="AB222" s="1135"/>
      <c r="AC222" s="1135"/>
      <c r="AD222" s="1135"/>
      <c r="AE222" s="1135"/>
      <c r="AF222" s="1135"/>
      <c r="AG222" s="1135"/>
      <c r="AH222" s="1135"/>
      <c r="AI222" s="1135"/>
      <c r="AJ222" s="1135"/>
      <c r="AK222" s="1135"/>
      <c r="AL222" s="1135"/>
    </row>
    <row r="223" spans="2:38">
      <c r="B223" s="638"/>
      <c r="C223" s="1135"/>
      <c r="D223" s="1135"/>
      <c r="E223" s="1135"/>
      <c r="F223" s="1135"/>
      <c r="G223" s="1135"/>
      <c r="H223" s="1135"/>
      <c r="I223" s="3"/>
      <c r="J223" s="1135"/>
      <c r="K223" s="1135"/>
      <c r="L223" s="1135"/>
      <c r="M223" s="1135"/>
      <c r="N223" s="1135"/>
      <c r="O223" s="1135"/>
      <c r="P223" s="1135"/>
      <c r="Q223" s="1135"/>
      <c r="R223" s="1135"/>
      <c r="S223" s="1135"/>
      <c r="T223" s="1135"/>
      <c r="U223" s="1135"/>
      <c r="V223" s="1135"/>
      <c r="W223" s="1135"/>
      <c r="X223" s="1135"/>
      <c r="Y223" s="1135"/>
      <c r="Z223" s="131"/>
      <c r="AA223" s="1135"/>
      <c r="AB223" s="1135"/>
      <c r="AC223" s="1135"/>
      <c r="AD223" s="1135"/>
      <c r="AE223" s="1135"/>
      <c r="AF223" s="1135"/>
      <c r="AG223" s="1135"/>
      <c r="AH223" s="1135"/>
      <c r="AI223" s="1135"/>
      <c r="AJ223" s="1135"/>
      <c r="AK223" s="1135"/>
      <c r="AL223" s="1135"/>
    </row>
    <row r="224" spans="2:38">
      <c r="B224" s="638"/>
      <c r="C224" s="1135"/>
      <c r="D224" s="1135"/>
      <c r="E224" s="1135"/>
      <c r="F224" s="1135"/>
      <c r="G224" s="1135"/>
      <c r="H224" s="1135"/>
      <c r="I224" s="3"/>
      <c r="J224" s="1135"/>
      <c r="K224" s="1135"/>
      <c r="L224" s="1135"/>
      <c r="M224" s="1135"/>
      <c r="N224" s="1135"/>
      <c r="O224" s="1135"/>
      <c r="P224" s="1135"/>
      <c r="Q224" s="1135"/>
      <c r="R224" s="1135"/>
      <c r="S224" s="1135"/>
      <c r="T224" s="1135"/>
      <c r="U224" s="1135"/>
      <c r="V224" s="1135"/>
      <c r="W224" s="1135"/>
      <c r="X224" s="1135"/>
      <c r="Y224" s="1135"/>
      <c r="Z224" s="131"/>
      <c r="AA224" s="1135"/>
      <c r="AB224" s="1135"/>
      <c r="AC224" s="1135"/>
      <c r="AD224" s="1135"/>
      <c r="AE224" s="1135"/>
      <c r="AF224" s="1135"/>
      <c r="AG224" s="1135"/>
      <c r="AH224" s="1135"/>
      <c r="AI224" s="1135"/>
      <c r="AJ224" s="1135"/>
      <c r="AK224" s="1135"/>
      <c r="AL224" s="1135"/>
    </row>
    <row r="225" spans="2:38">
      <c r="B225" s="638"/>
      <c r="C225" s="1135"/>
      <c r="D225" s="1135"/>
      <c r="E225" s="1135"/>
      <c r="F225" s="1135"/>
      <c r="G225" s="1135"/>
      <c r="H225" s="1135"/>
      <c r="I225" s="3"/>
      <c r="J225" s="1135"/>
      <c r="K225" s="1135"/>
      <c r="L225" s="1135"/>
      <c r="M225" s="1135"/>
      <c r="N225" s="1135"/>
      <c r="O225" s="1135"/>
      <c r="P225" s="1135"/>
      <c r="Q225" s="1135"/>
      <c r="R225" s="1135"/>
      <c r="S225" s="1135"/>
      <c r="T225" s="1135"/>
      <c r="U225" s="1135"/>
      <c r="V225" s="1135"/>
      <c r="W225" s="1135"/>
      <c r="X225" s="1135"/>
      <c r="Y225" s="1135"/>
      <c r="Z225" s="131"/>
      <c r="AA225" s="1135"/>
      <c r="AB225" s="1135"/>
      <c r="AC225" s="1135"/>
      <c r="AD225" s="1135"/>
      <c r="AE225" s="1135"/>
      <c r="AF225" s="1135"/>
      <c r="AG225" s="1135"/>
      <c r="AH225" s="1135"/>
      <c r="AI225" s="1135"/>
      <c r="AJ225" s="1135"/>
      <c r="AK225" s="1135"/>
      <c r="AL225" s="1135"/>
    </row>
    <row r="226" spans="2:38">
      <c r="B226" s="638"/>
      <c r="C226" s="1135"/>
      <c r="D226" s="1135"/>
      <c r="E226" s="1135"/>
      <c r="F226" s="1135"/>
      <c r="G226" s="1135"/>
      <c r="H226" s="1135"/>
      <c r="I226" s="3"/>
      <c r="J226" s="1135"/>
      <c r="K226" s="1135"/>
      <c r="L226" s="1135"/>
      <c r="M226" s="1135"/>
      <c r="N226" s="1135"/>
      <c r="O226" s="1135"/>
      <c r="P226" s="1135"/>
      <c r="Q226" s="1135"/>
      <c r="R226" s="1135"/>
      <c r="S226" s="1135"/>
      <c r="T226" s="1135"/>
      <c r="U226" s="1135"/>
      <c r="V226" s="1135"/>
      <c r="W226" s="1135"/>
      <c r="X226" s="1135"/>
      <c r="Y226" s="1135"/>
      <c r="Z226" s="131"/>
      <c r="AA226" s="1135"/>
      <c r="AB226" s="1135"/>
      <c r="AC226" s="1135"/>
      <c r="AD226" s="1135"/>
      <c r="AE226" s="1135"/>
      <c r="AF226" s="1135"/>
      <c r="AG226" s="1135"/>
      <c r="AH226" s="1135"/>
      <c r="AI226" s="1135"/>
      <c r="AJ226" s="1135"/>
      <c r="AK226" s="1135"/>
      <c r="AL226" s="1135"/>
    </row>
    <row r="227" spans="2:38">
      <c r="B227" s="638"/>
      <c r="C227" s="1135"/>
      <c r="D227" s="1135"/>
      <c r="E227" s="1135"/>
      <c r="F227" s="1135"/>
      <c r="G227" s="1135"/>
      <c r="H227" s="1135"/>
      <c r="I227" s="3"/>
      <c r="J227" s="1135"/>
      <c r="K227" s="1135"/>
      <c r="L227" s="1135"/>
      <c r="M227" s="1135"/>
      <c r="N227" s="1135"/>
      <c r="O227" s="1135"/>
      <c r="P227" s="1135"/>
      <c r="Q227" s="1135"/>
      <c r="R227" s="1135"/>
      <c r="S227" s="1135"/>
      <c r="T227" s="1135"/>
      <c r="U227" s="1135"/>
      <c r="V227" s="1135"/>
      <c r="W227" s="1135"/>
      <c r="X227" s="1135"/>
      <c r="Y227" s="1135"/>
      <c r="Z227" s="131"/>
      <c r="AA227" s="1135"/>
      <c r="AB227" s="1135"/>
      <c r="AC227" s="1135"/>
      <c r="AD227" s="1135"/>
      <c r="AE227" s="1135"/>
      <c r="AF227" s="1135"/>
      <c r="AG227" s="1135"/>
      <c r="AH227" s="1135"/>
      <c r="AI227" s="1135"/>
      <c r="AJ227" s="1135"/>
      <c r="AK227" s="1135"/>
      <c r="AL227" s="1135"/>
    </row>
    <row r="228" spans="2:38">
      <c r="B228" s="638"/>
      <c r="C228" s="1135"/>
      <c r="D228" s="1135"/>
      <c r="E228" s="1135"/>
      <c r="F228" s="1135"/>
      <c r="G228" s="1135"/>
      <c r="H228" s="1135"/>
      <c r="I228" s="3"/>
      <c r="J228" s="1135"/>
      <c r="K228" s="1135"/>
      <c r="L228" s="1135"/>
      <c r="M228" s="1135"/>
      <c r="N228" s="1135"/>
      <c r="O228" s="1135"/>
      <c r="P228" s="1135"/>
      <c r="Q228" s="1135"/>
      <c r="R228" s="1135"/>
      <c r="S228" s="1135"/>
      <c r="T228" s="1135"/>
      <c r="U228" s="1135"/>
      <c r="V228" s="1135"/>
      <c r="W228" s="1135"/>
      <c r="X228" s="1135"/>
      <c r="Y228" s="1135"/>
      <c r="Z228" s="131"/>
      <c r="AA228" s="1135"/>
      <c r="AB228" s="1135"/>
      <c r="AC228" s="1135"/>
      <c r="AD228" s="1135"/>
      <c r="AE228" s="1135"/>
      <c r="AF228" s="1135"/>
      <c r="AG228" s="1135"/>
      <c r="AH228" s="1135"/>
      <c r="AI228" s="1135"/>
      <c r="AJ228" s="1135"/>
      <c r="AK228" s="1135"/>
      <c r="AL228" s="1135"/>
    </row>
    <row r="229" spans="2:38">
      <c r="B229" s="638"/>
      <c r="C229" s="1135"/>
      <c r="D229" s="1135"/>
      <c r="E229" s="1135"/>
      <c r="F229" s="1135"/>
      <c r="G229" s="1135"/>
      <c r="H229" s="1135"/>
      <c r="I229" s="3"/>
      <c r="J229" s="1135"/>
      <c r="K229" s="1135"/>
      <c r="L229" s="1135"/>
      <c r="M229" s="1135"/>
      <c r="N229" s="1135"/>
      <c r="O229" s="1135"/>
      <c r="P229" s="1135"/>
      <c r="Q229" s="1135"/>
      <c r="R229" s="1135"/>
      <c r="S229" s="1135"/>
      <c r="T229" s="1135"/>
      <c r="U229" s="1135"/>
      <c r="V229" s="1135"/>
      <c r="W229" s="1135"/>
      <c r="X229" s="1135"/>
      <c r="Y229" s="1135"/>
      <c r="Z229" s="131"/>
      <c r="AA229" s="1135"/>
      <c r="AB229" s="1135"/>
      <c r="AC229" s="1135"/>
      <c r="AD229" s="1135"/>
      <c r="AE229" s="1135"/>
      <c r="AF229" s="1135"/>
      <c r="AG229" s="1135"/>
      <c r="AH229" s="1135"/>
      <c r="AI229" s="1135"/>
      <c r="AJ229" s="1135"/>
      <c r="AK229" s="1135"/>
      <c r="AL229" s="1135"/>
    </row>
    <row r="230" spans="2:38">
      <c r="B230" s="638"/>
      <c r="C230" s="1135"/>
      <c r="D230" s="1135"/>
      <c r="E230" s="1135"/>
      <c r="F230" s="1135"/>
      <c r="G230" s="1135"/>
      <c r="H230" s="1135"/>
      <c r="I230" s="3"/>
      <c r="J230" s="1135"/>
      <c r="K230" s="1135"/>
      <c r="L230" s="1135"/>
      <c r="M230" s="1135"/>
      <c r="N230" s="1135"/>
      <c r="O230" s="1135"/>
      <c r="P230" s="1135"/>
      <c r="Q230" s="1135"/>
      <c r="R230" s="1135"/>
      <c r="S230" s="1135"/>
      <c r="T230" s="1135"/>
      <c r="U230" s="1135"/>
      <c r="V230" s="1135"/>
      <c r="W230" s="1135"/>
      <c r="X230" s="1135"/>
      <c r="Y230" s="1135"/>
      <c r="Z230" s="131"/>
      <c r="AA230" s="1135"/>
      <c r="AB230" s="1135"/>
      <c r="AC230" s="1135"/>
      <c r="AD230" s="1135"/>
      <c r="AE230" s="1135"/>
      <c r="AF230" s="1135"/>
      <c r="AG230" s="1135"/>
      <c r="AH230" s="1135"/>
      <c r="AI230" s="1135"/>
      <c r="AJ230" s="1135"/>
      <c r="AK230" s="1135"/>
      <c r="AL230" s="1135"/>
    </row>
    <row r="231" spans="2:38">
      <c r="B231" s="638"/>
      <c r="C231" s="1135"/>
      <c r="D231" s="1135"/>
      <c r="E231" s="1135"/>
      <c r="F231" s="1135"/>
      <c r="G231" s="1135"/>
      <c r="H231" s="1135"/>
      <c r="I231" s="3"/>
      <c r="J231" s="1135"/>
      <c r="K231" s="1135"/>
      <c r="L231" s="1135"/>
      <c r="M231" s="1135"/>
      <c r="N231" s="1135"/>
      <c r="O231" s="1135"/>
      <c r="P231" s="1135"/>
      <c r="Q231" s="1135"/>
      <c r="R231" s="1135"/>
      <c r="S231" s="1135"/>
      <c r="T231" s="1135"/>
      <c r="U231" s="1135"/>
      <c r="V231" s="1135"/>
      <c r="W231" s="1135"/>
      <c r="X231" s="1135"/>
      <c r="Y231" s="1135"/>
      <c r="Z231" s="131"/>
      <c r="AA231" s="1135"/>
      <c r="AB231" s="1135"/>
      <c r="AC231" s="1135"/>
      <c r="AD231" s="1135"/>
      <c r="AE231" s="1135"/>
      <c r="AF231" s="1135"/>
      <c r="AG231" s="1135"/>
      <c r="AH231" s="1135"/>
      <c r="AI231" s="1135"/>
      <c r="AJ231" s="1135"/>
      <c r="AK231" s="1135"/>
      <c r="AL231" s="1135"/>
    </row>
    <row r="232" spans="2:38">
      <c r="B232" s="638"/>
      <c r="C232" s="1135"/>
      <c r="D232" s="1135"/>
      <c r="E232" s="1135"/>
      <c r="F232" s="1135"/>
      <c r="G232" s="1135"/>
      <c r="H232" s="1135"/>
      <c r="I232" s="3"/>
      <c r="J232" s="1135"/>
      <c r="K232" s="1135"/>
      <c r="L232" s="1135"/>
      <c r="M232" s="1135"/>
      <c r="N232" s="1135"/>
      <c r="O232" s="1135"/>
      <c r="P232" s="1135"/>
      <c r="Q232" s="1135"/>
      <c r="R232" s="1135"/>
      <c r="S232" s="1135"/>
      <c r="T232" s="1135"/>
      <c r="U232" s="1135"/>
      <c r="V232" s="1135"/>
      <c r="W232" s="1135"/>
      <c r="X232" s="1135"/>
      <c r="Y232" s="1135"/>
      <c r="Z232" s="131"/>
      <c r="AA232" s="1135"/>
      <c r="AB232" s="1135"/>
      <c r="AC232" s="1135"/>
      <c r="AD232" s="1135"/>
      <c r="AE232" s="1135"/>
      <c r="AF232" s="1135"/>
      <c r="AG232" s="1135"/>
      <c r="AH232" s="1135"/>
      <c r="AI232" s="1135"/>
      <c r="AJ232" s="1135"/>
      <c r="AK232" s="1135"/>
      <c r="AL232" s="1135"/>
    </row>
    <row r="233" spans="2:38">
      <c r="B233" s="638"/>
      <c r="C233" s="1135"/>
      <c r="D233" s="1135"/>
      <c r="E233" s="1135"/>
      <c r="F233" s="1135"/>
      <c r="G233" s="1135"/>
      <c r="H233" s="1135"/>
      <c r="I233" s="3"/>
      <c r="J233" s="1135"/>
      <c r="K233" s="1135"/>
      <c r="L233" s="1135"/>
      <c r="M233" s="1135"/>
      <c r="N233" s="1135"/>
      <c r="O233" s="1135"/>
      <c r="P233" s="1135"/>
      <c r="Q233" s="1135"/>
      <c r="R233" s="1135"/>
      <c r="S233" s="1135"/>
      <c r="T233" s="1135"/>
      <c r="U233" s="1135"/>
      <c r="V233" s="1135"/>
      <c r="W233" s="1135"/>
      <c r="X233" s="1135"/>
      <c r="Y233" s="1135"/>
      <c r="Z233" s="131"/>
      <c r="AA233" s="1135"/>
      <c r="AB233" s="1135"/>
      <c r="AC233" s="1135"/>
      <c r="AD233" s="1135"/>
      <c r="AE233" s="1135"/>
      <c r="AF233" s="1135"/>
      <c r="AG233" s="1135"/>
      <c r="AH233" s="1135"/>
      <c r="AI233" s="1135"/>
      <c r="AJ233" s="1135"/>
      <c r="AK233" s="1135"/>
      <c r="AL233" s="1135"/>
    </row>
    <row r="234" spans="2:38">
      <c r="B234" s="638"/>
      <c r="C234" s="1135"/>
      <c r="D234" s="1135"/>
      <c r="E234" s="1135"/>
      <c r="F234" s="1135"/>
      <c r="G234" s="1135"/>
      <c r="H234" s="1135"/>
      <c r="I234" s="3"/>
      <c r="J234" s="1135"/>
      <c r="K234" s="1135"/>
      <c r="L234" s="1135"/>
      <c r="M234" s="1135"/>
      <c r="N234" s="1135"/>
      <c r="O234" s="1135"/>
      <c r="P234" s="1135"/>
      <c r="Q234" s="1135"/>
      <c r="R234" s="1135"/>
      <c r="S234" s="1135"/>
      <c r="T234" s="1135"/>
      <c r="U234" s="1135"/>
      <c r="V234" s="1135"/>
      <c r="W234" s="1135"/>
      <c r="X234" s="1135"/>
      <c r="Y234" s="1135"/>
      <c r="Z234" s="131"/>
      <c r="AA234" s="1135"/>
      <c r="AB234" s="1135"/>
      <c r="AC234" s="1135"/>
      <c r="AD234" s="1135"/>
      <c r="AE234" s="1135"/>
      <c r="AF234" s="1135"/>
      <c r="AG234" s="1135"/>
      <c r="AH234" s="1135"/>
      <c r="AI234" s="1135"/>
      <c r="AJ234" s="1135"/>
      <c r="AK234" s="1135"/>
      <c r="AL234" s="1135"/>
    </row>
    <row r="235" spans="2:38">
      <c r="B235" s="638"/>
      <c r="C235" s="1135"/>
      <c r="D235" s="1135"/>
      <c r="E235" s="1135"/>
      <c r="F235" s="1135"/>
      <c r="G235" s="1135"/>
      <c r="H235" s="1135"/>
      <c r="I235" s="3"/>
      <c r="J235" s="1135"/>
      <c r="K235" s="1135"/>
      <c r="L235" s="1135"/>
      <c r="M235" s="1135"/>
      <c r="N235" s="1135"/>
      <c r="O235" s="1135"/>
      <c r="P235" s="1135"/>
      <c r="Q235" s="1135"/>
      <c r="R235" s="1135"/>
      <c r="S235" s="1135"/>
      <c r="T235" s="1135"/>
      <c r="U235" s="1135"/>
      <c r="V235" s="1135"/>
      <c r="W235" s="1135"/>
      <c r="X235" s="1135"/>
      <c r="Y235" s="1135"/>
      <c r="Z235" s="131"/>
      <c r="AA235" s="1135"/>
      <c r="AB235" s="1135"/>
      <c r="AC235" s="1135"/>
      <c r="AD235" s="1135"/>
      <c r="AE235" s="1135"/>
      <c r="AF235" s="1135"/>
      <c r="AG235" s="1135"/>
      <c r="AH235" s="1135"/>
      <c r="AI235" s="1135"/>
      <c r="AJ235" s="1135"/>
      <c r="AK235" s="1135"/>
      <c r="AL235" s="1135"/>
    </row>
    <row r="236" spans="2:38">
      <c r="B236" s="638"/>
      <c r="C236" s="1135"/>
      <c r="D236" s="1135"/>
      <c r="E236" s="1135"/>
      <c r="F236" s="1135"/>
      <c r="G236" s="1135"/>
      <c r="H236" s="1135"/>
      <c r="I236" s="3"/>
      <c r="J236" s="1135"/>
      <c r="K236" s="1135"/>
      <c r="L236" s="1135"/>
      <c r="M236" s="1135"/>
      <c r="N236" s="1135"/>
      <c r="O236" s="1135"/>
      <c r="P236" s="1135"/>
      <c r="Q236" s="1135"/>
      <c r="R236" s="1135"/>
      <c r="S236" s="1135"/>
      <c r="T236" s="1135"/>
      <c r="U236" s="1135"/>
      <c r="V236" s="1135"/>
      <c r="W236" s="1135"/>
      <c r="X236" s="1135"/>
      <c r="Y236" s="1135"/>
      <c r="Z236" s="131"/>
      <c r="AA236" s="1135"/>
      <c r="AB236" s="1135"/>
      <c r="AC236" s="1135"/>
      <c r="AD236" s="1135"/>
      <c r="AE236" s="1135"/>
      <c r="AF236" s="1135"/>
      <c r="AG236" s="1135"/>
      <c r="AH236" s="1135"/>
      <c r="AI236" s="1135"/>
      <c r="AJ236" s="1135"/>
      <c r="AK236" s="1135"/>
      <c r="AL236" s="1135"/>
    </row>
    <row r="237" spans="2:38">
      <c r="B237" s="638"/>
      <c r="C237" s="1135"/>
      <c r="D237" s="1135"/>
      <c r="E237" s="1135"/>
      <c r="F237" s="1135"/>
      <c r="G237" s="1135"/>
      <c r="H237" s="1135"/>
      <c r="I237" s="3"/>
      <c r="J237" s="1135"/>
      <c r="K237" s="1135"/>
      <c r="L237" s="1135"/>
      <c r="M237" s="1135"/>
      <c r="N237" s="1135"/>
      <c r="O237" s="1135"/>
      <c r="P237" s="1135"/>
      <c r="Q237" s="1135"/>
      <c r="R237" s="1135"/>
      <c r="S237" s="1135"/>
      <c r="T237" s="1135"/>
      <c r="U237" s="1135"/>
      <c r="V237" s="1135"/>
      <c r="W237" s="1135"/>
      <c r="X237" s="1135"/>
      <c r="Y237" s="1135"/>
      <c r="Z237" s="131"/>
      <c r="AA237" s="1135"/>
      <c r="AB237" s="1135"/>
      <c r="AC237" s="1135"/>
      <c r="AD237" s="1135"/>
      <c r="AE237" s="1135"/>
      <c r="AF237" s="1135"/>
      <c r="AG237" s="1135"/>
      <c r="AH237" s="1135"/>
      <c r="AI237" s="1135"/>
      <c r="AJ237" s="1135"/>
      <c r="AK237" s="1135"/>
      <c r="AL237" s="1135"/>
    </row>
    <row r="238" spans="2:38">
      <c r="B238" s="638"/>
      <c r="C238" s="1135"/>
      <c r="D238" s="1135"/>
      <c r="E238" s="1135"/>
      <c r="F238" s="1135"/>
      <c r="G238" s="1135"/>
      <c r="H238" s="1135"/>
      <c r="I238" s="3"/>
      <c r="J238" s="1135"/>
      <c r="K238" s="1135"/>
      <c r="L238" s="1135"/>
      <c r="M238" s="1135"/>
      <c r="N238" s="1135"/>
      <c r="O238" s="1135"/>
      <c r="P238" s="1135"/>
      <c r="Q238" s="1135"/>
      <c r="R238" s="1135"/>
      <c r="S238" s="1135"/>
      <c r="T238" s="1135"/>
      <c r="U238" s="1135"/>
      <c r="V238" s="1135"/>
      <c r="W238" s="1135"/>
      <c r="X238" s="1135"/>
      <c r="Y238" s="1135"/>
      <c r="Z238" s="131"/>
      <c r="AA238" s="1135"/>
      <c r="AB238" s="1135"/>
      <c r="AC238" s="1135"/>
      <c r="AD238" s="1135"/>
      <c r="AE238" s="1135"/>
      <c r="AF238" s="1135"/>
      <c r="AG238" s="1135"/>
      <c r="AH238" s="1135"/>
      <c r="AI238" s="1135"/>
      <c r="AJ238" s="1135"/>
      <c r="AK238" s="1135"/>
      <c r="AL238" s="1135"/>
    </row>
    <row r="239" spans="2:38">
      <c r="B239" s="638"/>
      <c r="C239" s="1135"/>
      <c r="D239" s="1135"/>
      <c r="E239" s="1135"/>
      <c r="F239" s="1135"/>
      <c r="G239" s="1135"/>
      <c r="H239" s="1135"/>
      <c r="I239" s="3"/>
      <c r="J239" s="1135"/>
      <c r="K239" s="1135"/>
      <c r="L239" s="1135"/>
      <c r="M239" s="1135"/>
      <c r="N239" s="1135"/>
      <c r="O239" s="1135"/>
      <c r="P239" s="1135"/>
      <c r="Q239" s="1135"/>
      <c r="R239" s="1135"/>
      <c r="S239" s="1135"/>
      <c r="T239" s="1135"/>
      <c r="U239" s="1135"/>
      <c r="V239" s="1135"/>
      <c r="W239" s="1135"/>
      <c r="X239" s="1135"/>
      <c r="Y239" s="1135"/>
      <c r="Z239" s="131"/>
      <c r="AA239" s="1135"/>
      <c r="AB239" s="1135"/>
      <c r="AC239" s="1135"/>
      <c r="AD239" s="1135"/>
      <c r="AE239" s="1135"/>
      <c r="AF239" s="1135"/>
      <c r="AG239" s="1135"/>
      <c r="AH239" s="1135"/>
      <c r="AI239" s="1135"/>
      <c r="AJ239" s="1135"/>
      <c r="AK239" s="1135"/>
      <c r="AL239" s="1135"/>
    </row>
    <row r="240" spans="2:38">
      <c r="B240" s="638"/>
      <c r="C240" s="1135"/>
      <c r="D240" s="1135"/>
      <c r="E240" s="1135"/>
      <c r="F240" s="1135"/>
      <c r="G240" s="1135"/>
      <c r="H240" s="1135"/>
      <c r="I240" s="3"/>
      <c r="J240" s="1135"/>
      <c r="K240" s="1135"/>
      <c r="L240" s="1135"/>
      <c r="M240" s="1135"/>
      <c r="N240" s="1135"/>
      <c r="O240" s="1135"/>
      <c r="P240" s="1135"/>
      <c r="Q240" s="1135"/>
      <c r="R240" s="1135"/>
      <c r="S240" s="1135"/>
      <c r="T240" s="1135"/>
      <c r="U240" s="1135"/>
      <c r="V240" s="1135"/>
      <c r="W240" s="1135"/>
      <c r="X240" s="1135"/>
      <c r="Y240" s="1135"/>
      <c r="Z240" s="131"/>
      <c r="AA240" s="1135"/>
      <c r="AB240" s="1135"/>
      <c r="AC240" s="1135"/>
      <c r="AD240" s="1135"/>
      <c r="AE240" s="1135"/>
      <c r="AF240" s="1135"/>
      <c r="AG240" s="1135"/>
      <c r="AH240" s="1135"/>
      <c r="AI240" s="1135"/>
      <c r="AJ240" s="1135"/>
      <c r="AK240" s="1135"/>
      <c r="AL240" s="1135"/>
    </row>
    <row r="241" spans="2:38">
      <c r="B241" s="638"/>
      <c r="C241" s="1135"/>
      <c r="D241" s="1135"/>
      <c r="E241" s="1135"/>
      <c r="F241" s="1135"/>
      <c r="G241" s="1135"/>
      <c r="H241" s="1135"/>
      <c r="I241" s="3"/>
      <c r="J241" s="1135"/>
      <c r="K241" s="1135"/>
      <c r="L241" s="1135"/>
      <c r="M241" s="1135"/>
      <c r="N241" s="1135"/>
      <c r="O241" s="1135"/>
      <c r="P241" s="1135"/>
      <c r="Q241" s="1135"/>
      <c r="R241" s="1135"/>
      <c r="S241" s="1135"/>
      <c r="T241" s="1135"/>
      <c r="U241" s="1135"/>
      <c r="V241" s="1135"/>
      <c r="W241" s="1135"/>
      <c r="X241" s="1135"/>
      <c r="Y241" s="1135"/>
      <c r="Z241" s="131"/>
      <c r="AA241" s="1135"/>
      <c r="AB241" s="1135"/>
      <c r="AC241" s="1135"/>
      <c r="AD241" s="1135"/>
      <c r="AE241" s="1135"/>
      <c r="AF241" s="1135"/>
      <c r="AG241" s="1135"/>
      <c r="AH241" s="1135"/>
      <c r="AI241" s="1135"/>
      <c r="AJ241" s="1135"/>
      <c r="AK241" s="1135"/>
      <c r="AL241" s="1135"/>
    </row>
    <row r="242" spans="2:38">
      <c r="B242" s="638"/>
      <c r="C242" s="1135"/>
      <c r="D242" s="1135"/>
      <c r="E242" s="1135"/>
      <c r="F242" s="1135"/>
      <c r="G242" s="1135"/>
      <c r="H242" s="1135"/>
      <c r="I242" s="3"/>
      <c r="J242" s="1135"/>
      <c r="K242" s="1135"/>
      <c r="L242" s="1135"/>
      <c r="M242" s="1135"/>
      <c r="N242" s="1135"/>
      <c r="O242" s="1135"/>
      <c r="P242" s="1135"/>
      <c r="Q242" s="1135"/>
      <c r="R242" s="1135"/>
      <c r="S242" s="1135"/>
      <c r="T242" s="1135"/>
      <c r="U242" s="1135"/>
      <c r="V242" s="1135"/>
      <c r="W242" s="1135"/>
      <c r="X242" s="1135"/>
      <c r="Y242" s="1135"/>
      <c r="Z242" s="131"/>
      <c r="AA242" s="1135"/>
      <c r="AB242" s="1135"/>
      <c r="AC242" s="1135"/>
      <c r="AD242" s="1135"/>
      <c r="AE242" s="1135"/>
      <c r="AF242" s="1135"/>
      <c r="AG242" s="1135"/>
      <c r="AH242" s="1135"/>
      <c r="AI242" s="1135"/>
      <c r="AJ242" s="1135"/>
      <c r="AK242" s="1135"/>
      <c r="AL242" s="1135"/>
    </row>
    <row r="243" spans="2:38">
      <c r="B243" s="638"/>
      <c r="C243" s="1135"/>
      <c r="D243" s="1135"/>
      <c r="E243" s="1135"/>
      <c r="F243" s="1135"/>
      <c r="G243" s="1135"/>
      <c r="H243" s="1135"/>
      <c r="I243" s="3"/>
      <c r="J243" s="1135"/>
      <c r="K243" s="1135"/>
      <c r="L243" s="1135"/>
      <c r="M243" s="1135"/>
      <c r="N243" s="1135"/>
      <c r="O243" s="1135"/>
      <c r="P243" s="1135"/>
      <c r="Q243" s="1135"/>
      <c r="R243" s="1135"/>
      <c r="S243" s="1135"/>
      <c r="T243" s="1135"/>
      <c r="U243" s="1135"/>
      <c r="V243" s="1135"/>
      <c r="W243" s="1135"/>
      <c r="X243" s="1135"/>
      <c r="Y243" s="1135"/>
      <c r="Z243" s="131"/>
      <c r="AA243" s="1135"/>
      <c r="AB243" s="1135"/>
      <c r="AC243" s="1135"/>
      <c r="AD243" s="1135"/>
      <c r="AE243" s="1135"/>
      <c r="AF243" s="1135"/>
      <c r="AG243" s="1135"/>
      <c r="AH243" s="1135"/>
      <c r="AI243" s="1135"/>
      <c r="AJ243" s="1135"/>
      <c r="AK243" s="1135"/>
      <c r="AL243" s="1135"/>
    </row>
    <row r="244" spans="2:38">
      <c r="B244" s="638"/>
      <c r="C244" s="1135"/>
      <c r="D244" s="1135"/>
      <c r="E244" s="1135"/>
      <c r="F244" s="1135"/>
      <c r="G244" s="1135"/>
      <c r="H244" s="1135"/>
      <c r="I244" s="3"/>
      <c r="J244" s="1135"/>
      <c r="K244" s="1135"/>
      <c r="L244" s="1135"/>
      <c r="M244" s="1135"/>
      <c r="N244" s="1135"/>
      <c r="O244" s="1135"/>
      <c r="P244" s="1135"/>
      <c r="Q244" s="1135"/>
      <c r="R244" s="1135"/>
      <c r="S244" s="1135"/>
      <c r="T244" s="1135"/>
      <c r="U244" s="1135"/>
      <c r="V244" s="1135"/>
      <c r="W244" s="1135"/>
      <c r="X244" s="1135"/>
      <c r="Y244" s="1135"/>
      <c r="Z244" s="131"/>
      <c r="AA244" s="1135"/>
      <c r="AB244" s="1135"/>
      <c r="AC244" s="1135"/>
      <c r="AD244" s="1135"/>
      <c r="AE244" s="1135"/>
      <c r="AF244" s="1135"/>
      <c r="AG244" s="1135"/>
      <c r="AH244" s="1135"/>
      <c r="AI244" s="1135"/>
      <c r="AJ244" s="1135"/>
      <c r="AK244" s="1135"/>
      <c r="AL244" s="1135"/>
    </row>
    <row r="245" spans="2:38">
      <c r="B245" s="638"/>
      <c r="C245" s="1135"/>
      <c r="D245" s="1135"/>
      <c r="E245" s="1135"/>
      <c r="F245" s="1135"/>
      <c r="G245" s="1135"/>
      <c r="H245" s="1135"/>
      <c r="I245" s="3"/>
      <c r="J245" s="1135"/>
      <c r="K245" s="1135"/>
      <c r="L245" s="1135"/>
      <c r="M245" s="1135"/>
      <c r="N245" s="1135"/>
      <c r="O245" s="1135"/>
      <c r="P245" s="1135"/>
      <c r="Q245" s="1135"/>
      <c r="R245" s="1135"/>
      <c r="S245" s="1135"/>
      <c r="T245" s="1135"/>
      <c r="U245" s="1135"/>
      <c r="V245" s="1135"/>
      <c r="W245" s="1135"/>
      <c r="X245" s="1135"/>
      <c r="Y245" s="1135"/>
      <c r="Z245" s="131"/>
      <c r="AA245" s="1135"/>
      <c r="AB245" s="1135"/>
      <c r="AC245" s="1135"/>
      <c r="AD245" s="1135"/>
      <c r="AE245" s="1135"/>
      <c r="AF245" s="1135"/>
      <c r="AG245" s="1135"/>
      <c r="AH245" s="1135"/>
      <c r="AI245" s="1135"/>
      <c r="AJ245" s="1135"/>
      <c r="AK245" s="1135"/>
      <c r="AL245" s="1135"/>
    </row>
    <row r="246" spans="2:38">
      <c r="B246" s="638"/>
      <c r="C246" s="1135"/>
      <c r="D246" s="1135"/>
      <c r="E246" s="1135"/>
      <c r="F246" s="1135"/>
      <c r="G246" s="1135"/>
      <c r="H246" s="1135"/>
      <c r="I246" s="3"/>
      <c r="J246" s="1135"/>
      <c r="K246" s="1135"/>
      <c r="L246" s="1135"/>
      <c r="M246" s="1135"/>
      <c r="N246" s="1135"/>
      <c r="O246" s="1135"/>
      <c r="P246" s="1135"/>
      <c r="Q246" s="1135"/>
      <c r="R246" s="1135"/>
      <c r="S246" s="1135"/>
      <c r="T246" s="1135"/>
      <c r="U246" s="1135"/>
      <c r="V246" s="1135"/>
      <c r="W246" s="1135"/>
      <c r="X246" s="1135"/>
      <c r="Y246" s="1135"/>
      <c r="Z246" s="131"/>
      <c r="AA246" s="1135"/>
      <c r="AB246" s="1135"/>
      <c r="AC246" s="1135"/>
      <c r="AD246" s="1135"/>
      <c r="AE246" s="1135"/>
      <c r="AF246" s="1135"/>
      <c r="AG246" s="1135"/>
      <c r="AH246" s="1135"/>
      <c r="AI246" s="1135"/>
      <c r="AJ246" s="1135"/>
      <c r="AK246" s="1135"/>
      <c r="AL246" s="1135"/>
    </row>
    <row r="247" spans="2:38">
      <c r="B247" s="638"/>
      <c r="C247" s="1135"/>
      <c r="D247" s="1135"/>
      <c r="E247" s="1135"/>
      <c r="F247" s="1135"/>
      <c r="G247" s="1135"/>
      <c r="H247" s="1135"/>
      <c r="I247" s="3"/>
      <c r="J247" s="1135"/>
      <c r="K247" s="1135"/>
      <c r="L247" s="1135"/>
      <c r="M247" s="1135"/>
      <c r="N247" s="1135"/>
      <c r="O247" s="1135"/>
      <c r="P247" s="1135"/>
      <c r="Q247" s="1135"/>
      <c r="R247" s="1135"/>
      <c r="S247" s="1135"/>
      <c r="T247" s="1135"/>
      <c r="U247" s="1135"/>
      <c r="V247" s="1135"/>
      <c r="W247" s="1135"/>
      <c r="X247" s="1135"/>
      <c r="Y247" s="1135"/>
      <c r="Z247" s="131"/>
      <c r="AA247" s="1135"/>
      <c r="AB247" s="1135"/>
      <c r="AC247" s="1135"/>
      <c r="AD247" s="1135"/>
      <c r="AE247" s="1135"/>
      <c r="AF247" s="1135"/>
      <c r="AG247" s="1135"/>
      <c r="AH247" s="1135"/>
      <c r="AI247" s="1135"/>
      <c r="AJ247" s="1135"/>
      <c r="AK247" s="1135"/>
      <c r="AL247" s="1135"/>
    </row>
    <row r="248" spans="2:38">
      <c r="B248" s="638"/>
      <c r="C248" s="1135"/>
      <c r="D248" s="1135"/>
      <c r="E248" s="1135"/>
      <c r="F248" s="1135"/>
      <c r="G248" s="1135"/>
      <c r="H248" s="1135"/>
      <c r="I248" s="3"/>
      <c r="J248" s="1135"/>
      <c r="K248" s="1135"/>
      <c r="L248" s="1135"/>
      <c r="M248" s="1135"/>
      <c r="N248" s="1135"/>
      <c r="O248" s="1135"/>
      <c r="P248" s="1135"/>
      <c r="Q248" s="1135"/>
      <c r="R248" s="1135"/>
      <c r="S248" s="1135"/>
      <c r="T248" s="1135"/>
      <c r="U248" s="1135"/>
      <c r="V248" s="1135"/>
      <c r="W248" s="1135"/>
      <c r="X248" s="1135"/>
      <c r="Y248" s="1135"/>
      <c r="Z248" s="131"/>
      <c r="AA248" s="1135"/>
      <c r="AB248" s="1135"/>
      <c r="AC248" s="1135"/>
      <c r="AD248" s="1135"/>
      <c r="AE248" s="1135"/>
      <c r="AF248" s="1135"/>
      <c r="AG248" s="1135"/>
      <c r="AH248" s="1135"/>
      <c r="AI248" s="1135"/>
      <c r="AJ248" s="1135"/>
      <c r="AK248" s="1135"/>
      <c r="AL248" s="1135"/>
    </row>
    <row r="249" spans="2:38">
      <c r="B249" s="638"/>
      <c r="C249" s="1135"/>
      <c r="D249" s="1135"/>
      <c r="E249" s="1135"/>
      <c r="F249" s="1135"/>
      <c r="G249" s="1135"/>
      <c r="H249" s="1135"/>
      <c r="I249" s="3"/>
      <c r="J249" s="1135"/>
      <c r="K249" s="1135"/>
      <c r="L249" s="1135"/>
      <c r="M249" s="1135"/>
      <c r="N249" s="1135"/>
      <c r="O249" s="1135"/>
      <c r="P249" s="1135"/>
      <c r="Q249" s="1135"/>
      <c r="R249" s="1135"/>
      <c r="S249" s="1135"/>
      <c r="T249" s="1135"/>
      <c r="U249" s="1135"/>
      <c r="V249" s="1135"/>
      <c r="W249" s="1135"/>
      <c r="X249" s="1135"/>
      <c r="Y249" s="1135"/>
      <c r="Z249" s="131"/>
      <c r="AA249" s="1135"/>
      <c r="AB249" s="1135"/>
      <c r="AC249" s="1135"/>
      <c r="AD249" s="1135"/>
      <c r="AE249" s="1135"/>
      <c r="AF249" s="1135"/>
      <c r="AG249" s="1135"/>
      <c r="AH249" s="1135"/>
      <c r="AI249" s="1135"/>
      <c r="AJ249" s="1135"/>
      <c r="AK249" s="1135"/>
      <c r="AL249" s="1135"/>
    </row>
    <row r="250" spans="2:38">
      <c r="B250" s="638"/>
      <c r="C250" s="1135"/>
      <c r="D250" s="1135"/>
      <c r="E250" s="1135"/>
      <c r="F250" s="1135"/>
      <c r="G250" s="1135"/>
      <c r="H250" s="1135"/>
      <c r="I250" s="3"/>
      <c r="J250" s="1135"/>
      <c r="K250" s="1135"/>
      <c r="L250" s="1135"/>
      <c r="M250" s="1135"/>
      <c r="N250" s="1135"/>
      <c r="O250" s="1135"/>
      <c r="P250" s="1135"/>
      <c r="Q250" s="1135"/>
      <c r="R250" s="1135"/>
      <c r="S250" s="1135"/>
      <c r="T250" s="1135"/>
      <c r="U250" s="1135"/>
      <c r="V250" s="1135"/>
      <c r="W250" s="1135"/>
      <c r="X250" s="1135"/>
      <c r="Y250" s="1135"/>
      <c r="Z250" s="131"/>
      <c r="AA250" s="1135"/>
      <c r="AB250" s="1135"/>
      <c r="AC250" s="1135"/>
      <c r="AD250" s="1135"/>
      <c r="AE250" s="1135"/>
      <c r="AF250" s="1135"/>
      <c r="AG250" s="1135"/>
      <c r="AH250" s="1135"/>
      <c r="AI250" s="1135"/>
      <c r="AJ250" s="1135"/>
      <c r="AK250" s="1135"/>
      <c r="AL250" s="1135"/>
    </row>
    <row r="251" spans="2:38">
      <c r="B251" s="638"/>
      <c r="C251" s="1135"/>
      <c r="D251" s="1135"/>
      <c r="E251" s="1135"/>
      <c r="F251" s="1135"/>
      <c r="G251" s="1135"/>
      <c r="H251" s="1135"/>
      <c r="I251" s="3"/>
      <c r="J251" s="1135"/>
      <c r="K251" s="1135"/>
      <c r="L251" s="1135"/>
      <c r="M251" s="1135"/>
      <c r="N251" s="1135"/>
      <c r="O251" s="1135"/>
      <c r="P251" s="1135"/>
      <c r="Q251" s="1135"/>
      <c r="R251" s="1135"/>
      <c r="S251" s="1135"/>
      <c r="T251" s="1135"/>
      <c r="U251" s="1135"/>
      <c r="V251" s="1135"/>
      <c r="W251" s="1135"/>
      <c r="X251" s="1135"/>
      <c r="Y251" s="1135"/>
      <c r="Z251" s="131"/>
      <c r="AA251" s="1135"/>
      <c r="AB251" s="1135"/>
      <c r="AC251" s="1135"/>
      <c r="AD251" s="1135"/>
      <c r="AE251" s="1135"/>
      <c r="AF251" s="1135"/>
      <c r="AG251" s="1135"/>
      <c r="AH251" s="1135"/>
      <c r="AI251" s="1135"/>
      <c r="AJ251" s="1135"/>
      <c r="AK251" s="1135"/>
      <c r="AL251" s="1135"/>
    </row>
    <row r="252" spans="2:38">
      <c r="B252" s="638"/>
      <c r="C252" s="1135"/>
      <c r="D252" s="1135"/>
      <c r="E252" s="1135"/>
      <c r="F252" s="1135"/>
      <c r="G252" s="1135"/>
      <c r="H252" s="1135"/>
      <c r="I252" s="3"/>
      <c r="J252" s="1135"/>
      <c r="K252" s="1135"/>
      <c r="L252" s="1135"/>
      <c r="M252" s="1135"/>
      <c r="N252" s="1135"/>
      <c r="O252" s="1135"/>
      <c r="P252" s="1135"/>
      <c r="Q252" s="1135"/>
      <c r="R252" s="1135"/>
      <c r="S252" s="1135"/>
      <c r="T252" s="1135"/>
      <c r="U252" s="1135"/>
      <c r="V252" s="1135"/>
      <c r="W252" s="1135"/>
      <c r="X252" s="1135"/>
      <c r="Y252" s="1135"/>
      <c r="Z252" s="131"/>
      <c r="AA252" s="1135"/>
      <c r="AB252" s="1135"/>
      <c r="AC252" s="1135"/>
      <c r="AD252" s="1135"/>
      <c r="AE252" s="1135"/>
      <c r="AF252" s="1135"/>
      <c r="AG252" s="1135"/>
      <c r="AH252" s="1135"/>
      <c r="AI252" s="1135"/>
      <c r="AJ252" s="1135"/>
      <c r="AK252" s="1135"/>
      <c r="AL252" s="1135"/>
    </row>
    <row r="253" spans="2:38">
      <c r="B253" s="638"/>
      <c r="C253" s="1135"/>
      <c r="D253" s="1135"/>
      <c r="E253" s="1135"/>
      <c r="F253" s="1135"/>
      <c r="G253" s="1135"/>
      <c r="H253" s="1135"/>
      <c r="I253" s="3"/>
      <c r="J253" s="1135"/>
      <c r="K253" s="1135"/>
      <c r="L253" s="1135"/>
      <c r="M253" s="1135"/>
      <c r="N253" s="1135"/>
      <c r="O253" s="1135"/>
      <c r="P253" s="1135"/>
      <c r="Q253" s="1135"/>
      <c r="R253" s="1135"/>
      <c r="S253" s="1135"/>
      <c r="T253" s="1135"/>
      <c r="U253" s="1135"/>
      <c r="V253" s="1135"/>
      <c r="W253" s="1135"/>
      <c r="X253" s="1135"/>
      <c r="Y253" s="1135"/>
      <c r="Z253" s="131"/>
      <c r="AA253" s="1135"/>
      <c r="AB253" s="1135"/>
      <c r="AC253" s="1135"/>
      <c r="AD253" s="1135"/>
      <c r="AE253" s="1135"/>
      <c r="AF253" s="1135"/>
      <c r="AG253" s="1135"/>
      <c r="AH253" s="1135"/>
      <c r="AI253" s="1135"/>
      <c r="AJ253" s="1135"/>
      <c r="AK253" s="1135"/>
      <c r="AL253" s="1135"/>
    </row>
    <row r="254" spans="2:38">
      <c r="B254" s="638"/>
      <c r="C254" s="1135"/>
      <c r="D254" s="1135"/>
      <c r="E254" s="1135"/>
      <c r="F254" s="1135"/>
      <c r="G254" s="1135"/>
      <c r="H254" s="1135"/>
      <c r="I254" s="3"/>
      <c r="J254" s="1135"/>
      <c r="K254" s="1135"/>
      <c r="L254" s="1135"/>
      <c r="M254" s="1135"/>
      <c r="N254" s="1135"/>
      <c r="O254" s="1135"/>
      <c r="P254" s="1135"/>
      <c r="Q254" s="1135"/>
      <c r="R254" s="1135"/>
      <c r="S254" s="1135"/>
      <c r="T254" s="1135"/>
      <c r="U254" s="1135"/>
      <c r="V254" s="1135"/>
      <c r="W254" s="1135"/>
      <c r="X254" s="1135"/>
      <c r="Y254" s="1135"/>
      <c r="Z254" s="131"/>
      <c r="AA254" s="1135"/>
      <c r="AB254" s="1135"/>
      <c r="AC254" s="1135"/>
      <c r="AD254" s="1135"/>
      <c r="AE254" s="1135"/>
      <c r="AF254" s="1135"/>
      <c r="AG254" s="1135"/>
      <c r="AH254" s="1135"/>
      <c r="AI254" s="1135"/>
      <c r="AJ254" s="1135"/>
      <c r="AK254" s="1135"/>
      <c r="AL254" s="1135"/>
    </row>
    <row r="255" spans="2:38">
      <c r="B255" s="638"/>
      <c r="C255" s="1135"/>
      <c r="D255" s="1135"/>
      <c r="E255" s="1135"/>
      <c r="F255" s="1135"/>
      <c r="G255" s="1135"/>
      <c r="H255" s="1135"/>
      <c r="I255" s="3"/>
      <c r="J255" s="1135"/>
      <c r="K255" s="1135"/>
      <c r="L255" s="1135"/>
      <c r="M255" s="1135"/>
      <c r="N255" s="1135"/>
      <c r="O255" s="1135"/>
      <c r="P255" s="1135"/>
      <c r="Q255" s="1135"/>
      <c r="R255" s="1135"/>
      <c r="S255" s="1135"/>
      <c r="T255" s="1135"/>
      <c r="U255" s="1135"/>
      <c r="V255" s="1135"/>
      <c r="W255" s="1135"/>
      <c r="X255" s="1135"/>
      <c r="Y255" s="1135"/>
      <c r="Z255" s="131"/>
      <c r="AA255" s="1135"/>
      <c r="AB255" s="1135"/>
      <c r="AC255" s="1135"/>
      <c r="AD255" s="1135"/>
      <c r="AE255" s="1135"/>
      <c r="AF255" s="1135"/>
      <c r="AG255" s="1135"/>
      <c r="AH255" s="1135"/>
      <c r="AI255" s="1135"/>
      <c r="AJ255" s="1135"/>
      <c r="AK255" s="1135"/>
      <c r="AL255" s="1135"/>
    </row>
    <row r="256" spans="2:38">
      <c r="B256" s="638"/>
      <c r="C256" s="1135"/>
      <c r="D256" s="1135"/>
      <c r="E256" s="1135"/>
      <c r="F256" s="1135"/>
      <c r="G256" s="1135"/>
      <c r="H256" s="1135"/>
      <c r="I256" s="3"/>
      <c r="J256" s="1135"/>
      <c r="K256" s="1135"/>
      <c r="L256" s="1135"/>
      <c r="M256" s="1135"/>
      <c r="N256" s="1135"/>
      <c r="O256" s="1135"/>
      <c r="P256" s="1135"/>
      <c r="Q256" s="1135"/>
      <c r="R256" s="1135"/>
      <c r="S256" s="1135"/>
      <c r="T256" s="1135"/>
      <c r="U256" s="1135"/>
      <c r="V256" s="1135"/>
      <c r="W256" s="1135"/>
      <c r="X256" s="1135"/>
      <c r="Y256" s="1135"/>
      <c r="Z256" s="131"/>
      <c r="AA256" s="1135"/>
      <c r="AB256" s="1135"/>
      <c r="AC256" s="1135"/>
      <c r="AD256" s="1135"/>
      <c r="AE256" s="1135"/>
      <c r="AF256" s="1135"/>
      <c r="AG256" s="1135"/>
      <c r="AH256" s="1135"/>
      <c r="AI256" s="1135"/>
      <c r="AJ256" s="1135"/>
      <c r="AK256" s="1135"/>
      <c r="AL256" s="1135"/>
    </row>
    <row r="257" spans="2:38">
      <c r="B257" s="638"/>
      <c r="C257" s="1135"/>
      <c r="D257" s="1135"/>
      <c r="E257" s="1135"/>
      <c r="F257" s="1135"/>
      <c r="G257" s="1135"/>
      <c r="H257" s="1135"/>
      <c r="I257" s="3"/>
      <c r="J257" s="1135"/>
      <c r="K257" s="1135"/>
      <c r="L257" s="1135"/>
      <c r="M257" s="1135"/>
      <c r="N257" s="1135"/>
      <c r="O257" s="1135"/>
      <c r="P257" s="1135"/>
      <c r="Q257" s="1135"/>
      <c r="R257" s="1135"/>
      <c r="S257" s="1135"/>
      <c r="T257" s="1135"/>
      <c r="U257" s="1135"/>
      <c r="V257" s="1135"/>
      <c r="W257" s="1135"/>
      <c r="X257" s="1135"/>
      <c r="Y257" s="1135"/>
      <c r="Z257" s="131"/>
      <c r="AA257" s="1135"/>
      <c r="AB257" s="1135"/>
      <c r="AC257" s="1135"/>
      <c r="AD257" s="1135"/>
      <c r="AE257" s="1135"/>
      <c r="AF257" s="1135"/>
      <c r="AG257" s="1135"/>
      <c r="AH257" s="1135"/>
      <c r="AI257" s="1135"/>
      <c r="AJ257" s="1135"/>
      <c r="AK257" s="1135"/>
      <c r="AL257" s="1135"/>
    </row>
    <row r="258" spans="2:38">
      <c r="B258" s="638"/>
      <c r="C258" s="1135"/>
      <c r="D258" s="1135"/>
      <c r="E258" s="1135"/>
      <c r="F258" s="1135"/>
      <c r="G258" s="1135"/>
      <c r="H258" s="1135"/>
      <c r="I258" s="3"/>
      <c r="J258" s="1135"/>
      <c r="K258" s="1135"/>
      <c r="L258" s="1135"/>
      <c r="M258" s="1135"/>
      <c r="N258" s="1135"/>
      <c r="O258" s="1135"/>
      <c r="P258" s="1135"/>
      <c r="Q258" s="1135"/>
      <c r="R258" s="1135"/>
      <c r="S258" s="1135"/>
      <c r="T258" s="1135"/>
      <c r="U258" s="1135"/>
      <c r="V258" s="1135"/>
      <c r="W258" s="1135"/>
      <c r="X258" s="1135"/>
      <c r="Y258" s="1135"/>
      <c r="Z258" s="131"/>
      <c r="AA258" s="1135"/>
      <c r="AB258" s="1135"/>
      <c r="AC258" s="1135"/>
      <c r="AD258" s="1135"/>
      <c r="AE258" s="1135"/>
      <c r="AF258" s="1135"/>
      <c r="AG258" s="1135"/>
      <c r="AH258" s="1135"/>
      <c r="AI258" s="1135"/>
      <c r="AJ258" s="1135"/>
      <c r="AK258" s="1135"/>
      <c r="AL258" s="1135"/>
    </row>
    <row r="259" spans="2:38">
      <c r="B259" s="638"/>
      <c r="C259" s="1135"/>
      <c r="D259" s="1135"/>
      <c r="E259" s="1135"/>
      <c r="F259" s="1135"/>
      <c r="G259" s="1135"/>
      <c r="H259" s="1135"/>
      <c r="I259" s="3"/>
      <c r="J259" s="1135"/>
      <c r="K259" s="1135"/>
      <c r="L259" s="1135"/>
      <c r="M259" s="1135"/>
      <c r="N259" s="1135"/>
      <c r="O259" s="1135"/>
      <c r="P259" s="1135"/>
      <c r="Q259" s="1135"/>
      <c r="R259" s="1135"/>
      <c r="S259" s="1135"/>
      <c r="T259" s="1135"/>
      <c r="U259" s="1135"/>
      <c r="V259" s="1135"/>
      <c r="W259" s="1135"/>
      <c r="X259" s="1135"/>
      <c r="Y259" s="1135"/>
      <c r="Z259" s="131"/>
      <c r="AA259" s="1135"/>
      <c r="AB259" s="1135"/>
      <c r="AC259" s="1135"/>
      <c r="AD259" s="1135"/>
      <c r="AE259" s="1135"/>
      <c r="AF259" s="1135"/>
      <c r="AG259" s="1135"/>
      <c r="AH259" s="1135"/>
      <c r="AI259" s="1135"/>
      <c r="AJ259" s="1135"/>
      <c r="AK259" s="1135"/>
      <c r="AL259" s="1135"/>
    </row>
    <row r="260" spans="2:38">
      <c r="B260" s="638"/>
      <c r="C260" s="1135"/>
      <c r="D260" s="1135"/>
      <c r="E260" s="1135"/>
      <c r="F260" s="1135"/>
      <c r="G260" s="1135"/>
      <c r="H260" s="1135"/>
      <c r="I260" s="3"/>
      <c r="J260" s="1135"/>
      <c r="K260" s="1135"/>
      <c r="L260" s="1135"/>
      <c r="M260" s="1135"/>
      <c r="N260" s="1135"/>
      <c r="O260" s="1135"/>
      <c r="P260" s="1135"/>
      <c r="Q260" s="1135"/>
      <c r="R260" s="1135"/>
      <c r="S260" s="1135"/>
      <c r="T260" s="1135"/>
      <c r="U260" s="1135"/>
      <c r="V260" s="1135"/>
      <c r="W260" s="1135"/>
      <c r="X260" s="1135"/>
      <c r="Y260" s="1135"/>
      <c r="Z260" s="131"/>
      <c r="AA260" s="1135"/>
      <c r="AB260" s="1135"/>
      <c r="AC260" s="1135"/>
      <c r="AD260" s="1135"/>
      <c r="AE260" s="1135"/>
      <c r="AF260" s="1135"/>
      <c r="AG260" s="1135"/>
      <c r="AH260" s="1135"/>
      <c r="AI260" s="1135"/>
      <c r="AJ260" s="1135"/>
      <c r="AK260" s="1135"/>
      <c r="AL260" s="1135"/>
    </row>
    <row r="261" spans="2:38">
      <c r="B261" s="638"/>
      <c r="C261" s="1135"/>
      <c r="D261" s="1135"/>
      <c r="E261" s="1135"/>
      <c r="F261" s="1135"/>
      <c r="G261" s="1135"/>
      <c r="H261" s="1135"/>
      <c r="I261" s="3"/>
      <c r="J261" s="1135"/>
      <c r="K261" s="1135"/>
      <c r="L261" s="1135"/>
      <c r="M261" s="1135"/>
      <c r="N261" s="1135"/>
      <c r="O261" s="1135"/>
      <c r="P261" s="1135"/>
      <c r="Q261" s="1135"/>
      <c r="R261" s="1135"/>
      <c r="S261" s="1135"/>
      <c r="T261" s="1135"/>
      <c r="U261" s="1135"/>
      <c r="V261" s="1135"/>
      <c r="W261" s="1135"/>
      <c r="X261" s="1135"/>
      <c r="Y261" s="1135"/>
      <c r="Z261" s="131"/>
      <c r="AA261" s="1135"/>
      <c r="AB261" s="1135"/>
      <c r="AC261" s="1135"/>
      <c r="AD261" s="1135"/>
      <c r="AE261" s="1135"/>
      <c r="AF261" s="1135"/>
      <c r="AG261" s="1135"/>
      <c r="AH261" s="1135"/>
      <c r="AI261" s="1135"/>
      <c r="AJ261" s="1135"/>
      <c r="AK261" s="1135"/>
      <c r="AL261" s="1135"/>
    </row>
    <row r="262" spans="2:38">
      <c r="B262" s="638"/>
      <c r="C262" s="1135"/>
      <c r="D262" s="1135"/>
      <c r="E262" s="1135"/>
      <c r="F262" s="1135"/>
      <c r="G262" s="1135"/>
      <c r="H262" s="1135"/>
      <c r="I262" s="3"/>
      <c r="J262" s="1135"/>
      <c r="K262" s="1135"/>
      <c r="L262" s="1135"/>
      <c r="M262" s="1135"/>
      <c r="N262" s="1135"/>
      <c r="O262" s="1135"/>
      <c r="P262" s="1135"/>
      <c r="Q262" s="1135"/>
      <c r="R262" s="1135"/>
      <c r="S262" s="1135"/>
      <c r="T262" s="1135"/>
      <c r="U262" s="1135"/>
      <c r="V262" s="1135"/>
      <c r="W262" s="1135"/>
      <c r="X262" s="1135"/>
      <c r="Y262" s="1135"/>
      <c r="Z262" s="131"/>
      <c r="AA262" s="1135"/>
      <c r="AB262" s="1135"/>
      <c r="AC262" s="1135"/>
      <c r="AD262" s="1135"/>
      <c r="AE262" s="1135"/>
      <c r="AF262" s="1135"/>
      <c r="AG262" s="1135"/>
      <c r="AH262" s="1135"/>
      <c r="AI262" s="1135"/>
      <c r="AJ262" s="1135"/>
      <c r="AK262" s="1135"/>
      <c r="AL262" s="1135"/>
    </row>
    <row r="263" spans="2:38">
      <c r="B263" s="638"/>
      <c r="C263" s="1135"/>
      <c r="D263" s="1135"/>
      <c r="E263" s="1135"/>
      <c r="F263" s="1135"/>
      <c r="G263" s="1135"/>
      <c r="H263" s="1135"/>
      <c r="I263" s="3"/>
      <c r="J263" s="1135"/>
      <c r="K263" s="1135"/>
      <c r="L263" s="1135"/>
      <c r="M263" s="1135"/>
      <c r="N263" s="1135"/>
      <c r="O263" s="1135"/>
      <c r="P263" s="1135"/>
      <c r="Q263" s="1135"/>
      <c r="R263" s="1135"/>
      <c r="S263" s="1135"/>
      <c r="T263" s="1135"/>
      <c r="U263" s="1135"/>
      <c r="V263" s="1135"/>
      <c r="W263" s="1135"/>
      <c r="X263" s="1135"/>
      <c r="Y263" s="1135"/>
      <c r="Z263" s="131"/>
      <c r="AA263" s="1135"/>
      <c r="AB263" s="1135"/>
      <c r="AC263" s="1135"/>
      <c r="AD263" s="1135"/>
      <c r="AE263" s="1135"/>
      <c r="AF263" s="1135"/>
      <c r="AG263" s="1135"/>
      <c r="AH263" s="1135"/>
      <c r="AI263" s="1135"/>
      <c r="AJ263" s="1135"/>
      <c r="AK263" s="1135"/>
      <c r="AL263" s="1135"/>
    </row>
    <row r="264" spans="2:38">
      <c r="B264" s="638"/>
      <c r="C264" s="1135"/>
      <c r="D264" s="1135"/>
      <c r="E264" s="1135"/>
      <c r="F264" s="1135"/>
      <c r="G264" s="1135"/>
      <c r="H264" s="1135"/>
      <c r="I264" s="3"/>
      <c r="J264" s="1135"/>
      <c r="K264" s="1135"/>
      <c r="L264" s="1135"/>
      <c r="M264" s="1135"/>
      <c r="N264" s="1135"/>
      <c r="O264" s="1135"/>
      <c r="P264" s="1135"/>
      <c r="Q264" s="1135"/>
      <c r="R264" s="1135"/>
      <c r="S264" s="1135"/>
      <c r="T264" s="1135"/>
      <c r="U264" s="1135"/>
      <c r="V264" s="1135"/>
      <c r="W264" s="1135"/>
      <c r="X264" s="1135"/>
      <c r="Y264" s="1135"/>
      <c r="Z264" s="131"/>
      <c r="AA264" s="1135"/>
      <c r="AB264" s="1135"/>
      <c r="AC264" s="1135"/>
      <c r="AD264" s="1135"/>
      <c r="AE264" s="1135"/>
      <c r="AF264" s="1135"/>
      <c r="AG264" s="1135"/>
      <c r="AH264" s="1135"/>
      <c r="AI264" s="1135"/>
      <c r="AJ264" s="1135"/>
      <c r="AK264" s="1135"/>
      <c r="AL264" s="1135"/>
    </row>
    <row r="265" spans="2:38">
      <c r="B265" s="638"/>
      <c r="C265" s="1135"/>
      <c r="D265" s="1135"/>
      <c r="E265" s="1135"/>
      <c r="F265" s="1135"/>
      <c r="G265" s="1135"/>
      <c r="H265" s="1135"/>
      <c r="I265" s="3"/>
      <c r="J265" s="1135"/>
      <c r="K265" s="1135"/>
      <c r="L265" s="1135"/>
      <c r="M265" s="1135"/>
      <c r="N265" s="1135"/>
      <c r="O265" s="1135"/>
      <c r="P265" s="1135"/>
      <c r="Q265" s="1135"/>
      <c r="R265" s="1135"/>
      <c r="S265" s="1135"/>
      <c r="T265" s="1135"/>
      <c r="U265" s="1135"/>
      <c r="V265" s="1135"/>
      <c r="W265" s="1135"/>
      <c r="X265" s="1135"/>
      <c r="Y265" s="1135"/>
      <c r="Z265" s="131"/>
      <c r="AA265" s="1135"/>
      <c r="AB265" s="1135"/>
      <c r="AC265" s="1135"/>
      <c r="AD265" s="1135"/>
      <c r="AE265" s="1135"/>
      <c r="AF265" s="1135"/>
      <c r="AG265" s="1135"/>
      <c r="AH265" s="1135"/>
      <c r="AI265" s="1135"/>
      <c r="AJ265" s="1135"/>
      <c r="AK265" s="1135"/>
      <c r="AL265" s="1135"/>
    </row>
    <row r="266" spans="2:38">
      <c r="B266" s="638"/>
      <c r="C266" s="1135"/>
      <c r="D266" s="1135"/>
      <c r="E266" s="1135"/>
      <c r="F266" s="1135"/>
      <c r="G266" s="1135"/>
      <c r="H266" s="1135"/>
      <c r="I266" s="3"/>
      <c r="J266" s="1135"/>
      <c r="K266" s="1135"/>
      <c r="L266" s="1135"/>
      <c r="M266" s="1135"/>
      <c r="N266" s="1135"/>
      <c r="O266" s="1135"/>
      <c r="P266" s="1135"/>
      <c r="Q266" s="1135"/>
      <c r="R266" s="1135"/>
      <c r="S266" s="1135"/>
      <c r="T266" s="1135"/>
      <c r="U266" s="1135"/>
      <c r="V266" s="1135"/>
      <c r="W266" s="1135"/>
      <c r="X266" s="1135"/>
      <c r="Y266" s="1135"/>
      <c r="Z266" s="131"/>
      <c r="AA266" s="1135"/>
      <c r="AB266" s="1135"/>
      <c r="AC266" s="1135"/>
      <c r="AD266" s="1135"/>
      <c r="AE266" s="1135"/>
      <c r="AF266" s="1135"/>
      <c r="AG266" s="1135"/>
      <c r="AH266" s="1135"/>
      <c r="AI266" s="1135"/>
      <c r="AJ266" s="1135"/>
      <c r="AK266" s="1135"/>
      <c r="AL266" s="1135"/>
    </row>
    <row r="267" spans="2:38">
      <c r="B267" s="638"/>
      <c r="C267" s="1135"/>
      <c r="D267" s="1135"/>
      <c r="E267" s="1135"/>
      <c r="F267" s="1135"/>
      <c r="G267" s="1135"/>
      <c r="H267" s="1135"/>
      <c r="I267" s="3"/>
      <c r="J267" s="1135"/>
      <c r="K267" s="1135"/>
      <c r="L267" s="1135"/>
      <c r="M267" s="1135"/>
      <c r="N267" s="1135"/>
      <c r="O267" s="1135"/>
      <c r="P267" s="1135"/>
      <c r="Q267" s="1135"/>
      <c r="R267" s="1135"/>
      <c r="S267" s="1135"/>
      <c r="T267" s="1135"/>
      <c r="U267" s="1135"/>
      <c r="V267" s="1135"/>
      <c r="W267" s="1135"/>
      <c r="X267" s="1135"/>
      <c r="Y267" s="1135"/>
      <c r="Z267" s="131"/>
      <c r="AA267" s="1135"/>
      <c r="AB267" s="1135"/>
      <c r="AC267" s="1135"/>
      <c r="AD267" s="1135"/>
      <c r="AE267" s="1135"/>
      <c r="AF267" s="1135"/>
      <c r="AG267" s="1135"/>
      <c r="AH267" s="1135"/>
      <c r="AI267" s="1135"/>
      <c r="AJ267" s="1135"/>
      <c r="AK267" s="1135"/>
      <c r="AL267" s="1135"/>
    </row>
    <row r="268" spans="2:38">
      <c r="B268" s="638"/>
      <c r="C268" s="1135"/>
      <c r="D268" s="1135"/>
      <c r="E268" s="1135"/>
      <c r="F268" s="1135"/>
      <c r="G268" s="1135"/>
      <c r="H268" s="1135"/>
      <c r="I268" s="3"/>
      <c r="J268" s="1135"/>
      <c r="K268" s="1135"/>
      <c r="L268" s="1135"/>
      <c r="M268" s="1135"/>
      <c r="N268" s="1135"/>
      <c r="O268" s="1135"/>
      <c r="P268" s="1135"/>
      <c r="Q268" s="1135"/>
      <c r="R268" s="1135"/>
      <c r="S268" s="1135"/>
      <c r="T268" s="1135"/>
      <c r="U268" s="1135"/>
      <c r="V268" s="1135"/>
      <c r="W268" s="1135"/>
      <c r="X268" s="1135"/>
      <c r="Y268" s="1135"/>
      <c r="Z268" s="131"/>
      <c r="AA268" s="1135"/>
      <c r="AB268" s="1135"/>
      <c r="AC268" s="1135"/>
      <c r="AD268" s="1135"/>
      <c r="AE268" s="1135"/>
      <c r="AF268" s="1135"/>
      <c r="AG268" s="1135"/>
      <c r="AH268" s="1135"/>
      <c r="AI268" s="1135"/>
      <c r="AJ268" s="1135"/>
      <c r="AK268" s="1135"/>
      <c r="AL268" s="1135"/>
    </row>
    <row r="269" spans="2:38">
      <c r="B269" s="638"/>
      <c r="C269" s="1135"/>
      <c r="D269" s="1135"/>
      <c r="E269" s="1135"/>
      <c r="F269" s="1135"/>
      <c r="G269" s="1135"/>
      <c r="H269" s="1135"/>
      <c r="I269" s="3"/>
      <c r="J269" s="1135"/>
      <c r="K269" s="1135"/>
      <c r="L269" s="1135"/>
      <c r="M269" s="1135"/>
      <c r="N269" s="1135"/>
      <c r="O269" s="1135"/>
      <c r="P269" s="1135"/>
      <c r="Q269" s="1135"/>
      <c r="R269" s="1135"/>
      <c r="S269" s="1135"/>
      <c r="T269" s="1135"/>
      <c r="U269" s="1135"/>
      <c r="V269" s="1135"/>
      <c r="W269" s="1135"/>
      <c r="X269" s="1135"/>
      <c r="Y269" s="1135"/>
      <c r="Z269" s="131"/>
      <c r="AA269" s="1135"/>
      <c r="AB269" s="1135"/>
      <c r="AC269" s="1135"/>
      <c r="AD269" s="1135"/>
      <c r="AE269" s="1135"/>
      <c r="AF269" s="1135"/>
      <c r="AG269" s="1135"/>
      <c r="AH269" s="1135"/>
      <c r="AI269" s="1135"/>
      <c r="AJ269" s="1135"/>
      <c r="AK269" s="1135"/>
      <c r="AL269" s="1135"/>
    </row>
    <row r="270" spans="2:38">
      <c r="B270" s="638"/>
      <c r="C270" s="1135"/>
      <c r="D270" s="1135"/>
      <c r="E270" s="1135"/>
      <c r="F270" s="1135"/>
      <c r="G270" s="1135"/>
      <c r="H270" s="1135"/>
      <c r="I270" s="3"/>
      <c r="J270" s="1135"/>
      <c r="K270" s="1135"/>
      <c r="L270" s="1135"/>
      <c r="M270" s="1135"/>
      <c r="N270" s="1135"/>
      <c r="O270" s="1135"/>
      <c r="P270" s="1135"/>
      <c r="Q270" s="1135"/>
      <c r="R270" s="1135"/>
      <c r="S270" s="1135"/>
      <c r="T270" s="1135"/>
      <c r="U270" s="1135"/>
      <c r="V270" s="1135"/>
      <c r="W270" s="1135"/>
      <c r="X270" s="1135"/>
      <c r="Y270" s="1135"/>
      <c r="Z270" s="131"/>
      <c r="AA270" s="1135"/>
      <c r="AB270" s="1135"/>
      <c r="AC270" s="1135"/>
      <c r="AD270" s="1135"/>
      <c r="AE270" s="1135"/>
      <c r="AF270" s="1135"/>
      <c r="AG270" s="1135"/>
      <c r="AH270" s="1135"/>
      <c r="AI270" s="1135"/>
      <c r="AJ270" s="1135"/>
      <c r="AK270" s="1135"/>
      <c r="AL270" s="1135"/>
    </row>
    <row r="271" spans="2:38">
      <c r="B271" s="638"/>
      <c r="C271" s="1135"/>
      <c r="D271" s="1135"/>
      <c r="E271" s="1135"/>
      <c r="F271" s="1135"/>
      <c r="G271" s="1135"/>
      <c r="H271" s="1135"/>
      <c r="I271" s="3"/>
      <c r="J271" s="1135"/>
      <c r="K271" s="1135"/>
      <c r="L271" s="1135"/>
      <c r="M271" s="1135"/>
      <c r="N271" s="1135"/>
      <c r="O271" s="1135"/>
      <c r="P271" s="1135"/>
      <c r="Q271" s="1135"/>
      <c r="R271" s="1135"/>
      <c r="S271" s="1135"/>
      <c r="T271" s="1135"/>
      <c r="U271" s="1135"/>
      <c r="V271" s="1135"/>
      <c r="W271" s="1135"/>
      <c r="X271" s="1135"/>
      <c r="Y271" s="1135"/>
      <c r="Z271" s="131"/>
      <c r="AA271" s="1135"/>
      <c r="AB271" s="1135"/>
      <c r="AC271" s="1135"/>
      <c r="AD271" s="1135"/>
      <c r="AE271" s="1135"/>
      <c r="AF271" s="1135"/>
      <c r="AG271" s="1135"/>
      <c r="AH271" s="1135"/>
      <c r="AI271" s="1135"/>
      <c r="AJ271" s="1135"/>
      <c r="AK271" s="1135"/>
      <c r="AL271" s="1135"/>
    </row>
    <row r="272" spans="2:38">
      <c r="B272" s="638"/>
      <c r="C272" s="1135"/>
      <c r="D272" s="1135"/>
      <c r="E272" s="1135"/>
      <c r="F272" s="1135"/>
      <c r="G272" s="1135"/>
      <c r="H272" s="1135"/>
      <c r="I272" s="3"/>
      <c r="J272" s="1135"/>
      <c r="K272" s="1135"/>
      <c r="L272" s="1135"/>
      <c r="M272" s="1135"/>
      <c r="N272" s="1135"/>
      <c r="O272" s="1135"/>
      <c r="P272" s="1135"/>
      <c r="Q272" s="1135"/>
      <c r="R272" s="1135"/>
      <c r="S272" s="1135"/>
      <c r="T272" s="1135"/>
      <c r="U272" s="1135"/>
      <c r="V272" s="1135"/>
      <c r="W272" s="1135"/>
      <c r="X272" s="1135"/>
      <c r="Y272" s="1135"/>
      <c r="Z272" s="131"/>
      <c r="AA272" s="1135"/>
      <c r="AB272" s="1135"/>
      <c r="AC272" s="1135"/>
      <c r="AD272" s="1135"/>
      <c r="AE272" s="1135"/>
      <c r="AF272" s="1135"/>
      <c r="AG272" s="1135"/>
      <c r="AH272" s="1135"/>
      <c r="AI272" s="1135"/>
      <c r="AJ272" s="1135"/>
      <c r="AK272" s="1135"/>
      <c r="AL272" s="1135"/>
    </row>
    <row r="273" spans="2:38">
      <c r="B273" s="638"/>
      <c r="C273" s="1135"/>
      <c r="D273" s="1135"/>
      <c r="E273" s="1135"/>
      <c r="F273" s="1135"/>
      <c r="G273" s="1135"/>
      <c r="H273" s="1135"/>
      <c r="I273" s="3"/>
      <c r="J273" s="1135"/>
      <c r="K273" s="1135"/>
      <c r="L273" s="1135"/>
      <c r="M273" s="1135"/>
      <c r="N273" s="1135"/>
      <c r="O273" s="1135"/>
      <c r="P273" s="1135"/>
      <c r="Q273" s="1135"/>
      <c r="R273" s="1135"/>
      <c r="S273" s="1135"/>
      <c r="T273" s="1135"/>
      <c r="U273" s="1135"/>
      <c r="V273" s="1135"/>
      <c r="W273" s="1135"/>
      <c r="X273" s="1135"/>
      <c r="Y273" s="1135"/>
      <c r="Z273" s="131"/>
      <c r="AA273" s="1135"/>
      <c r="AB273" s="1135"/>
      <c r="AC273" s="1135"/>
      <c r="AD273" s="1135"/>
      <c r="AE273" s="1135"/>
      <c r="AF273" s="1135"/>
      <c r="AG273" s="1135"/>
      <c r="AH273" s="1135"/>
      <c r="AI273" s="1135"/>
      <c r="AJ273" s="1135"/>
      <c r="AK273" s="1135"/>
      <c r="AL273" s="1135"/>
    </row>
    <row r="274" spans="2:38">
      <c r="B274" s="638"/>
      <c r="C274" s="1135"/>
      <c r="D274" s="1135"/>
      <c r="E274" s="1135"/>
      <c r="F274" s="1135"/>
      <c r="G274" s="1135"/>
      <c r="H274" s="1135"/>
      <c r="I274" s="3"/>
      <c r="J274" s="1135"/>
      <c r="K274" s="1135"/>
      <c r="L274" s="1135"/>
      <c r="M274" s="1135"/>
      <c r="N274" s="1135"/>
      <c r="O274" s="1135"/>
      <c r="P274" s="1135"/>
      <c r="Q274" s="1135"/>
      <c r="R274" s="1135"/>
      <c r="S274" s="1135"/>
      <c r="T274" s="1135"/>
      <c r="U274" s="1135"/>
      <c r="V274" s="1135"/>
      <c r="W274" s="1135"/>
      <c r="X274" s="1135"/>
      <c r="Y274" s="1135"/>
      <c r="Z274" s="131"/>
      <c r="AA274" s="1135"/>
      <c r="AB274" s="1135"/>
      <c r="AC274" s="1135"/>
      <c r="AD274" s="1135"/>
      <c r="AE274" s="1135"/>
      <c r="AF274" s="1135"/>
      <c r="AG274" s="1135"/>
      <c r="AH274" s="1135"/>
      <c r="AI274" s="1135"/>
      <c r="AJ274" s="1135"/>
      <c r="AK274" s="1135"/>
      <c r="AL274" s="1135"/>
    </row>
    <row r="275" spans="2:38">
      <c r="B275" s="638"/>
      <c r="C275" s="1135"/>
      <c r="D275" s="1135"/>
      <c r="E275" s="1135"/>
      <c r="F275" s="1135"/>
      <c r="G275" s="1135"/>
      <c r="H275" s="1135"/>
      <c r="I275" s="3"/>
      <c r="J275" s="1135"/>
      <c r="K275" s="1135"/>
      <c r="L275" s="1135"/>
      <c r="M275" s="1135"/>
      <c r="N275" s="1135"/>
      <c r="O275" s="1135"/>
      <c r="P275" s="1135"/>
      <c r="Q275" s="1135"/>
      <c r="R275" s="1135"/>
      <c r="S275" s="1135"/>
      <c r="T275" s="1135"/>
      <c r="U275" s="1135"/>
      <c r="V275" s="1135"/>
      <c r="W275" s="1135"/>
      <c r="X275" s="1135"/>
      <c r="Y275" s="1135"/>
      <c r="Z275" s="131"/>
      <c r="AA275" s="1135"/>
      <c r="AB275" s="1135"/>
      <c r="AC275" s="1135"/>
      <c r="AD275" s="1135"/>
      <c r="AE275" s="1135"/>
      <c r="AF275" s="1135"/>
      <c r="AG275" s="1135"/>
      <c r="AH275" s="1135"/>
      <c r="AI275" s="1135"/>
      <c r="AJ275" s="1135"/>
      <c r="AK275" s="1135"/>
      <c r="AL275" s="1135"/>
    </row>
    <row r="276" spans="2:38">
      <c r="B276" s="638"/>
      <c r="C276" s="1135"/>
      <c r="D276" s="1135"/>
      <c r="E276" s="1135"/>
      <c r="F276" s="1135"/>
      <c r="G276" s="1135"/>
      <c r="H276" s="1135"/>
      <c r="I276" s="3"/>
      <c r="J276" s="1135"/>
      <c r="K276" s="1135"/>
      <c r="L276" s="1135"/>
      <c r="M276" s="1135"/>
      <c r="N276" s="1135"/>
      <c r="O276" s="1135"/>
      <c r="P276" s="1135"/>
      <c r="Q276" s="1135"/>
      <c r="R276" s="1135"/>
      <c r="S276" s="1135"/>
      <c r="T276" s="1135"/>
      <c r="U276" s="1135"/>
      <c r="V276" s="1135"/>
      <c r="W276" s="1135"/>
      <c r="X276" s="1135"/>
      <c r="Y276" s="1135"/>
      <c r="Z276" s="131"/>
      <c r="AA276" s="1135"/>
      <c r="AB276" s="1135"/>
      <c r="AC276" s="1135"/>
      <c r="AD276" s="1135"/>
      <c r="AE276" s="1135"/>
      <c r="AF276" s="1135"/>
      <c r="AG276" s="1135"/>
      <c r="AH276" s="1135"/>
      <c r="AI276" s="1135"/>
      <c r="AJ276" s="1135"/>
      <c r="AK276" s="1135"/>
      <c r="AL276" s="1135"/>
    </row>
    <row r="277" spans="2:38">
      <c r="B277" s="638"/>
      <c r="C277" s="1135"/>
      <c r="D277" s="1135"/>
      <c r="E277" s="1135"/>
      <c r="F277" s="1135"/>
      <c r="G277" s="1135"/>
      <c r="H277" s="1135"/>
      <c r="I277" s="3"/>
      <c r="J277" s="1135"/>
      <c r="K277" s="1135"/>
      <c r="L277" s="1135"/>
      <c r="M277" s="1135"/>
      <c r="N277" s="1135"/>
      <c r="O277" s="1135"/>
      <c r="P277" s="1135"/>
      <c r="Q277" s="1135"/>
      <c r="R277" s="1135"/>
      <c r="S277" s="1135"/>
      <c r="T277" s="1135"/>
      <c r="U277" s="1135"/>
      <c r="V277" s="1135"/>
      <c r="W277" s="1135"/>
      <c r="X277" s="1135"/>
      <c r="Y277" s="1135"/>
      <c r="Z277" s="131"/>
      <c r="AA277" s="1135"/>
      <c r="AB277" s="1135"/>
      <c r="AC277" s="1135"/>
      <c r="AD277" s="1135"/>
      <c r="AE277" s="1135"/>
      <c r="AF277" s="1135"/>
      <c r="AG277" s="1135"/>
      <c r="AH277" s="1135"/>
      <c r="AI277" s="1135"/>
      <c r="AJ277" s="1135"/>
      <c r="AK277" s="1135"/>
      <c r="AL277" s="1135"/>
    </row>
    <row r="278" spans="2:38">
      <c r="B278" s="638"/>
      <c r="C278" s="1135"/>
      <c r="D278" s="1135"/>
      <c r="E278" s="1135"/>
      <c r="F278" s="1135"/>
      <c r="G278" s="1135"/>
      <c r="H278" s="1135"/>
      <c r="I278" s="3"/>
      <c r="J278" s="1135"/>
      <c r="K278" s="1135"/>
      <c r="L278" s="1135"/>
      <c r="M278" s="1135"/>
      <c r="N278" s="1135"/>
      <c r="O278" s="1135"/>
      <c r="P278" s="1135"/>
      <c r="Q278" s="1135"/>
      <c r="R278" s="1135"/>
      <c r="S278" s="1135"/>
      <c r="T278" s="1135"/>
      <c r="U278" s="1135"/>
      <c r="V278" s="1135"/>
      <c r="W278" s="1135"/>
      <c r="X278" s="1135"/>
      <c r="Y278" s="1135"/>
      <c r="Z278" s="131"/>
      <c r="AA278" s="1135"/>
      <c r="AB278" s="1135"/>
      <c r="AC278" s="1135"/>
      <c r="AD278" s="1135"/>
      <c r="AE278" s="1135"/>
      <c r="AF278" s="1135"/>
      <c r="AG278" s="1135"/>
      <c r="AH278" s="1135"/>
      <c r="AI278" s="1135"/>
      <c r="AJ278" s="1135"/>
      <c r="AK278" s="1135"/>
      <c r="AL278" s="1135"/>
    </row>
    <row r="279" spans="2:38">
      <c r="B279" s="638"/>
      <c r="C279" s="1135"/>
      <c r="D279" s="1135"/>
      <c r="E279" s="1135"/>
      <c r="F279" s="1135"/>
      <c r="G279" s="1135"/>
      <c r="H279" s="1135"/>
      <c r="I279" s="3"/>
      <c r="J279" s="1135"/>
      <c r="K279" s="1135"/>
      <c r="L279" s="1135"/>
      <c r="M279" s="1135"/>
      <c r="N279" s="1135"/>
      <c r="O279" s="1135"/>
      <c r="P279" s="1135"/>
      <c r="Q279" s="1135"/>
      <c r="R279" s="1135"/>
      <c r="S279" s="1135"/>
      <c r="T279" s="1135"/>
      <c r="U279" s="1135"/>
      <c r="V279" s="1135"/>
      <c r="W279" s="1135"/>
      <c r="X279" s="1135"/>
      <c r="Y279" s="1135"/>
      <c r="Z279" s="131"/>
      <c r="AA279" s="1135"/>
      <c r="AB279" s="1135"/>
      <c r="AC279" s="1135"/>
      <c r="AD279" s="1135"/>
      <c r="AE279" s="1135"/>
      <c r="AF279" s="1135"/>
      <c r="AG279" s="1135"/>
      <c r="AH279" s="1135"/>
      <c r="AI279" s="1135"/>
      <c r="AJ279" s="1135"/>
      <c r="AK279" s="1135"/>
      <c r="AL279" s="1135"/>
    </row>
    <row r="280" spans="2:38">
      <c r="B280" s="638"/>
      <c r="C280" s="1135"/>
      <c r="D280" s="1135"/>
      <c r="E280" s="1135"/>
      <c r="F280" s="1135"/>
      <c r="G280" s="1135"/>
      <c r="H280" s="1135"/>
      <c r="I280" s="3"/>
      <c r="J280" s="1135"/>
      <c r="K280" s="1135"/>
      <c r="L280" s="1135"/>
      <c r="M280" s="1135"/>
      <c r="N280" s="1135"/>
      <c r="O280" s="1135"/>
      <c r="P280" s="1135"/>
      <c r="Q280" s="1135"/>
      <c r="R280" s="1135"/>
      <c r="S280" s="1135"/>
      <c r="T280" s="1135"/>
      <c r="U280" s="1135"/>
      <c r="V280" s="1135"/>
      <c r="W280" s="1135"/>
      <c r="X280" s="1135"/>
      <c r="Y280" s="1135"/>
      <c r="Z280" s="131"/>
      <c r="AA280" s="1135"/>
      <c r="AB280" s="1135"/>
      <c r="AC280" s="1135"/>
      <c r="AD280" s="1135"/>
      <c r="AE280" s="1135"/>
      <c r="AF280" s="1135"/>
      <c r="AG280" s="1135"/>
      <c r="AH280" s="1135"/>
      <c r="AI280" s="1135"/>
      <c r="AJ280" s="1135"/>
      <c r="AK280" s="1135"/>
      <c r="AL280" s="1135"/>
    </row>
    <row r="281" spans="2:38">
      <c r="B281" s="638"/>
      <c r="C281" s="1135"/>
      <c r="D281" s="1135"/>
      <c r="E281" s="1135"/>
      <c r="F281" s="1135"/>
      <c r="G281" s="1135"/>
      <c r="H281" s="1135"/>
      <c r="I281" s="3"/>
      <c r="J281" s="1135"/>
      <c r="K281" s="1135"/>
      <c r="L281" s="1135"/>
      <c r="M281" s="1135"/>
      <c r="N281" s="1135"/>
      <c r="O281" s="1135"/>
      <c r="P281" s="1135"/>
      <c r="Q281" s="1135"/>
      <c r="R281" s="1135"/>
      <c r="S281" s="1135"/>
      <c r="T281" s="1135"/>
      <c r="U281" s="1135"/>
      <c r="V281" s="1135"/>
      <c r="W281" s="1135"/>
      <c r="X281" s="1135"/>
      <c r="Y281" s="1135"/>
      <c r="Z281" s="131"/>
      <c r="AA281" s="1135"/>
      <c r="AB281" s="1135"/>
      <c r="AC281" s="1135"/>
      <c r="AD281" s="1135"/>
      <c r="AE281" s="1135"/>
      <c r="AF281" s="1135"/>
      <c r="AG281" s="1135"/>
      <c r="AH281" s="1135"/>
      <c r="AI281" s="1135"/>
      <c r="AJ281" s="1135"/>
      <c r="AK281" s="1135"/>
      <c r="AL281" s="1135"/>
    </row>
    <row r="282" spans="2:38">
      <c r="B282" s="638"/>
      <c r="C282" s="1135"/>
      <c r="D282" s="1135"/>
      <c r="E282" s="1135"/>
      <c r="F282" s="1135"/>
      <c r="G282" s="1135"/>
      <c r="H282" s="1135"/>
      <c r="I282" s="3"/>
      <c r="J282" s="1135"/>
      <c r="K282" s="1135"/>
      <c r="L282" s="1135"/>
      <c r="M282" s="1135"/>
      <c r="N282" s="1135"/>
      <c r="O282" s="1135"/>
      <c r="P282" s="1135"/>
      <c r="Q282" s="1135"/>
      <c r="R282" s="1135"/>
      <c r="S282" s="1135"/>
      <c r="T282" s="1135"/>
      <c r="U282" s="1135"/>
      <c r="V282" s="1135"/>
      <c r="W282" s="1135"/>
      <c r="X282" s="1135"/>
      <c r="Y282" s="1135"/>
      <c r="Z282" s="131"/>
      <c r="AA282" s="1135"/>
      <c r="AB282" s="1135"/>
      <c r="AC282" s="1135"/>
      <c r="AD282" s="1135"/>
      <c r="AE282" s="1135"/>
      <c r="AF282" s="1135"/>
      <c r="AG282" s="1135"/>
      <c r="AH282" s="1135"/>
      <c r="AI282" s="1135"/>
      <c r="AJ282" s="1135"/>
      <c r="AK282" s="1135"/>
      <c r="AL282" s="1135"/>
    </row>
    <row r="283" spans="2:38">
      <c r="B283" s="638"/>
      <c r="C283" s="1135"/>
      <c r="D283" s="1135"/>
      <c r="E283" s="1135"/>
      <c r="F283" s="1135"/>
      <c r="G283" s="1135"/>
      <c r="H283" s="1135"/>
      <c r="I283" s="3"/>
      <c r="J283" s="1135"/>
      <c r="K283" s="1135"/>
      <c r="L283" s="1135"/>
      <c r="M283" s="1135"/>
      <c r="N283" s="1135"/>
      <c r="O283" s="1135"/>
      <c r="P283" s="1135"/>
      <c r="Q283" s="1135"/>
      <c r="R283" s="1135"/>
      <c r="S283" s="1135"/>
      <c r="T283" s="1135"/>
      <c r="U283" s="1135"/>
      <c r="V283" s="1135"/>
      <c r="W283" s="1135"/>
      <c r="X283" s="1135"/>
      <c r="Y283" s="1135"/>
      <c r="Z283" s="131"/>
      <c r="AA283" s="1135"/>
      <c r="AB283" s="1135"/>
      <c r="AC283" s="1135"/>
      <c r="AD283" s="1135"/>
      <c r="AE283" s="1135"/>
      <c r="AF283" s="1135"/>
      <c r="AG283" s="1135"/>
      <c r="AH283" s="1135"/>
      <c r="AI283" s="1135"/>
      <c r="AJ283" s="1135"/>
      <c r="AK283" s="1135"/>
      <c r="AL283" s="1135"/>
    </row>
    <row r="284" spans="2:38">
      <c r="B284" s="638"/>
      <c r="C284" s="1135"/>
      <c r="D284" s="1135"/>
      <c r="E284" s="1135"/>
      <c r="F284" s="1135"/>
      <c r="G284" s="1135"/>
      <c r="H284" s="1135"/>
      <c r="I284" s="3"/>
      <c r="J284" s="1135"/>
      <c r="K284" s="1135"/>
      <c r="L284" s="1135"/>
      <c r="M284" s="1135"/>
      <c r="N284" s="1135"/>
      <c r="O284" s="1135"/>
      <c r="P284" s="1135"/>
      <c r="Q284" s="1135"/>
      <c r="R284" s="1135"/>
      <c r="S284" s="1135"/>
      <c r="T284" s="1135"/>
      <c r="U284" s="1135"/>
      <c r="V284" s="1135"/>
      <c r="W284" s="1135"/>
      <c r="X284" s="1135"/>
      <c r="Y284" s="1135"/>
      <c r="Z284" s="131"/>
      <c r="AA284" s="1135"/>
      <c r="AB284" s="1135"/>
      <c r="AC284" s="1135"/>
      <c r="AD284" s="1135"/>
      <c r="AE284" s="1135"/>
      <c r="AF284" s="1135"/>
      <c r="AG284" s="1135"/>
      <c r="AH284" s="1135"/>
      <c r="AI284" s="1135"/>
      <c r="AJ284" s="1135"/>
      <c r="AK284" s="1135"/>
      <c r="AL284" s="1135"/>
    </row>
    <row r="285" spans="2:38">
      <c r="B285" s="638"/>
      <c r="C285" s="1135"/>
      <c r="D285" s="1135"/>
      <c r="E285" s="1135"/>
      <c r="F285" s="1135"/>
      <c r="G285" s="1135"/>
      <c r="H285" s="1135"/>
      <c r="I285" s="3"/>
      <c r="J285" s="1135"/>
      <c r="K285" s="1135"/>
      <c r="L285" s="1135"/>
      <c r="M285" s="1135"/>
      <c r="N285" s="1135"/>
      <c r="O285" s="1135"/>
      <c r="P285" s="1135"/>
      <c r="Q285" s="1135"/>
      <c r="R285" s="1135"/>
      <c r="S285" s="1135"/>
      <c r="T285" s="1135"/>
      <c r="U285" s="1135"/>
      <c r="V285" s="1135"/>
      <c r="W285" s="1135"/>
      <c r="X285" s="1135"/>
      <c r="Y285" s="1135"/>
      <c r="Z285" s="131"/>
      <c r="AA285" s="1135"/>
      <c r="AB285" s="1135"/>
      <c r="AC285" s="1135"/>
      <c r="AD285" s="1135"/>
      <c r="AE285" s="1135"/>
      <c r="AF285" s="1135"/>
      <c r="AG285" s="1135"/>
      <c r="AH285" s="1135"/>
      <c r="AI285" s="1135"/>
      <c r="AJ285" s="1135"/>
      <c r="AK285" s="1135"/>
      <c r="AL285" s="1135"/>
    </row>
    <row r="286" spans="2:38">
      <c r="B286" s="638"/>
      <c r="C286" s="1135"/>
      <c r="D286" s="1135"/>
      <c r="E286" s="1135"/>
      <c r="F286" s="1135"/>
      <c r="G286" s="1135"/>
      <c r="H286" s="1135"/>
      <c r="I286" s="3"/>
      <c r="J286" s="1135"/>
      <c r="K286" s="1135"/>
      <c r="L286" s="1135"/>
      <c r="M286" s="1135"/>
      <c r="N286" s="1135"/>
      <c r="O286" s="1135"/>
      <c r="P286" s="1135"/>
      <c r="Q286" s="1135"/>
      <c r="R286" s="1135"/>
      <c r="S286" s="1135"/>
      <c r="T286" s="1135"/>
      <c r="U286" s="1135"/>
      <c r="V286" s="1135"/>
      <c r="W286" s="1135"/>
      <c r="X286" s="1135"/>
      <c r="Y286" s="1135"/>
      <c r="Z286" s="131"/>
      <c r="AA286" s="1135"/>
      <c r="AB286" s="1135"/>
      <c r="AC286" s="1135"/>
      <c r="AD286" s="1135"/>
      <c r="AE286" s="1135"/>
      <c r="AF286" s="1135"/>
      <c r="AG286" s="1135"/>
      <c r="AH286" s="1135"/>
      <c r="AI286" s="1135"/>
      <c r="AJ286" s="1135"/>
      <c r="AK286" s="1135"/>
      <c r="AL286" s="1135"/>
    </row>
    <row r="287" spans="2:38">
      <c r="B287" s="638"/>
      <c r="C287" s="1135"/>
      <c r="D287" s="1135"/>
      <c r="E287" s="1135"/>
      <c r="F287" s="1135"/>
      <c r="G287" s="1135"/>
      <c r="H287" s="1135"/>
      <c r="I287" s="3"/>
      <c r="J287" s="1135"/>
      <c r="K287" s="1135"/>
      <c r="L287" s="1135"/>
      <c r="M287" s="1135"/>
      <c r="N287" s="1135"/>
      <c r="O287" s="1135"/>
      <c r="P287" s="1135"/>
      <c r="Q287" s="1135"/>
      <c r="R287" s="1135"/>
      <c r="S287" s="1135"/>
      <c r="T287" s="1135"/>
      <c r="U287" s="1135"/>
      <c r="V287" s="1135"/>
      <c r="W287" s="1135"/>
      <c r="X287" s="1135"/>
      <c r="Y287" s="1135"/>
      <c r="Z287" s="131"/>
      <c r="AA287" s="1135"/>
      <c r="AB287" s="1135"/>
      <c r="AC287" s="1135"/>
      <c r="AD287" s="1135"/>
      <c r="AE287" s="1135"/>
      <c r="AF287" s="1135"/>
      <c r="AG287" s="1135"/>
      <c r="AH287" s="1135"/>
      <c r="AI287" s="1135"/>
      <c r="AJ287" s="1135"/>
      <c r="AK287" s="1135"/>
      <c r="AL287" s="1135"/>
    </row>
    <row r="288" spans="2:38">
      <c r="B288" s="638"/>
      <c r="C288" s="1135"/>
      <c r="D288" s="1135"/>
      <c r="E288" s="1135"/>
      <c r="F288" s="1135"/>
      <c r="G288" s="1135"/>
      <c r="H288" s="1135"/>
      <c r="I288" s="3"/>
      <c r="J288" s="1135"/>
      <c r="K288" s="1135"/>
      <c r="L288" s="1135"/>
      <c r="M288" s="1135"/>
      <c r="N288" s="1135"/>
      <c r="O288" s="1135"/>
      <c r="P288" s="1135"/>
      <c r="Q288" s="1135"/>
      <c r="R288" s="1135"/>
      <c r="S288" s="1135"/>
      <c r="T288" s="1135"/>
      <c r="U288" s="1135"/>
      <c r="V288" s="1135"/>
      <c r="W288" s="1135"/>
      <c r="X288" s="1135"/>
      <c r="Y288" s="1135"/>
      <c r="Z288" s="131"/>
      <c r="AA288" s="1135"/>
      <c r="AB288" s="1135"/>
      <c r="AC288" s="1135"/>
      <c r="AD288" s="1135"/>
      <c r="AE288" s="1135"/>
      <c r="AF288" s="1135"/>
      <c r="AG288" s="1135"/>
      <c r="AH288" s="1135"/>
      <c r="AI288" s="1135"/>
      <c r="AJ288" s="1135"/>
      <c r="AK288" s="1135"/>
      <c r="AL288" s="1135"/>
    </row>
    <row r="289" spans="2:38">
      <c r="B289" s="638"/>
      <c r="C289" s="1135"/>
      <c r="D289" s="1135"/>
      <c r="E289" s="1135"/>
      <c r="F289" s="1135"/>
      <c r="G289" s="1135"/>
      <c r="H289" s="1135"/>
      <c r="I289" s="3"/>
      <c r="J289" s="1135"/>
      <c r="K289" s="1135"/>
      <c r="L289" s="1135"/>
      <c r="M289" s="1135"/>
      <c r="N289" s="1135"/>
      <c r="O289" s="1135"/>
      <c r="P289" s="1135"/>
      <c r="Q289" s="1135"/>
      <c r="R289" s="1135"/>
      <c r="S289" s="1135"/>
      <c r="T289" s="1135"/>
      <c r="U289" s="1135"/>
      <c r="V289" s="1135"/>
      <c r="W289" s="1135"/>
      <c r="X289" s="1135"/>
      <c r="Y289" s="1135"/>
      <c r="Z289" s="131"/>
      <c r="AA289" s="1135"/>
      <c r="AB289" s="1135"/>
      <c r="AC289" s="1135"/>
      <c r="AD289" s="1135"/>
      <c r="AE289" s="1135"/>
      <c r="AF289" s="1135"/>
      <c r="AG289" s="1135"/>
      <c r="AH289" s="1135"/>
      <c r="AI289" s="1135"/>
      <c r="AJ289" s="1135"/>
      <c r="AK289" s="1135"/>
      <c r="AL289" s="1135"/>
    </row>
    <row r="290" spans="2:38">
      <c r="B290" s="638"/>
      <c r="C290" s="1135"/>
      <c r="D290" s="1135"/>
      <c r="E290" s="1135"/>
      <c r="F290" s="1135"/>
      <c r="G290" s="1135"/>
      <c r="H290" s="1135"/>
      <c r="I290" s="3"/>
      <c r="J290" s="1135"/>
      <c r="K290" s="1135"/>
      <c r="L290" s="1135"/>
      <c r="M290" s="1135"/>
      <c r="N290" s="1135"/>
      <c r="O290" s="1135"/>
      <c r="P290" s="1135"/>
      <c r="Q290" s="1135"/>
      <c r="R290" s="1135"/>
      <c r="S290" s="1135"/>
      <c r="T290" s="1135"/>
      <c r="U290" s="1135"/>
      <c r="V290" s="1135"/>
      <c r="W290" s="1135"/>
      <c r="X290" s="1135"/>
      <c r="Y290" s="1135"/>
      <c r="Z290" s="131"/>
      <c r="AA290" s="1135"/>
      <c r="AB290" s="1135"/>
      <c r="AC290" s="1135"/>
      <c r="AD290" s="1135"/>
      <c r="AE290" s="1135"/>
      <c r="AF290" s="1135"/>
      <c r="AG290" s="1135"/>
      <c r="AH290" s="1135"/>
      <c r="AI290" s="1135"/>
      <c r="AJ290" s="1135"/>
      <c r="AK290" s="1135"/>
      <c r="AL290" s="1135"/>
    </row>
    <row r="291" spans="2:38">
      <c r="B291" s="638"/>
      <c r="C291" s="1135"/>
      <c r="D291" s="1135"/>
      <c r="E291" s="1135"/>
      <c r="F291" s="1135"/>
      <c r="G291" s="1135"/>
      <c r="H291" s="1135"/>
      <c r="I291" s="3"/>
      <c r="J291" s="1135"/>
      <c r="K291" s="1135"/>
      <c r="L291" s="1135"/>
      <c r="M291" s="1135"/>
      <c r="N291" s="1135"/>
      <c r="O291" s="1135"/>
      <c r="P291" s="1135"/>
      <c r="Q291" s="1135"/>
      <c r="R291" s="1135"/>
      <c r="S291" s="1135"/>
      <c r="T291" s="1135"/>
      <c r="U291" s="1135"/>
      <c r="V291" s="1135"/>
      <c r="W291" s="1135"/>
      <c r="X291" s="1135"/>
      <c r="Y291" s="1135"/>
      <c r="Z291" s="131"/>
      <c r="AA291" s="1135"/>
      <c r="AB291" s="1135"/>
      <c r="AC291" s="1135"/>
      <c r="AD291" s="1135"/>
      <c r="AE291" s="1135"/>
      <c r="AF291" s="1135"/>
      <c r="AG291" s="1135"/>
      <c r="AH291" s="1135"/>
      <c r="AI291" s="1135"/>
      <c r="AJ291" s="1135"/>
      <c r="AK291" s="1135"/>
      <c r="AL291" s="1135"/>
    </row>
    <row r="292" spans="2:38">
      <c r="B292" s="638"/>
      <c r="C292" s="1135"/>
      <c r="D292" s="1135"/>
      <c r="E292" s="1135"/>
      <c r="F292" s="1135"/>
      <c r="G292" s="1135"/>
      <c r="H292" s="1135"/>
      <c r="I292" s="3"/>
      <c r="J292" s="1135"/>
      <c r="K292" s="1135"/>
      <c r="L292" s="1135"/>
      <c r="M292" s="1135"/>
      <c r="N292" s="1135"/>
      <c r="O292" s="1135"/>
      <c r="P292" s="1135"/>
      <c r="Q292" s="1135"/>
      <c r="R292" s="1135"/>
      <c r="S292" s="1135"/>
      <c r="T292" s="1135"/>
      <c r="U292" s="1135"/>
      <c r="V292" s="1135"/>
      <c r="W292" s="1135"/>
      <c r="X292" s="1135"/>
      <c r="Y292" s="1135"/>
      <c r="Z292" s="131"/>
      <c r="AA292" s="1135"/>
      <c r="AB292" s="1135"/>
      <c r="AC292" s="1135"/>
      <c r="AD292" s="1135"/>
      <c r="AE292" s="1135"/>
      <c r="AF292" s="1135"/>
      <c r="AG292" s="1135"/>
      <c r="AH292" s="1135"/>
      <c r="AI292" s="1135"/>
      <c r="AJ292" s="1135"/>
      <c r="AK292" s="1135"/>
      <c r="AL292" s="1135"/>
    </row>
    <row r="293" spans="2:38">
      <c r="B293" s="638"/>
      <c r="C293" s="1135"/>
      <c r="D293" s="1135"/>
      <c r="E293" s="1135"/>
      <c r="F293" s="1135"/>
      <c r="G293" s="1135"/>
      <c r="H293" s="1135"/>
      <c r="I293" s="3"/>
      <c r="J293" s="1135"/>
      <c r="K293" s="1135"/>
      <c r="L293" s="1135"/>
      <c r="M293" s="1135"/>
      <c r="N293" s="1135"/>
      <c r="O293" s="1135"/>
      <c r="P293" s="1135"/>
      <c r="Q293" s="1135"/>
      <c r="R293" s="1135"/>
      <c r="S293" s="1135"/>
      <c r="T293" s="1135"/>
      <c r="U293" s="1135"/>
      <c r="V293" s="1135"/>
      <c r="W293" s="1135"/>
      <c r="X293" s="1135"/>
      <c r="Y293" s="1135"/>
      <c r="Z293" s="131"/>
      <c r="AA293" s="1135"/>
      <c r="AB293" s="1135"/>
      <c r="AC293" s="1135"/>
      <c r="AD293" s="1135"/>
      <c r="AE293" s="1135"/>
      <c r="AF293" s="1135"/>
      <c r="AG293" s="1135"/>
      <c r="AH293" s="1135"/>
      <c r="AI293" s="1135"/>
      <c r="AJ293" s="1135"/>
      <c r="AK293" s="1135"/>
      <c r="AL293" s="1135"/>
    </row>
    <row r="294" spans="2:38">
      <c r="B294" s="638"/>
      <c r="C294" s="1135"/>
      <c r="D294" s="1135"/>
      <c r="E294" s="1135"/>
      <c r="F294" s="1135"/>
      <c r="G294" s="1135"/>
      <c r="H294" s="1135"/>
      <c r="I294" s="3"/>
      <c r="J294" s="1135"/>
      <c r="K294" s="1135"/>
      <c r="L294" s="1135"/>
      <c r="M294" s="1135"/>
      <c r="N294" s="1135"/>
      <c r="O294" s="1135"/>
      <c r="P294" s="1135"/>
      <c r="Q294" s="1135"/>
      <c r="R294" s="1135"/>
      <c r="S294" s="1135"/>
      <c r="T294" s="1135"/>
      <c r="U294" s="1135"/>
      <c r="V294" s="1135"/>
      <c r="W294" s="1135"/>
      <c r="X294" s="1135"/>
      <c r="Y294" s="1135"/>
      <c r="Z294" s="131"/>
      <c r="AA294" s="1135"/>
      <c r="AB294" s="1135"/>
      <c r="AC294" s="1135"/>
      <c r="AD294" s="1135"/>
      <c r="AE294" s="1135"/>
      <c r="AF294" s="1135"/>
      <c r="AG294" s="1135"/>
      <c r="AH294" s="1135"/>
      <c r="AI294" s="1135"/>
      <c r="AJ294" s="1135"/>
      <c r="AK294" s="1135"/>
      <c r="AL294" s="1135"/>
    </row>
    <row r="295" spans="2:38">
      <c r="B295" s="638"/>
      <c r="C295" s="1135"/>
      <c r="D295" s="1135"/>
      <c r="E295" s="1135"/>
      <c r="F295" s="1135"/>
      <c r="G295" s="1135"/>
      <c r="H295" s="1135"/>
      <c r="I295" s="3"/>
      <c r="J295" s="1135"/>
      <c r="K295" s="1135"/>
      <c r="L295" s="1135"/>
      <c r="M295" s="1135"/>
      <c r="N295" s="1135"/>
      <c r="O295" s="1135"/>
      <c r="P295" s="1135"/>
      <c r="Q295" s="1135"/>
      <c r="R295" s="1135"/>
      <c r="S295" s="1135"/>
      <c r="T295" s="1135"/>
      <c r="U295" s="1135"/>
      <c r="V295" s="1135"/>
      <c r="W295" s="1135"/>
      <c r="X295" s="1135"/>
      <c r="Y295" s="1135"/>
      <c r="Z295" s="131"/>
      <c r="AA295" s="1135"/>
      <c r="AB295" s="1135"/>
      <c r="AC295" s="1135"/>
      <c r="AD295" s="1135"/>
      <c r="AE295" s="1135"/>
      <c r="AF295" s="1135"/>
      <c r="AG295" s="1135"/>
      <c r="AH295" s="1135"/>
      <c r="AI295" s="1135"/>
      <c r="AJ295" s="1135"/>
      <c r="AK295" s="1135"/>
      <c r="AL295" s="1135"/>
    </row>
    <row r="296" spans="2:38">
      <c r="B296" s="638"/>
      <c r="C296" s="1135"/>
      <c r="D296" s="1135"/>
      <c r="E296" s="1135"/>
      <c r="F296" s="1135"/>
      <c r="G296" s="1135"/>
      <c r="H296" s="1135"/>
      <c r="I296" s="3"/>
      <c r="J296" s="1135"/>
      <c r="K296" s="1135"/>
      <c r="L296" s="1135"/>
      <c r="M296" s="1135"/>
      <c r="N296" s="1135"/>
      <c r="O296" s="1135"/>
      <c r="P296" s="1135"/>
      <c r="Q296" s="1135"/>
      <c r="R296" s="1135"/>
      <c r="S296" s="1135"/>
      <c r="T296" s="1135"/>
      <c r="U296" s="1135"/>
      <c r="V296" s="1135"/>
      <c r="W296" s="1135"/>
      <c r="X296" s="1135"/>
      <c r="Y296" s="1135"/>
      <c r="Z296" s="131"/>
      <c r="AA296" s="1135"/>
      <c r="AB296" s="1135"/>
      <c r="AC296" s="1135"/>
      <c r="AD296" s="1135"/>
      <c r="AE296" s="1135"/>
      <c r="AF296" s="1135"/>
      <c r="AG296" s="1135"/>
      <c r="AH296" s="1135"/>
      <c r="AI296" s="1135"/>
      <c r="AJ296" s="1135"/>
      <c r="AK296" s="1135"/>
      <c r="AL296" s="1135"/>
    </row>
    <row r="297" spans="2:38">
      <c r="B297" s="638"/>
      <c r="C297" s="1135"/>
      <c r="D297" s="1135"/>
      <c r="E297" s="1135"/>
      <c r="F297" s="1135"/>
      <c r="G297" s="1135"/>
      <c r="H297" s="1135"/>
      <c r="I297" s="3"/>
      <c r="J297" s="1135"/>
      <c r="K297" s="1135"/>
      <c r="L297" s="1135"/>
      <c r="M297" s="1135"/>
      <c r="N297" s="1135"/>
      <c r="O297" s="1135"/>
      <c r="P297" s="1135"/>
      <c r="Q297" s="1135"/>
      <c r="R297" s="1135"/>
      <c r="S297" s="1135"/>
      <c r="T297" s="1135"/>
      <c r="U297" s="1135"/>
      <c r="V297" s="1135"/>
      <c r="W297" s="1135"/>
      <c r="X297" s="1135"/>
      <c r="Y297" s="1135"/>
      <c r="Z297" s="131"/>
      <c r="AA297" s="1135"/>
      <c r="AB297" s="1135"/>
      <c r="AC297" s="1135"/>
      <c r="AD297" s="1135"/>
      <c r="AE297" s="1135"/>
      <c r="AF297" s="1135"/>
      <c r="AG297" s="1135"/>
      <c r="AH297" s="1135"/>
      <c r="AI297" s="1135"/>
      <c r="AJ297" s="1135"/>
      <c r="AK297" s="1135"/>
      <c r="AL297" s="1135"/>
    </row>
    <row r="298" spans="2:38">
      <c r="B298" s="638"/>
      <c r="C298" s="1135"/>
      <c r="D298" s="1135"/>
      <c r="E298" s="1135"/>
      <c r="F298" s="1135"/>
      <c r="G298" s="1135"/>
      <c r="H298" s="1135"/>
      <c r="I298" s="3"/>
      <c r="J298" s="1135"/>
      <c r="K298" s="1135"/>
      <c r="L298" s="1135"/>
      <c r="M298" s="1135"/>
      <c r="N298" s="1135"/>
      <c r="O298" s="1135"/>
      <c r="P298" s="1135"/>
      <c r="Q298" s="1135"/>
      <c r="R298" s="1135"/>
      <c r="S298" s="1135"/>
      <c r="T298" s="1135"/>
      <c r="U298" s="1135"/>
      <c r="V298" s="1135"/>
      <c r="W298" s="1135"/>
      <c r="X298" s="1135"/>
      <c r="Y298" s="1135"/>
      <c r="Z298" s="131"/>
      <c r="AA298" s="1135"/>
      <c r="AB298" s="1135"/>
      <c r="AC298" s="1135"/>
      <c r="AD298" s="1135"/>
      <c r="AE298" s="1135"/>
      <c r="AF298" s="1135"/>
      <c r="AG298" s="1135"/>
      <c r="AH298" s="1135"/>
      <c r="AI298" s="1135"/>
      <c r="AJ298" s="1135"/>
      <c r="AK298" s="1135"/>
      <c r="AL298" s="1135"/>
    </row>
    <row r="299" spans="2:38">
      <c r="B299" s="638"/>
      <c r="C299" s="1135"/>
      <c r="D299" s="1135"/>
      <c r="E299" s="1135"/>
      <c r="F299" s="1135"/>
      <c r="G299" s="1135"/>
      <c r="H299" s="1135"/>
      <c r="I299" s="3"/>
      <c r="J299" s="1135"/>
      <c r="K299" s="1135"/>
      <c r="L299" s="1135"/>
      <c r="M299" s="1135"/>
      <c r="N299" s="1135"/>
      <c r="O299" s="1135"/>
      <c r="P299" s="1135"/>
      <c r="Q299" s="1135"/>
      <c r="R299" s="1135"/>
      <c r="S299" s="1135"/>
      <c r="T299" s="1135"/>
      <c r="U299" s="1135"/>
      <c r="V299" s="1135"/>
      <c r="W299" s="1135"/>
      <c r="X299" s="1135"/>
      <c r="Y299" s="1135"/>
      <c r="Z299" s="131"/>
      <c r="AA299" s="1135"/>
      <c r="AB299" s="1135"/>
      <c r="AC299" s="1135"/>
      <c r="AD299" s="1135"/>
      <c r="AE299" s="1135"/>
      <c r="AF299" s="1135"/>
      <c r="AG299" s="1135"/>
      <c r="AH299" s="1135"/>
      <c r="AI299" s="1135"/>
      <c r="AJ299" s="1135"/>
      <c r="AK299" s="1135"/>
      <c r="AL299" s="1135"/>
    </row>
    <row r="300" spans="2:38">
      <c r="B300" s="638"/>
      <c r="C300" s="1135"/>
      <c r="D300" s="1135"/>
      <c r="E300" s="1135"/>
      <c r="F300" s="1135"/>
      <c r="G300" s="1135"/>
      <c r="H300" s="1135"/>
      <c r="I300" s="3"/>
      <c r="J300" s="1135"/>
      <c r="K300" s="1135"/>
      <c r="L300" s="1135"/>
      <c r="M300" s="1135"/>
      <c r="N300" s="1135"/>
      <c r="O300" s="1135"/>
      <c r="P300" s="1135"/>
      <c r="Q300" s="1135"/>
      <c r="R300" s="1135"/>
      <c r="S300" s="1135"/>
      <c r="T300" s="1135"/>
      <c r="U300" s="1135"/>
      <c r="V300" s="1135"/>
      <c r="W300" s="1135"/>
      <c r="X300" s="1135"/>
      <c r="Y300" s="1135"/>
      <c r="Z300" s="131"/>
      <c r="AA300" s="1135"/>
      <c r="AB300" s="1135"/>
      <c r="AC300" s="1135"/>
      <c r="AD300" s="1135"/>
      <c r="AE300" s="1135"/>
      <c r="AF300" s="1135"/>
      <c r="AG300" s="1135"/>
      <c r="AH300" s="1135"/>
      <c r="AI300" s="1135"/>
      <c r="AJ300" s="1135"/>
      <c r="AK300" s="1135"/>
      <c r="AL300" s="1135"/>
    </row>
    <row r="301" spans="2:38">
      <c r="B301" s="638"/>
      <c r="C301" s="1135"/>
      <c r="D301" s="1135"/>
      <c r="E301" s="1135"/>
      <c r="F301" s="1135"/>
      <c r="G301" s="1135"/>
      <c r="H301" s="1135"/>
      <c r="I301" s="3"/>
      <c r="J301" s="1135"/>
      <c r="K301" s="1135"/>
      <c r="L301" s="1135"/>
      <c r="M301" s="1135"/>
      <c r="N301" s="1135"/>
      <c r="O301" s="1135"/>
      <c r="P301" s="1135"/>
      <c r="Q301" s="1135"/>
      <c r="R301" s="1135"/>
      <c r="S301" s="1135"/>
      <c r="T301" s="1135"/>
      <c r="U301" s="1135"/>
      <c r="V301" s="1135"/>
      <c r="W301" s="1135"/>
      <c r="X301" s="1135"/>
      <c r="Y301" s="1135"/>
      <c r="Z301" s="131"/>
      <c r="AA301" s="1135"/>
      <c r="AB301" s="1135"/>
      <c r="AC301" s="1135"/>
      <c r="AD301" s="1135"/>
      <c r="AE301" s="1135"/>
      <c r="AF301" s="1135"/>
      <c r="AG301" s="1135"/>
      <c r="AH301" s="1135"/>
      <c r="AI301" s="1135"/>
      <c r="AJ301" s="1135"/>
      <c r="AK301" s="1135"/>
      <c r="AL301" s="1135"/>
    </row>
    <row r="302" spans="2:38">
      <c r="B302" s="638"/>
      <c r="C302" s="1135"/>
      <c r="D302" s="1135"/>
      <c r="E302" s="1135"/>
      <c r="F302" s="1135"/>
      <c r="G302" s="1135"/>
      <c r="H302" s="1135"/>
      <c r="I302" s="3"/>
      <c r="J302" s="1135"/>
      <c r="K302" s="1135"/>
      <c r="L302" s="1135"/>
      <c r="M302" s="1135"/>
      <c r="N302" s="1135"/>
      <c r="O302" s="1135"/>
      <c r="P302" s="1135"/>
      <c r="Q302" s="1135"/>
      <c r="R302" s="1135"/>
      <c r="S302" s="1135"/>
      <c r="T302" s="1135"/>
      <c r="U302" s="1135"/>
      <c r="V302" s="1135"/>
      <c r="W302" s="1135"/>
      <c r="X302" s="1135"/>
      <c r="Y302" s="1135"/>
      <c r="Z302" s="131"/>
      <c r="AA302" s="1135"/>
      <c r="AB302" s="1135"/>
      <c r="AC302" s="1135"/>
      <c r="AD302" s="1135"/>
      <c r="AE302" s="1135"/>
      <c r="AF302" s="1135"/>
      <c r="AG302" s="1135"/>
      <c r="AH302" s="1135"/>
      <c r="AI302" s="1135"/>
      <c r="AJ302" s="1135"/>
      <c r="AK302" s="1135"/>
      <c r="AL302" s="1135"/>
    </row>
    <row r="303" spans="2:38">
      <c r="B303" s="638"/>
      <c r="C303" s="1135"/>
      <c r="D303" s="1135"/>
      <c r="E303" s="1135"/>
      <c r="F303" s="1135"/>
      <c r="G303" s="1135"/>
      <c r="H303" s="1135"/>
      <c r="I303" s="3"/>
      <c r="J303" s="1135"/>
      <c r="K303" s="1135"/>
      <c r="L303" s="1135"/>
      <c r="M303" s="1135"/>
      <c r="N303" s="1135"/>
      <c r="O303" s="1135"/>
      <c r="P303" s="1135"/>
      <c r="Q303" s="1135"/>
      <c r="R303" s="1135"/>
      <c r="S303" s="1135"/>
      <c r="T303" s="1135"/>
      <c r="U303" s="1135"/>
      <c r="V303" s="1135"/>
      <c r="W303" s="1135"/>
      <c r="X303" s="1135"/>
      <c r="Y303" s="1135"/>
      <c r="Z303" s="131"/>
      <c r="AA303" s="1135"/>
      <c r="AB303" s="1135"/>
      <c r="AC303" s="1135"/>
      <c r="AD303" s="1135"/>
      <c r="AE303" s="1135"/>
      <c r="AF303" s="1135"/>
      <c r="AG303" s="1135"/>
      <c r="AH303" s="1135"/>
      <c r="AI303" s="1135"/>
      <c r="AJ303" s="1135"/>
      <c r="AK303" s="1135"/>
      <c r="AL303" s="1135"/>
    </row>
    <row r="304" spans="2:38">
      <c r="B304" s="638"/>
      <c r="C304" s="1135"/>
      <c r="D304" s="1135"/>
      <c r="E304" s="1135"/>
      <c r="F304" s="1135"/>
      <c r="G304" s="1135"/>
      <c r="H304" s="1135"/>
      <c r="I304" s="3"/>
      <c r="J304" s="1135"/>
      <c r="K304" s="1135"/>
      <c r="L304" s="1135"/>
      <c r="M304" s="1135"/>
      <c r="N304" s="1135"/>
      <c r="O304" s="1135"/>
      <c r="P304" s="1135"/>
      <c r="Q304" s="1135"/>
      <c r="R304" s="1135"/>
      <c r="S304" s="1135"/>
      <c r="T304" s="1135"/>
      <c r="U304" s="1135"/>
      <c r="V304" s="1135"/>
      <c r="W304" s="1135"/>
      <c r="X304" s="1135"/>
      <c r="Y304" s="1135"/>
      <c r="Z304" s="131"/>
      <c r="AA304" s="1135"/>
      <c r="AB304" s="1135"/>
      <c r="AC304" s="1135"/>
      <c r="AD304" s="1135"/>
      <c r="AE304" s="1135"/>
      <c r="AF304" s="1135"/>
      <c r="AG304" s="1135"/>
      <c r="AH304" s="1135"/>
      <c r="AI304" s="1135"/>
      <c r="AJ304" s="1135"/>
      <c r="AK304" s="1135"/>
      <c r="AL304" s="1135"/>
    </row>
    <row r="305" spans="2:38">
      <c r="B305" s="638"/>
      <c r="C305" s="1135"/>
      <c r="D305" s="1135"/>
      <c r="E305" s="1135"/>
      <c r="F305" s="1135"/>
      <c r="G305" s="1135"/>
      <c r="H305" s="1135"/>
      <c r="I305" s="3"/>
      <c r="J305" s="1135"/>
      <c r="K305" s="1135"/>
      <c r="L305" s="1135"/>
      <c r="M305" s="1135"/>
      <c r="N305" s="1135"/>
      <c r="O305" s="1135"/>
      <c r="P305" s="1135"/>
      <c r="Q305" s="1135"/>
      <c r="R305" s="1135"/>
      <c r="S305" s="1135"/>
      <c r="T305" s="1135"/>
      <c r="U305" s="1135"/>
      <c r="V305" s="1135"/>
      <c r="W305" s="1135"/>
      <c r="X305" s="1135"/>
      <c r="Y305" s="1135"/>
      <c r="Z305" s="131"/>
      <c r="AA305" s="1135"/>
      <c r="AB305" s="1135"/>
      <c r="AC305" s="1135"/>
      <c r="AD305" s="1135"/>
      <c r="AE305" s="1135"/>
      <c r="AF305" s="1135"/>
      <c r="AG305" s="1135"/>
      <c r="AH305" s="1135"/>
      <c r="AI305" s="1135"/>
      <c r="AJ305" s="1135"/>
      <c r="AK305" s="1135"/>
      <c r="AL305" s="1135"/>
    </row>
    <row r="306" spans="2:38">
      <c r="B306" s="638"/>
      <c r="C306" s="1135"/>
      <c r="D306" s="1135"/>
      <c r="E306" s="1135"/>
      <c r="F306" s="1135"/>
      <c r="G306" s="1135"/>
      <c r="H306" s="1135"/>
      <c r="I306" s="3"/>
      <c r="J306" s="1135"/>
      <c r="K306" s="1135"/>
      <c r="L306" s="1135"/>
      <c r="M306" s="1135"/>
      <c r="N306" s="1135"/>
      <c r="O306" s="1135"/>
      <c r="P306" s="1135"/>
      <c r="Q306" s="1135"/>
      <c r="R306" s="1135"/>
      <c r="S306" s="1135"/>
      <c r="T306" s="1135"/>
      <c r="U306" s="1135"/>
      <c r="V306" s="1135"/>
      <c r="W306" s="1135"/>
      <c r="X306" s="1135"/>
      <c r="Y306" s="1135"/>
      <c r="Z306" s="131"/>
      <c r="AA306" s="1135"/>
      <c r="AB306" s="1135"/>
      <c r="AC306" s="1135"/>
      <c r="AD306" s="1135"/>
      <c r="AE306" s="1135"/>
      <c r="AF306" s="1135"/>
      <c r="AG306" s="1135"/>
      <c r="AH306" s="1135"/>
      <c r="AI306" s="1135"/>
      <c r="AJ306" s="1135"/>
      <c r="AK306" s="1135"/>
      <c r="AL306" s="1135"/>
    </row>
    <row r="307" spans="2:38">
      <c r="B307" s="638"/>
      <c r="C307" s="1135"/>
      <c r="D307" s="1135"/>
      <c r="E307" s="1135"/>
      <c r="F307" s="1135"/>
      <c r="G307" s="1135"/>
      <c r="H307" s="1135"/>
      <c r="I307" s="3"/>
      <c r="J307" s="1135"/>
      <c r="K307" s="1135"/>
      <c r="L307" s="1135"/>
      <c r="M307" s="1135"/>
      <c r="N307" s="1135"/>
      <c r="O307" s="1135"/>
      <c r="P307" s="1135"/>
      <c r="Q307" s="1135"/>
      <c r="R307" s="1135"/>
      <c r="S307" s="1135"/>
      <c r="T307" s="1135"/>
      <c r="U307" s="1135"/>
      <c r="V307" s="1135"/>
      <c r="W307" s="1135"/>
      <c r="X307" s="1135"/>
      <c r="Y307" s="1135"/>
      <c r="Z307" s="131"/>
      <c r="AA307" s="1135"/>
      <c r="AB307" s="1135"/>
      <c r="AC307" s="1135"/>
      <c r="AD307" s="1135"/>
      <c r="AE307" s="1135"/>
      <c r="AF307" s="1135"/>
      <c r="AG307" s="1135"/>
      <c r="AH307" s="1135"/>
      <c r="AI307" s="1135"/>
      <c r="AJ307" s="1135"/>
      <c r="AK307" s="1135"/>
      <c r="AL307" s="1135"/>
    </row>
    <row r="308" spans="2:38">
      <c r="B308" s="638"/>
      <c r="C308" s="1135"/>
      <c r="D308" s="1135"/>
      <c r="E308" s="1135"/>
      <c r="F308" s="1135"/>
      <c r="G308" s="1135"/>
      <c r="H308" s="1135"/>
      <c r="I308" s="3"/>
      <c r="J308" s="1135"/>
      <c r="K308" s="1135"/>
      <c r="L308" s="1135"/>
      <c r="M308" s="1135"/>
      <c r="N308" s="1135"/>
      <c r="O308" s="1135"/>
      <c r="P308" s="1135"/>
      <c r="Q308" s="1135"/>
      <c r="R308" s="1135"/>
      <c r="S308" s="1135"/>
      <c r="T308" s="1135"/>
      <c r="U308" s="1135"/>
      <c r="V308" s="1135"/>
      <c r="W308" s="1135"/>
      <c r="X308" s="1135"/>
      <c r="Y308" s="1135"/>
      <c r="Z308" s="131"/>
      <c r="AA308" s="1135"/>
      <c r="AB308" s="1135"/>
      <c r="AC308" s="1135"/>
      <c r="AD308" s="1135"/>
      <c r="AE308" s="1135"/>
      <c r="AF308" s="1135"/>
      <c r="AG308" s="1135"/>
      <c r="AH308" s="1135"/>
      <c r="AI308" s="1135"/>
      <c r="AJ308" s="1135"/>
      <c r="AK308" s="1135"/>
      <c r="AL308" s="1135"/>
    </row>
    <row r="309" spans="2:38">
      <c r="B309" s="638"/>
      <c r="C309" s="1135"/>
      <c r="D309" s="1135"/>
      <c r="E309" s="1135"/>
      <c r="F309" s="1135"/>
      <c r="G309" s="1135"/>
      <c r="H309" s="1135"/>
      <c r="I309" s="3"/>
      <c r="J309" s="1135"/>
      <c r="K309" s="1135"/>
      <c r="L309" s="1135"/>
      <c r="M309" s="1135"/>
      <c r="N309" s="1135"/>
      <c r="O309" s="1135"/>
      <c r="P309" s="1135"/>
      <c r="Q309" s="1135"/>
      <c r="R309" s="1135"/>
      <c r="S309" s="1135"/>
      <c r="T309" s="1135"/>
      <c r="U309" s="1135"/>
      <c r="V309" s="1135"/>
      <c r="W309" s="1135"/>
      <c r="X309" s="1135"/>
      <c r="Y309" s="1135"/>
      <c r="Z309" s="131"/>
      <c r="AA309" s="1135"/>
      <c r="AB309" s="1135"/>
      <c r="AC309" s="1135"/>
      <c r="AD309" s="1135"/>
      <c r="AE309" s="1135"/>
      <c r="AF309" s="1135"/>
      <c r="AG309" s="1135"/>
      <c r="AH309" s="1135"/>
      <c r="AI309" s="1135"/>
      <c r="AJ309" s="1135"/>
      <c r="AK309" s="1135"/>
      <c r="AL309" s="1135"/>
    </row>
    <row r="310" spans="2:38">
      <c r="B310" s="638"/>
      <c r="C310" s="1135"/>
      <c r="D310" s="1135"/>
      <c r="E310" s="1135"/>
      <c r="F310" s="1135"/>
      <c r="G310" s="1135"/>
      <c r="H310" s="1135"/>
      <c r="I310" s="3"/>
      <c r="J310" s="1135"/>
      <c r="K310" s="1135"/>
      <c r="L310" s="1135"/>
      <c r="M310" s="1135"/>
      <c r="N310" s="1135"/>
      <c r="O310" s="1135"/>
      <c r="P310" s="1135"/>
      <c r="Q310" s="1135"/>
      <c r="R310" s="1135"/>
      <c r="S310" s="1135"/>
      <c r="T310" s="1135"/>
      <c r="U310" s="1135"/>
      <c r="V310" s="1135"/>
      <c r="W310" s="1135"/>
      <c r="X310" s="1135"/>
      <c r="Y310" s="1135"/>
      <c r="Z310" s="131"/>
      <c r="AA310" s="1135"/>
      <c r="AB310" s="1135"/>
      <c r="AC310" s="1135"/>
      <c r="AD310" s="1135"/>
      <c r="AE310" s="1135"/>
      <c r="AF310" s="1135"/>
      <c r="AG310" s="1135"/>
      <c r="AH310" s="1135"/>
      <c r="AI310" s="1135"/>
      <c r="AJ310" s="1135"/>
      <c r="AK310" s="1135"/>
      <c r="AL310" s="1135"/>
    </row>
    <row r="311" spans="2:38">
      <c r="B311" s="638"/>
      <c r="C311" s="1135"/>
      <c r="D311" s="1135"/>
      <c r="E311" s="1135"/>
      <c r="F311" s="1135"/>
      <c r="G311" s="1135"/>
      <c r="H311" s="1135"/>
      <c r="I311" s="3"/>
      <c r="J311" s="1135"/>
      <c r="K311" s="1135"/>
      <c r="L311" s="1135"/>
      <c r="M311" s="1135"/>
      <c r="N311" s="1135"/>
      <c r="O311" s="1135"/>
      <c r="P311" s="1135"/>
      <c r="Q311" s="1135"/>
      <c r="R311" s="1135"/>
      <c r="S311" s="1135"/>
      <c r="T311" s="1135"/>
      <c r="U311" s="1135"/>
      <c r="V311" s="1135"/>
      <c r="W311" s="1135"/>
      <c r="X311" s="1135"/>
      <c r="Y311" s="1135"/>
      <c r="Z311" s="131"/>
      <c r="AA311" s="1135"/>
      <c r="AB311" s="1135"/>
      <c r="AC311" s="1135"/>
      <c r="AD311" s="1135"/>
      <c r="AE311" s="1135"/>
      <c r="AF311" s="1135"/>
      <c r="AG311" s="1135"/>
      <c r="AH311" s="1135"/>
      <c r="AI311" s="1135"/>
      <c r="AJ311" s="1135"/>
      <c r="AK311" s="1135"/>
      <c r="AL311" s="1135"/>
    </row>
    <row r="312" spans="2:38">
      <c r="B312" s="638"/>
      <c r="C312" s="1135"/>
      <c r="D312" s="1135"/>
      <c r="E312" s="1135"/>
      <c r="F312" s="1135"/>
      <c r="G312" s="1135"/>
      <c r="H312" s="1135"/>
      <c r="I312" s="3"/>
      <c r="J312" s="1135"/>
      <c r="K312" s="1135"/>
      <c r="L312" s="1135"/>
      <c r="M312" s="1135"/>
      <c r="N312" s="1135"/>
      <c r="O312" s="1135"/>
      <c r="P312" s="1135"/>
      <c r="Q312" s="1135"/>
      <c r="R312" s="1135"/>
      <c r="S312" s="1135"/>
      <c r="T312" s="1135"/>
      <c r="U312" s="1135"/>
      <c r="V312" s="1135"/>
      <c r="W312" s="1135"/>
      <c r="X312" s="1135"/>
      <c r="Y312" s="1135"/>
      <c r="Z312" s="131"/>
      <c r="AA312" s="1135"/>
      <c r="AB312" s="1135"/>
      <c r="AC312" s="1135"/>
      <c r="AD312" s="1135"/>
      <c r="AE312" s="1135"/>
      <c r="AF312" s="1135"/>
      <c r="AG312" s="1135"/>
      <c r="AH312" s="1135"/>
      <c r="AI312" s="1135"/>
      <c r="AJ312" s="1135"/>
      <c r="AK312" s="1135"/>
      <c r="AL312" s="1135"/>
    </row>
    <row r="313" spans="2:38">
      <c r="B313" s="638"/>
      <c r="C313" s="1135"/>
      <c r="D313" s="1135"/>
      <c r="E313" s="1135"/>
      <c r="F313" s="1135"/>
      <c r="G313" s="1135"/>
      <c r="H313" s="1135"/>
      <c r="I313" s="3"/>
      <c r="J313" s="1135"/>
      <c r="K313" s="1135"/>
      <c r="L313" s="1135"/>
      <c r="M313" s="1135"/>
      <c r="N313" s="1135"/>
      <c r="O313" s="1135"/>
      <c r="P313" s="1135"/>
      <c r="Q313" s="1135"/>
      <c r="R313" s="1135"/>
      <c r="S313" s="1135"/>
      <c r="T313" s="1135"/>
      <c r="U313" s="1135"/>
      <c r="V313" s="1135"/>
      <c r="W313" s="1135"/>
      <c r="X313" s="1135"/>
      <c r="Y313" s="1135"/>
      <c r="Z313" s="131"/>
      <c r="AA313" s="1135"/>
      <c r="AB313" s="1135"/>
      <c r="AC313" s="1135"/>
      <c r="AD313" s="1135"/>
      <c r="AE313" s="1135"/>
      <c r="AF313" s="1135"/>
      <c r="AG313" s="1135"/>
      <c r="AH313" s="1135"/>
      <c r="AI313" s="1135"/>
      <c r="AJ313" s="1135"/>
      <c r="AK313" s="1135"/>
      <c r="AL313" s="1135"/>
    </row>
    <row r="314" spans="2:38">
      <c r="B314" s="638"/>
      <c r="C314" s="1135"/>
      <c r="D314" s="1135"/>
      <c r="E314" s="1135"/>
      <c r="F314" s="1135"/>
      <c r="G314" s="1135"/>
      <c r="H314" s="1135"/>
      <c r="I314" s="3"/>
      <c r="J314" s="1135"/>
      <c r="K314" s="1135"/>
      <c r="L314" s="1135"/>
      <c r="M314" s="1135"/>
      <c r="N314" s="1135"/>
      <c r="O314" s="1135"/>
      <c r="P314" s="1135"/>
      <c r="Q314" s="1135"/>
      <c r="R314" s="1135"/>
      <c r="S314" s="1135"/>
      <c r="T314" s="1135"/>
      <c r="U314" s="1135"/>
      <c r="V314" s="1135"/>
      <c r="W314" s="1135"/>
      <c r="X314" s="1135"/>
      <c r="Y314" s="1135"/>
      <c r="Z314" s="131"/>
      <c r="AA314" s="1135"/>
      <c r="AB314" s="1135"/>
      <c r="AC314" s="1135"/>
      <c r="AD314" s="1135"/>
      <c r="AE314" s="1135"/>
      <c r="AF314" s="1135"/>
      <c r="AG314" s="1135"/>
      <c r="AH314" s="1135"/>
      <c r="AI314" s="1135"/>
      <c r="AJ314" s="1135"/>
      <c r="AK314" s="1135"/>
      <c r="AL314" s="1135"/>
    </row>
    <row r="315" spans="2:38">
      <c r="B315" s="638"/>
      <c r="C315" s="1135"/>
      <c r="D315" s="1135"/>
      <c r="E315" s="1135"/>
      <c r="F315" s="1135"/>
      <c r="G315" s="1135"/>
      <c r="H315" s="1135"/>
      <c r="I315" s="3"/>
      <c r="J315" s="1135"/>
      <c r="K315" s="1135"/>
      <c r="L315" s="1135"/>
      <c r="M315" s="1135"/>
      <c r="N315" s="1135"/>
      <c r="O315" s="1135"/>
      <c r="P315" s="1135"/>
      <c r="Q315" s="1135"/>
      <c r="R315" s="1135"/>
      <c r="S315" s="1135"/>
      <c r="T315" s="1135"/>
      <c r="U315" s="1135"/>
      <c r="V315" s="1135"/>
      <c r="W315" s="1135"/>
      <c r="X315" s="1135"/>
      <c r="Y315" s="1135"/>
      <c r="Z315" s="131"/>
      <c r="AA315" s="1135"/>
      <c r="AB315" s="1135"/>
      <c r="AC315" s="1135"/>
      <c r="AD315" s="1135"/>
      <c r="AE315" s="1135"/>
      <c r="AF315" s="1135"/>
      <c r="AG315" s="1135"/>
      <c r="AH315" s="1135"/>
      <c r="AI315" s="1135"/>
      <c r="AJ315" s="1135"/>
      <c r="AK315" s="1135"/>
      <c r="AL315" s="1135"/>
    </row>
    <row r="316" spans="2:38">
      <c r="B316" s="638"/>
      <c r="C316" s="1135"/>
      <c r="D316" s="1135"/>
      <c r="E316" s="1135"/>
      <c r="F316" s="1135"/>
      <c r="G316" s="1135"/>
      <c r="H316" s="1135"/>
      <c r="I316" s="3"/>
      <c r="J316" s="1135"/>
      <c r="K316" s="1135"/>
      <c r="L316" s="1135"/>
      <c r="M316" s="1135"/>
      <c r="N316" s="1135"/>
      <c r="O316" s="1135"/>
      <c r="P316" s="1135"/>
      <c r="Q316" s="1135"/>
      <c r="R316" s="1135"/>
      <c r="S316" s="1135"/>
      <c r="T316" s="1135"/>
      <c r="U316" s="1135"/>
      <c r="V316" s="1135"/>
      <c r="W316" s="1135"/>
      <c r="X316" s="1135"/>
      <c r="Y316" s="1135"/>
      <c r="Z316" s="131"/>
      <c r="AA316" s="1135"/>
      <c r="AB316" s="1135"/>
      <c r="AC316" s="1135"/>
      <c r="AD316" s="1135"/>
      <c r="AE316" s="1135"/>
      <c r="AF316" s="1135"/>
      <c r="AG316" s="1135"/>
      <c r="AH316" s="1135"/>
      <c r="AI316" s="1135"/>
      <c r="AJ316" s="1135"/>
      <c r="AK316" s="1135"/>
      <c r="AL316" s="1135"/>
    </row>
    <row r="317" spans="2:38">
      <c r="B317" s="638"/>
      <c r="C317" s="1135"/>
      <c r="D317" s="1135"/>
      <c r="E317" s="1135"/>
      <c r="F317" s="1135"/>
      <c r="G317" s="1135"/>
      <c r="H317" s="1135"/>
      <c r="I317" s="3"/>
      <c r="J317" s="1135"/>
      <c r="K317" s="1135"/>
      <c r="L317" s="1135"/>
      <c r="M317" s="1135"/>
      <c r="N317" s="1135"/>
      <c r="O317" s="1135"/>
      <c r="P317" s="1135"/>
      <c r="Q317" s="1135"/>
      <c r="R317" s="1135"/>
      <c r="S317" s="1135"/>
      <c r="T317" s="1135"/>
      <c r="U317" s="1135"/>
      <c r="V317" s="1135"/>
      <c r="W317" s="1135"/>
      <c r="X317" s="1135"/>
      <c r="Y317" s="1135"/>
      <c r="Z317" s="131"/>
      <c r="AA317" s="1135"/>
      <c r="AB317" s="1135"/>
      <c r="AC317" s="1135"/>
      <c r="AD317" s="1135"/>
      <c r="AE317" s="1135"/>
      <c r="AF317" s="1135"/>
      <c r="AG317" s="1135"/>
      <c r="AH317" s="1135"/>
      <c r="AI317" s="1135"/>
      <c r="AJ317" s="1135"/>
      <c r="AK317" s="1135"/>
      <c r="AL317" s="1135"/>
    </row>
    <row r="318" spans="2:38">
      <c r="B318" s="638"/>
      <c r="C318" s="1135"/>
      <c r="D318" s="1135"/>
      <c r="E318" s="1135"/>
      <c r="F318" s="1135"/>
      <c r="G318" s="1135"/>
      <c r="H318" s="1135"/>
      <c r="I318" s="3"/>
      <c r="J318" s="1135"/>
      <c r="K318" s="1135"/>
      <c r="L318" s="1135"/>
      <c r="M318" s="1135"/>
      <c r="N318" s="1135"/>
      <c r="O318" s="1135"/>
      <c r="P318" s="1135"/>
      <c r="Q318" s="1135"/>
      <c r="R318" s="1135"/>
      <c r="S318" s="1135"/>
      <c r="T318" s="1135"/>
      <c r="U318" s="1135"/>
      <c r="V318" s="1135"/>
      <c r="W318" s="1135"/>
      <c r="X318" s="1135"/>
      <c r="Y318" s="1135"/>
      <c r="Z318" s="131"/>
      <c r="AA318" s="1135"/>
      <c r="AB318" s="1135"/>
      <c r="AC318" s="1135"/>
      <c r="AD318" s="1135"/>
      <c r="AE318" s="1135"/>
      <c r="AF318" s="1135"/>
      <c r="AG318" s="1135"/>
      <c r="AH318" s="1135"/>
      <c r="AI318" s="1135"/>
      <c r="AJ318" s="1135"/>
      <c r="AK318" s="1135"/>
      <c r="AL318" s="1135"/>
    </row>
    <row r="319" spans="2:38">
      <c r="B319" s="638"/>
      <c r="C319" s="1135"/>
      <c r="D319" s="1135"/>
      <c r="E319" s="1135"/>
      <c r="F319" s="1135"/>
      <c r="G319" s="1135"/>
      <c r="H319" s="1135"/>
      <c r="I319" s="3"/>
      <c r="J319" s="1135"/>
      <c r="K319" s="1135"/>
      <c r="L319" s="1135"/>
      <c r="M319" s="1135"/>
      <c r="N319" s="1135"/>
      <c r="O319" s="1135"/>
      <c r="P319" s="1135"/>
      <c r="Q319" s="1135"/>
      <c r="R319" s="1135"/>
      <c r="S319" s="1135"/>
      <c r="T319" s="1135"/>
      <c r="U319" s="1135"/>
      <c r="V319" s="1135"/>
      <c r="W319" s="1135"/>
      <c r="X319" s="1135"/>
      <c r="Y319" s="1135"/>
      <c r="Z319" s="131"/>
      <c r="AA319" s="1135"/>
      <c r="AB319" s="1135"/>
      <c r="AC319" s="1135"/>
      <c r="AD319" s="1135"/>
      <c r="AE319" s="1135"/>
      <c r="AF319" s="1135"/>
      <c r="AG319" s="1135"/>
      <c r="AH319" s="1135"/>
      <c r="AI319" s="1135"/>
      <c r="AJ319" s="1135"/>
      <c r="AK319" s="1135"/>
      <c r="AL319" s="1135"/>
    </row>
    <row r="320" spans="2:38">
      <c r="B320" s="638"/>
      <c r="C320" s="1135"/>
      <c r="D320" s="1135"/>
      <c r="E320" s="1135"/>
      <c r="F320" s="1135"/>
      <c r="G320" s="1135"/>
      <c r="H320" s="1135"/>
      <c r="I320" s="3"/>
      <c r="J320" s="1135"/>
      <c r="K320" s="1135"/>
      <c r="L320" s="1135"/>
      <c r="M320" s="1135"/>
      <c r="N320" s="1135"/>
      <c r="O320" s="1135"/>
      <c r="P320" s="1135"/>
      <c r="Q320" s="1135"/>
      <c r="R320" s="1135"/>
      <c r="S320" s="1135"/>
      <c r="T320" s="1135"/>
      <c r="U320" s="1135"/>
      <c r="V320" s="1135"/>
      <c r="W320" s="1135"/>
      <c r="X320" s="1135"/>
      <c r="Y320" s="1135"/>
      <c r="Z320" s="131"/>
      <c r="AA320" s="1135"/>
      <c r="AB320" s="1135"/>
      <c r="AC320" s="1135"/>
      <c r="AD320" s="1135"/>
      <c r="AE320" s="1135"/>
      <c r="AF320" s="1135"/>
      <c r="AG320" s="1135"/>
      <c r="AH320" s="1135"/>
      <c r="AI320" s="1135"/>
      <c r="AJ320" s="1135"/>
      <c r="AK320" s="1135"/>
      <c r="AL320" s="1135"/>
    </row>
    <row r="321" spans="2:38">
      <c r="B321" s="638"/>
      <c r="C321" s="1135"/>
      <c r="D321" s="1135"/>
      <c r="E321" s="1135"/>
      <c r="F321" s="1135"/>
      <c r="G321" s="1135"/>
      <c r="H321" s="1135"/>
      <c r="I321" s="3"/>
      <c r="J321" s="1135"/>
      <c r="K321" s="1135"/>
      <c r="L321" s="1135"/>
      <c r="M321" s="1135"/>
      <c r="N321" s="1135"/>
      <c r="O321" s="1135"/>
      <c r="P321" s="1135"/>
      <c r="Q321" s="1135"/>
      <c r="R321" s="1135"/>
      <c r="S321" s="1135"/>
      <c r="T321" s="1135"/>
      <c r="U321" s="1135"/>
      <c r="V321" s="1135"/>
      <c r="W321" s="1135"/>
      <c r="X321" s="1135"/>
      <c r="Y321" s="1135"/>
      <c r="Z321" s="131"/>
      <c r="AA321" s="1135"/>
      <c r="AB321" s="1135"/>
      <c r="AC321" s="1135"/>
      <c r="AD321" s="1135"/>
      <c r="AE321" s="1135"/>
      <c r="AF321" s="1135"/>
      <c r="AG321" s="1135"/>
      <c r="AH321" s="1135"/>
      <c r="AI321" s="1135"/>
      <c r="AJ321" s="1135"/>
      <c r="AK321" s="1135"/>
      <c r="AL321" s="1135"/>
    </row>
    <row r="322" spans="2:38">
      <c r="B322" s="638"/>
      <c r="C322" s="1135"/>
      <c r="D322" s="1135"/>
      <c r="E322" s="1135"/>
      <c r="F322" s="1135"/>
      <c r="G322" s="1135"/>
      <c r="H322" s="1135"/>
      <c r="I322" s="3"/>
      <c r="J322" s="1135"/>
      <c r="K322" s="1135"/>
      <c r="L322" s="1135"/>
      <c r="M322" s="1135"/>
      <c r="N322" s="1135"/>
      <c r="O322" s="1135"/>
      <c r="P322" s="1135"/>
      <c r="Q322" s="1135"/>
      <c r="R322" s="1135"/>
      <c r="S322" s="1135"/>
      <c r="T322" s="1135"/>
      <c r="U322" s="1135"/>
      <c r="V322" s="1135"/>
      <c r="W322" s="1135"/>
      <c r="X322" s="1135"/>
      <c r="Y322" s="1135"/>
      <c r="Z322" s="131"/>
      <c r="AA322" s="1135"/>
      <c r="AB322" s="1135"/>
      <c r="AC322" s="1135"/>
      <c r="AD322" s="1135"/>
      <c r="AE322" s="1135"/>
      <c r="AF322" s="1135"/>
      <c r="AG322" s="1135"/>
      <c r="AH322" s="1135"/>
      <c r="AI322" s="1135"/>
      <c r="AJ322" s="1135"/>
      <c r="AK322" s="1135"/>
      <c r="AL322" s="1135"/>
    </row>
    <row r="323" spans="2:38">
      <c r="B323" s="638"/>
      <c r="C323" s="1135"/>
      <c r="D323" s="1135"/>
      <c r="E323" s="1135"/>
      <c r="F323" s="1135"/>
      <c r="G323" s="1135"/>
      <c r="H323" s="1135"/>
      <c r="I323" s="3"/>
      <c r="J323" s="1135"/>
      <c r="K323" s="1135"/>
      <c r="L323" s="1135"/>
      <c r="M323" s="1135"/>
      <c r="N323" s="1135"/>
      <c r="O323" s="1135"/>
      <c r="P323" s="1135"/>
      <c r="Q323" s="1135"/>
      <c r="R323" s="1135"/>
      <c r="S323" s="1135"/>
      <c r="T323" s="1135"/>
      <c r="U323" s="1135"/>
      <c r="V323" s="1135"/>
      <c r="W323" s="1135"/>
      <c r="X323" s="1135"/>
      <c r="Y323" s="1135"/>
      <c r="Z323" s="131"/>
      <c r="AA323" s="1135"/>
      <c r="AB323" s="1135"/>
      <c r="AC323" s="1135"/>
      <c r="AD323" s="1135"/>
      <c r="AE323" s="1135"/>
      <c r="AF323" s="1135"/>
      <c r="AG323" s="1135"/>
      <c r="AH323" s="1135"/>
      <c r="AI323" s="1135"/>
      <c r="AJ323" s="1135"/>
      <c r="AK323" s="1135"/>
      <c r="AL323" s="1135"/>
    </row>
    <row r="324" spans="2:38">
      <c r="B324" s="638"/>
      <c r="C324" s="1135"/>
      <c r="D324" s="1135"/>
      <c r="E324" s="1135"/>
      <c r="F324" s="1135"/>
      <c r="G324" s="1135"/>
      <c r="H324" s="1135"/>
      <c r="I324" s="3"/>
      <c r="J324" s="1135"/>
      <c r="K324" s="1135"/>
      <c r="L324" s="1135"/>
      <c r="M324" s="1135"/>
      <c r="N324" s="1135"/>
      <c r="O324" s="1135"/>
      <c r="P324" s="1135"/>
      <c r="Q324" s="1135"/>
      <c r="R324" s="1135"/>
      <c r="S324" s="1135"/>
      <c r="T324" s="1135"/>
      <c r="U324" s="1135"/>
      <c r="V324" s="1135"/>
      <c r="W324" s="1135"/>
      <c r="X324" s="1135"/>
      <c r="Y324" s="1135"/>
      <c r="Z324" s="131"/>
      <c r="AA324" s="1135"/>
      <c r="AB324" s="1135"/>
      <c r="AC324" s="1135"/>
      <c r="AD324" s="1135"/>
      <c r="AE324" s="1135"/>
      <c r="AF324" s="1135"/>
      <c r="AG324" s="1135"/>
      <c r="AH324" s="1135"/>
      <c r="AI324" s="1135"/>
      <c r="AJ324" s="1135"/>
      <c r="AK324" s="1135"/>
      <c r="AL324" s="1135"/>
    </row>
    <row r="325" spans="2:38">
      <c r="B325" s="638"/>
      <c r="C325" s="1135"/>
      <c r="D325" s="1135"/>
      <c r="E325" s="1135"/>
      <c r="F325" s="1135"/>
      <c r="G325" s="1135"/>
      <c r="H325" s="1135"/>
      <c r="I325" s="3"/>
      <c r="J325" s="1135"/>
      <c r="K325" s="1135"/>
      <c r="L325" s="1135"/>
      <c r="M325" s="1135"/>
      <c r="N325" s="1135"/>
      <c r="O325" s="1135"/>
      <c r="P325" s="1135"/>
      <c r="Q325" s="1135"/>
      <c r="R325" s="1135"/>
      <c r="S325" s="1135"/>
      <c r="T325" s="1135"/>
      <c r="U325" s="1135"/>
      <c r="V325" s="1135"/>
      <c r="W325" s="1135"/>
      <c r="X325" s="1135"/>
      <c r="Y325" s="1135"/>
      <c r="Z325" s="131"/>
      <c r="AA325" s="1135"/>
      <c r="AB325" s="1135"/>
      <c r="AC325" s="1135"/>
      <c r="AD325" s="1135"/>
      <c r="AE325" s="1135"/>
      <c r="AF325" s="1135"/>
      <c r="AG325" s="1135"/>
      <c r="AH325" s="1135"/>
      <c r="AI325" s="1135"/>
      <c r="AJ325" s="1135"/>
      <c r="AK325" s="1135"/>
      <c r="AL325" s="1135"/>
    </row>
    <row r="326" spans="2:38">
      <c r="B326" s="638"/>
      <c r="C326" s="1135"/>
      <c r="D326" s="1135"/>
      <c r="E326" s="1135"/>
      <c r="F326" s="1135"/>
      <c r="G326" s="1135"/>
      <c r="H326" s="1135"/>
      <c r="I326" s="3"/>
      <c r="J326" s="1135"/>
      <c r="K326" s="1135"/>
      <c r="L326" s="1135"/>
      <c r="M326" s="1135"/>
      <c r="N326" s="1135"/>
      <c r="O326" s="1135"/>
      <c r="P326" s="1135"/>
      <c r="Q326" s="1135"/>
      <c r="R326" s="1135"/>
      <c r="S326" s="1135"/>
      <c r="T326" s="1135"/>
      <c r="U326" s="1135"/>
      <c r="V326" s="1135"/>
      <c r="W326" s="1135"/>
      <c r="X326" s="1135"/>
      <c r="Y326" s="1135"/>
      <c r="Z326" s="131"/>
      <c r="AA326" s="1135"/>
      <c r="AB326" s="1135"/>
      <c r="AC326" s="1135"/>
      <c r="AD326" s="1135"/>
      <c r="AE326" s="1135"/>
      <c r="AF326" s="1135"/>
      <c r="AG326" s="1135"/>
      <c r="AH326" s="1135"/>
      <c r="AI326" s="1135"/>
      <c r="AJ326" s="1135"/>
      <c r="AK326" s="1135"/>
      <c r="AL326" s="1135"/>
    </row>
    <row r="327" spans="2:38">
      <c r="B327" s="638"/>
      <c r="C327" s="1135"/>
      <c r="D327" s="1135"/>
      <c r="E327" s="1135"/>
      <c r="F327" s="1135"/>
      <c r="G327" s="1135"/>
      <c r="H327" s="1135"/>
      <c r="I327" s="3"/>
      <c r="J327" s="1135"/>
      <c r="K327" s="1135"/>
      <c r="L327" s="1135"/>
      <c r="M327" s="1135"/>
      <c r="N327" s="1135"/>
      <c r="O327" s="1135"/>
      <c r="P327" s="1135"/>
      <c r="Q327" s="1135"/>
      <c r="R327" s="1135"/>
      <c r="S327" s="1135"/>
      <c r="T327" s="1135"/>
      <c r="U327" s="1135"/>
      <c r="V327" s="1135"/>
      <c r="W327" s="1135"/>
      <c r="X327" s="1135"/>
      <c r="Y327" s="1135"/>
      <c r="Z327" s="131"/>
      <c r="AA327" s="1135"/>
      <c r="AB327" s="1135"/>
      <c r="AC327" s="1135"/>
      <c r="AD327" s="1135"/>
      <c r="AE327" s="1135"/>
      <c r="AF327" s="1135"/>
      <c r="AG327" s="1135"/>
      <c r="AH327" s="1135"/>
      <c r="AI327" s="1135"/>
      <c r="AJ327" s="1135"/>
      <c r="AK327" s="1135"/>
      <c r="AL327" s="1135"/>
    </row>
    <row r="328" spans="2:38">
      <c r="B328" s="638"/>
      <c r="C328" s="1135"/>
      <c r="D328" s="1135"/>
      <c r="E328" s="1135"/>
      <c r="F328" s="1135"/>
      <c r="G328" s="1135"/>
      <c r="H328" s="1135"/>
      <c r="I328" s="3"/>
      <c r="J328" s="1135"/>
      <c r="K328" s="1135"/>
      <c r="L328" s="1135"/>
      <c r="M328" s="1135"/>
      <c r="N328" s="1135"/>
      <c r="O328" s="1135"/>
      <c r="P328" s="1135"/>
      <c r="Q328" s="1135"/>
      <c r="R328" s="1135"/>
      <c r="S328" s="1135"/>
      <c r="T328" s="1135"/>
      <c r="U328" s="1135"/>
      <c r="V328" s="1135"/>
      <c r="W328" s="1135"/>
      <c r="X328" s="1135"/>
      <c r="Y328" s="1135"/>
      <c r="Z328" s="131"/>
      <c r="AA328" s="1135"/>
      <c r="AB328" s="1135"/>
      <c r="AC328" s="1135"/>
      <c r="AD328" s="1135"/>
      <c r="AE328" s="1135"/>
      <c r="AF328" s="1135"/>
      <c r="AG328" s="1135"/>
      <c r="AH328" s="1135"/>
      <c r="AI328" s="1135"/>
      <c r="AJ328" s="1135"/>
      <c r="AK328" s="1135"/>
      <c r="AL328" s="1135"/>
    </row>
    <row r="329" spans="2:38">
      <c r="B329" s="638"/>
      <c r="C329" s="1135"/>
      <c r="D329" s="1135"/>
      <c r="E329" s="1135"/>
      <c r="F329" s="1135"/>
      <c r="G329" s="1135"/>
      <c r="H329" s="1135"/>
      <c r="I329" s="3"/>
      <c r="J329" s="1135"/>
      <c r="K329" s="1135"/>
      <c r="L329" s="1135"/>
      <c r="M329" s="1135"/>
      <c r="N329" s="1135"/>
      <c r="O329" s="1135"/>
      <c r="P329" s="1135"/>
      <c r="Q329" s="1135"/>
      <c r="R329" s="1135"/>
      <c r="S329" s="1135"/>
      <c r="T329" s="1135"/>
      <c r="U329" s="1135"/>
      <c r="V329" s="1135"/>
      <c r="W329" s="1135"/>
      <c r="X329" s="1135"/>
      <c r="Y329" s="1135"/>
      <c r="Z329" s="131"/>
      <c r="AA329" s="1135"/>
      <c r="AB329" s="1135"/>
      <c r="AC329" s="1135"/>
      <c r="AD329" s="1135"/>
      <c r="AE329" s="1135"/>
      <c r="AF329" s="1135"/>
      <c r="AG329" s="1135"/>
      <c r="AH329" s="1135"/>
      <c r="AI329" s="1135"/>
      <c r="AJ329" s="1135"/>
      <c r="AK329" s="1135"/>
      <c r="AL329" s="1135"/>
    </row>
    <row r="330" spans="2:38">
      <c r="B330" s="638"/>
      <c r="C330" s="1135"/>
      <c r="D330" s="1135"/>
      <c r="E330" s="1135"/>
      <c r="F330" s="1135"/>
      <c r="G330" s="1135"/>
      <c r="H330" s="1135"/>
      <c r="I330" s="3"/>
      <c r="J330" s="1135"/>
      <c r="K330" s="1135"/>
      <c r="L330" s="1135"/>
      <c r="M330" s="1135"/>
      <c r="N330" s="1135"/>
      <c r="O330" s="1135"/>
      <c r="P330" s="1135"/>
      <c r="Q330" s="1135"/>
      <c r="R330" s="1135"/>
      <c r="S330" s="1135"/>
      <c r="T330" s="1135"/>
      <c r="U330" s="1135"/>
      <c r="V330" s="1135"/>
      <c r="W330" s="1135"/>
      <c r="X330" s="1135"/>
      <c r="Y330" s="1135"/>
      <c r="Z330" s="131"/>
      <c r="AA330" s="1135"/>
      <c r="AB330" s="1135"/>
      <c r="AC330" s="1135"/>
      <c r="AD330" s="1135"/>
      <c r="AE330" s="1135"/>
      <c r="AF330" s="1135"/>
      <c r="AG330" s="1135"/>
      <c r="AH330" s="1135"/>
      <c r="AI330" s="1135"/>
      <c r="AJ330" s="1135"/>
      <c r="AK330" s="1135"/>
      <c r="AL330" s="1135"/>
    </row>
    <row r="331" spans="2:38">
      <c r="B331" s="638"/>
      <c r="C331" s="1135"/>
      <c r="D331" s="1135"/>
      <c r="E331" s="1135"/>
      <c r="F331" s="1135"/>
      <c r="G331" s="1135"/>
      <c r="H331" s="1135"/>
      <c r="I331" s="3"/>
      <c r="J331" s="1135"/>
      <c r="K331" s="1135"/>
      <c r="L331" s="1135"/>
      <c r="M331" s="1135"/>
      <c r="N331" s="1135"/>
      <c r="O331" s="1135"/>
      <c r="P331" s="1135"/>
      <c r="Q331" s="1135"/>
      <c r="R331" s="1135"/>
      <c r="S331" s="1135"/>
      <c r="T331" s="1135"/>
      <c r="U331" s="1135"/>
      <c r="V331" s="1135"/>
      <c r="W331" s="1135"/>
      <c r="X331" s="1135"/>
      <c r="Y331" s="1135"/>
      <c r="Z331" s="131"/>
      <c r="AA331" s="1135"/>
      <c r="AB331" s="1135"/>
      <c r="AC331" s="1135"/>
      <c r="AD331" s="1135"/>
      <c r="AE331" s="1135"/>
      <c r="AF331" s="1135"/>
      <c r="AG331" s="1135"/>
      <c r="AH331" s="1135"/>
      <c r="AI331" s="1135"/>
      <c r="AJ331" s="1135"/>
      <c r="AK331" s="1135"/>
      <c r="AL331" s="1135"/>
    </row>
    <row r="332" spans="2:38">
      <c r="B332" s="638"/>
      <c r="C332" s="1135"/>
      <c r="D332" s="1135"/>
      <c r="E332" s="1135"/>
      <c r="F332" s="1135"/>
      <c r="G332" s="1135"/>
      <c r="H332" s="1135"/>
      <c r="I332" s="3"/>
      <c r="J332" s="1135"/>
      <c r="K332" s="1135"/>
      <c r="L332" s="1135"/>
      <c r="M332" s="1135"/>
      <c r="N332" s="1135"/>
      <c r="O332" s="1135"/>
      <c r="P332" s="1135"/>
      <c r="Q332" s="1135"/>
      <c r="R332" s="1135"/>
      <c r="S332" s="1135"/>
      <c r="T332" s="1135"/>
      <c r="U332" s="1135"/>
      <c r="V332" s="1135"/>
      <c r="W332" s="1135"/>
      <c r="X332" s="1135"/>
      <c r="Y332" s="1135"/>
      <c r="Z332" s="131"/>
      <c r="AA332" s="1135"/>
      <c r="AB332" s="1135"/>
      <c r="AC332" s="1135"/>
      <c r="AD332" s="1135"/>
      <c r="AE332" s="1135"/>
      <c r="AF332" s="1135"/>
      <c r="AG332" s="1135"/>
      <c r="AH332" s="1135"/>
      <c r="AI332" s="1135"/>
      <c r="AJ332" s="1135"/>
      <c r="AK332" s="1135"/>
      <c r="AL332" s="1135"/>
    </row>
    <row r="333" spans="2:38">
      <c r="B333" s="638"/>
      <c r="C333" s="1135"/>
      <c r="D333" s="1135"/>
      <c r="E333" s="1135"/>
      <c r="F333" s="1135"/>
      <c r="G333" s="1135"/>
      <c r="H333" s="1135"/>
      <c r="I333" s="3"/>
      <c r="J333" s="1135"/>
      <c r="K333" s="1135"/>
      <c r="L333" s="1135"/>
      <c r="M333" s="1135"/>
      <c r="N333" s="1135"/>
      <c r="O333" s="1135"/>
      <c r="P333" s="1135"/>
      <c r="Q333" s="1135"/>
      <c r="R333" s="1135"/>
      <c r="S333" s="1135"/>
      <c r="T333" s="1135"/>
      <c r="U333" s="1135"/>
      <c r="V333" s="1135"/>
      <c r="W333" s="1135"/>
      <c r="X333" s="1135"/>
      <c r="Y333" s="1135"/>
      <c r="Z333" s="131"/>
      <c r="AA333" s="1135"/>
      <c r="AB333" s="1135"/>
      <c r="AC333" s="1135"/>
      <c r="AD333" s="1135"/>
      <c r="AE333" s="1135"/>
      <c r="AF333" s="1135"/>
      <c r="AG333" s="1135"/>
      <c r="AH333" s="1135"/>
      <c r="AI333" s="1135"/>
      <c r="AJ333" s="1135"/>
      <c r="AK333" s="1135"/>
      <c r="AL333" s="1135"/>
    </row>
    <row r="334" spans="2:38">
      <c r="B334" s="638"/>
      <c r="C334" s="1135"/>
      <c r="D334" s="1135"/>
      <c r="E334" s="1135"/>
      <c r="F334" s="1135"/>
      <c r="G334" s="1135"/>
      <c r="H334" s="1135"/>
      <c r="I334" s="3"/>
      <c r="J334" s="1135"/>
      <c r="K334" s="1135"/>
      <c r="L334" s="1135"/>
      <c r="M334" s="1135"/>
      <c r="N334" s="1135"/>
      <c r="O334" s="1135"/>
      <c r="P334" s="1135"/>
      <c r="Q334" s="1135"/>
      <c r="R334" s="1135"/>
      <c r="S334" s="1135"/>
      <c r="T334" s="1135"/>
      <c r="U334" s="1135"/>
      <c r="V334" s="1135"/>
      <c r="W334" s="1135"/>
      <c r="X334" s="1135"/>
      <c r="Y334" s="1135"/>
      <c r="Z334" s="131"/>
      <c r="AA334" s="1135"/>
      <c r="AB334" s="1135"/>
      <c r="AC334" s="1135"/>
      <c r="AD334" s="1135"/>
      <c r="AE334" s="1135"/>
      <c r="AF334" s="1135"/>
      <c r="AG334" s="1135"/>
      <c r="AH334" s="1135"/>
      <c r="AI334" s="1135"/>
      <c r="AJ334" s="1135"/>
      <c r="AK334" s="1135"/>
      <c r="AL334" s="1135"/>
    </row>
    <row r="335" spans="2:38">
      <c r="B335" s="638"/>
      <c r="C335" s="1135"/>
      <c r="D335" s="1135"/>
      <c r="E335" s="1135"/>
      <c r="F335" s="1135"/>
      <c r="G335" s="1135"/>
      <c r="H335" s="1135"/>
      <c r="I335" s="3"/>
      <c r="J335" s="1135"/>
      <c r="K335" s="1135"/>
      <c r="L335" s="1135"/>
      <c r="M335" s="1135"/>
      <c r="N335" s="1135"/>
      <c r="O335" s="1135"/>
      <c r="P335" s="1135"/>
      <c r="Q335" s="1135"/>
      <c r="R335" s="1135"/>
      <c r="S335" s="1135"/>
      <c r="T335" s="1135"/>
      <c r="U335" s="1135"/>
      <c r="V335" s="1135"/>
      <c r="W335" s="1135"/>
      <c r="X335" s="1135"/>
      <c r="Y335" s="1135"/>
      <c r="Z335" s="131"/>
      <c r="AA335" s="1135"/>
      <c r="AB335" s="1135"/>
      <c r="AC335" s="1135"/>
      <c r="AD335" s="1135"/>
      <c r="AE335" s="1135"/>
      <c r="AF335" s="1135"/>
      <c r="AG335" s="1135"/>
      <c r="AH335" s="1135"/>
      <c r="AI335" s="1135"/>
      <c r="AJ335" s="1135"/>
      <c r="AK335" s="1135"/>
      <c r="AL335" s="1135"/>
    </row>
    <row r="336" spans="2:38">
      <c r="B336" s="638"/>
      <c r="C336" s="1135"/>
      <c r="D336" s="1135"/>
      <c r="E336" s="1135"/>
      <c r="F336" s="1135"/>
      <c r="G336" s="1135"/>
      <c r="H336" s="1135"/>
      <c r="I336" s="3"/>
      <c r="J336" s="1135"/>
      <c r="K336" s="1135"/>
      <c r="L336" s="1135"/>
      <c r="M336" s="1135"/>
      <c r="N336" s="1135"/>
      <c r="O336" s="1135"/>
      <c r="P336" s="1135"/>
      <c r="Q336" s="1135"/>
      <c r="R336" s="1135"/>
      <c r="S336" s="1135"/>
      <c r="T336" s="1135"/>
      <c r="U336" s="1135"/>
      <c r="V336" s="1135"/>
      <c r="W336" s="1135"/>
      <c r="X336" s="1135"/>
      <c r="Y336" s="1135"/>
      <c r="Z336" s="131"/>
      <c r="AA336" s="1135"/>
      <c r="AB336" s="1135"/>
      <c r="AC336" s="1135"/>
      <c r="AD336" s="1135"/>
      <c r="AE336" s="1135"/>
      <c r="AF336" s="1135"/>
      <c r="AG336" s="1135"/>
      <c r="AH336" s="1135"/>
      <c r="AI336" s="1135"/>
      <c r="AJ336" s="1135"/>
      <c r="AK336" s="1135"/>
      <c r="AL336" s="1135"/>
    </row>
    <row r="337" spans="2:38">
      <c r="B337" s="638"/>
      <c r="C337" s="1135"/>
      <c r="D337" s="1135"/>
      <c r="E337" s="1135"/>
      <c r="F337" s="1135"/>
      <c r="G337" s="1135"/>
      <c r="H337" s="1135"/>
      <c r="I337" s="3"/>
      <c r="J337" s="1135"/>
      <c r="K337" s="1135"/>
      <c r="L337" s="1135"/>
      <c r="M337" s="1135"/>
      <c r="N337" s="1135"/>
      <c r="O337" s="1135"/>
      <c r="P337" s="1135"/>
      <c r="Q337" s="1135"/>
      <c r="R337" s="1135"/>
      <c r="S337" s="1135"/>
      <c r="T337" s="1135"/>
      <c r="U337" s="1135"/>
      <c r="V337" s="1135"/>
      <c r="W337" s="1135"/>
      <c r="X337" s="1135"/>
      <c r="Y337" s="1135"/>
      <c r="Z337" s="131"/>
      <c r="AA337" s="1135"/>
      <c r="AB337" s="1135"/>
      <c r="AC337" s="1135"/>
      <c r="AD337" s="1135"/>
      <c r="AE337" s="1135"/>
      <c r="AF337" s="1135"/>
      <c r="AG337" s="1135"/>
      <c r="AH337" s="1135"/>
      <c r="AI337" s="1135"/>
      <c r="AJ337" s="1135"/>
      <c r="AK337" s="1135"/>
      <c r="AL337" s="1135"/>
    </row>
    <row r="338" spans="2:38">
      <c r="B338" s="638"/>
      <c r="C338" s="1135"/>
      <c r="D338" s="1135"/>
      <c r="E338" s="1135"/>
      <c r="F338" s="1135"/>
      <c r="G338" s="1135"/>
      <c r="H338" s="1135"/>
      <c r="I338" s="3"/>
      <c r="J338" s="1135"/>
      <c r="K338" s="1135"/>
      <c r="L338" s="1135"/>
      <c r="M338" s="1135"/>
      <c r="N338" s="1135"/>
      <c r="O338" s="1135"/>
      <c r="P338" s="1135"/>
      <c r="Q338" s="1135"/>
      <c r="R338" s="1135"/>
      <c r="S338" s="1135"/>
      <c r="T338" s="1135"/>
      <c r="U338" s="1135"/>
      <c r="V338" s="1135"/>
      <c r="W338" s="1135"/>
      <c r="X338" s="1135"/>
      <c r="Y338" s="1135"/>
      <c r="Z338" s="131"/>
      <c r="AA338" s="1135"/>
      <c r="AB338" s="1135"/>
      <c r="AC338" s="1135"/>
      <c r="AD338" s="1135"/>
      <c r="AE338" s="1135"/>
      <c r="AF338" s="1135"/>
      <c r="AG338" s="1135"/>
      <c r="AH338" s="1135"/>
      <c r="AI338" s="1135"/>
      <c r="AJ338" s="1135"/>
      <c r="AK338" s="1135"/>
      <c r="AL338" s="1135"/>
    </row>
    <row r="339" spans="2:38">
      <c r="B339" s="638"/>
      <c r="C339" s="1135"/>
      <c r="D339" s="1135"/>
      <c r="E339" s="1135"/>
      <c r="F339" s="1135"/>
      <c r="G339" s="1135"/>
      <c r="H339" s="1135"/>
      <c r="I339" s="3"/>
      <c r="J339" s="1135"/>
      <c r="K339" s="1135"/>
      <c r="L339" s="1135"/>
      <c r="M339" s="1135"/>
      <c r="N339" s="1135"/>
      <c r="O339" s="1135"/>
      <c r="P339" s="1135"/>
      <c r="Q339" s="1135"/>
      <c r="R339" s="1135"/>
      <c r="S339" s="1135"/>
      <c r="T339" s="1135"/>
      <c r="U339" s="1135"/>
      <c r="V339" s="1135"/>
      <c r="W339" s="1135"/>
      <c r="X339" s="1135"/>
      <c r="Y339" s="1135"/>
      <c r="Z339" s="131"/>
      <c r="AA339" s="1135"/>
      <c r="AB339" s="1135"/>
      <c r="AC339" s="1135"/>
      <c r="AD339" s="1135"/>
      <c r="AE339" s="1135"/>
      <c r="AF339" s="1135"/>
      <c r="AG339" s="1135"/>
      <c r="AH339" s="1135"/>
      <c r="AI339" s="1135"/>
      <c r="AJ339" s="1135"/>
      <c r="AK339" s="1135"/>
      <c r="AL339" s="1135"/>
    </row>
    <row r="340" spans="2:38">
      <c r="B340" s="638"/>
      <c r="C340" s="1135"/>
      <c r="D340" s="1135"/>
      <c r="E340" s="1135"/>
      <c r="F340" s="1135"/>
      <c r="G340" s="1135"/>
      <c r="H340" s="1135"/>
      <c r="I340" s="3"/>
      <c r="J340" s="1135"/>
      <c r="K340" s="1135"/>
      <c r="L340" s="1135"/>
      <c r="M340" s="1135"/>
      <c r="N340" s="1135"/>
      <c r="O340" s="1135"/>
      <c r="P340" s="1135"/>
      <c r="Q340" s="1135"/>
      <c r="R340" s="1135"/>
      <c r="S340" s="1135"/>
      <c r="T340" s="1135"/>
      <c r="U340" s="1135"/>
      <c r="V340" s="1135"/>
      <c r="W340" s="1135"/>
      <c r="X340" s="1135"/>
      <c r="Y340" s="1135"/>
      <c r="Z340" s="131"/>
      <c r="AA340" s="1135"/>
      <c r="AB340" s="1135"/>
      <c r="AC340" s="1135"/>
      <c r="AD340" s="1135"/>
      <c r="AE340" s="1135"/>
      <c r="AF340" s="1135"/>
      <c r="AG340" s="1135"/>
      <c r="AH340" s="1135"/>
      <c r="AI340" s="1135"/>
      <c r="AJ340" s="1135"/>
      <c r="AK340" s="1135"/>
      <c r="AL340" s="1135"/>
    </row>
    <row r="341" spans="2:38">
      <c r="B341" s="638"/>
      <c r="C341" s="1135"/>
      <c r="D341" s="1135"/>
      <c r="E341" s="1135"/>
      <c r="F341" s="1135"/>
      <c r="G341" s="1135"/>
      <c r="H341" s="1135"/>
      <c r="I341" s="3"/>
      <c r="J341" s="1135"/>
      <c r="K341" s="1135"/>
      <c r="L341" s="1135"/>
      <c r="M341" s="1135"/>
      <c r="N341" s="1135"/>
      <c r="O341" s="1135"/>
      <c r="P341" s="1135"/>
      <c r="Q341" s="1135"/>
      <c r="R341" s="1135"/>
      <c r="S341" s="1135"/>
      <c r="T341" s="1135"/>
      <c r="U341" s="1135"/>
      <c r="V341" s="1135"/>
      <c r="W341" s="1135"/>
      <c r="X341" s="1135"/>
      <c r="Y341" s="1135"/>
      <c r="Z341" s="131"/>
      <c r="AA341" s="1135"/>
      <c r="AB341" s="1135"/>
      <c r="AC341" s="1135"/>
      <c r="AD341" s="1135"/>
      <c r="AE341" s="1135"/>
      <c r="AF341" s="1135"/>
      <c r="AG341" s="1135"/>
      <c r="AH341" s="1135"/>
      <c r="AI341" s="1135"/>
      <c r="AJ341" s="1135"/>
      <c r="AK341" s="1135"/>
      <c r="AL341" s="1135"/>
    </row>
    <row r="342" spans="2:38">
      <c r="B342" s="638"/>
      <c r="C342" s="1135"/>
      <c r="D342" s="1135"/>
      <c r="E342" s="1135"/>
      <c r="F342" s="1135"/>
      <c r="G342" s="1135"/>
      <c r="H342" s="1135"/>
      <c r="I342" s="3"/>
      <c r="J342" s="1135"/>
      <c r="K342" s="1135"/>
      <c r="L342" s="1135"/>
      <c r="M342" s="1135"/>
      <c r="N342" s="1135"/>
      <c r="O342" s="1135"/>
      <c r="P342" s="1135"/>
      <c r="Q342" s="1135"/>
      <c r="R342" s="1135"/>
      <c r="S342" s="1135"/>
      <c r="T342" s="1135"/>
      <c r="U342" s="1135"/>
      <c r="V342" s="1135"/>
      <c r="W342" s="1135"/>
      <c r="X342" s="1135"/>
      <c r="Y342" s="1135"/>
      <c r="Z342" s="131"/>
      <c r="AA342" s="1135"/>
      <c r="AB342" s="1135"/>
      <c r="AC342" s="1135"/>
      <c r="AD342" s="1135"/>
      <c r="AE342" s="1135"/>
      <c r="AF342" s="1135"/>
      <c r="AG342" s="1135"/>
      <c r="AH342" s="1135"/>
      <c r="AI342" s="1135"/>
      <c r="AJ342" s="1135"/>
      <c r="AK342" s="1135"/>
      <c r="AL342" s="1135"/>
    </row>
    <row r="343" spans="2:38">
      <c r="B343" s="638"/>
      <c r="C343" s="1135"/>
      <c r="D343" s="1135"/>
      <c r="E343" s="1135"/>
      <c r="F343" s="1135"/>
      <c r="G343" s="1135"/>
      <c r="H343" s="1135"/>
      <c r="I343" s="3"/>
      <c r="J343" s="1135"/>
      <c r="K343" s="1135"/>
      <c r="L343" s="1135"/>
      <c r="M343" s="1135"/>
      <c r="N343" s="1135"/>
      <c r="O343" s="1135"/>
      <c r="P343" s="1135"/>
      <c r="Q343" s="1135"/>
      <c r="R343" s="1135"/>
      <c r="S343" s="1135"/>
      <c r="T343" s="1135"/>
      <c r="U343" s="1135"/>
      <c r="V343" s="1135"/>
      <c r="W343" s="1135"/>
      <c r="X343" s="1135"/>
      <c r="Y343" s="1135"/>
      <c r="Z343" s="131"/>
      <c r="AA343" s="1135"/>
      <c r="AB343" s="1135"/>
      <c r="AC343" s="1135"/>
      <c r="AD343" s="1135"/>
      <c r="AE343" s="1135"/>
      <c r="AF343" s="1135"/>
      <c r="AG343" s="1135"/>
      <c r="AH343" s="1135"/>
      <c r="AI343" s="1135"/>
      <c r="AJ343" s="1135"/>
      <c r="AK343" s="1135"/>
      <c r="AL343" s="1135"/>
    </row>
    <row r="344" spans="2:38">
      <c r="B344" s="638"/>
      <c r="C344" s="1135"/>
      <c r="D344" s="1135"/>
      <c r="E344" s="1135"/>
      <c r="F344" s="1135"/>
      <c r="G344" s="1135"/>
      <c r="H344" s="1135"/>
      <c r="I344" s="3"/>
      <c r="J344" s="1135"/>
      <c r="K344" s="1135"/>
      <c r="L344" s="1135"/>
      <c r="M344" s="1135"/>
      <c r="N344" s="1135"/>
      <c r="O344" s="1135"/>
      <c r="P344" s="1135"/>
      <c r="Q344" s="1135"/>
      <c r="R344" s="1135"/>
      <c r="S344" s="1135"/>
      <c r="T344" s="1135"/>
      <c r="U344" s="1135"/>
      <c r="V344" s="1135"/>
      <c r="W344" s="1135"/>
      <c r="X344" s="1135"/>
      <c r="Y344" s="1135"/>
      <c r="Z344" s="131"/>
      <c r="AA344" s="1135"/>
      <c r="AB344" s="1135"/>
      <c r="AC344" s="1135"/>
      <c r="AD344" s="1135"/>
      <c r="AE344" s="1135"/>
      <c r="AF344" s="1135"/>
      <c r="AG344" s="1135"/>
      <c r="AH344" s="1135"/>
      <c r="AI344" s="1135"/>
      <c r="AJ344" s="1135"/>
      <c r="AK344" s="1135"/>
      <c r="AL344" s="1135"/>
    </row>
    <row r="345" spans="2:38">
      <c r="B345" s="638"/>
      <c r="C345" s="1135"/>
      <c r="D345" s="1135"/>
      <c r="E345" s="1135"/>
      <c r="F345" s="1135"/>
      <c r="G345" s="1135"/>
      <c r="H345" s="1135"/>
      <c r="I345" s="3"/>
      <c r="J345" s="1135"/>
      <c r="K345" s="1135"/>
      <c r="L345" s="1135"/>
      <c r="M345" s="1135"/>
      <c r="N345" s="1135"/>
      <c r="O345" s="1135"/>
      <c r="P345" s="1135"/>
      <c r="Q345" s="1135"/>
      <c r="R345" s="1135"/>
      <c r="S345" s="1135"/>
      <c r="T345" s="1135"/>
      <c r="U345" s="1135"/>
      <c r="V345" s="1135"/>
      <c r="W345" s="1135"/>
      <c r="X345" s="1135"/>
      <c r="Y345" s="1135"/>
      <c r="Z345" s="131"/>
      <c r="AA345" s="1135"/>
      <c r="AB345" s="1135"/>
      <c r="AC345" s="1135"/>
      <c r="AD345" s="1135"/>
      <c r="AE345" s="1135"/>
      <c r="AF345" s="1135"/>
      <c r="AG345" s="1135"/>
      <c r="AH345" s="1135"/>
      <c r="AI345" s="1135"/>
      <c r="AJ345" s="1135"/>
      <c r="AK345" s="1135"/>
      <c r="AL345" s="1135"/>
    </row>
    <row r="346" spans="2:38">
      <c r="B346" s="638"/>
      <c r="C346" s="1135"/>
      <c r="D346" s="1135"/>
      <c r="E346" s="1135"/>
      <c r="F346" s="1135"/>
      <c r="G346" s="1135"/>
      <c r="H346" s="1135"/>
      <c r="I346" s="3"/>
      <c r="J346" s="1135"/>
      <c r="K346" s="1135"/>
      <c r="L346" s="1135"/>
      <c r="M346" s="1135"/>
      <c r="N346" s="1135"/>
      <c r="O346" s="1135"/>
      <c r="P346" s="1135"/>
      <c r="Q346" s="1135"/>
      <c r="R346" s="1135"/>
      <c r="S346" s="1135"/>
      <c r="T346" s="1135"/>
      <c r="U346" s="1135"/>
      <c r="V346" s="1135"/>
      <c r="W346" s="1135"/>
      <c r="X346" s="1135"/>
      <c r="Y346" s="1135"/>
      <c r="Z346" s="131"/>
      <c r="AA346" s="1135"/>
      <c r="AB346" s="1135"/>
      <c r="AC346" s="1135"/>
      <c r="AD346" s="1135"/>
      <c r="AE346" s="1135"/>
      <c r="AF346" s="1135"/>
      <c r="AG346" s="1135"/>
      <c r="AH346" s="1135"/>
      <c r="AI346" s="1135"/>
      <c r="AJ346" s="1135"/>
      <c r="AK346" s="1135"/>
      <c r="AL346" s="1135"/>
    </row>
    <row r="347" spans="2:38">
      <c r="B347" s="638"/>
      <c r="C347" s="1135"/>
      <c r="D347" s="1135"/>
      <c r="E347" s="1135"/>
      <c r="F347" s="1135"/>
      <c r="G347" s="1135"/>
      <c r="H347" s="1135"/>
      <c r="I347" s="3"/>
      <c r="J347" s="1135"/>
      <c r="K347" s="1135"/>
      <c r="L347" s="1135"/>
      <c r="M347" s="1135"/>
      <c r="N347" s="1135"/>
      <c r="O347" s="1135"/>
      <c r="P347" s="1135"/>
      <c r="Q347" s="1135"/>
      <c r="R347" s="1135"/>
      <c r="S347" s="1135"/>
      <c r="T347" s="1135"/>
      <c r="U347" s="1135"/>
      <c r="V347" s="1135"/>
      <c r="W347" s="1135"/>
      <c r="X347" s="1135"/>
      <c r="Y347" s="1135"/>
      <c r="Z347" s="131"/>
      <c r="AA347" s="1135"/>
      <c r="AB347" s="1135"/>
      <c r="AC347" s="1135"/>
      <c r="AD347" s="1135"/>
      <c r="AE347" s="1135"/>
      <c r="AF347" s="1135"/>
      <c r="AG347" s="1135"/>
      <c r="AH347" s="1135"/>
      <c r="AI347" s="1135"/>
      <c r="AJ347" s="1135"/>
      <c r="AK347" s="1135"/>
      <c r="AL347" s="1135"/>
    </row>
    <row r="348" spans="2:38">
      <c r="B348" s="638"/>
      <c r="C348" s="1135"/>
      <c r="D348" s="1135"/>
      <c r="E348" s="1135"/>
      <c r="F348" s="1135"/>
      <c r="G348" s="1135"/>
      <c r="H348" s="1135"/>
      <c r="I348" s="3"/>
      <c r="J348" s="1135"/>
      <c r="K348" s="1135"/>
      <c r="L348" s="1135"/>
      <c r="M348" s="1135"/>
      <c r="N348" s="1135"/>
      <c r="O348" s="1135"/>
      <c r="P348" s="1135"/>
      <c r="Q348" s="1135"/>
      <c r="R348" s="1135"/>
      <c r="S348" s="1135"/>
      <c r="T348" s="1135"/>
      <c r="U348" s="1135"/>
      <c r="V348" s="1135"/>
      <c r="W348" s="1135"/>
      <c r="X348" s="1135"/>
      <c r="Y348" s="1135"/>
      <c r="Z348" s="131"/>
      <c r="AA348" s="1135"/>
      <c r="AB348" s="1135"/>
      <c r="AC348" s="1135"/>
      <c r="AD348" s="1135"/>
      <c r="AE348" s="1135"/>
      <c r="AF348" s="1135"/>
      <c r="AG348" s="1135"/>
      <c r="AH348" s="1135"/>
      <c r="AI348" s="1135"/>
      <c r="AJ348" s="1135"/>
      <c r="AK348" s="1135"/>
      <c r="AL348" s="1135"/>
    </row>
    <row r="349" spans="2:38">
      <c r="B349" s="638"/>
      <c r="C349" s="1135"/>
      <c r="D349" s="1135"/>
      <c r="E349" s="1135"/>
      <c r="F349" s="1135"/>
      <c r="G349" s="1135"/>
      <c r="H349" s="1135"/>
      <c r="I349" s="3"/>
      <c r="J349" s="1135"/>
      <c r="K349" s="1135"/>
      <c r="L349" s="1135"/>
      <c r="M349" s="1135"/>
      <c r="N349" s="1135"/>
      <c r="O349" s="1135"/>
      <c r="P349" s="1135"/>
      <c r="Q349" s="1135"/>
      <c r="R349" s="1135"/>
      <c r="S349" s="1135"/>
      <c r="T349" s="1135"/>
      <c r="U349" s="1135"/>
      <c r="V349" s="1135"/>
      <c r="W349" s="1135"/>
      <c r="X349" s="1135"/>
      <c r="Y349" s="1135"/>
      <c r="Z349" s="131"/>
      <c r="AA349" s="1135"/>
      <c r="AB349" s="1135"/>
      <c r="AC349" s="1135"/>
      <c r="AD349" s="1135"/>
      <c r="AE349" s="1135"/>
      <c r="AF349" s="1135"/>
      <c r="AG349" s="1135"/>
      <c r="AH349" s="1135"/>
      <c r="AI349" s="1135"/>
      <c r="AJ349" s="1135"/>
      <c r="AK349" s="1135"/>
      <c r="AL349" s="1135"/>
    </row>
    <row r="350" spans="2:38">
      <c r="B350" s="638"/>
      <c r="C350" s="1135"/>
      <c r="D350" s="1135"/>
      <c r="E350" s="1135"/>
      <c r="F350" s="1135"/>
      <c r="G350" s="1135"/>
      <c r="H350" s="1135"/>
      <c r="I350" s="3"/>
      <c r="J350" s="1135"/>
      <c r="K350" s="1135"/>
      <c r="L350" s="1135"/>
      <c r="M350" s="1135"/>
      <c r="N350" s="1135"/>
      <c r="O350" s="1135"/>
      <c r="P350" s="1135"/>
      <c r="Q350" s="1135"/>
      <c r="R350" s="1135"/>
      <c r="S350" s="1135"/>
      <c r="T350" s="1135"/>
      <c r="U350" s="1135"/>
      <c r="V350" s="1135"/>
      <c r="W350" s="1135"/>
      <c r="X350" s="1135"/>
      <c r="Y350" s="1135"/>
      <c r="Z350" s="131"/>
      <c r="AA350" s="1135"/>
      <c r="AB350" s="1135"/>
      <c r="AC350" s="1135"/>
      <c r="AD350" s="1135"/>
      <c r="AE350" s="1135"/>
      <c r="AF350" s="1135"/>
      <c r="AG350" s="1135"/>
      <c r="AH350" s="1135"/>
      <c r="AI350" s="1135"/>
      <c r="AJ350" s="1135"/>
      <c r="AK350" s="1135"/>
      <c r="AL350" s="1135"/>
    </row>
    <row r="351" spans="2:38">
      <c r="B351" s="638"/>
      <c r="C351" s="1135"/>
      <c r="D351" s="1135"/>
      <c r="E351" s="1135"/>
      <c r="F351" s="1135"/>
      <c r="G351" s="1135"/>
      <c r="H351" s="1135"/>
      <c r="I351" s="3"/>
      <c r="J351" s="1135"/>
      <c r="K351" s="1135"/>
      <c r="L351" s="1135"/>
      <c r="M351" s="1135"/>
      <c r="N351" s="1135"/>
      <c r="O351" s="1135"/>
      <c r="P351" s="1135"/>
      <c r="Q351" s="1135"/>
      <c r="R351" s="1135"/>
      <c r="S351" s="1135"/>
      <c r="T351" s="1135"/>
      <c r="U351" s="1135"/>
      <c r="V351" s="1135"/>
      <c r="W351" s="1135"/>
      <c r="X351" s="1135"/>
      <c r="Y351" s="1135"/>
      <c r="Z351" s="131"/>
      <c r="AA351" s="1135"/>
      <c r="AB351" s="1135"/>
      <c r="AC351" s="1135"/>
      <c r="AD351" s="1135"/>
      <c r="AE351" s="1135"/>
      <c r="AF351" s="1135"/>
      <c r="AG351" s="1135"/>
      <c r="AH351" s="1135"/>
      <c r="AI351" s="1135"/>
      <c r="AJ351" s="1135"/>
      <c r="AK351" s="1135"/>
      <c r="AL351" s="1135"/>
    </row>
    <row r="352" spans="2:38">
      <c r="B352" s="638"/>
      <c r="C352" s="1135"/>
      <c r="D352" s="1135"/>
      <c r="E352" s="1135"/>
      <c r="F352" s="1135"/>
      <c r="G352" s="1135"/>
      <c r="H352" s="1135"/>
      <c r="I352" s="3"/>
      <c r="J352" s="1135"/>
      <c r="K352" s="1135"/>
      <c r="L352" s="1135"/>
      <c r="M352" s="1135"/>
      <c r="N352" s="1135"/>
      <c r="O352" s="1135"/>
      <c r="P352" s="1135"/>
      <c r="Q352" s="1135"/>
      <c r="R352" s="1135"/>
      <c r="S352" s="1135"/>
      <c r="T352" s="1135"/>
      <c r="U352" s="1135"/>
      <c r="V352" s="1135"/>
      <c r="W352" s="1135"/>
      <c r="X352" s="1135"/>
      <c r="Y352" s="1135"/>
      <c r="Z352" s="131"/>
      <c r="AA352" s="1135"/>
      <c r="AB352" s="1135"/>
      <c r="AC352" s="1135"/>
      <c r="AD352" s="1135"/>
      <c r="AE352" s="1135"/>
      <c r="AF352" s="1135"/>
      <c r="AG352" s="1135"/>
      <c r="AH352" s="1135"/>
      <c r="AI352" s="1135"/>
      <c r="AJ352" s="1135"/>
      <c r="AK352" s="1135"/>
      <c r="AL352" s="1135"/>
    </row>
    <row r="353" spans="2:38">
      <c r="B353" s="638"/>
      <c r="C353" s="1135"/>
      <c r="D353" s="1135"/>
      <c r="E353" s="1135"/>
      <c r="F353" s="1135"/>
      <c r="G353" s="1135"/>
      <c r="H353" s="1135"/>
      <c r="I353" s="3"/>
      <c r="J353" s="1135"/>
      <c r="K353" s="1135"/>
      <c r="L353" s="1135"/>
      <c r="M353" s="1135"/>
      <c r="N353" s="1135"/>
      <c r="O353" s="1135"/>
      <c r="P353" s="1135"/>
      <c r="Q353" s="1135"/>
      <c r="R353" s="1135"/>
      <c r="S353" s="1135"/>
      <c r="T353" s="1135"/>
      <c r="U353" s="1135"/>
      <c r="V353" s="1135"/>
      <c r="W353" s="1135"/>
      <c r="X353" s="1135"/>
      <c r="Y353" s="1135"/>
      <c r="Z353" s="131"/>
      <c r="AA353" s="1135"/>
      <c r="AB353" s="1135"/>
      <c r="AC353" s="1135"/>
      <c r="AD353" s="1135"/>
      <c r="AE353" s="1135"/>
      <c r="AF353" s="1135"/>
      <c r="AG353" s="1135"/>
      <c r="AH353" s="1135"/>
      <c r="AI353" s="1135"/>
      <c r="AJ353" s="1135"/>
      <c r="AK353" s="1135"/>
      <c r="AL353" s="1135"/>
    </row>
    <row r="354" spans="2:38">
      <c r="B354" s="638"/>
      <c r="C354" s="1135"/>
      <c r="D354" s="1135"/>
      <c r="E354" s="1135"/>
      <c r="F354" s="1135"/>
      <c r="G354" s="1135"/>
      <c r="H354" s="1135"/>
      <c r="I354" s="3"/>
      <c r="J354" s="1135"/>
      <c r="K354" s="1135"/>
      <c r="L354" s="1135"/>
      <c r="M354" s="1135"/>
      <c r="N354" s="1135"/>
      <c r="O354" s="1135"/>
      <c r="P354" s="1135"/>
      <c r="Q354" s="1135"/>
      <c r="R354" s="1135"/>
      <c r="S354" s="1135"/>
      <c r="T354" s="1135"/>
      <c r="U354" s="1135"/>
      <c r="V354" s="1135"/>
      <c r="W354" s="1135"/>
      <c r="X354" s="1135"/>
      <c r="Y354" s="1135"/>
      <c r="Z354" s="131"/>
      <c r="AA354" s="1135"/>
      <c r="AB354" s="1135"/>
      <c r="AC354" s="1135"/>
      <c r="AD354" s="1135"/>
      <c r="AE354" s="1135"/>
      <c r="AF354" s="1135"/>
      <c r="AG354" s="1135"/>
      <c r="AH354" s="1135"/>
      <c r="AI354" s="1135"/>
      <c r="AJ354" s="1135"/>
      <c r="AK354" s="1135"/>
      <c r="AL354" s="1135"/>
    </row>
    <row r="355" spans="2:38">
      <c r="B355" s="638"/>
      <c r="C355" s="1135"/>
      <c r="D355" s="1135"/>
      <c r="E355" s="1135"/>
      <c r="F355" s="1135"/>
      <c r="G355" s="1135"/>
      <c r="H355" s="1135"/>
      <c r="I355" s="3"/>
      <c r="J355" s="1135"/>
      <c r="K355" s="1135"/>
      <c r="L355" s="1135"/>
      <c r="M355" s="1135"/>
      <c r="N355" s="1135"/>
      <c r="O355" s="1135"/>
      <c r="P355" s="1135"/>
      <c r="Q355" s="1135"/>
      <c r="R355" s="1135"/>
      <c r="S355" s="1135"/>
      <c r="T355" s="1135"/>
      <c r="U355" s="1135"/>
      <c r="V355" s="1135"/>
      <c r="W355" s="1135"/>
      <c r="X355" s="1135"/>
      <c r="Y355" s="1135"/>
      <c r="Z355" s="131"/>
      <c r="AA355" s="1135"/>
      <c r="AB355" s="1135"/>
      <c r="AC355" s="1135"/>
      <c r="AD355" s="1135"/>
      <c r="AE355" s="1135"/>
      <c r="AF355" s="1135"/>
      <c r="AG355" s="1135"/>
      <c r="AH355" s="1135"/>
      <c r="AI355" s="1135"/>
      <c r="AJ355" s="1135"/>
      <c r="AK355" s="1135"/>
      <c r="AL355" s="1135"/>
    </row>
    <row r="356" spans="2:38">
      <c r="B356" s="638"/>
      <c r="C356" s="1135"/>
      <c r="D356" s="1135"/>
      <c r="E356" s="1135"/>
      <c r="F356" s="1135"/>
      <c r="G356" s="1135"/>
      <c r="H356" s="1135"/>
      <c r="I356" s="3"/>
      <c r="J356" s="1135"/>
      <c r="K356" s="1135"/>
      <c r="L356" s="1135"/>
      <c r="M356" s="1135"/>
      <c r="N356" s="1135"/>
      <c r="O356" s="1135"/>
      <c r="P356" s="1135"/>
      <c r="Q356" s="1135"/>
      <c r="R356" s="1135"/>
      <c r="S356" s="1135"/>
      <c r="T356" s="1135"/>
      <c r="U356" s="1135"/>
      <c r="V356" s="1135"/>
      <c r="W356" s="1135"/>
      <c r="X356" s="1135"/>
      <c r="Y356" s="1135"/>
      <c r="Z356" s="131"/>
      <c r="AA356" s="1135"/>
      <c r="AB356" s="1135"/>
      <c r="AC356" s="1135"/>
      <c r="AD356" s="1135"/>
      <c r="AE356" s="1135"/>
      <c r="AF356" s="1135"/>
      <c r="AG356" s="1135"/>
      <c r="AH356" s="1135"/>
      <c r="AI356" s="1135"/>
      <c r="AJ356" s="1135"/>
      <c r="AK356" s="1135"/>
      <c r="AL356" s="1135"/>
    </row>
    <row r="357" spans="2:38">
      <c r="B357" s="638"/>
      <c r="C357" s="1135"/>
      <c r="D357" s="1135"/>
      <c r="E357" s="1135"/>
      <c r="F357" s="1135"/>
      <c r="G357" s="1135"/>
      <c r="H357" s="1135"/>
      <c r="I357" s="3"/>
      <c r="J357" s="1135"/>
      <c r="K357" s="1135"/>
      <c r="L357" s="1135"/>
      <c r="M357" s="1135"/>
      <c r="N357" s="1135"/>
      <c r="O357" s="1135"/>
      <c r="P357" s="1135"/>
      <c r="Q357" s="1135"/>
      <c r="R357" s="1135"/>
      <c r="S357" s="1135"/>
      <c r="T357" s="1135"/>
      <c r="U357" s="1135"/>
      <c r="V357" s="1135"/>
      <c r="W357" s="1135"/>
      <c r="X357" s="1135"/>
      <c r="Y357" s="1135"/>
      <c r="Z357" s="131"/>
      <c r="AA357" s="1135"/>
      <c r="AB357" s="1135"/>
      <c r="AC357" s="1135"/>
      <c r="AD357" s="1135"/>
      <c r="AE357" s="1135"/>
      <c r="AF357" s="1135"/>
      <c r="AG357" s="1135"/>
      <c r="AH357" s="1135"/>
      <c r="AI357" s="1135"/>
      <c r="AJ357" s="1135"/>
      <c r="AK357" s="1135"/>
      <c r="AL357" s="1135"/>
    </row>
    <row r="358" spans="2:38">
      <c r="B358" s="638"/>
      <c r="C358" s="1135"/>
      <c r="D358" s="1135"/>
      <c r="E358" s="1135"/>
      <c r="F358" s="1135"/>
      <c r="G358" s="1135"/>
      <c r="H358" s="1135"/>
      <c r="I358" s="3"/>
      <c r="J358" s="1135"/>
      <c r="K358" s="1135"/>
      <c r="L358" s="1135"/>
      <c r="M358" s="1135"/>
      <c r="N358" s="1135"/>
      <c r="O358" s="1135"/>
      <c r="P358" s="1135"/>
      <c r="Q358" s="1135"/>
      <c r="R358" s="1135"/>
      <c r="S358" s="1135"/>
      <c r="T358" s="1135"/>
      <c r="U358" s="1135"/>
      <c r="V358" s="1135"/>
      <c r="W358" s="1135"/>
      <c r="X358" s="1135"/>
      <c r="Y358" s="1135"/>
      <c r="Z358" s="131"/>
      <c r="AA358" s="1135"/>
      <c r="AB358" s="1135"/>
      <c r="AC358" s="1135"/>
      <c r="AD358" s="1135"/>
      <c r="AE358" s="1135"/>
      <c r="AF358" s="1135"/>
      <c r="AG358" s="1135"/>
      <c r="AH358" s="1135"/>
      <c r="AI358" s="1135"/>
      <c r="AJ358" s="1135"/>
      <c r="AK358" s="1135"/>
      <c r="AL358" s="1135"/>
    </row>
    <row r="359" spans="2:38">
      <c r="B359" s="638"/>
      <c r="C359" s="1135"/>
      <c r="D359" s="1135"/>
      <c r="E359" s="1135"/>
      <c r="F359" s="1135"/>
      <c r="G359" s="1135"/>
      <c r="H359" s="1135"/>
      <c r="I359" s="3"/>
      <c r="J359" s="1135"/>
      <c r="K359" s="1135"/>
      <c r="L359" s="1135"/>
      <c r="M359" s="1135"/>
      <c r="N359" s="1135"/>
      <c r="O359" s="1135"/>
      <c r="P359" s="1135"/>
      <c r="Q359" s="1135"/>
      <c r="R359" s="1135"/>
      <c r="S359" s="1135"/>
      <c r="T359" s="1135"/>
      <c r="U359" s="1135"/>
      <c r="V359" s="1135"/>
      <c r="W359" s="1135"/>
      <c r="X359" s="1135"/>
      <c r="Y359" s="1135"/>
      <c r="Z359" s="131"/>
      <c r="AA359" s="1135"/>
      <c r="AB359" s="1135"/>
      <c r="AC359" s="1135"/>
      <c r="AD359" s="1135"/>
      <c r="AE359" s="1135"/>
      <c r="AF359" s="1135"/>
      <c r="AG359" s="1135"/>
      <c r="AH359" s="1135"/>
      <c r="AI359" s="1135"/>
      <c r="AJ359" s="1135"/>
      <c r="AK359" s="1135"/>
      <c r="AL359" s="1135"/>
    </row>
    <row r="360" spans="2:38">
      <c r="B360" s="638"/>
      <c r="C360" s="1135"/>
      <c r="D360" s="1135"/>
      <c r="E360" s="1135"/>
      <c r="F360" s="1135"/>
      <c r="G360" s="1135"/>
      <c r="H360" s="1135"/>
      <c r="I360" s="3"/>
      <c r="J360" s="1135"/>
      <c r="K360" s="1135"/>
      <c r="L360" s="1135"/>
      <c r="M360" s="1135"/>
      <c r="N360" s="1135"/>
      <c r="O360" s="1135"/>
      <c r="P360" s="1135"/>
      <c r="Q360" s="1135"/>
      <c r="R360" s="1135"/>
      <c r="S360" s="1135"/>
      <c r="T360" s="1135"/>
      <c r="U360" s="1135"/>
      <c r="V360" s="1135"/>
      <c r="W360" s="1135"/>
      <c r="X360" s="1135"/>
      <c r="Y360" s="1135"/>
      <c r="Z360" s="131"/>
      <c r="AA360" s="1135"/>
      <c r="AB360" s="1135"/>
      <c r="AC360" s="1135"/>
      <c r="AD360" s="1135"/>
      <c r="AE360" s="1135"/>
      <c r="AF360" s="1135"/>
      <c r="AG360" s="1135"/>
      <c r="AH360" s="1135"/>
      <c r="AI360" s="1135"/>
      <c r="AJ360" s="1135"/>
      <c r="AK360" s="1135"/>
      <c r="AL360" s="1135"/>
    </row>
    <row r="361" spans="2:38">
      <c r="B361" s="638"/>
      <c r="C361" s="1135"/>
      <c r="D361" s="1135"/>
      <c r="E361" s="1135"/>
      <c r="F361" s="1135"/>
      <c r="G361" s="1135"/>
      <c r="H361" s="1135"/>
      <c r="I361" s="3"/>
      <c r="J361" s="1135"/>
      <c r="K361" s="1135"/>
      <c r="L361" s="1135"/>
      <c r="M361" s="1135"/>
      <c r="N361" s="1135"/>
      <c r="O361" s="1135"/>
      <c r="P361" s="1135"/>
      <c r="Q361" s="1135"/>
      <c r="R361" s="1135"/>
      <c r="S361" s="1135"/>
      <c r="T361" s="1135"/>
      <c r="U361" s="1135"/>
      <c r="V361" s="1135"/>
      <c r="W361" s="1135"/>
      <c r="X361" s="1135"/>
      <c r="Y361" s="1135"/>
      <c r="Z361" s="131"/>
      <c r="AA361" s="1135"/>
      <c r="AB361" s="1135"/>
      <c r="AC361" s="1135"/>
      <c r="AD361" s="1135"/>
      <c r="AE361" s="1135"/>
      <c r="AF361" s="1135"/>
      <c r="AG361" s="1135"/>
      <c r="AH361" s="1135"/>
      <c r="AI361" s="1135"/>
      <c r="AJ361" s="1135"/>
      <c r="AK361" s="1135"/>
      <c r="AL361" s="1135"/>
    </row>
    <row r="362" spans="2:38">
      <c r="B362" s="638"/>
      <c r="C362" s="1135"/>
      <c r="D362" s="1135"/>
      <c r="E362" s="1135"/>
      <c r="F362" s="1135"/>
      <c r="G362" s="1135"/>
      <c r="H362" s="1135"/>
      <c r="I362" s="3"/>
      <c r="J362" s="1135"/>
      <c r="K362" s="1135"/>
      <c r="L362" s="1135"/>
      <c r="M362" s="1135"/>
      <c r="N362" s="1135"/>
      <c r="O362" s="1135"/>
      <c r="P362" s="1135"/>
      <c r="Q362" s="1135"/>
      <c r="R362" s="1135"/>
      <c r="S362" s="1135"/>
      <c r="T362" s="1135"/>
      <c r="U362" s="1135"/>
      <c r="V362" s="1135"/>
      <c r="W362" s="1135"/>
      <c r="X362" s="1135"/>
      <c r="Y362" s="1135"/>
      <c r="Z362" s="131"/>
      <c r="AA362" s="1135"/>
      <c r="AB362" s="1135"/>
      <c r="AC362" s="1135"/>
      <c r="AD362" s="1135"/>
      <c r="AE362" s="1135"/>
      <c r="AF362" s="1135"/>
      <c r="AG362" s="1135"/>
      <c r="AH362" s="1135"/>
      <c r="AI362" s="1135"/>
      <c r="AJ362" s="1135"/>
      <c r="AK362" s="1135"/>
      <c r="AL362" s="1135"/>
    </row>
    <row r="363" spans="2:38">
      <c r="B363" s="638"/>
      <c r="C363" s="1135"/>
      <c r="D363" s="1135"/>
      <c r="E363" s="1135"/>
      <c r="F363" s="1135"/>
      <c r="G363" s="1135"/>
      <c r="H363" s="1135"/>
      <c r="I363" s="3"/>
      <c r="J363" s="1135"/>
      <c r="K363" s="1135"/>
      <c r="L363" s="1135"/>
      <c r="M363" s="1135"/>
      <c r="N363" s="1135"/>
      <c r="O363" s="1135"/>
      <c r="P363" s="1135"/>
      <c r="Q363" s="1135"/>
      <c r="R363" s="1135"/>
      <c r="S363" s="1135"/>
      <c r="T363" s="1135"/>
      <c r="U363" s="1135"/>
      <c r="V363" s="1135"/>
      <c r="W363" s="1135"/>
      <c r="X363" s="1135"/>
      <c r="Y363" s="1135"/>
      <c r="Z363" s="131"/>
      <c r="AA363" s="1135"/>
      <c r="AB363" s="1135"/>
      <c r="AC363" s="1135"/>
      <c r="AD363" s="1135"/>
      <c r="AE363" s="1135"/>
      <c r="AF363" s="1135"/>
      <c r="AG363" s="1135"/>
      <c r="AH363" s="1135"/>
      <c r="AI363" s="1135"/>
      <c r="AJ363" s="1135"/>
      <c r="AK363" s="1135"/>
      <c r="AL363" s="1135"/>
    </row>
    <row r="364" spans="2:38">
      <c r="B364" s="638"/>
      <c r="C364" s="1135"/>
      <c r="D364" s="1135"/>
      <c r="E364" s="1135"/>
      <c r="F364" s="1135"/>
      <c r="G364" s="1135"/>
      <c r="H364" s="1135"/>
      <c r="I364" s="3"/>
      <c r="J364" s="1135"/>
      <c r="K364" s="1135"/>
      <c r="L364" s="1135"/>
      <c r="M364" s="1135"/>
      <c r="N364" s="1135"/>
      <c r="O364" s="1135"/>
      <c r="P364" s="1135"/>
      <c r="Q364" s="1135"/>
      <c r="R364" s="1135"/>
      <c r="S364" s="1135"/>
      <c r="T364" s="1135"/>
      <c r="U364" s="1135"/>
      <c r="V364" s="1135"/>
      <c r="W364" s="1135"/>
      <c r="X364" s="1135"/>
      <c r="Y364" s="1135"/>
      <c r="Z364" s="131"/>
      <c r="AA364" s="1135"/>
      <c r="AB364" s="1135"/>
      <c r="AC364" s="1135"/>
      <c r="AD364" s="1135"/>
      <c r="AE364" s="1135"/>
      <c r="AF364" s="1135"/>
      <c r="AG364" s="1135"/>
      <c r="AH364" s="1135"/>
      <c r="AI364" s="1135"/>
      <c r="AJ364" s="1135"/>
      <c r="AK364" s="1135"/>
      <c r="AL364" s="1135"/>
    </row>
    <row r="365" spans="2:38">
      <c r="B365" s="638"/>
      <c r="C365" s="1135"/>
      <c r="D365" s="1135"/>
      <c r="E365" s="1135"/>
      <c r="F365" s="1135"/>
      <c r="G365" s="1135"/>
      <c r="H365" s="1135"/>
      <c r="I365" s="3"/>
      <c r="J365" s="1135"/>
      <c r="K365" s="1135"/>
      <c r="L365" s="1135"/>
      <c r="M365" s="1135"/>
      <c r="N365" s="1135"/>
      <c r="O365" s="1135"/>
      <c r="P365" s="1135"/>
      <c r="Q365" s="1135"/>
      <c r="R365" s="1135"/>
      <c r="S365" s="1135"/>
      <c r="T365" s="1135"/>
      <c r="U365" s="1135"/>
      <c r="V365" s="1135"/>
      <c r="W365" s="1135"/>
      <c r="X365" s="1135"/>
      <c r="Y365" s="1135"/>
      <c r="Z365" s="131"/>
      <c r="AA365" s="1135"/>
      <c r="AB365" s="1135"/>
      <c r="AC365" s="1135"/>
      <c r="AD365" s="1135"/>
      <c r="AE365" s="1135"/>
      <c r="AF365" s="1135"/>
      <c r="AG365" s="1135"/>
      <c r="AH365" s="1135"/>
      <c r="AI365" s="1135"/>
      <c r="AJ365" s="1135"/>
      <c r="AK365" s="1135"/>
      <c r="AL365" s="1135"/>
    </row>
    <row r="366" spans="2:38">
      <c r="B366" s="638"/>
      <c r="C366" s="1135"/>
      <c r="D366" s="1135"/>
      <c r="E366" s="1135"/>
      <c r="F366" s="1135"/>
      <c r="G366" s="1135"/>
      <c r="H366" s="1135"/>
      <c r="I366" s="3"/>
      <c r="J366" s="1135"/>
      <c r="K366" s="1135"/>
      <c r="L366" s="1135"/>
      <c r="M366" s="1135"/>
      <c r="N366" s="1135"/>
      <c r="O366" s="1135"/>
      <c r="P366" s="1135"/>
      <c r="Q366" s="1135"/>
      <c r="R366" s="1135"/>
      <c r="S366" s="1135"/>
      <c r="T366" s="1135"/>
      <c r="U366" s="1135"/>
      <c r="V366" s="1135"/>
      <c r="W366" s="1135"/>
      <c r="X366" s="1135"/>
      <c r="Y366" s="1135"/>
      <c r="Z366" s="131"/>
      <c r="AA366" s="1135"/>
      <c r="AB366" s="1135"/>
      <c r="AC366" s="1135"/>
      <c r="AD366" s="1135"/>
      <c r="AE366" s="1135"/>
      <c r="AF366" s="1135"/>
      <c r="AG366" s="1135"/>
      <c r="AH366" s="1135"/>
      <c r="AI366" s="1135"/>
      <c r="AJ366" s="1135"/>
      <c r="AK366" s="1135"/>
      <c r="AL366" s="1135"/>
    </row>
    <row r="367" spans="2:38">
      <c r="B367" s="638"/>
      <c r="C367" s="1135"/>
      <c r="D367" s="1135"/>
      <c r="E367" s="1135"/>
      <c r="F367" s="1135"/>
      <c r="G367" s="1135"/>
      <c r="H367" s="1135"/>
      <c r="I367" s="3"/>
      <c r="J367" s="1135"/>
      <c r="K367" s="1135"/>
      <c r="L367" s="1135"/>
      <c r="M367" s="1135"/>
      <c r="N367" s="1135"/>
      <c r="O367" s="1135"/>
      <c r="P367" s="1135"/>
      <c r="Q367" s="1135"/>
      <c r="R367" s="1135"/>
      <c r="S367" s="1135"/>
      <c r="T367" s="1135"/>
      <c r="U367" s="1135"/>
      <c r="V367" s="1135"/>
      <c r="W367" s="1135"/>
      <c r="X367" s="1135"/>
      <c r="Y367" s="1135"/>
      <c r="Z367" s="131"/>
      <c r="AA367" s="1135"/>
      <c r="AB367" s="1135"/>
      <c r="AC367" s="1135"/>
      <c r="AD367" s="1135"/>
      <c r="AE367" s="1135"/>
      <c r="AF367" s="1135"/>
      <c r="AG367" s="1135"/>
      <c r="AH367" s="1135"/>
      <c r="AI367" s="1135"/>
      <c r="AJ367" s="1135"/>
      <c r="AK367" s="1135"/>
      <c r="AL367" s="1135"/>
    </row>
    <row r="368" spans="2:38">
      <c r="B368" s="638"/>
      <c r="C368" s="1135"/>
      <c r="D368" s="1135"/>
      <c r="E368" s="1135"/>
      <c r="F368" s="1135"/>
      <c r="G368" s="1135"/>
      <c r="H368" s="1135"/>
      <c r="I368" s="3"/>
      <c r="J368" s="1135"/>
      <c r="K368" s="1135"/>
      <c r="L368" s="1135"/>
      <c r="M368" s="1135"/>
      <c r="N368" s="1135"/>
      <c r="O368" s="1135"/>
      <c r="P368" s="1135"/>
      <c r="Q368" s="1135"/>
      <c r="R368" s="1135"/>
      <c r="S368" s="1135"/>
      <c r="T368" s="1135"/>
      <c r="U368" s="1135"/>
      <c r="V368" s="1135"/>
      <c r="W368" s="1135"/>
      <c r="X368" s="1135"/>
      <c r="Y368" s="1135"/>
      <c r="Z368" s="131"/>
      <c r="AA368" s="1135"/>
      <c r="AB368" s="1135"/>
      <c r="AC368" s="1135"/>
      <c r="AD368" s="1135"/>
      <c r="AE368" s="1135"/>
      <c r="AF368" s="1135"/>
      <c r="AG368" s="1135"/>
      <c r="AH368" s="1135"/>
      <c r="AI368" s="1135"/>
      <c r="AJ368" s="1135"/>
      <c r="AK368" s="1135"/>
      <c r="AL368" s="1135"/>
    </row>
    <row r="369" spans="2:38">
      <c r="B369" s="638"/>
      <c r="C369" s="1135"/>
      <c r="D369" s="1135"/>
      <c r="E369" s="1135"/>
      <c r="F369" s="1135"/>
      <c r="G369" s="1135"/>
      <c r="H369" s="1135"/>
      <c r="I369" s="3"/>
      <c r="J369" s="1135"/>
      <c r="K369" s="1135"/>
      <c r="L369" s="1135"/>
      <c r="M369" s="1135"/>
      <c r="N369" s="1135"/>
      <c r="O369" s="1135"/>
      <c r="P369" s="1135"/>
      <c r="Q369" s="1135"/>
      <c r="R369" s="1135"/>
      <c r="S369" s="1135"/>
      <c r="T369" s="1135"/>
      <c r="U369" s="1135"/>
      <c r="V369" s="1135"/>
      <c r="W369" s="1135"/>
      <c r="X369" s="1135"/>
      <c r="Y369" s="1135"/>
      <c r="Z369" s="131"/>
      <c r="AA369" s="1135"/>
      <c r="AB369" s="1135"/>
      <c r="AC369" s="1135"/>
      <c r="AD369" s="1135"/>
      <c r="AE369" s="1135"/>
      <c r="AF369" s="1135"/>
      <c r="AG369" s="1135"/>
      <c r="AH369" s="1135"/>
      <c r="AI369" s="1135"/>
      <c r="AJ369" s="1135"/>
      <c r="AK369" s="1135"/>
      <c r="AL369" s="1135"/>
    </row>
    <row r="370" spans="2:38">
      <c r="B370" s="638"/>
      <c r="C370" s="1135"/>
      <c r="D370" s="1135"/>
      <c r="E370" s="1135"/>
      <c r="F370" s="1135"/>
      <c r="G370" s="1135"/>
      <c r="H370" s="1135"/>
      <c r="I370" s="3"/>
      <c r="J370" s="1135"/>
      <c r="K370" s="1135"/>
      <c r="L370" s="1135"/>
      <c r="M370" s="1135"/>
      <c r="N370" s="1135"/>
      <c r="O370" s="1135"/>
      <c r="P370" s="1135"/>
      <c r="Q370" s="1135"/>
      <c r="R370" s="1135"/>
      <c r="S370" s="1135"/>
      <c r="T370" s="1135"/>
      <c r="U370" s="1135"/>
      <c r="V370" s="1135"/>
      <c r="W370" s="1135"/>
      <c r="X370" s="1135"/>
      <c r="Y370" s="1135"/>
      <c r="Z370" s="131"/>
      <c r="AA370" s="1135"/>
      <c r="AB370" s="1135"/>
      <c r="AC370" s="1135"/>
      <c r="AD370" s="1135"/>
      <c r="AE370" s="1135"/>
      <c r="AF370" s="1135"/>
      <c r="AG370" s="1135"/>
      <c r="AH370" s="1135"/>
      <c r="AI370" s="1135"/>
      <c r="AJ370" s="1135"/>
      <c r="AK370" s="1135"/>
      <c r="AL370" s="1135"/>
    </row>
    <row r="371" spans="2:38">
      <c r="B371" s="638"/>
      <c r="C371" s="1135"/>
      <c r="D371" s="1135"/>
      <c r="E371" s="1135"/>
      <c r="F371" s="1135"/>
      <c r="G371" s="1135"/>
      <c r="H371" s="1135"/>
      <c r="I371" s="3"/>
      <c r="J371" s="1135"/>
      <c r="K371" s="1135"/>
      <c r="L371" s="1135"/>
      <c r="M371" s="1135"/>
      <c r="N371" s="1135"/>
      <c r="O371" s="1135"/>
      <c r="P371" s="1135"/>
      <c r="Q371" s="1135"/>
      <c r="R371" s="1135"/>
      <c r="S371" s="1135"/>
      <c r="T371" s="1135"/>
      <c r="U371" s="1135"/>
      <c r="V371" s="1135"/>
      <c r="W371" s="1135"/>
      <c r="X371" s="1135"/>
      <c r="Y371" s="1135"/>
      <c r="Z371" s="131"/>
      <c r="AA371" s="1135"/>
      <c r="AB371" s="1135"/>
      <c r="AC371" s="1135"/>
      <c r="AD371" s="1135"/>
      <c r="AE371" s="1135"/>
      <c r="AF371" s="1135"/>
      <c r="AG371" s="1135"/>
      <c r="AH371" s="1135"/>
      <c r="AI371" s="1135"/>
      <c r="AJ371" s="1135"/>
      <c r="AK371" s="1135"/>
      <c r="AL371" s="1135"/>
    </row>
    <row r="372" spans="2:38">
      <c r="B372" s="638"/>
      <c r="C372" s="1135"/>
      <c r="D372" s="1135"/>
      <c r="E372" s="1135"/>
      <c r="F372" s="1135"/>
      <c r="G372" s="1135"/>
      <c r="H372" s="1135"/>
      <c r="I372" s="3"/>
      <c r="J372" s="1135"/>
      <c r="K372" s="1135"/>
      <c r="L372" s="1135"/>
      <c r="M372" s="1135"/>
      <c r="N372" s="1135"/>
      <c r="O372" s="1135"/>
      <c r="P372" s="1135"/>
      <c r="Q372" s="1135"/>
      <c r="R372" s="1135"/>
      <c r="S372" s="1135"/>
      <c r="T372" s="1135"/>
      <c r="U372" s="1135"/>
      <c r="V372" s="1135"/>
      <c r="W372" s="1135"/>
      <c r="X372" s="1135"/>
      <c r="Y372" s="1135"/>
      <c r="Z372" s="131"/>
      <c r="AA372" s="1135"/>
      <c r="AB372" s="1135"/>
      <c r="AC372" s="1135"/>
      <c r="AD372" s="1135"/>
      <c r="AE372" s="1135"/>
      <c r="AF372" s="1135"/>
      <c r="AG372" s="1135"/>
      <c r="AH372" s="1135"/>
      <c r="AI372" s="1135"/>
      <c r="AJ372" s="1135"/>
      <c r="AK372" s="1135"/>
      <c r="AL372" s="1135"/>
    </row>
    <row r="373" spans="2:38">
      <c r="B373" s="638"/>
      <c r="C373" s="1135"/>
      <c r="D373" s="1135"/>
      <c r="E373" s="1135"/>
      <c r="F373" s="1135"/>
      <c r="G373" s="1135"/>
      <c r="H373" s="1135"/>
      <c r="I373" s="3"/>
      <c r="J373" s="1135"/>
      <c r="K373" s="1135"/>
      <c r="L373" s="1135"/>
      <c r="M373" s="1135"/>
      <c r="N373" s="1135"/>
      <c r="O373" s="1135"/>
      <c r="P373" s="1135"/>
      <c r="Q373" s="1135"/>
      <c r="R373" s="1135"/>
      <c r="S373" s="1135"/>
      <c r="T373" s="1135"/>
      <c r="U373" s="1135"/>
      <c r="V373" s="1135"/>
      <c r="W373" s="1135"/>
      <c r="X373" s="1135"/>
      <c r="Y373" s="1135"/>
      <c r="Z373" s="131"/>
      <c r="AA373" s="1135"/>
      <c r="AB373" s="1135"/>
      <c r="AC373" s="1135"/>
      <c r="AD373" s="1135"/>
      <c r="AE373" s="1135"/>
      <c r="AF373" s="1135"/>
      <c r="AG373" s="1135"/>
      <c r="AH373" s="1135"/>
      <c r="AI373" s="1135"/>
      <c r="AJ373" s="1135"/>
      <c r="AK373" s="1135"/>
      <c r="AL373" s="1135"/>
    </row>
    <row r="374" spans="2:38">
      <c r="B374" s="638"/>
      <c r="C374" s="1135"/>
      <c r="D374" s="1135"/>
      <c r="E374" s="1135"/>
      <c r="F374" s="1135"/>
      <c r="G374" s="1135"/>
      <c r="H374" s="1135"/>
      <c r="I374" s="3"/>
      <c r="J374" s="1135"/>
      <c r="K374" s="1135"/>
      <c r="L374" s="1135"/>
      <c r="M374" s="1135"/>
      <c r="N374" s="1135"/>
      <c r="O374" s="1135"/>
      <c r="P374" s="1135"/>
      <c r="Q374" s="1135"/>
      <c r="R374" s="1135"/>
      <c r="S374" s="1135"/>
      <c r="T374" s="1135"/>
      <c r="U374" s="1135"/>
      <c r="V374" s="1135"/>
      <c r="W374" s="1135"/>
      <c r="X374" s="1135"/>
      <c r="Y374" s="1135"/>
      <c r="Z374" s="131"/>
      <c r="AA374" s="1135"/>
      <c r="AB374" s="1135"/>
      <c r="AC374" s="1135"/>
      <c r="AD374" s="1135"/>
      <c r="AE374" s="1135"/>
      <c r="AF374" s="1135"/>
      <c r="AG374" s="1135"/>
      <c r="AH374" s="1135"/>
      <c r="AI374" s="1135"/>
      <c r="AJ374" s="1135"/>
      <c r="AK374" s="1135"/>
      <c r="AL374" s="1135"/>
    </row>
    <row r="375" spans="2:38">
      <c r="B375" s="638"/>
      <c r="C375" s="1135"/>
      <c r="D375" s="1135"/>
      <c r="E375" s="1135"/>
      <c r="F375" s="1135"/>
      <c r="G375" s="1135"/>
      <c r="H375" s="1135"/>
      <c r="I375" s="3"/>
      <c r="J375" s="1135"/>
      <c r="K375" s="1135"/>
      <c r="L375" s="1135"/>
      <c r="M375" s="1135"/>
      <c r="N375" s="1135"/>
      <c r="O375" s="1135"/>
      <c r="P375" s="1135"/>
      <c r="Q375" s="1135"/>
      <c r="R375" s="1135"/>
      <c r="S375" s="1135"/>
      <c r="T375" s="1135"/>
      <c r="U375" s="1135"/>
      <c r="V375" s="1135"/>
      <c r="W375" s="1135"/>
      <c r="X375" s="1135"/>
      <c r="Y375" s="1135"/>
      <c r="Z375" s="131"/>
      <c r="AA375" s="1135"/>
      <c r="AB375" s="1135"/>
      <c r="AC375" s="1135"/>
      <c r="AD375" s="1135"/>
      <c r="AE375" s="1135"/>
      <c r="AF375" s="1135"/>
      <c r="AG375" s="1135"/>
      <c r="AH375" s="1135"/>
      <c r="AI375" s="1135"/>
      <c r="AJ375" s="1135"/>
      <c r="AK375" s="1135"/>
      <c r="AL375" s="1135"/>
    </row>
    <row r="376" spans="2:38">
      <c r="B376" s="638"/>
      <c r="C376" s="1135"/>
      <c r="D376" s="1135"/>
      <c r="E376" s="1135"/>
      <c r="F376" s="1135"/>
      <c r="G376" s="1135"/>
      <c r="H376" s="1135"/>
      <c r="I376" s="3"/>
      <c r="J376" s="1135"/>
      <c r="K376" s="1135"/>
      <c r="L376" s="1135"/>
      <c r="M376" s="1135"/>
      <c r="N376" s="1135"/>
      <c r="O376" s="1135"/>
      <c r="P376" s="1135"/>
      <c r="Q376" s="1135"/>
      <c r="R376" s="1135"/>
      <c r="S376" s="1135"/>
      <c r="T376" s="1135"/>
      <c r="U376" s="1135"/>
      <c r="V376" s="1135"/>
      <c r="W376" s="1135"/>
      <c r="X376" s="1135"/>
      <c r="Y376" s="1135"/>
      <c r="Z376" s="131"/>
      <c r="AA376" s="1135"/>
      <c r="AB376" s="1135"/>
      <c r="AC376" s="1135"/>
      <c r="AD376" s="1135"/>
      <c r="AE376" s="1135"/>
      <c r="AF376" s="1135"/>
      <c r="AG376" s="1135"/>
      <c r="AH376" s="1135"/>
      <c r="AI376" s="1135"/>
      <c r="AJ376" s="1135"/>
      <c r="AK376" s="1135"/>
      <c r="AL376" s="1135"/>
    </row>
    <row r="377" spans="2:38">
      <c r="B377" s="638"/>
      <c r="C377" s="1135"/>
      <c r="D377" s="1135"/>
      <c r="E377" s="1135"/>
      <c r="F377" s="1135"/>
      <c r="G377" s="1135"/>
      <c r="H377" s="1135"/>
      <c r="I377" s="3"/>
      <c r="J377" s="1135"/>
      <c r="K377" s="1135"/>
      <c r="L377" s="1135"/>
      <c r="M377" s="1135"/>
      <c r="N377" s="1135"/>
      <c r="O377" s="1135"/>
      <c r="P377" s="1135"/>
      <c r="Q377" s="1135"/>
      <c r="R377" s="1135"/>
      <c r="S377" s="1135"/>
      <c r="T377" s="1135"/>
      <c r="U377" s="1135"/>
      <c r="V377" s="1135"/>
      <c r="W377" s="1135"/>
      <c r="X377" s="1135"/>
      <c r="Y377" s="1135"/>
      <c r="Z377" s="131"/>
      <c r="AA377" s="1135"/>
      <c r="AB377" s="1135"/>
      <c r="AC377" s="1135"/>
      <c r="AD377" s="1135"/>
      <c r="AE377" s="1135"/>
      <c r="AF377" s="1135"/>
      <c r="AG377" s="1135"/>
      <c r="AH377" s="1135"/>
      <c r="AI377" s="1135"/>
      <c r="AJ377" s="1135"/>
      <c r="AK377" s="1135"/>
      <c r="AL377" s="1135"/>
    </row>
    <row r="378" spans="2:38">
      <c r="B378" s="638"/>
      <c r="C378" s="1135"/>
      <c r="D378" s="1135"/>
      <c r="E378" s="1135"/>
      <c r="F378" s="1135"/>
      <c r="G378" s="1135"/>
      <c r="H378" s="1135"/>
      <c r="I378" s="3"/>
      <c r="J378" s="1135"/>
      <c r="K378" s="1135"/>
      <c r="L378" s="1135"/>
      <c r="M378" s="1135"/>
      <c r="N378" s="1135"/>
      <c r="O378" s="1135"/>
      <c r="P378" s="1135"/>
      <c r="Q378" s="1135"/>
      <c r="R378" s="1135"/>
      <c r="S378" s="1135"/>
      <c r="T378" s="1135"/>
      <c r="U378" s="1135"/>
      <c r="V378" s="1135"/>
      <c r="W378" s="1135"/>
      <c r="X378" s="1135"/>
      <c r="Y378" s="1135"/>
      <c r="Z378" s="131"/>
      <c r="AA378" s="1135"/>
      <c r="AB378" s="1135"/>
      <c r="AC378" s="1135"/>
      <c r="AD378" s="1135"/>
      <c r="AE378" s="1135"/>
      <c r="AF378" s="1135"/>
      <c r="AG378" s="1135"/>
      <c r="AH378" s="1135"/>
      <c r="AI378" s="1135"/>
      <c r="AJ378" s="1135"/>
      <c r="AK378" s="1135"/>
      <c r="AL378" s="1135"/>
    </row>
    <row r="379" spans="2:38">
      <c r="B379" s="638"/>
      <c r="C379" s="1135"/>
      <c r="D379" s="1135"/>
      <c r="E379" s="1135"/>
      <c r="F379" s="1135"/>
      <c r="G379" s="1135"/>
      <c r="H379" s="1135"/>
      <c r="I379" s="3"/>
      <c r="J379" s="1135"/>
      <c r="K379" s="1135"/>
      <c r="L379" s="1135"/>
      <c r="M379" s="1135"/>
      <c r="N379" s="1135"/>
      <c r="O379" s="1135"/>
      <c r="P379" s="1135"/>
      <c r="Q379" s="1135"/>
      <c r="R379" s="1135"/>
      <c r="S379" s="1135"/>
      <c r="T379" s="1135"/>
      <c r="U379" s="1135"/>
      <c r="V379" s="1135"/>
      <c r="W379" s="1135"/>
      <c r="X379" s="1135"/>
      <c r="Y379" s="1135"/>
      <c r="Z379" s="131"/>
      <c r="AA379" s="1135"/>
      <c r="AB379" s="1135"/>
      <c r="AC379" s="1135"/>
      <c r="AD379" s="1135"/>
      <c r="AE379" s="1135"/>
      <c r="AF379" s="1135"/>
      <c r="AG379" s="1135"/>
      <c r="AH379" s="1135"/>
      <c r="AI379" s="1135"/>
      <c r="AJ379" s="1135"/>
      <c r="AK379" s="1135"/>
      <c r="AL379" s="1135"/>
    </row>
    <row r="380" spans="2:38">
      <c r="B380" s="638"/>
      <c r="C380" s="1135"/>
      <c r="D380" s="1135"/>
      <c r="E380" s="1135"/>
      <c r="F380" s="1135"/>
      <c r="G380" s="1135"/>
      <c r="H380" s="1135"/>
      <c r="I380" s="3"/>
      <c r="J380" s="1135"/>
      <c r="K380" s="1135"/>
      <c r="L380" s="1135"/>
      <c r="M380" s="1135"/>
      <c r="N380" s="1135"/>
      <c r="O380" s="1135"/>
      <c r="P380" s="1135"/>
      <c r="Q380" s="1135"/>
      <c r="R380" s="1135"/>
      <c r="S380" s="1135"/>
      <c r="T380" s="1135"/>
      <c r="U380" s="1135"/>
      <c r="V380" s="1135"/>
      <c r="W380" s="1135"/>
      <c r="X380" s="1135"/>
      <c r="Y380" s="1135"/>
      <c r="Z380" s="131"/>
      <c r="AA380" s="1135"/>
      <c r="AB380" s="1135"/>
      <c r="AC380" s="1135"/>
      <c r="AD380" s="1135"/>
      <c r="AE380" s="1135"/>
      <c r="AF380" s="1135"/>
      <c r="AG380" s="1135"/>
      <c r="AH380" s="1135"/>
      <c r="AI380" s="1135"/>
      <c r="AJ380" s="1135"/>
      <c r="AK380" s="1135"/>
      <c r="AL380" s="1135"/>
    </row>
    <row r="381" spans="2:38">
      <c r="B381" s="638"/>
      <c r="C381" s="1135"/>
      <c r="D381" s="1135"/>
      <c r="E381" s="1135"/>
      <c r="F381" s="1135"/>
      <c r="G381" s="1135"/>
      <c r="H381" s="1135"/>
      <c r="I381" s="3"/>
      <c r="J381" s="1135"/>
      <c r="K381" s="1135"/>
      <c r="L381" s="1135"/>
      <c r="M381" s="1135"/>
      <c r="N381" s="1135"/>
      <c r="O381" s="1135"/>
      <c r="P381" s="1135"/>
      <c r="Q381" s="1135"/>
      <c r="R381" s="1135"/>
      <c r="S381" s="1135"/>
      <c r="T381" s="1135"/>
      <c r="U381" s="1135"/>
      <c r="V381" s="1135"/>
      <c r="W381" s="1135"/>
      <c r="X381" s="1135"/>
      <c r="Y381" s="1135"/>
      <c r="Z381" s="131"/>
      <c r="AA381" s="1135"/>
      <c r="AB381" s="1135"/>
      <c r="AC381" s="1135"/>
      <c r="AD381" s="1135"/>
      <c r="AE381" s="1135"/>
      <c r="AF381" s="1135"/>
      <c r="AG381" s="1135"/>
      <c r="AH381" s="1135"/>
      <c r="AI381" s="1135"/>
      <c r="AJ381" s="1135"/>
      <c r="AK381" s="1135"/>
      <c r="AL381" s="1135"/>
    </row>
    <row r="382" spans="2:38">
      <c r="B382" s="638"/>
      <c r="C382" s="1135"/>
      <c r="D382" s="1135"/>
      <c r="E382" s="1135"/>
      <c r="F382" s="1135"/>
      <c r="G382" s="1135"/>
      <c r="H382" s="1135"/>
      <c r="I382" s="3"/>
      <c r="J382" s="1135"/>
      <c r="K382" s="1135"/>
      <c r="L382" s="1135"/>
      <c r="M382" s="1135"/>
      <c r="N382" s="1135"/>
      <c r="O382" s="1135"/>
      <c r="P382" s="1135"/>
      <c r="Q382" s="1135"/>
      <c r="R382" s="1135"/>
      <c r="S382" s="1135"/>
      <c r="T382" s="1135"/>
      <c r="U382" s="1135"/>
      <c r="V382" s="1135"/>
      <c r="W382" s="1135"/>
      <c r="X382" s="1135"/>
      <c r="Y382" s="1135"/>
      <c r="Z382" s="131"/>
      <c r="AA382" s="1135"/>
      <c r="AB382" s="1135"/>
      <c r="AC382" s="1135"/>
      <c r="AD382" s="1135"/>
      <c r="AE382" s="1135"/>
      <c r="AF382" s="1135"/>
      <c r="AG382" s="1135"/>
      <c r="AH382" s="1135"/>
      <c r="AI382" s="1135"/>
      <c r="AJ382" s="1135"/>
      <c r="AK382" s="1135"/>
      <c r="AL382" s="1135"/>
    </row>
    <row r="383" spans="2:38">
      <c r="B383" s="638"/>
      <c r="C383" s="1135"/>
      <c r="D383" s="1135"/>
      <c r="E383" s="1135"/>
      <c r="F383" s="1135"/>
      <c r="G383" s="1135"/>
      <c r="H383" s="1135"/>
      <c r="I383" s="3"/>
      <c r="J383" s="1135"/>
      <c r="K383" s="1135"/>
      <c r="L383" s="1135"/>
      <c r="M383" s="1135"/>
      <c r="N383" s="1135"/>
      <c r="O383" s="1135"/>
      <c r="P383" s="1135"/>
      <c r="Q383" s="1135"/>
      <c r="R383" s="1135"/>
      <c r="S383" s="1135"/>
      <c r="T383" s="1135"/>
      <c r="U383" s="1135"/>
      <c r="V383" s="1135"/>
      <c r="W383" s="1135"/>
      <c r="X383" s="1135"/>
      <c r="Y383" s="1135"/>
      <c r="Z383" s="131"/>
      <c r="AA383" s="1135"/>
      <c r="AB383" s="1135"/>
      <c r="AC383" s="1135"/>
      <c r="AD383" s="1135"/>
      <c r="AE383" s="1135"/>
      <c r="AF383" s="1135"/>
      <c r="AG383" s="1135"/>
      <c r="AH383" s="1135"/>
      <c r="AI383" s="1135"/>
      <c r="AJ383" s="1135"/>
      <c r="AK383" s="1135"/>
      <c r="AL383" s="1135"/>
    </row>
    <row r="384" spans="2:38">
      <c r="B384" s="638"/>
      <c r="C384" s="1135"/>
      <c r="D384" s="1135"/>
      <c r="E384" s="1135"/>
      <c r="F384" s="1135"/>
      <c r="G384" s="1135"/>
      <c r="H384" s="1135"/>
      <c r="I384" s="3"/>
      <c r="J384" s="1135"/>
      <c r="K384" s="1135"/>
      <c r="L384" s="1135"/>
      <c r="M384" s="1135"/>
      <c r="N384" s="1135"/>
      <c r="O384" s="1135"/>
      <c r="P384" s="1135"/>
      <c r="Q384" s="1135"/>
      <c r="R384" s="1135"/>
      <c r="S384" s="1135"/>
      <c r="T384" s="1135"/>
      <c r="U384" s="1135"/>
      <c r="V384" s="1135"/>
      <c r="W384" s="1135"/>
      <c r="X384" s="1135"/>
      <c r="Y384" s="1135"/>
      <c r="Z384" s="131"/>
      <c r="AA384" s="1135"/>
      <c r="AB384" s="1135"/>
      <c r="AC384" s="1135"/>
      <c r="AD384" s="1135"/>
      <c r="AE384" s="1135"/>
      <c r="AF384" s="1135"/>
      <c r="AG384" s="1135"/>
      <c r="AH384" s="1135"/>
      <c r="AI384" s="1135"/>
      <c r="AJ384" s="1135"/>
      <c r="AK384" s="1135"/>
      <c r="AL384" s="1135"/>
    </row>
    <row r="385" spans="2:38">
      <c r="B385" s="638"/>
      <c r="C385" s="1135"/>
      <c r="D385" s="1135"/>
      <c r="E385" s="1135"/>
      <c r="F385" s="1135"/>
      <c r="G385" s="1135"/>
      <c r="H385" s="1135"/>
      <c r="I385" s="3"/>
      <c r="J385" s="1135"/>
      <c r="K385" s="1135"/>
      <c r="L385" s="1135"/>
      <c r="M385" s="1135"/>
      <c r="N385" s="1135"/>
      <c r="O385" s="1135"/>
      <c r="P385" s="1135"/>
      <c r="Q385" s="1135"/>
      <c r="R385" s="1135"/>
      <c r="S385" s="1135"/>
      <c r="T385" s="1135"/>
      <c r="U385" s="1135"/>
      <c r="V385" s="1135"/>
      <c r="W385" s="1135"/>
      <c r="X385" s="1135"/>
      <c r="Y385" s="1135"/>
      <c r="Z385" s="131"/>
      <c r="AA385" s="1135"/>
      <c r="AB385" s="1135"/>
      <c r="AC385" s="1135"/>
      <c r="AD385" s="1135"/>
      <c r="AE385" s="1135"/>
      <c r="AF385" s="1135"/>
      <c r="AG385" s="1135"/>
      <c r="AH385" s="1135"/>
      <c r="AI385" s="1135"/>
      <c r="AJ385" s="1135"/>
      <c r="AK385" s="1135"/>
      <c r="AL385" s="1135"/>
    </row>
    <row r="386" spans="2:38">
      <c r="B386" s="638"/>
      <c r="C386" s="1135"/>
      <c r="D386" s="1135"/>
      <c r="E386" s="1135"/>
      <c r="F386" s="1135"/>
      <c r="G386" s="1135"/>
      <c r="H386" s="1135"/>
      <c r="I386" s="3"/>
      <c r="J386" s="1135"/>
      <c r="K386" s="1135"/>
      <c r="L386" s="1135"/>
      <c r="M386" s="1135"/>
      <c r="N386" s="1135"/>
      <c r="O386" s="1135"/>
      <c r="P386" s="1135"/>
      <c r="Q386" s="1135"/>
      <c r="R386" s="1135"/>
      <c r="S386" s="1135"/>
      <c r="T386" s="1135"/>
      <c r="U386" s="1135"/>
      <c r="V386" s="1135"/>
      <c r="W386" s="1135"/>
      <c r="X386" s="1135"/>
      <c r="Y386" s="1135"/>
      <c r="Z386" s="131"/>
      <c r="AA386" s="1135"/>
      <c r="AB386" s="1135"/>
      <c r="AC386" s="1135"/>
      <c r="AD386" s="1135"/>
      <c r="AE386" s="1135"/>
      <c r="AF386" s="1135"/>
      <c r="AG386" s="1135"/>
      <c r="AH386" s="1135"/>
      <c r="AI386" s="1135"/>
      <c r="AJ386" s="1135"/>
      <c r="AK386" s="1135"/>
      <c r="AL386" s="1135"/>
    </row>
    <row r="387" spans="2:38">
      <c r="B387" s="638"/>
      <c r="C387" s="1135"/>
      <c r="D387" s="1135"/>
      <c r="E387" s="1135"/>
      <c r="F387" s="1135"/>
      <c r="G387" s="1135"/>
      <c r="H387" s="1135"/>
      <c r="I387" s="3"/>
      <c r="J387" s="1135"/>
      <c r="K387" s="1135"/>
      <c r="L387" s="1135"/>
      <c r="M387" s="1135"/>
      <c r="N387" s="1135"/>
      <c r="O387" s="1135"/>
      <c r="P387" s="1135"/>
      <c r="Q387" s="1135"/>
      <c r="R387" s="1135"/>
      <c r="S387" s="1135"/>
      <c r="T387" s="1135"/>
      <c r="U387" s="1135"/>
      <c r="V387" s="1135"/>
      <c r="W387" s="1135"/>
      <c r="X387" s="1135"/>
      <c r="Y387" s="1135"/>
      <c r="Z387" s="131"/>
      <c r="AA387" s="1135"/>
      <c r="AB387" s="1135"/>
      <c r="AC387" s="1135"/>
      <c r="AD387" s="1135"/>
      <c r="AE387" s="1135"/>
      <c r="AF387" s="1135"/>
      <c r="AG387" s="1135"/>
      <c r="AH387" s="1135"/>
      <c r="AI387" s="1135"/>
      <c r="AJ387" s="1135"/>
      <c r="AK387" s="1135"/>
      <c r="AL387" s="1135"/>
    </row>
    <row r="388" spans="2:38">
      <c r="B388" s="638"/>
      <c r="C388" s="1135"/>
      <c r="D388" s="1135"/>
      <c r="E388" s="1135"/>
      <c r="F388" s="1135"/>
      <c r="G388" s="1135"/>
      <c r="H388" s="1135"/>
      <c r="I388" s="3"/>
      <c r="J388" s="1135"/>
      <c r="K388" s="1135"/>
      <c r="L388" s="1135"/>
      <c r="M388" s="1135"/>
      <c r="N388" s="1135"/>
      <c r="O388" s="1135"/>
      <c r="P388" s="1135"/>
      <c r="Q388" s="1135"/>
      <c r="R388" s="1135"/>
      <c r="S388" s="1135"/>
      <c r="T388" s="1135"/>
      <c r="U388" s="1135"/>
      <c r="V388" s="1135"/>
      <c r="W388" s="1135"/>
      <c r="X388" s="1135"/>
      <c r="Y388" s="1135"/>
      <c r="Z388" s="131"/>
      <c r="AA388" s="1135"/>
      <c r="AB388" s="1135"/>
      <c r="AC388" s="1135"/>
      <c r="AD388" s="1135"/>
      <c r="AE388" s="1135"/>
      <c r="AF388" s="1135"/>
      <c r="AG388" s="1135"/>
      <c r="AH388" s="1135"/>
      <c r="AI388" s="1135"/>
      <c r="AJ388" s="1135"/>
      <c r="AK388" s="1135"/>
      <c r="AL388" s="1135"/>
    </row>
    <row r="389" spans="2:38">
      <c r="B389" s="638"/>
      <c r="C389" s="1135"/>
      <c r="D389" s="1135"/>
      <c r="E389" s="1135"/>
      <c r="F389" s="1135"/>
      <c r="G389" s="1135"/>
      <c r="H389" s="1135"/>
      <c r="I389" s="3"/>
      <c r="J389" s="1135"/>
      <c r="K389" s="1135"/>
      <c r="L389" s="1135"/>
      <c r="M389" s="1135"/>
      <c r="N389" s="1135"/>
      <c r="O389" s="1135"/>
      <c r="P389" s="1135"/>
      <c r="Q389" s="1135"/>
      <c r="R389" s="1135"/>
      <c r="S389" s="1135"/>
      <c r="T389" s="1135"/>
      <c r="U389" s="1135"/>
      <c r="V389" s="1135"/>
      <c r="W389" s="1135"/>
      <c r="X389" s="1135"/>
      <c r="Y389" s="1135"/>
      <c r="Z389" s="131"/>
      <c r="AA389" s="1135"/>
      <c r="AB389" s="1135"/>
      <c r="AC389" s="1135"/>
      <c r="AD389" s="1135"/>
      <c r="AE389" s="1135"/>
      <c r="AF389" s="1135"/>
      <c r="AG389" s="1135"/>
      <c r="AH389" s="1135"/>
      <c r="AI389" s="1135"/>
      <c r="AJ389" s="1135"/>
      <c r="AK389" s="1135"/>
      <c r="AL389" s="1135"/>
    </row>
    <row r="390" spans="2:38">
      <c r="B390" s="638"/>
      <c r="C390" s="1135"/>
      <c r="D390" s="1135"/>
      <c r="E390" s="1135"/>
      <c r="F390" s="1135"/>
      <c r="G390" s="1135"/>
      <c r="H390" s="1135"/>
      <c r="I390" s="3"/>
      <c r="J390" s="1135"/>
      <c r="K390" s="1135"/>
      <c r="L390" s="1135"/>
      <c r="M390" s="1135"/>
      <c r="N390" s="1135"/>
      <c r="O390" s="1135"/>
      <c r="P390" s="1135"/>
      <c r="Q390" s="1135"/>
      <c r="R390" s="1135"/>
      <c r="S390" s="1135"/>
      <c r="T390" s="1135"/>
      <c r="U390" s="1135"/>
      <c r="V390" s="1135"/>
      <c r="W390" s="1135"/>
      <c r="X390" s="1135"/>
      <c r="Y390" s="1135"/>
      <c r="Z390" s="131"/>
      <c r="AA390" s="1135"/>
      <c r="AB390" s="1135"/>
      <c r="AC390" s="1135"/>
      <c r="AD390" s="1135"/>
      <c r="AE390" s="1135"/>
      <c r="AF390" s="1135"/>
      <c r="AG390" s="1135"/>
      <c r="AH390" s="1135"/>
      <c r="AI390" s="1135"/>
      <c r="AJ390" s="1135"/>
      <c r="AK390" s="1135"/>
      <c r="AL390" s="1135"/>
    </row>
    <row r="391" spans="2:38">
      <c r="B391" s="638"/>
      <c r="C391" s="1135"/>
      <c r="D391" s="1135"/>
      <c r="E391" s="1135"/>
      <c r="F391" s="1135"/>
      <c r="G391" s="1135"/>
      <c r="H391" s="1135"/>
      <c r="I391" s="3"/>
      <c r="J391" s="1135"/>
      <c r="K391" s="1135"/>
      <c r="L391" s="1135"/>
      <c r="M391" s="1135"/>
      <c r="N391" s="1135"/>
      <c r="O391" s="1135"/>
      <c r="P391" s="1135"/>
      <c r="Q391" s="1135"/>
      <c r="R391" s="1135"/>
      <c r="S391" s="1135"/>
      <c r="T391" s="1135"/>
      <c r="U391" s="1135"/>
      <c r="V391" s="1135"/>
      <c r="W391" s="1135"/>
      <c r="X391" s="1135"/>
      <c r="Y391" s="1135"/>
      <c r="Z391" s="131"/>
      <c r="AA391" s="1135"/>
      <c r="AB391" s="1135"/>
      <c r="AC391" s="1135"/>
      <c r="AD391" s="1135"/>
      <c r="AE391" s="1135"/>
      <c r="AF391" s="1135"/>
      <c r="AG391" s="1135"/>
      <c r="AH391" s="1135"/>
      <c r="AI391" s="1135"/>
      <c r="AJ391" s="1135"/>
      <c r="AK391" s="1135"/>
      <c r="AL391" s="1135"/>
    </row>
    <row r="392" spans="2:38">
      <c r="B392" s="638"/>
      <c r="C392" s="1135"/>
      <c r="D392" s="1135"/>
      <c r="E392" s="1135"/>
      <c r="F392" s="1135"/>
      <c r="G392" s="1135"/>
      <c r="H392" s="1135"/>
      <c r="I392" s="3"/>
      <c r="J392" s="1135"/>
      <c r="K392" s="1135"/>
      <c r="L392" s="1135"/>
      <c r="M392" s="1135"/>
      <c r="N392" s="1135"/>
      <c r="O392" s="1135"/>
      <c r="P392" s="1135"/>
      <c r="Q392" s="1135"/>
      <c r="R392" s="1135"/>
      <c r="S392" s="1135"/>
      <c r="T392" s="1135"/>
      <c r="U392" s="1135"/>
      <c r="V392" s="1135"/>
      <c r="W392" s="1135"/>
      <c r="X392" s="1135"/>
      <c r="Y392" s="1135"/>
      <c r="Z392" s="131"/>
      <c r="AA392" s="1135"/>
      <c r="AB392" s="1135"/>
      <c r="AC392" s="1135"/>
      <c r="AD392" s="1135"/>
      <c r="AE392" s="1135"/>
      <c r="AF392" s="1135"/>
      <c r="AG392" s="1135"/>
      <c r="AH392" s="1135"/>
      <c r="AI392" s="1135"/>
      <c r="AJ392" s="1135"/>
      <c r="AK392" s="1135"/>
      <c r="AL392" s="1135"/>
    </row>
    <row r="393" spans="2:38">
      <c r="B393" s="638"/>
      <c r="C393" s="1135"/>
      <c r="D393" s="1135"/>
      <c r="E393" s="1135"/>
      <c r="F393" s="1135"/>
      <c r="G393" s="1135"/>
      <c r="H393" s="1135"/>
      <c r="I393" s="3"/>
      <c r="J393" s="1135"/>
      <c r="K393" s="1135"/>
      <c r="L393" s="1135"/>
      <c r="M393" s="1135"/>
      <c r="N393" s="1135"/>
      <c r="O393" s="1135"/>
      <c r="P393" s="1135"/>
      <c r="Q393" s="1135"/>
      <c r="R393" s="1135"/>
      <c r="S393" s="1135"/>
      <c r="T393" s="1135"/>
      <c r="U393" s="1135"/>
      <c r="V393" s="1135"/>
      <c r="W393" s="1135"/>
      <c r="X393" s="1135"/>
      <c r="Y393" s="1135"/>
      <c r="Z393" s="131"/>
      <c r="AA393" s="1135"/>
      <c r="AB393" s="1135"/>
      <c r="AC393" s="1135"/>
      <c r="AD393" s="1135"/>
      <c r="AE393" s="1135"/>
      <c r="AF393" s="1135"/>
      <c r="AG393" s="1135"/>
      <c r="AH393" s="1135"/>
      <c r="AI393" s="1135"/>
      <c r="AJ393" s="1135"/>
      <c r="AK393" s="1135"/>
      <c r="AL393" s="1135"/>
    </row>
    <row r="394" spans="2:38">
      <c r="B394" s="638"/>
      <c r="C394" s="1135"/>
      <c r="D394" s="1135"/>
      <c r="E394" s="1135"/>
      <c r="F394" s="1135"/>
      <c r="G394" s="1135"/>
      <c r="H394" s="1135"/>
      <c r="I394" s="3"/>
      <c r="J394" s="1135"/>
      <c r="K394" s="1135"/>
      <c r="L394" s="1135"/>
      <c r="M394" s="1135"/>
      <c r="N394" s="1135"/>
      <c r="O394" s="1135"/>
      <c r="P394" s="1135"/>
      <c r="Q394" s="1135"/>
      <c r="R394" s="1135"/>
      <c r="S394" s="1135"/>
      <c r="T394" s="1135"/>
      <c r="U394" s="1135"/>
      <c r="V394" s="1135"/>
      <c r="W394" s="1135"/>
      <c r="X394" s="1135"/>
      <c r="Y394" s="1135"/>
      <c r="Z394" s="131"/>
      <c r="AA394" s="1135"/>
      <c r="AB394" s="1135"/>
      <c r="AC394" s="1135"/>
      <c r="AD394" s="1135"/>
      <c r="AE394" s="1135"/>
      <c r="AF394" s="1135"/>
      <c r="AG394" s="1135"/>
      <c r="AH394" s="1135"/>
      <c r="AI394" s="1135"/>
      <c r="AJ394" s="1135"/>
      <c r="AK394" s="1135"/>
      <c r="AL394" s="1135"/>
    </row>
    <row r="395" spans="2:38">
      <c r="B395" s="638"/>
      <c r="C395" s="1135"/>
      <c r="D395" s="1135"/>
      <c r="E395" s="1135"/>
      <c r="F395" s="1135"/>
      <c r="G395" s="1135"/>
      <c r="H395" s="1135"/>
      <c r="I395" s="3"/>
      <c r="J395" s="1135"/>
      <c r="K395" s="1135"/>
      <c r="L395" s="1135"/>
      <c r="M395" s="1135"/>
      <c r="N395" s="1135"/>
      <c r="O395" s="1135"/>
      <c r="P395" s="1135"/>
      <c r="Q395" s="1135"/>
      <c r="R395" s="1135"/>
      <c r="S395" s="1135"/>
      <c r="T395" s="1135"/>
      <c r="U395" s="1135"/>
      <c r="V395" s="1135"/>
      <c r="W395" s="1135"/>
      <c r="X395" s="1135"/>
      <c r="Y395" s="1135"/>
      <c r="Z395" s="131"/>
      <c r="AA395" s="1135"/>
      <c r="AB395" s="1135"/>
      <c r="AC395" s="1135"/>
      <c r="AD395" s="1135"/>
      <c r="AE395" s="1135"/>
      <c r="AF395" s="1135"/>
      <c r="AG395" s="1135"/>
      <c r="AH395" s="1135"/>
      <c r="AI395" s="1135"/>
      <c r="AJ395" s="1135"/>
      <c r="AK395" s="1135"/>
      <c r="AL395" s="1135"/>
    </row>
    <row r="396" spans="2:38">
      <c r="B396" s="638"/>
      <c r="C396" s="1135"/>
      <c r="D396" s="1135"/>
      <c r="E396" s="1135"/>
      <c r="F396" s="1135"/>
      <c r="G396" s="1135"/>
      <c r="H396" s="1135"/>
      <c r="I396" s="3"/>
      <c r="J396" s="1135"/>
      <c r="K396" s="1135"/>
      <c r="L396" s="1135"/>
      <c r="M396" s="1135"/>
      <c r="N396" s="1135"/>
      <c r="O396" s="1135"/>
      <c r="P396" s="1135"/>
      <c r="Q396" s="1135"/>
      <c r="R396" s="1135"/>
      <c r="S396" s="1135"/>
      <c r="T396" s="1135"/>
      <c r="U396" s="1135"/>
      <c r="V396" s="1135"/>
      <c r="W396" s="1135"/>
      <c r="X396" s="1135"/>
      <c r="Y396" s="1135"/>
      <c r="Z396" s="131"/>
      <c r="AA396" s="1135"/>
      <c r="AB396" s="1135"/>
      <c r="AC396" s="1135"/>
      <c r="AD396" s="1135"/>
      <c r="AE396" s="1135"/>
      <c r="AF396" s="1135"/>
      <c r="AG396" s="1135"/>
      <c r="AH396" s="1135"/>
      <c r="AI396" s="1135"/>
      <c r="AJ396" s="1135"/>
      <c r="AK396" s="1135"/>
      <c r="AL396" s="1135"/>
    </row>
    <row r="397" spans="2:38">
      <c r="B397" s="638"/>
      <c r="C397" s="1135"/>
      <c r="D397" s="1135"/>
      <c r="E397" s="1135"/>
      <c r="F397" s="1135"/>
      <c r="G397" s="1135"/>
      <c r="H397" s="1135"/>
      <c r="I397" s="3"/>
      <c r="J397" s="1135"/>
      <c r="K397" s="1135"/>
      <c r="L397" s="1135"/>
      <c r="M397" s="1135"/>
      <c r="N397" s="1135"/>
      <c r="O397" s="1135"/>
      <c r="P397" s="1135"/>
      <c r="Q397" s="1135"/>
      <c r="R397" s="1135"/>
      <c r="S397" s="1135"/>
      <c r="T397" s="1135"/>
      <c r="U397" s="1135"/>
      <c r="V397" s="1135"/>
      <c r="W397" s="1135"/>
      <c r="X397" s="1135"/>
      <c r="Y397" s="1135"/>
      <c r="Z397" s="131"/>
      <c r="AA397" s="1135"/>
      <c r="AB397" s="1135"/>
      <c r="AC397" s="1135"/>
      <c r="AD397" s="1135"/>
      <c r="AE397" s="1135"/>
      <c r="AF397" s="1135"/>
      <c r="AG397" s="1135"/>
      <c r="AH397" s="1135"/>
      <c r="AI397" s="1135"/>
      <c r="AJ397" s="1135"/>
      <c r="AK397" s="1135"/>
      <c r="AL397" s="1135"/>
    </row>
    <row r="398" spans="2:38">
      <c r="B398" s="638"/>
      <c r="C398" s="1135"/>
      <c r="D398" s="1135"/>
      <c r="E398" s="1135"/>
      <c r="F398" s="1135"/>
      <c r="G398" s="1135"/>
      <c r="H398" s="1135"/>
      <c r="I398" s="3"/>
      <c r="J398" s="1135"/>
      <c r="K398" s="1135"/>
      <c r="L398" s="1135"/>
      <c r="M398" s="1135"/>
      <c r="N398" s="1135"/>
      <c r="O398" s="1135"/>
      <c r="P398" s="1135"/>
      <c r="Q398" s="1135"/>
      <c r="R398" s="1135"/>
      <c r="S398" s="1135"/>
      <c r="T398" s="1135"/>
      <c r="U398" s="1135"/>
      <c r="V398" s="1135"/>
      <c r="W398" s="1135"/>
      <c r="X398" s="1135"/>
      <c r="Y398" s="1135"/>
      <c r="Z398" s="131"/>
      <c r="AA398" s="1135"/>
      <c r="AB398" s="1135"/>
      <c r="AC398" s="1135"/>
      <c r="AD398" s="1135"/>
      <c r="AE398" s="1135"/>
      <c r="AF398" s="1135"/>
      <c r="AG398" s="1135"/>
      <c r="AH398" s="1135"/>
      <c r="AI398" s="1135"/>
      <c r="AJ398" s="1135"/>
      <c r="AK398" s="1135"/>
      <c r="AL398" s="1135"/>
    </row>
    <row r="399" spans="2:38">
      <c r="B399" s="638"/>
      <c r="C399" s="1135"/>
      <c r="D399" s="1135"/>
      <c r="E399" s="1135"/>
      <c r="F399" s="1135"/>
      <c r="G399" s="1135"/>
      <c r="H399" s="1135"/>
      <c r="I399" s="3"/>
      <c r="J399" s="1135"/>
      <c r="K399" s="1135"/>
      <c r="L399" s="1135"/>
      <c r="M399" s="1135"/>
      <c r="N399" s="1135"/>
      <c r="O399" s="1135"/>
      <c r="P399" s="1135"/>
      <c r="Q399" s="1135"/>
      <c r="R399" s="1135"/>
      <c r="S399" s="1135"/>
      <c r="T399" s="1135"/>
      <c r="U399" s="1135"/>
      <c r="V399" s="1135"/>
      <c r="W399" s="1135"/>
      <c r="X399" s="1135"/>
      <c r="Y399" s="1135"/>
      <c r="Z399" s="131"/>
      <c r="AA399" s="1135"/>
      <c r="AB399" s="1135"/>
      <c r="AC399" s="1135"/>
      <c r="AD399" s="1135"/>
      <c r="AE399" s="1135"/>
      <c r="AF399" s="1135"/>
      <c r="AG399" s="1135"/>
      <c r="AH399" s="1135"/>
      <c r="AI399" s="1135"/>
      <c r="AJ399" s="1135"/>
      <c r="AK399" s="1135"/>
      <c r="AL399" s="1135"/>
    </row>
    <row r="400" spans="2:38">
      <c r="B400" s="638"/>
      <c r="C400" s="1135"/>
      <c r="D400" s="1135"/>
      <c r="E400" s="1135"/>
      <c r="F400" s="1135"/>
      <c r="G400" s="1135"/>
      <c r="H400" s="1135"/>
      <c r="I400" s="3"/>
      <c r="J400" s="1135"/>
      <c r="K400" s="1135"/>
      <c r="L400" s="1135"/>
      <c r="M400" s="1135"/>
      <c r="N400" s="1135"/>
      <c r="O400" s="1135"/>
      <c r="P400" s="1135"/>
      <c r="Q400" s="1135"/>
      <c r="R400" s="1135"/>
      <c r="S400" s="1135"/>
      <c r="T400" s="1135"/>
      <c r="U400" s="1135"/>
      <c r="V400" s="1135"/>
      <c r="W400" s="1135"/>
      <c r="X400" s="1135"/>
      <c r="Y400" s="1135"/>
      <c r="Z400" s="131"/>
      <c r="AA400" s="1135"/>
      <c r="AB400" s="1135"/>
      <c r="AC400" s="1135"/>
      <c r="AD400" s="1135"/>
      <c r="AE400" s="1135"/>
      <c r="AF400" s="1135"/>
      <c r="AG400" s="1135"/>
      <c r="AH400" s="1135"/>
      <c r="AI400" s="1135"/>
      <c r="AJ400" s="1135"/>
      <c r="AK400" s="1135"/>
      <c r="AL400" s="1135"/>
    </row>
    <row r="401" spans="2:38">
      <c r="B401" s="638"/>
      <c r="C401" s="1135"/>
      <c r="D401" s="1135"/>
      <c r="E401" s="1135"/>
      <c r="F401" s="1135"/>
      <c r="G401" s="1135"/>
      <c r="H401" s="1135"/>
      <c r="I401" s="3"/>
      <c r="J401" s="1135"/>
      <c r="K401" s="1135"/>
      <c r="L401" s="1135"/>
      <c r="M401" s="1135"/>
      <c r="N401" s="1135"/>
      <c r="O401" s="1135"/>
      <c r="P401" s="1135"/>
      <c r="Q401" s="1135"/>
      <c r="R401" s="1135"/>
      <c r="S401" s="1135"/>
      <c r="T401" s="1135"/>
      <c r="U401" s="1135"/>
      <c r="V401" s="1135"/>
      <c r="W401" s="1135"/>
      <c r="X401" s="1135"/>
      <c r="Y401" s="1135"/>
      <c r="Z401" s="131"/>
      <c r="AA401" s="1135"/>
      <c r="AB401" s="1135"/>
      <c r="AC401" s="1135"/>
      <c r="AD401" s="1135"/>
      <c r="AE401" s="1135"/>
      <c r="AF401" s="1135"/>
      <c r="AG401" s="1135"/>
      <c r="AH401" s="1135"/>
      <c r="AI401" s="1135"/>
      <c r="AJ401" s="1135"/>
      <c r="AK401" s="1135"/>
      <c r="AL401" s="1135"/>
    </row>
    <row r="402" spans="2:38">
      <c r="B402" s="638"/>
      <c r="C402" s="1135"/>
      <c r="D402" s="1135"/>
      <c r="E402" s="1135"/>
      <c r="F402" s="1135"/>
      <c r="G402" s="1135"/>
      <c r="H402" s="1135"/>
      <c r="I402" s="3"/>
      <c r="J402" s="1135"/>
      <c r="K402" s="1135"/>
      <c r="L402" s="1135"/>
      <c r="M402" s="1135"/>
      <c r="N402" s="1135"/>
      <c r="O402" s="1135"/>
      <c r="P402" s="1135"/>
      <c r="Q402" s="1135"/>
      <c r="R402" s="1135"/>
      <c r="S402" s="1135"/>
      <c r="T402" s="1135"/>
      <c r="U402" s="1135"/>
      <c r="V402" s="1135"/>
      <c r="W402" s="1135"/>
      <c r="X402" s="1135"/>
      <c r="Y402" s="1135"/>
      <c r="Z402" s="131"/>
      <c r="AA402" s="1135"/>
      <c r="AB402" s="1135"/>
      <c r="AC402" s="1135"/>
      <c r="AD402" s="1135"/>
      <c r="AE402" s="1135"/>
      <c r="AF402" s="1135"/>
      <c r="AG402" s="1135"/>
      <c r="AH402" s="1135"/>
      <c r="AI402" s="1135"/>
      <c r="AJ402" s="1135"/>
      <c r="AK402" s="1135"/>
      <c r="AL402" s="1135"/>
    </row>
    <row r="403" spans="2:38">
      <c r="B403" s="638"/>
      <c r="C403" s="1135"/>
      <c r="D403" s="1135"/>
      <c r="E403" s="1135"/>
      <c r="F403" s="1135"/>
      <c r="G403" s="1135"/>
      <c r="H403" s="1135"/>
      <c r="I403" s="3"/>
      <c r="J403" s="1135"/>
      <c r="K403" s="1135"/>
      <c r="L403" s="1135"/>
      <c r="M403" s="1135"/>
      <c r="N403" s="1135"/>
      <c r="O403" s="1135"/>
      <c r="P403" s="1135"/>
      <c r="Q403" s="1135"/>
      <c r="R403" s="1135"/>
      <c r="S403" s="1135"/>
      <c r="T403" s="1135"/>
      <c r="U403" s="1135"/>
      <c r="V403" s="1135"/>
      <c r="W403" s="1135"/>
      <c r="X403" s="1135"/>
      <c r="Y403" s="1135"/>
      <c r="Z403" s="131"/>
      <c r="AA403" s="1135"/>
      <c r="AB403" s="1135"/>
      <c r="AC403" s="1135"/>
      <c r="AD403" s="1135"/>
      <c r="AE403" s="1135"/>
      <c r="AF403" s="1135"/>
      <c r="AG403" s="1135"/>
      <c r="AH403" s="1135"/>
      <c r="AI403" s="1135"/>
      <c r="AJ403" s="1135"/>
      <c r="AK403" s="1135"/>
      <c r="AL403" s="1135"/>
    </row>
    <row r="404" spans="2:38">
      <c r="B404" s="638"/>
      <c r="C404" s="1135"/>
      <c r="D404" s="1135"/>
      <c r="E404" s="1135"/>
      <c r="F404" s="1135"/>
      <c r="G404" s="1135"/>
      <c r="H404" s="1135"/>
      <c r="I404" s="3"/>
      <c r="J404" s="1135"/>
      <c r="K404" s="1135"/>
      <c r="L404" s="1135"/>
      <c r="M404" s="1135"/>
      <c r="N404" s="1135"/>
      <c r="O404" s="1135"/>
      <c r="P404" s="1135"/>
      <c r="Q404" s="1135"/>
      <c r="R404" s="1135"/>
      <c r="S404" s="1135"/>
      <c r="T404" s="1135"/>
      <c r="U404" s="1135"/>
      <c r="V404" s="1135"/>
      <c r="W404" s="1135"/>
      <c r="X404" s="1135"/>
      <c r="Y404" s="1135"/>
      <c r="Z404" s="131"/>
      <c r="AA404" s="1135"/>
      <c r="AB404" s="1135"/>
      <c r="AC404" s="1135"/>
      <c r="AD404" s="1135"/>
      <c r="AE404" s="1135"/>
      <c r="AF404" s="1135"/>
      <c r="AG404" s="1135"/>
      <c r="AH404" s="1135"/>
      <c r="AI404" s="1135"/>
      <c r="AJ404" s="1135"/>
      <c r="AK404" s="1135"/>
      <c r="AL404" s="1135"/>
    </row>
    <row r="405" spans="2:38">
      <c r="B405" s="638"/>
      <c r="C405" s="1135"/>
      <c r="D405" s="1135"/>
      <c r="E405" s="1135"/>
      <c r="F405" s="1135"/>
      <c r="G405" s="1135"/>
      <c r="H405" s="1135"/>
      <c r="I405" s="3"/>
      <c r="J405" s="1135"/>
      <c r="K405" s="1135"/>
      <c r="L405" s="1135"/>
      <c r="M405" s="1135"/>
      <c r="N405" s="1135"/>
      <c r="O405" s="1135"/>
      <c r="P405" s="1135"/>
      <c r="Q405" s="1135"/>
      <c r="R405" s="1135"/>
      <c r="S405" s="1135"/>
      <c r="T405" s="1135"/>
      <c r="U405" s="1135"/>
      <c r="V405" s="1135"/>
      <c r="W405" s="1135"/>
      <c r="X405" s="1135"/>
      <c r="Y405" s="1135"/>
      <c r="Z405" s="131"/>
      <c r="AA405" s="1135"/>
      <c r="AB405" s="1135"/>
      <c r="AC405" s="1135"/>
      <c r="AD405" s="1135"/>
      <c r="AE405" s="1135"/>
      <c r="AF405" s="1135"/>
      <c r="AG405" s="1135"/>
      <c r="AH405" s="1135"/>
      <c r="AI405" s="1135"/>
      <c r="AJ405" s="1135"/>
      <c r="AK405" s="1135"/>
      <c r="AL405" s="1135"/>
    </row>
    <row r="406" spans="2:38">
      <c r="B406" s="638"/>
      <c r="C406" s="1135"/>
      <c r="D406" s="1135"/>
      <c r="E406" s="1135"/>
      <c r="F406" s="1135"/>
      <c r="G406" s="1135"/>
      <c r="H406" s="1135"/>
      <c r="I406" s="3"/>
      <c r="J406" s="1135"/>
      <c r="K406" s="1135"/>
      <c r="L406" s="1135"/>
      <c r="M406" s="1135"/>
      <c r="N406" s="1135"/>
      <c r="O406" s="1135"/>
      <c r="P406" s="1135"/>
      <c r="Q406" s="1135"/>
      <c r="R406" s="1135"/>
      <c r="S406" s="1135"/>
      <c r="T406" s="1135"/>
      <c r="U406" s="1135"/>
      <c r="V406" s="1135"/>
      <c r="W406" s="1135"/>
      <c r="X406" s="1135"/>
      <c r="Y406" s="1135"/>
      <c r="Z406" s="131"/>
      <c r="AA406" s="1135"/>
      <c r="AB406" s="1135"/>
      <c r="AC406" s="1135"/>
      <c r="AD406" s="1135"/>
      <c r="AE406" s="1135"/>
      <c r="AF406" s="1135"/>
      <c r="AG406" s="1135"/>
      <c r="AH406" s="1135"/>
      <c r="AI406" s="1135"/>
      <c r="AJ406" s="1135"/>
      <c r="AK406" s="1135"/>
      <c r="AL406" s="1135"/>
    </row>
    <row r="407" spans="2:38">
      <c r="B407" s="638"/>
      <c r="C407" s="1135"/>
      <c r="D407" s="1135"/>
      <c r="E407" s="1135"/>
      <c r="F407" s="1135"/>
      <c r="G407" s="1135"/>
      <c r="H407" s="1135"/>
      <c r="I407" s="3"/>
      <c r="J407" s="1135"/>
      <c r="K407" s="1135"/>
      <c r="L407" s="1135"/>
      <c r="M407" s="1135"/>
      <c r="N407" s="1135"/>
      <c r="O407" s="1135"/>
      <c r="P407" s="1135"/>
      <c r="Q407" s="1135"/>
      <c r="R407" s="1135"/>
      <c r="S407" s="1135"/>
      <c r="T407" s="1135"/>
      <c r="U407" s="1135"/>
      <c r="V407" s="1135"/>
      <c r="W407" s="1135"/>
      <c r="X407" s="1135"/>
      <c r="Y407" s="1135"/>
      <c r="Z407" s="131"/>
      <c r="AA407" s="1135"/>
      <c r="AB407" s="1135"/>
      <c r="AC407" s="1135"/>
      <c r="AD407" s="1135"/>
      <c r="AE407" s="1135"/>
      <c r="AF407" s="1135"/>
      <c r="AG407" s="1135"/>
      <c r="AH407" s="1135"/>
      <c r="AI407" s="1135"/>
      <c r="AJ407" s="1135"/>
      <c r="AK407" s="1135"/>
      <c r="AL407" s="1135"/>
    </row>
    <row r="408" spans="2:38">
      <c r="B408" s="638"/>
      <c r="C408" s="1135"/>
      <c r="D408" s="1135"/>
      <c r="E408" s="1135"/>
      <c r="F408" s="1135"/>
      <c r="G408" s="1135"/>
      <c r="H408" s="1135"/>
      <c r="I408" s="3"/>
      <c r="J408" s="1135"/>
      <c r="K408" s="1135"/>
      <c r="L408" s="1135"/>
      <c r="M408" s="1135"/>
      <c r="N408" s="1135"/>
      <c r="O408" s="1135"/>
      <c r="P408" s="1135"/>
      <c r="Q408" s="1135"/>
      <c r="R408" s="1135"/>
      <c r="S408" s="1135"/>
      <c r="T408" s="1135"/>
      <c r="U408" s="1135"/>
      <c r="V408" s="1135"/>
      <c r="W408" s="1135"/>
      <c r="X408" s="1135"/>
      <c r="Y408" s="1135"/>
      <c r="Z408" s="131"/>
      <c r="AA408" s="1135"/>
      <c r="AB408" s="1135"/>
      <c r="AC408" s="1135"/>
      <c r="AD408" s="1135"/>
      <c r="AE408" s="1135"/>
      <c r="AF408" s="1135"/>
      <c r="AG408" s="1135"/>
      <c r="AH408" s="1135"/>
      <c r="AI408" s="1136"/>
      <c r="AJ408" s="1136"/>
      <c r="AK408" s="1136"/>
      <c r="AL408" s="1136"/>
    </row>
    <row r="409" spans="2:38">
      <c r="B409" s="638"/>
      <c r="C409" s="1135"/>
      <c r="D409" s="1135"/>
      <c r="E409" s="1135"/>
      <c r="F409" s="1135"/>
      <c r="G409" s="1135"/>
      <c r="H409" s="1135"/>
      <c r="I409" s="3"/>
      <c r="J409" s="1135"/>
      <c r="K409" s="1135"/>
      <c r="L409" s="1135"/>
      <c r="M409" s="1135"/>
      <c r="N409" s="1135"/>
      <c r="O409" s="1135"/>
      <c r="P409" s="1135"/>
      <c r="Q409" s="1135"/>
      <c r="R409" s="1135"/>
      <c r="S409" s="1135"/>
      <c r="T409" s="1135"/>
      <c r="U409" s="1135"/>
      <c r="V409" s="1135"/>
      <c r="W409" s="1135"/>
      <c r="X409" s="1135"/>
      <c r="Y409" s="1135"/>
      <c r="Z409" s="131"/>
      <c r="AA409" s="1135"/>
      <c r="AB409" s="1135"/>
      <c r="AC409" s="1135"/>
      <c r="AD409" s="1135"/>
      <c r="AE409" s="1135"/>
      <c r="AF409" s="1135"/>
      <c r="AG409" s="1135"/>
      <c r="AH409" s="1135"/>
      <c r="AI409" s="1136"/>
      <c r="AJ409" s="1136"/>
      <c r="AK409" s="1136"/>
      <c r="AL409" s="1136"/>
    </row>
    <row r="410" spans="2:38">
      <c r="B410" s="638"/>
      <c r="C410" s="1135"/>
      <c r="D410" s="1135"/>
      <c r="E410" s="1135"/>
      <c r="F410" s="1135"/>
      <c r="G410" s="1135"/>
      <c r="H410" s="1135"/>
      <c r="I410" s="3"/>
      <c r="J410" s="1135"/>
      <c r="K410" s="1135"/>
      <c r="L410" s="1135"/>
      <c r="M410" s="1135"/>
      <c r="N410" s="1135"/>
      <c r="O410" s="1135"/>
      <c r="P410" s="1135"/>
      <c r="Q410" s="1135"/>
      <c r="R410" s="1135"/>
      <c r="S410" s="1135"/>
      <c r="T410" s="1135"/>
      <c r="U410" s="1135"/>
      <c r="V410" s="1135"/>
      <c r="W410" s="1135"/>
      <c r="X410" s="1135"/>
      <c r="Y410" s="1135"/>
      <c r="Z410" s="131"/>
      <c r="AA410" s="1135"/>
      <c r="AB410" s="1135"/>
      <c r="AC410" s="1135"/>
      <c r="AD410" s="1135"/>
      <c r="AE410" s="1135"/>
      <c r="AF410" s="1135"/>
      <c r="AG410" s="1135"/>
      <c r="AH410" s="1135"/>
      <c r="AI410" s="1136"/>
      <c r="AJ410" s="1136"/>
      <c r="AK410" s="1136"/>
      <c r="AL410" s="1136"/>
    </row>
    <row r="411" spans="2:38">
      <c r="B411" s="638"/>
      <c r="C411" s="1135"/>
      <c r="D411" s="1135"/>
      <c r="E411" s="1135"/>
      <c r="F411" s="1135"/>
      <c r="G411" s="1135"/>
      <c r="H411" s="1135"/>
      <c r="I411" s="3"/>
      <c r="J411" s="1135"/>
      <c r="K411" s="1135"/>
      <c r="L411" s="1135"/>
      <c r="M411" s="1135"/>
      <c r="N411" s="1135"/>
      <c r="O411" s="1135"/>
      <c r="P411" s="1135"/>
      <c r="Q411" s="1135"/>
      <c r="R411" s="1135"/>
      <c r="S411" s="1135"/>
      <c r="T411" s="1135"/>
      <c r="U411" s="1135"/>
      <c r="V411" s="1135"/>
      <c r="W411" s="1135"/>
      <c r="X411" s="1135"/>
      <c r="Y411" s="1135"/>
      <c r="Z411" s="131"/>
      <c r="AA411" s="1135"/>
      <c r="AB411" s="1135"/>
      <c r="AC411" s="1135"/>
      <c r="AD411" s="1135"/>
      <c r="AE411" s="1135"/>
      <c r="AF411" s="1135"/>
      <c r="AG411" s="1135"/>
      <c r="AH411" s="1135"/>
      <c r="AI411" s="1136"/>
      <c r="AJ411" s="1136"/>
      <c r="AK411" s="1136"/>
      <c r="AL411" s="1136"/>
    </row>
    <row r="412" spans="2:38">
      <c r="B412" s="638"/>
      <c r="C412" s="1135"/>
      <c r="D412" s="1135"/>
      <c r="E412" s="1135"/>
      <c r="F412" s="1135"/>
      <c r="G412" s="1135"/>
      <c r="H412" s="1135"/>
      <c r="I412" s="3"/>
      <c r="J412" s="1135"/>
      <c r="K412" s="1135"/>
      <c r="L412" s="1135"/>
      <c r="M412" s="1135"/>
      <c r="N412" s="1135"/>
      <c r="O412" s="1135"/>
      <c r="P412" s="1135"/>
      <c r="Q412" s="1135"/>
      <c r="R412" s="1135"/>
      <c r="S412" s="1135"/>
      <c r="T412" s="1135"/>
      <c r="U412" s="1135"/>
      <c r="V412" s="1135"/>
      <c r="W412" s="1135"/>
      <c r="X412" s="1135"/>
      <c r="Y412" s="1135"/>
      <c r="Z412" s="46"/>
      <c r="AA412" s="1135"/>
      <c r="AB412" s="1135"/>
      <c r="AC412" s="1135"/>
      <c r="AD412" s="1135"/>
      <c r="AE412" s="1135"/>
      <c r="AF412" s="1135"/>
      <c r="AG412" s="1135"/>
      <c r="AH412" s="1135"/>
      <c r="AI412" s="1136"/>
      <c r="AJ412" s="1136"/>
      <c r="AK412" s="1136"/>
      <c r="AL412" s="1136"/>
    </row>
    <row r="413" spans="2:38">
      <c r="B413" s="638"/>
      <c r="C413" s="1136"/>
      <c r="D413" s="1136"/>
      <c r="E413" s="1136"/>
      <c r="F413" s="1136"/>
      <c r="G413" s="1136"/>
      <c r="H413" s="1136"/>
      <c r="J413" s="1136"/>
      <c r="K413" s="1136"/>
      <c r="L413" s="1136"/>
      <c r="M413" s="1136"/>
      <c r="N413" s="1136"/>
      <c r="O413" s="1136"/>
      <c r="P413" s="1136"/>
      <c r="Q413" s="1136"/>
      <c r="R413" s="1136"/>
      <c r="S413" s="1136"/>
      <c r="T413" s="1136"/>
      <c r="U413" s="1136"/>
      <c r="V413" s="1136"/>
      <c r="W413" s="1136"/>
      <c r="X413" s="1136"/>
      <c r="Y413" s="1136"/>
      <c r="Z413" s="46"/>
      <c r="AA413" s="1135"/>
      <c r="AB413" s="1135"/>
      <c r="AC413" s="1135"/>
      <c r="AD413" s="1135"/>
      <c r="AE413" s="1135"/>
      <c r="AF413" s="1135"/>
      <c r="AG413" s="1135"/>
      <c r="AH413" s="1135"/>
      <c r="AI413" s="1136"/>
      <c r="AJ413" s="1136"/>
      <c r="AK413" s="1136"/>
      <c r="AL413" s="1136"/>
    </row>
    <row r="414" spans="2:38">
      <c r="B414" s="638"/>
      <c r="C414" s="1136"/>
      <c r="D414" s="1136"/>
      <c r="E414" s="1136"/>
      <c r="F414" s="1136"/>
      <c r="G414" s="1136"/>
      <c r="H414" s="1136"/>
      <c r="J414" s="1136"/>
      <c r="K414" s="1136"/>
      <c r="L414" s="1136"/>
      <c r="M414" s="1136"/>
      <c r="N414" s="1136"/>
      <c r="O414" s="1136"/>
      <c r="P414" s="1136"/>
      <c r="Q414" s="1136"/>
      <c r="R414" s="1136"/>
      <c r="S414" s="1136"/>
      <c r="T414" s="1136"/>
      <c r="U414" s="1136"/>
      <c r="V414" s="1136"/>
      <c r="W414" s="1136"/>
      <c r="X414" s="1136"/>
      <c r="Y414" s="1136"/>
      <c r="Z414" s="46"/>
      <c r="AA414" s="1135"/>
      <c r="AB414" s="1135"/>
      <c r="AC414" s="1135"/>
      <c r="AD414" s="1135"/>
      <c r="AE414" s="1135"/>
      <c r="AF414" s="1135"/>
      <c r="AG414" s="1135"/>
      <c r="AH414" s="1135"/>
      <c r="AI414" s="1136"/>
      <c r="AJ414" s="1136"/>
      <c r="AK414" s="1136"/>
      <c r="AL414" s="1136"/>
    </row>
    <row r="415" spans="2:38">
      <c r="B415" s="638"/>
      <c r="C415" s="1136"/>
      <c r="D415" s="1136"/>
      <c r="E415" s="1136"/>
      <c r="F415" s="1136"/>
      <c r="G415" s="1136"/>
      <c r="H415" s="1136"/>
      <c r="J415" s="1136"/>
      <c r="K415" s="1136"/>
      <c r="L415" s="1136"/>
      <c r="M415" s="1136"/>
      <c r="N415" s="1136"/>
      <c r="O415" s="1136"/>
      <c r="P415" s="1136"/>
      <c r="Q415" s="1136"/>
      <c r="R415" s="1136"/>
      <c r="S415" s="1136"/>
      <c r="T415" s="1136"/>
      <c r="U415" s="1136"/>
      <c r="V415" s="1136"/>
      <c r="W415" s="1136"/>
      <c r="X415" s="1136"/>
      <c r="Y415" s="1136"/>
      <c r="Z415" s="46"/>
      <c r="AA415" s="1135"/>
      <c r="AB415" s="1135"/>
      <c r="AC415" s="1135"/>
      <c r="AD415" s="1135"/>
      <c r="AE415" s="1135"/>
      <c r="AF415" s="1135"/>
      <c r="AG415" s="1135"/>
      <c r="AH415" s="1135"/>
      <c r="AI415" s="1136"/>
      <c r="AJ415" s="1136"/>
      <c r="AK415" s="1136"/>
      <c r="AL415" s="1136"/>
    </row>
    <row r="416" spans="2:38">
      <c r="B416" s="638"/>
      <c r="C416" s="1136"/>
      <c r="D416" s="1136"/>
      <c r="E416" s="1136"/>
      <c r="F416" s="1136"/>
      <c r="G416" s="1136"/>
      <c r="H416" s="1136"/>
      <c r="J416" s="1136"/>
      <c r="K416" s="1136"/>
      <c r="L416" s="1136"/>
      <c r="M416" s="1136"/>
      <c r="N416" s="1136"/>
      <c r="O416" s="1136"/>
      <c r="P416" s="1136"/>
      <c r="Q416" s="1136"/>
      <c r="R416" s="1136"/>
      <c r="S416" s="1136"/>
      <c r="T416" s="1136"/>
      <c r="U416" s="1136"/>
      <c r="V416" s="1136"/>
      <c r="W416" s="1136"/>
      <c r="X416" s="1136"/>
      <c r="Y416" s="1136"/>
      <c r="Z416" s="46"/>
      <c r="AA416" s="1135"/>
      <c r="AB416" s="1135"/>
      <c r="AC416" s="1135"/>
      <c r="AD416" s="1135"/>
      <c r="AE416" s="1135"/>
      <c r="AF416" s="1135"/>
      <c r="AG416" s="1135"/>
      <c r="AH416" s="1135"/>
      <c r="AI416" s="1136"/>
      <c r="AJ416" s="1136"/>
      <c r="AK416" s="1136"/>
      <c r="AL416" s="1136"/>
    </row>
    <row r="417" spans="2:38">
      <c r="B417" s="638"/>
      <c r="C417" s="1136"/>
      <c r="D417" s="1136"/>
      <c r="E417" s="1136"/>
      <c r="F417" s="1136"/>
      <c r="G417" s="1136"/>
      <c r="H417" s="1136"/>
      <c r="J417" s="1136"/>
      <c r="K417" s="1136"/>
      <c r="L417" s="1136"/>
      <c r="M417" s="1136"/>
      <c r="N417" s="1136"/>
      <c r="O417" s="1136"/>
      <c r="P417" s="1136"/>
      <c r="Q417" s="1136"/>
      <c r="R417" s="1136"/>
      <c r="S417" s="1136"/>
      <c r="T417" s="1136"/>
      <c r="U417" s="1136"/>
      <c r="V417" s="1136"/>
      <c r="W417" s="1136"/>
      <c r="X417" s="1136"/>
      <c r="Y417" s="1136"/>
      <c r="Z417" s="46"/>
      <c r="AA417" s="1135"/>
      <c r="AB417" s="1135"/>
      <c r="AC417" s="1135"/>
      <c r="AD417" s="1135"/>
      <c r="AE417" s="1135"/>
      <c r="AF417" s="1135"/>
      <c r="AG417" s="1135"/>
      <c r="AH417" s="1135"/>
      <c r="AI417" s="1136"/>
      <c r="AJ417" s="1136"/>
      <c r="AK417" s="1136"/>
      <c r="AL417" s="1136"/>
    </row>
    <row r="418" spans="2:38">
      <c r="B418" s="638"/>
      <c r="C418" s="1136"/>
      <c r="D418" s="1136"/>
      <c r="E418" s="1136"/>
      <c r="F418" s="1136"/>
      <c r="G418" s="1136"/>
      <c r="H418" s="1136"/>
      <c r="J418" s="1136"/>
      <c r="K418" s="1136"/>
      <c r="L418" s="1136"/>
      <c r="M418" s="1136"/>
      <c r="N418" s="1136"/>
      <c r="O418" s="1136"/>
      <c r="P418" s="1136"/>
      <c r="Q418" s="1136"/>
      <c r="R418" s="1136"/>
      <c r="S418" s="1136"/>
      <c r="T418" s="1136"/>
      <c r="U418" s="1136"/>
      <c r="V418" s="1136"/>
      <c r="W418" s="1136"/>
      <c r="X418" s="1136"/>
      <c r="Y418" s="1136"/>
      <c r="Z418" s="46"/>
      <c r="AA418" s="1135"/>
      <c r="AB418" s="1135"/>
      <c r="AC418" s="1135"/>
      <c r="AD418" s="1135"/>
      <c r="AE418" s="1135"/>
      <c r="AF418" s="1135"/>
      <c r="AG418" s="1135"/>
      <c r="AH418" s="1135"/>
      <c r="AI418" s="1136"/>
      <c r="AJ418" s="1136"/>
      <c r="AK418" s="1136"/>
      <c r="AL418" s="1136"/>
    </row>
    <row r="419" spans="2:38">
      <c r="B419" s="638"/>
      <c r="C419" s="1136"/>
      <c r="D419" s="1136"/>
      <c r="E419" s="1136"/>
      <c r="F419" s="1136"/>
      <c r="G419" s="1136"/>
      <c r="H419" s="1136"/>
      <c r="J419" s="1136"/>
      <c r="K419" s="1136"/>
      <c r="L419" s="1136"/>
      <c r="M419" s="1136"/>
      <c r="N419" s="1136"/>
      <c r="O419" s="1136"/>
      <c r="P419" s="1136"/>
      <c r="Q419" s="1136"/>
      <c r="R419" s="1136"/>
      <c r="S419" s="1136"/>
      <c r="T419" s="1136"/>
      <c r="U419" s="1136"/>
      <c r="V419" s="1136"/>
      <c r="W419" s="1136"/>
      <c r="X419" s="1136"/>
      <c r="Y419" s="1136"/>
      <c r="Z419" s="46"/>
      <c r="AA419" s="1135"/>
      <c r="AB419" s="1135"/>
      <c r="AC419" s="1135"/>
      <c r="AD419" s="1135"/>
      <c r="AE419" s="1135"/>
      <c r="AF419" s="1135"/>
      <c r="AG419" s="1135"/>
      <c r="AH419" s="1135"/>
      <c r="AI419" s="1136"/>
      <c r="AJ419" s="1136"/>
      <c r="AK419" s="1136"/>
      <c r="AL419" s="1136"/>
    </row>
    <row r="420" spans="2:38">
      <c r="B420" s="638"/>
      <c r="C420" s="1136"/>
      <c r="D420" s="1136"/>
      <c r="E420" s="1136"/>
      <c r="F420" s="1136"/>
      <c r="G420" s="1136"/>
      <c r="H420" s="1136"/>
      <c r="J420" s="1136"/>
      <c r="K420" s="1136"/>
      <c r="L420" s="1136"/>
      <c r="M420" s="1136"/>
      <c r="N420" s="1136"/>
      <c r="O420" s="1136"/>
      <c r="P420" s="1136"/>
      <c r="Q420" s="1136"/>
      <c r="R420" s="1136"/>
      <c r="S420" s="1136"/>
      <c r="T420" s="1136"/>
      <c r="U420" s="1136"/>
      <c r="V420" s="1136"/>
      <c r="W420" s="1136"/>
      <c r="X420" s="1136"/>
      <c r="Y420" s="1136"/>
      <c r="Z420" s="46"/>
      <c r="AA420" s="1135"/>
      <c r="AB420" s="1135"/>
      <c r="AC420" s="1135"/>
      <c r="AD420" s="1135"/>
      <c r="AE420" s="1135"/>
      <c r="AF420" s="1135"/>
      <c r="AG420" s="1135"/>
      <c r="AH420" s="1135"/>
      <c r="AI420" s="1136"/>
      <c r="AJ420" s="1136"/>
      <c r="AK420" s="1136"/>
      <c r="AL420" s="1136"/>
    </row>
    <row r="421" spans="2:38">
      <c r="B421" s="638"/>
      <c r="C421" s="1136"/>
      <c r="D421" s="1136"/>
      <c r="E421" s="1136"/>
      <c r="F421" s="1136"/>
      <c r="G421" s="1136"/>
      <c r="H421" s="1136"/>
      <c r="J421" s="1136"/>
      <c r="K421" s="1136"/>
      <c r="L421" s="1136"/>
      <c r="M421" s="1136"/>
      <c r="N421" s="1136"/>
      <c r="O421" s="1136"/>
      <c r="P421" s="1136"/>
      <c r="Q421" s="1136"/>
      <c r="R421" s="1136"/>
      <c r="S421" s="1136"/>
      <c r="T421" s="1136"/>
      <c r="U421" s="1136"/>
      <c r="V421" s="1136"/>
      <c r="W421" s="1136"/>
      <c r="X421" s="1136"/>
      <c r="Y421" s="1136"/>
      <c r="Z421" s="46"/>
      <c r="AA421" s="1135"/>
      <c r="AB421" s="1135"/>
      <c r="AC421" s="1135"/>
      <c r="AD421" s="1135"/>
      <c r="AE421" s="1135"/>
      <c r="AF421" s="1135"/>
      <c r="AG421" s="1135"/>
      <c r="AH421" s="1135"/>
      <c r="AI421" s="1136"/>
      <c r="AJ421" s="1136"/>
      <c r="AK421" s="1136"/>
      <c r="AL421" s="1136"/>
    </row>
    <row r="422" spans="2:38">
      <c r="B422" s="638"/>
      <c r="C422" s="1136"/>
      <c r="D422" s="1136"/>
      <c r="E422" s="1136"/>
      <c r="F422" s="1136"/>
      <c r="G422" s="1136"/>
      <c r="H422" s="1136"/>
      <c r="J422" s="1136"/>
      <c r="K422" s="1136"/>
      <c r="L422" s="1136"/>
      <c r="M422" s="1136"/>
      <c r="N422" s="1136"/>
      <c r="O422" s="1136"/>
      <c r="P422" s="1136"/>
      <c r="Q422" s="1136"/>
      <c r="R422" s="1136"/>
      <c r="S422" s="1136"/>
      <c r="T422" s="1136"/>
      <c r="U422" s="1136"/>
      <c r="V422" s="1136"/>
      <c r="W422" s="1136"/>
      <c r="X422" s="1136"/>
      <c r="Y422" s="1136"/>
      <c r="Z422" s="46"/>
      <c r="AA422" s="1135"/>
      <c r="AB422" s="1135"/>
      <c r="AC422" s="1135"/>
      <c r="AD422" s="1135"/>
      <c r="AE422" s="1135"/>
      <c r="AF422" s="1135"/>
      <c r="AG422" s="1135"/>
      <c r="AH422" s="1135"/>
      <c r="AI422" s="1136"/>
      <c r="AJ422" s="1136"/>
      <c r="AK422" s="1136"/>
      <c r="AL422" s="1136"/>
    </row>
    <row r="423" spans="2:38">
      <c r="B423" s="638"/>
      <c r="C423" s="1136"/>
      <c r="D423" s="1136"/>
      <c r="E423" s="1136"/>
      <c r="F423" s="1136"/>
      <c r="G423" s="1136"/>
      <c r="H423" s="1136"/>
      <c r="J423" s="1136"/>
      <c r="K423" s="1136"/>
      <c r="L423" s="1136"/>
      <c r="M423" s="1136"/>
      <c r="N423" s="1136"/>
      <c r="O423" s="1136"/>
      <c r="P423" s="1136"/>
      <c r="Q423" s="1136"/>
      <c r="R423" s="1136"/>
      <c r="S423" s="1136"/>
      <c r="T423" s="1136"/>
      <c r="U423" s="1136"/>
      <c r="V423" s="1136"/>
      <c r="W423" s="1136"/>
      <c r="X423" s="1136"/>
      <c r="Y423" s="1136"/>
      <c r="Z423" s="46"/>
      <c r="AA423" s="1135"/>
      <c r="AB423" s="1135"/>
      <c r="AC423" s="1135"/>
      <c r="AD423" s="1135"/>
      <c r="AE423" s="1135"/>
      <c r="AF423" s="1135"/>
      <c r="AG423" s="1135"/>
      <c r="AH423" s="1135"/>
      <c r="AI423" s="1136"/>
      <c r="AJ423" s="1136"/>
      <c r="AK423" s="1136"/>
      <c r="AL423" s="1136"/>
    </row>
    <row r="424" spans="2:38">
      <c r="B424" s="638"/>
      <c r="C424" s="1136"/>
      <c r="D424" s="1136"/>
      <c r="E424" s="1136"/>
      <c r="F424" s="1136"/>
      <c r="G424" s="1136"/>
      <c r="H424" s="1136"/>
      <c r="J424" s="1136"/>
      <c r="K424" s="1136"/>
      <c r="L424" s="1136"/>
      <c r="M424" s="1136"/>
      <c r="N424" s="1136"/>
      <c r="O424" s="1136"/>
      <c r="P424" s="1136"/>
      <c r="Q424" s="1136"/>
      <c r="R424" s="1136"/>
      <c r="S424" s="1136"/>
      <c r="T424" s="1136"/>
      <c r="U424" s="1136"/>
      <c r="V424" s="1136"/>
      <c r="W424" s="1136"/>
      <c r="X424" s="1136"/>
      <c r="Y424" s="1136"/>
      <c r="Z424" s="46"/>
      <c r="AA424" s="1135"/>
      <c r="AB424" s="1135"/>
      <c r="AC424" s="1135"/>
      <c r="AD424" s="1135"/>
      <c r="AE424" s="1135"/>
      <c r="AF424" s="1135"/>
      <c r="AG424" s="1135"/>
      <c r="AH424" s="1135"/>
      <c r="AI424" s="1136"/>
      <c r="AJ424" s="1136"/>
      <c r="AK424" s="1136"/>
      <c r="AL424" s="1136"/>
    </row>
    <row r="425" spans="2:38">
      <c r="B425" s="638"/>
      <c r="C425" s="1136"/>
      <c r="D425" s="1136"/>
      <c r="E425" s="1136"/>
      <c r="F425" s="1136"/>
      <c r="G425" s="1136"/>
      <c r="H425" s="1136"/>
      <c r="J425" s="1136"/>
      <c r="K425" s="1136"/>
      <c r="L425" s="1136"/>
      <c r="M425" s="1136"/>
      <c r="N425" s="1136"/>
      <c r="O425" s="1136"/>
      <c r="P425" s="1136"/>
      <c r="Q425" s="1136"/>
      <c r="R425" s="1136"/>
      <c r="S425" s="1136"/>
      <c r="T425" s="1136"/>
      <c r="U425" s="1136"/>
      <c r="V425" s="1136"/>
      <c r="W425" s="1136"/>
      <c r="X425" s="1136"/>
      <c r="Y425" s="1136"/>
      <c r="Z425" s="46"/>
      <c r="AA425" s="1135"/>
      <c r="AB425" s="1135"/>
      <c r="AC425" s="1135"/>
      <c r="AD425" s="1135"/>
      <c r="AE425" s="1135"/>
      <c r="AF425" s="1135"/>
      <c r="AG425" s="1135"/>
      <c r="AH425" s="1135"/>
      <c r="AI425" s="1136"/>
      <c r="AJ425" s="1136"/>
      <c r="AK425" s="1136"/>
      <c r="AL425" s="1136"/>
    </row>
    <row r="426" spans="2:38">
      <c r="B426" s="638"/>
      <c r="C426" s="1136"/>
      <c r="D426" s="1136"/>
      <c r="E426" s="1136"/>
      <c r="F426" s="1136"/>
      <c r="G426" s="1136"/>
      <c r="H426" s="1136"/>
      <c r="J426" s="1136"/>
      <c r="K426" s="1136"/>
      <c r="L426" s="1136"/>
      <c r="M426" s="1136"/>
      <c r="N426" s="1136"/>
      <c r="O426" s="1136"/>
      <c r="P426" s="1136"/>
      <c r="Q426" s="1136"/>
      <c r="R426" s="1136"/>
      <c r="S426" s="1136"/>
      <c r="T426" s="1136"/>
      <c r="U426" s="1136"/>
      <c r="V426" s="1136"/>
      <c r="W426" s="1136"/>
      <c r="X426" s="1136"/>
      <c r="Y426" s="1136"/>
      <c r="Z426" s="46"/>
      <c r="AA426" s="1135"/>
      <c r="AB426" s="1135"/>
      <c r="AC426" s="1135"/>
      <c r="AD426" s="1135"/>
      <c r="AE426" s="1135"/>
      <c r="AF426" s="1135"/>
      <c r="AG426" s="1135"/>
      <c r="AH426" s="1135"/>
      <c r="AI426" s="1136"/>
      <c r="AJ426" s="1136"/>
      <c r="AK426" s="1136"/>
      <c r="AL426" s="1136"/>
    </row>
    <row r="427" spans="2:38">
      <c r="B427" s="638"/>
      <c r="C427" s="1136"/>
      <c r="D427" s="1136"/>
      <c r="E427" s="1136"/>
      <c r="F427" s="1136"/>
      <c r="G427" s="1136"/>
      <c r="H427" s="1136"/>
      <c r="J427" s="1136"/>
      <c r="K427" s="1136"/>
      <c r="L427" s="1136"/>
      <c r="M427" s="1136"/>
      <c r="N427" s="1136"/>
      <c r="O427" s="1136"/>
      <c r="P427" s="1136"/>
      <c r="Q427" s="1136"/>
      <c r="R427" s="1136"/>
      <c r="S427" s="1136"/>
      <c r="T427" s="1136"/>
      <c r="U427" s="1136"/>
      <c r="V427" s="1136"/>
      <c r="W427" s="1136"/>
      <c r="X427" s="1136"/>
      <c r="Y427" s="1136"/>
      <c r="Z427" s="46"/>
      <c r="AA427" s="1135"/>
      <c r="AB427" s="1135"/>
      <c r="AC427" s="1135"/>
      <c r="AD427" s="1135"/>
      <c r="AE427" s="1135"/>
      <c r="AF427" s="1135"/>
      <c r="AG427" s="1135"/>
      <c r="AH427" s="1135"/>
      <c r="AI427" s="1136"/>
      <c r="AJ427" s="1136"/>
      <c r="AK427" s="1136"/>
      <c r="AL427" s="1136"/>
    </row>
    <row r="428" spans="2:38">
      <c r="B428" s="638"/>
      <c r="C428" s="1136"/>
      <c r="D428" s="1136"/>
      <c r="E428" s="1136"/>
      <c r="F428" s="1136"/>
      <c r="G428" s="1136"/>
      <c r="H428" s="1136"/>
      <c r="J428" s="1136"/>
      <c r="K428" s="1136"/>
      <c r="L428" s="1136"/>
      <c r="M428" s="1136"/>
      <c r="N428" s="1136"/>
      <c r="O428" s="1136"/>
      <c r="P428" s="1136"/>
      <c r="Q428" s="1136"/>
      <c r="R428" s="1136"/>
      <c r="S428" s="1136"/>
      <c r="T428" s="1136"/>
      <c r="U428" s="1136"/>
      <c r="V428" s="1136"/>
      <c r="W428" s="1136"/>
      <c r="X428" s="1136"/>
      <c r="Y428" s="1136"/>
      <c r="Z428" s="46"/>
      <c r="AA428" s="1135"/>
      <c r="AB428" s="1135"/>
      <c r="AC428" s="1135"/>
      <c r="AD428" s="1135"/>
      <c r="AE428" s="1135"/>
      <c r="AF428" s="1135"/>
      <c r="AG428" s="1135"/>
      <c r="AH428" s="1135"/>
      <c r="AI428" s="1136"/>
      <c r="AJ428" s="1136"/>
      <c r="AK428" s="1136"/>
      <c r="AL428" s="1136"/>
    </row>
    <row r="429" spans="2:38">
      <c r="B429" s="638"/>
      <c r="C429" s="1136"/>
      <c r="D429" s="1136"/>
      <c r="E429" s="1136"/>
      <c r="F429" s="1136"/>
      <c r="G429" s="1136"/>
      <c r="H429" s="1136"/>
      <c r="J429" s="1136"/>
      <c r="K429" s="1136"/>
      <c r="L429" s="1136"/>
      <c r="M429" s="1136"/>
      <c r="N429" s="1136"/>
      <c r="O429" s="1136"/>
      <c r="P429" s="1136"/>
      <c r="Q429" s="1136"/>
      <c r="R429" s="1136"/>
      <c r="S429" s="1136"/>
      <c r="T429" s="1136"/>
      <c r="U429" s="1136"/>
      <c r="V429" s="1136"/>
      <c r="W429" s="1136"/>
      <c r="X429" s="1136"/>
      <c r="Y429" s="1136"/>
      <c r="Z429" s="46"/>
      <c r="AA429" s="1135"/>
      <c r="AB429" s="1135"/>
      <c r="AC429" s="1135"/>
      <c r="AD429" s="1135"/>
      <c r="AE429" s="1135"/>
      <c r="AF429" s="1135"/>
      <c r="AG429" s="1135"/>
      <c r="AH429" s="1135"/>
      <c r="AI429" s="1136"/>
      <c r="AJ429" s="1136"/>
      <c r="AK429" s="1136"/>
      <c r="AL429" s="1136"/>
    </row>
    <row r="430" spans="2:38">
      <c r="B430" s="638"/>
      <c r="C430" s="1136"/>
      <c r="D430" s="1136"/>
      <c r="E430" s="1136"/>
      <c r="F430" s="1136"/>
      <c r="G430" s="1136"/>
      <c r="H430" s="1136"/>
      <c r="J430" s="1136"/>
      <c r="K430" s="1136"/>
      <c r="L430" s="1136"/>
      <c r="M430" s="1136"/>
      <c r="N430" s="1136"/>
      <c r="O430" s="1136"/>
      <c r="P430" s="1136"/>
      <c r="Q430" s="1136"/>
      <c r="R430" s="1136"/>
      <c r="S430" s="1136"/>
      <c r="T430" s="1136"/>
      <c r="U430" s="1136"/>
      <c r="V430" s="1136"/>
      <c r="W430" s="1136"/>
      <c r="X430" s="1136"/>
      <c r="Y430" s="1136"/>
      <c r="Z430" s="46"/>
      <c r="AA430" s="1135"/>
      <c r="AB430" s="1135"/>
      <c r="AC430" s="1135"/>
      <c r="AD430" s="1135"/>
      <c r="AE430" s="1135"/>
      <c r="AF430" s="1135"/>
      <c r="AG430" s="1135"/>
      <c r="AH430" s="1135"/>
      <c r="AI430" s="1136"/>
      <c r="AJ430" s="1136"/>
      <c r="AK430" s="1136"/>
      <c r="AL430" s="1136"/>
    </row>
    <row r="431" spans="2:38">
      <c r="B431" s="638"/>
      <c r="C431" s="1136"/>
      <c r="D431" s="1136"/>
      <c r="E431" s="1136"/>
      <c r="F431" s="1136"/>
      <c r="G431" s="1136"/>
      <c r="H431" s="1136"/>
      <c r="J431" s="1136"/>
      <c r="K431" s="1136"/>
      <c r="L431" s="1136"/>
      <c r="M431" s="1136"/>
      <c r="N431" s="1136"/>
      <c r="O431" s="1136"/>
      <c r="P431" s="1136"/>
      <c r="Q431" s="1136"/>
      <c r="R431" s="1136"/>
      <c r="S431" s="1136"/>
      <c r="T431" s="1136"/>
      <c r="U431" s="1136"/>
      <c r="V431" s="1136"/>
      <c r="W431" s="1136"/>
      <c r="X431" s="1136"/>
      <c r="Y431" s="1136"/>
      <c r="Z431" s="46"/>
      <c r="AA431" s="1135"/>
      <c r="AB431" s="1135"/>
      <c r="AC431" s="1135"/>
      <c r="AD431" s="1135"/>
      <c r="AE431" s="1135"/>
      <c r="AF431" s="1135"/>
      <c r="AG431" s="1135"/>
      <c r="AH431" s="1135"/>
      <c r="AI431" s="1136"/>
      <c r="AJ431" s="1136"/>
      <c r="AK431" s="1136"/>
      <c r="AL431" s="1136"/>
    </row>
    <row r="432" spans="2:38">
      <c r="B432" s="638"/>
      <c r="C432" s="1136"/>
      <c r="D432" s="1136"/>
      <c r="E432" s="1136"/>
      <c r="F432" s="1136"/>
      <c r="G432" s="1136"/>
      <c r="H432" s="1136"/>
      <c r="J432" s="1136"/>
      <c r="K432" s="1136"/>
      <c r="L432" s="1136"/>
      <c r="M432" s="1136"/>
      <c r="N432" s="1136"/>
      <c r="O432" s="1136"/>
      <c r="P432" s="1136"/>
      <c r="Q432" s="1136"/>
      <c r="R432" s="1136"/>
      <c r="S432" s="1136"/>
      <c r="T432" s="1136"/>
      <c r="U432" s="1136"/>
      <c r="V432" s="1136"/>
      <c r="W432" s="1136"/>
      <c r="X432" s="1136"/>
      <c r="Y432" s="1136"/>
      <c r="Z432" s="46"/>
      <c r="AA432" s="1135"/>
      <c r="AB432" s="1135"/>
      <c r="AC432" s="1135"/>
      <c r="AD432" s="1135"/>
      <c r="AE432" s="1135"/>
      <c r="AF432" s="1135"/>
      <c r="AG432" s="1135"/>
      <c r="AH432" s="1135"/>
      <c r="AI432" s="1136"/>
      <c r="AJ432" s="1136"/>
      <c r="AK432" s="1136"/>
      <c r="AL432" s="1136"/>
    </row>
    <row r="433" spans="2:2">
      <c r="B433" s="638"/>
    </row>
    <row r="434" spans="2:2">
      <c r="B434" s="638"/>
    </row>
    <row r="435" spans="2:2">
      <c r="B435" s="638"/>
    </row>
    <row r="436" spans="2:2">
      <c r="B436" s="638"/>
    </row>
    <row r="437" spans="2:2">
      <c r="B437" s="638"/>
    </row>
    <row r="438" spans="2:2">
      <c r="B438" s="638"/>
    </row>
    <row r="439" spans="2:2">
      <c r="B439" s="638"/>
    </row>
    <row r="440" spans="2:2">
      <c r="B440" s="638"/>
    </row>
    <row r="441" spans="2:2">
      <c r="B441" s="638"/>
    </row>
    <row r="442" spans="2:2">
      <c r="B442" s="638"/>
    </row>
    <row r="443" spans="2:2">
      <c r="B443" s="638"/>
    </row>
    <row r="444" spans="2:2">
      <c r="B444" s="638"/>
    </row>
    <row r="445" spans="2:2">
      <c r="B445" s="638"/>
    </row>
    <row r="446" spans="2:2">
      <c r="B446" s="638"/>
    </row>
    <row r="447" spans="2:2">
      <c r="B447" s="638"/>
    </row>
    <row r="448" spans="2:2">
      <c r="B448" s="638"/>
    </row>
    <row r="449" spans="2:2">
      <c r="B449" s="638"/>
    </row>
    <row r="450" spans="2:2">
      <c r="B450" s="638"/>
    </row>
    <row r="451" spans="2:2">
      <c r="B451" s="638"/>
    </row>
    <row r="452" spans="2:2">
      <c r="B452" s="638"/>
    </row>
    <row r="453" spans="2:2">
      <c r="B453" s="638"/>
    </row>
    <row r="454" spans="2:2">
      <c r="B454" s="638"/>
    </row>
  </sheetData>
  <sheetProtection algorithmName="SHA-512" hashValue="E4O7SA9RkFETkk2Yxr9khUnsZ8SJtbHpFj4Bhs+8HoIccCH7WNuX9AXpc4rs/i1zgkfMVweYiFB3z6JlHFC98w==" saltValue="CsScU994+GnniVgvPnsakQ==" spinCount="100000" sheet="1" objects="1" scenarios="1" selectLockedCells="1"/>
  <mergeCells count="7">
    <mergeCell ref="BJ119:BL119"/>
    <mergeCell ref="C38:G43"/>
    <mergeCell ref="C200:H203"/>
    <mergeCell ref="C187:H194"/>
    <mergeCell ref="C46:G51"/>
    <mergeCell ref="C171:F171"/>
    <mergeCell ref="C119:AL119"/>
  </mergeCells>
  <conditionalFormatting sqref="C121:C122">
    <cfRule type="expression" dxfId="266" priority="45">
      <formula>IF($AY$130&gt;=11,TRUE,FALSE)</formula>
    </cfRule>
  </conditionalFormatting>
  <conditionalFormatting sqref="C126:C127">
    <cfRule type="expression" dxfId="265" priority="41">
      <formula>IF($AY$130&gt;=12,TRUE,FALSE)</formula>
    </cfRule>
  </conditionalFormatting>
  <conditionalFormatting sqref="C131:C132">
    <cfRule type="expression" dxfId="264" priority="33">
      <formula>IF($AY$133&gt;=13,TRUE,FALSE)</formula>
    </cfRule>
  </conditionalFormatting>
  <conditionalFormatting sqref="C136:C137">
    <cfRule type="expression" dxfId="263" priority="26">
      <formula>IF($AY$130&gt;=14,TRUE,FALSE)</formula>
    </cfRule>
  </conditionalFormatting>
  <conditionalFormatting sqref="C141:C142">
    <cfRule type="expression" dxfId="262" priority="20">
      <formula>IF($AY$130&gt;=15,TRUE,FALSE)</formula>
    </cfRule>
  </conditionalFormatting>
  <conditionalFormatting sqref="C46:G51">
    <cfRule type="expression" dxfId="261" priority="49">
      <formula>$D$17&gt;0</formula>
    </cfRule>
  </conditionalFormatting>
  <conditionalFormatting sqref="D126">
    <cfRule type="expression" dxfId="260" priority="40">
      <formula>IF($C$127=$BD$123,TRUE,FALSE)</formula>
    </cfRule>
    <cfRule type="expression" dxfId="259" priority="39">
      <formula>IF($C$127=$BD$121,TRUE,FALSE)</formula>
    </cfRule>
    <cfRule type="expression" dxfId="258" priority="37">
      <formula>IF($C$127=$BD$122,TRUE,FALSE)</formula>
    </cfRule>
    <cfRule type="expression" dxfId="257" priority="36">
      <formula>IF($C$127=$BD$123,TRUE,FALSE)</formula>
    </cfRule>
  </conditionalFormatting>
  <conditionalFormatting sqref="D131">
    <cfRule type="expression" dxfId="256" priority="28">
      <formula>IF($C$132=$BD$123,TRUE,FALSE)</formula>
    </cfRule>
    <cfRule type="expression" dxfId="255" priority="29">
      <formula>IF($C$132=$BD$122,TRUE,FALSE)</formula>
    </cfRule>
    <cfRule type="expression" dxfId="254" priority="31">
      <formula>IF($C$132=$BD$121,TRUE,FALSE)</formula>
    </cfRule>
    <cfRule type="expression" dxfId="253" priority="32">
      <formula>IF($C$132=$BD$123,TRUE,FALSE)</formula>
    </cfRule>
  </conditionalFormatting>
  <conditionalFormatting sqref="D136">
    <cfRule type="expression" dxfId="252" priority="21">
      <formula>IF($C$137=$BD$123,TRUE,FALSE)</formula>
    </cfRule>
    <cfRule type="expression" dxfId="251" priority="22">
      <formula>IF($C$137=$BD$122,TRUE,FALSE)</formula>
    </cfRule>
    <cfRule type="expression" dxfId="250" priority="24">
      <formula>IF($C$137=$BD$121,TRUE,FALSE)</formula>
    </cfRule>
    <cfRule type="expression" dxfId="249" priority="25">
      <formula>IF($C$137=$BD$123,TRUE,FALSE)</formula>
    </cfRule>
  </conditionalFormatting>
  <conditionalFormatting sqref="D141">
    <cfRule type="expression" dxfId="248" priority="18">
      <formula>IF($C$142=$BD$121,TRUE,FALSE)</formula>
    </cfRule>
    <cfRule type="expression" dxfId="247" priority="16">
      <formula>IF($C$142=$BD$122,TRUE,FALSE)</formula>
    </cfRule>
    <cfRule type="expression" dxfId="246" priority="15">
      <formula>IF($C$142=$BD$123,TRUE,FALSE)</formula>
    </cfRule>
    <cfRule type="expression" dxfId="245" priority="19">
      <formula>IF($C$142=$BD$123,TRUE,FALSE)</formula>
    </cfRule>
  </conditionalFormatting>
  <conditionalFormatting sqref="D126:AH126 AJ126:AL126">
    <cfRule type="expression" dxfId="244" priority="38">
      <formula>IF($C$127=$BD$124,TRUE,FALSE)</formula>
    </cfRule>
  </conditionalFormatting>
  <conditionalFormatting sqref="D121:AL121">
    <cfRule type="expression" dxfId="243" priority="42">
      <formula>IF($C$122=$BD$123,TRUE,FALSE)</formula>
    </cfRule>
    <cfRule type="expression" dxfId="242" priority="47">
      <formula>IF($C$122=$BD$123,TRUE,FALSE)</formula>
    </cfRule>
    <cfRule type="expression" dxfId="241" priority="46">
      <formula>IF($C$122=$BD$121,TRUE,FALSE)</formula>
    </cfRule>
    <cfRule type="expression" dxfId="240" priority="44">
      <formula>IF($C$122=$BD$124,TRUE,FALSE)</formula>
    </cfRule>
    <cfRule type="expression" dxfId="239" priority="43">
      <formula>IF($C$122=$BD$122,TRUE,FALSE)</formula>
    </cfRule>
  </conditionalFormatting>
  <conditionalFormatting sqref="D131:AL131">
    <cfRule type="expression" dxfId="238" priority="30">
      <formula>IF($C$132=$BD$124,TRUE,FALSE)</formula>
    </cfRule>
  </conditionalFormatting>
  <conditionalFormatting sqref="D136:AL136">
    <cfRule type="expression" dxfId="237" priority="23">
      <formula>IF($C$137=$BD$124,TRUE,FALSE)</formula>
    </cfRule>
  </conditionalFormatting>
  <conditionalFormatting sqref="D141:AL141">
    <cfRule type="expression" dxfId="236" priority="17">
      <formula>IF($C$142=$BD$124,TRUE,FALSE)</formula>
    </cfRule>
  </conditionalFormatting>
  <conditionalFormatting sqref="E121:AL121">
    <cfRule type="expression" dxfId="235" priority="1">
      <formula>IF(OR($C$122=$BD$122,$C$122=$BD$123),TRUE,FALSE)</formula>
    </cfRule>
    <cfRule type="expression" dxfId="234" priority="48">
      <formula>IF(OR($C$122=$BD$121,$C$122=$BD$122,$C$122=$BD$123),TRUE,FALSE)</formula>
    </cfRule>
  </conditionalFormatting>
  <conditionalFormatting sqref="Z121:AG121">
    <cfRule type="expression" dxfId="233" priority="2">
      <formula>IF($AN$122&lt;Z89,TRUE,FALSE)</formula>
    </cfRule>
  </conditionalFormatting>
  <conditionalFormatting sqref="AH121">
    <cfRule type="expression" dxfId="232" priority="10">
      <formula>IF(AN122&lt;AH89,TRUE,FALSE)</formula>
    </cfRule>
  </conditionalFormatting>
  <conditionalFormatting sqref="AI121">
    <cfRule type="expression" dxfId="231" priority="11">
      <formula>IF(AN122&lt;AI89,TRUE,FALSE)</formula>
    </cfRule>
  </conditionalFormatting>
  <conditionalFormatting sqref="AJ121">
    <cfRule type="expression" dxfId="230" priority="12">
      <formula>IF(AN122&lt;AJ89,TRUE,FALSE)</formula>
    </cfRule>
  </conditionalFormatting>
  <conditionalFormatting sqref="AK121">
    <cfRule type="expression" dxfId="229" priority="13">
      <formula>IF(AN122&lt;AK89,TRUE,FALSE)</formula>
    </cfRule>
  </conditionalFormatting>
  <conditionalFormatting sqref="AL121">
    <cfRule type="expression" dxfId="228" priority="14">
      <formula>IF(AN122&lt;AL89,TRUE,FALSE)</formula>
    </cfRule>
  </conditionalFormatting>
  <dataValidations disablePrompts="1" count="4">
    <dataValidation type="custom" allowBlank="1" showInputMessage="1" showErrorMessage="1" sqref="F1" xr:uid="{BC973409-83A4-4991-8206-F5159A5262FD}">
      <formula1>"&lt;0&gt;0"</formula1>
    </dataValidation>
    <dataValidation type="list" allowBlank="1" showInputMessage="1" showErrorMessage="1" sqref="G16 D12" xr:uid="{E721AEA3-6ED4-4273-A63B-9391DFCD95D8}">
      <formula1>YesNo</formula1>
    </dataValidation>
    <dataValidation type="list" allowBlank="1" showInputMessage="1" showErrorMessage="1" sqref="C122 C142 C137 C132 C127" xr:uid="{574DF24B-8C0B-43CB-B831-A3E70A1FCA1C}">
      <formula1>$BD$120:$BD$125</formula1>
    </dataValidation>
    <dataValidation type="list" allowBlank="1" showInputMessage="1" showErrorMessage="1" sqref="C121 C141 C136 C131 C126" xr:uid="{AFC17FF4-60F8-4FDA-A9A6-A817B569193E}">
      <formula1>_xlfn.ANCHORARRAY($BC$121)</formula1>
    </dataValidation>
  </dataValidations>
  <pageMargins left="0.7" right="0.7" top="0.75" bottom="0.75" header="0.3" footer="0.3"/>
  <pageSetup scale="40" orientation="portrait" r:id="rId1"/>
  <headerFooter>
    <oddHeader>&amp;L&amp;G</oddHeader>
    <oddFooter>&amp;LVersion - 2023.0.01&amp;CWHEDA MULTIFAMILY APPLICATION&amp;R&amp;P of &amp;N</oddFooter>
  </headerFooter>
  <rowBreaks count="1" manualBreakCount="1">
    <brk id="3" max="16383" man="1"/>
  </rowBreaks>
  <legacyDrawingHF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E404C-2671-472B-AF12-1A594682D004}">
  <sheetPr>
    <outlinePr showOutlineSymbols="0"/>
    <pageSetUpPr fitToPage="1"/>
  </sheetPr>
  <dimension ref="A1:BB81"/>
  <sheetViews>
    <sheetView workbookViewId="0">
      <selection activeCell="AL55" sqref="AL55"/>
    </sheetView>
  </sheetViews>
  <sheetFormatPr baseColWidth="10" defaultColWidth="8.83203125" defaultRowHeight="15"/>
  <cols>
    <col min="1" max="1" width="4.5" style="3" customWidth="1"/>
    <col min="2" max="2" width="6.33203125" style="3" customWidth="1"/>
    <col min="3" max="10" width="9.33203125" style="3" customWidth="1"/>
    <col min="11" max="14" width="9.33203125" style="131" customWidth="1"/>
    <col min="15" max="16" width="10" style="131" customWidth="1"/>
    <col min="17" max="17" width="10" style="9" customWidth="1"/>
    <col min="18" max="18" width="20.5" style="9" customWidth="1"/>
    <col min="19" max="19" width="13.83203125" style="9" customWidth="1"/>
    <col min="20" max="30" width="10" style="9" customWidth="1"/>
    <col min="31" max="32" width="8.83203125" style="9"/>
    <col min="33" max="33" width="8.83203125" style="3"/>
    <col min="34" max="37" width="8.83203125" style="131"/>
    <col min="38" max="16384" width="8.83203125" style="3"/>
  </cols>
  <sheetData>
    <row r="1" spans="1:38" ht="29">
      <c r="B1" s="2294" t="str">
        <f>'1. TOC'!B1</f>
        <v>WHEDA 2025 Multifamily Application</v>
      </c>
      <c r="C1" s="2294"/>
      <c r="D1" s="2294"/>
      <c r="E1" s="2294"/>
      <c r="F1" s="2294"/>
      <c r="G1" s="2294"/>
      <c r="H1" s="2294"/>
      <c r="I1" s="2294"/>
      <c r="K1" s="540" t="str">
        <f>'1. TOC'!L1</f>
        <v>v25.1.9</v>
      </c>
      <c r="L1" s="540"/>
      <c r="M1" s="2295" t="str">
        <f>HYPERLINK("#Table_of_Contents", Table_of_Contents)</f>
        <v>Table of Contents</v>
      </c>
      <c r="N1" s="2295"/>
      <c r="O1" s="2295"/>
    </row>
    <row r="2" spans="1:38" ht="19">
      <c r="B2" s="934" t="str">
        <f>_xlfn.CONCAT(IF(ISBLANK(WHEDA_Project_Number),"",_xlfn.CONCAT(WHEDA_Project_Number,"-")), Project_Name, IF(ISBLANK(Credit_percentage_applied_for),"",_xlfn.CONCAT(" (", Credit_percentage_applied_for," HTC)")))</f>
        <v/>
      </c>
      <c r="C2" s="74"/>
      <c r="D2" s="74"/>
      <c r="E2" s="74"/>
      <c r="F2" s="74"/>
      <c r="G2" s="74"/>
      <c r="H2" s="74"/>
      <c r="I2" s="74"/>
      <c r="J2" s="74"/>
      <c r="K2" s="734"/>
      <c r="L2" s="734"/>
      <c r="M2" s="734"/>
      <c r="N2" s="734"/>
      <c r="O2" s="734"/>
    </row>
    <row r="3" spans="1:38" ht="19">
      <c r="B3" s="102"/>
    </row>
    <row r="4" spans="1:38" s="725" customFormat="1" ht="29">
      <c r="A4" s="102"/>
      <c r="B4" s="4" t="s">
        <v>4539</v>
      </c>
      <c r="C4" s="959"/>
      <c r="D4" s="959"/>
      <c r="E4" s="959"/>
      <c r="F4" s="959"/>
      <c r="G4" s="959"/>
      <c r="H4" s="959"/>
      <c r="I4" s="959"/>
      <c r="J4" s="959"/>
      <c r="K4" s="724"/>
      <c r="L4" s="724"/>
      <c r="M4" s="724"/>
      <c r="N4" s="724"/>
      <c r="O4" s="724"/>
      <c r="P4" s="724"/>
      <c r="Q4" s="1628"/>
      <c r="R4" s="1628"/>
      <c r="S4" s="1629"/>
      <c r="T4" s="1629"/>
      <c r="U4" s="1629"/>
      <c r="V4" s="1629"/>
      <c r="W4" s="1629"/>
      <c r="X4" s="1629"/>
      <c r="Y4" s="1629"/>
      <c r="Z4" s="1629"/>
      <c r="AA4" s="1629"/>
      <c r="AB4" s="1629"/>
      <c r="AC4" s="1629"/>
      <c r="AD4" s="1629"/>
      <c r="AE4" s="1629"/>
      <c r="AF4" s="1629"/>
      <c r="AH4" s="1114"/>
      <c r="AI4" s="1114"/>
      <c r="AJ4" s="1114"/>
      <c r="AK4" s="1114"/>
    </row>
    <row r="5" spans="1:38" s="725" customFormat="1" ht="19">
      <c r="A5" s="102"/>
      <c r="B5" s="8" t="s">
        <v>4540</v>
      </c>
      <c r="C5" s="959"/>
      <c r="D5" s="959"/>
      <c r="E5" s="959"/>
      <c r="F5" s="959"/>
      <c r="G5" s="959"/>
      <c r="H5" s="959"/>
      <c r="I5" s="959"/>
      <c r="J5" s="959"/>
      <c r="K5" s="724"/>
      <c r="L5" s="724"/>
      <c r="M5" s="724"/>
      <c r="N5" s="724"/>
      <c r="O5" s="724"/>
      <c r="P5" s="724"/>
      <c r="Q5" s="1628"/>
      <c r="R5" s="1628"/>
      <c r="S5" s="1629"/>
      <c r="T5" s="1629"/>
      <c r="U5" s="1629"/>
      <c r="V5" s="1629"/>
      <c r="W5" s="1629"/>
      <c r="X5" s="1629"/>
      <c r="Y5" s="1629"/>
      <c r="Z5" s="1629"/>
      <c r="AA5" s="1629"/>
      <c r="AB5" s="1629"/>
      <c r="AC5" s="1629"/>
      <c r="AD5" s="1629"/>
      <c r="AE5" s="1629"/>
      <c r="AF5" s="1629"/>
      <c r="AH5" s="1114"/>
      <c r="AI5" s="1114"/>
      <c r="AJ5" s="1114"/>
      <c r="AK5" s="1114"/>
    </row>
    <row r="6" spans="1:38" s="725" customFormat="1" ht="14">
      <c r="A6" s="1073"/>
      <c r="B6" s="1334"/>
      <c r="C6" s="1334"/>
      <c r="D6" s="1334"/>
      <c r="E6" s="1335"/>
      <c r="F6" s="1336"/>
      <c r="G6" s="1336"/>
      <c r="H6" s="1336"/>
      <c r="I6" s="1336"/>
      <c r="J6" s="1336"/>
      <c r="K6" s="1337"/>
      <c r="L6" s="1337"/>
      <c r="M6" s="1337"/>
      <c r="N6" s="1337"/>
      <c r="O6" s="1337"/>
      <c r="P6" s="724"/>
      <c r="Q6" s="1628"/>
      <c r="R6" s="1628"/>
      <c r="S6" s="1629"/>
      <c r="T6" s="1629"/>
      <c r="U6" s="1629"/>
      <c r="V6" s="1629"/>
      <c r="W6" s="1629"/>
      <c r="X6" s="1629"/>
      <c r="Y6" s="1629"/>
      <c r="Z6" s="1629"/>
      <c r="AA6" s="1629"/>
      <c r="AB6" s="1629"/>
      <c r="AC6" s="1629"/>
      <c r="AD6" s="1629"/>
      <c r="AE6" s="1629"/>
      <c r="AF6" s="1629"/>
      <c r="AH6" s="1114"/>
      <c r="AI6" s="1114"/>
      <c r="AJ6" s="1114"/>
      <c r="AK6" s="1114"/>
    </row>
    <row r="7" spans="1:38" s="76" customFormat="1" ht="16">
      <c r="A7" s="1074"/>
      <c r="B7" s="1338"/>
      <c r="C7" s="2308"/>
      <c r="D7" s="2309"/>
      <c r="E7" s="2309"/>
      <c r="F7" s="2309"/>
      <c r="G7" s="2309"/>
      <c r="H7" s="2309"/>
      <c r="I7" s="2309"/>
      <c r="J7" s="2309"/>
      <c r="K7" s="2309"/>
      <c r="L7" s="2309"/>
      <c r="M7" s="2309"/>
      <c r="N7" s="2310"/>
      <c r="O7" s="1339"/>
      <c r="P7" s="1115"/>
      <c r="Q7" s="1522"/>
      <c r="R7" s="1522"/>
      <c r="S7" s="98"/>
      <c r="T7" s="98"/>
      <c r="U7" s="98"/>
      <c r="V7" s="98"/>
      <c r="W7" s="98"/>
      <c r="X7" s="98"/>
      <c r="Y7" s="98"/>
      <c r="Z7" s="98"/>
      <c r="AA7" s="98"/>
      <c r="AB7" s="98"/>
      <c r="AC7" s="98"/>
      <c r="AD7" s="98"/>
      <c r="AE7" s="98"/>
      <c r="AF7" s="98"/>
      <c r="AI7" s="366"/>
      <c r="AJ7" s="366"/>
      <c r="AK7" s="366"/>
      <c r="AL7" s="366"/>
    </row>
    <row r="8" spans="1:38">
      <c r="A8" s="1075"/>
      <c r="B8" s="1273"/>
      <c r="C8" s="2311" t="s">
        <v>4541</v>
      </c>
      <c r="D8" s="2312"/>
      <c r="E8" s="2312"/>
      <c r="F8" s="2312"/>
      <c r="G8" s="2312"/>
      <c r="H8" s="2312"/>
      <c r="I8" s="2312"/>
      <c r="J8" s="2312"/>
      <c r="K8" s="2312"/>
      <c r="L8" s="2312"/>
      <c r="M8" s="2312"/>
      <c r="N8" s="2313"/>
      <c r="O8" s="1299"/>
    </row>
    <row r="9" spans="1:38">
      <c r="B9" s="1167"/>
      <c r="C9" s="2311" t="s">
        <v>4542</v>
      </c>
      <c r="D9" s="2312"/>
      <c r="E9" s="2312"/>
      <c r="F9" s="2312"/>
      <c r="G9" s="2312"/>
      <c r="H9" s="2312"/>
      <c r="I9" s="2312"/>
      <c r="J9" s="2312"/>
      <c r="K9" s="2312"/>
      <c r="L9" s="2312"/>
      <c r="M9" s="2312"/>
      <c r="N9" s="2313"/>
      <c r="O9" s="1299"/>
    </row>
    <row r="10" spans="1:38">
      <c r="B10" s="1167"/>
      <c r="C10" s="2311"/>
      <c r="D10" s="2312"/>
      <c r="E10" s="2312"/>
      <c r="F10" s="2312"/>
      <c r="G10" s="2312"/>
      <c r="H10" s="2312"/>
      <c r="I10" s="2312"/>
      <c r="J10" s="2312"/>
      <c r="K10" s="2312"/>
      <c r="L10" s="2312"/>
      <c r="M10" s="2312"/>
      <c r="N10" s="2313"/>
      <c r="O10" s="1299"/>
    </row>
    <row r="11" spans="1:38" ht="88.25" customHeight="1">
      <c r="B11" s="1167"/>
      <c r="C11" s="2311" t="s">
        <v>4543</v>
      </c>
      <c r="D11" s="2312"/>
      <c r="E11" s="2312"/>
      <c r="F11" s="2312"/>
      <c r="G11" s="2312"/>
      <c r="H11" s="2312"/>
      <c r="I11" s="2312"/>
      <c r="J11" s="2312"/>
      <c r="K11" s="2312"/>
      <c r="L11" s="2312"/>
      <c r="M11" s="2312"/>
      <c r="N11" s="2313"/>
      <c r="O11" s="1299"/>
    </row>
    <row r="12" spans="1:38">
      <c r="A12" s="1075"/>
      <c r="B12" s="1273"/>
      <c r="C12" s="2311"/>
      <c r="D12" s="2312"/>
      <c r="E12" s="2312"/>
      <c r="F12" s="2312"/>
      <c r="G12" s="2312"/>
      <c r="H12" s="2312"/>
      <c r="I12" s="2312"/>
      <c r="J12" s="2312"/>
      <c r="K12" s="2312"/>
      <c r="L12" s="2312"/>
      <c r="M12" s="2312"/>
      <c r="N12" s="2313"/>
      <c r="O12" s="1299"/>
    </row>
    <row r="13" spans="1:38" ht="30.5" customHeight="1">
      <c r="A13" s="1075"/>
      <c r="B13" s="1273"/>
      <c r="C13" s="2311" t="s">
        <v>4544</v>
      </c>
      <c r="D13" s="2312"/>
      <c r="E13" s="2312"/>
      <c r="F13" s="2312"/>
      <c r="G13" s="2312"/>
      <c r="H13" s="2312"/>
      <c r="I13" s="2312"/>
      <c r="J13" s="2312"/>
      <c r="K13" s="2312"/>
      <c r="L13" s="2312"/>
      <c r="M13" s="2312"/>
      <c r="N13" s="2313"/>
      <c r="O13" s="1299"/>
    </row>
    <row r="14" spans="1:38">
      <c r="A14" s="1075"/>
      <c r="B14" s="1273"/>
      <c r="C14" s="2311"/>
      <c r="D14" s="2312"/>
      <c r="E14" s="2312"/>
      <c r="F14" s="2312"/>
      <c r="G14" s="2312"/>
      <c r="H14" s="2312"/>
      <c r="I14" s="2312"/>
      <c r="J14" s="2312"/>
      <c r="K14" s="2312"/>
      <c r="L14" s="2312"/>
      <c r="M14" s="2312"/>
      <c r="N14" s="2313"/>
      <c r="O14" s="1299"/>
    </row>
    <row r="15" spans="1:38" ht="29" customHeight="1">
      <c r="A15" s="1075"/>
      <c r="B15" s="1273"/>
      <c r="C15" s="2311" t="str">
        <f>"The model automatically provides a thirty percent (30%) allowance above the predicted cost. The absolute cost maximum is "&amp;TEXT(U60,"$#,##0")&amp;"/unit for New Construction and Adaptive Reuse, or "&amp;TEXT(U61,"$#,##0")&amp;" for Acquisition/Rehab)."</f>
        <v>The model automatically provides a thirty percent (30%) allowance above the predicted cost. The absolute cost maximum is $494,961/unit for New Construction and Adaptive Reuse, or $413,186 for Acquisition/Rehab).</v>
      </c>
      <c r="D15" s="2312"/>
      <c r="E15" s="2312"/>
      <c r="F15" s="2312"/>
      <c r="G15" s="2312"/>
      <c r="H15" s="2312"/>
      <c r="I15" s="2312"/>
      <c r="J15" s="2312"/>
      <c r="K15" s="2312"/>
      <c r="L15" s="2312"/>
      <c r="M15" s="2312"/>
      <c r="N15" s="2313"/>
      <c r="O15" s="1299"/>
    </row>
    <row r="16" spans="1:38">
      <c r="A16" s="1075"/>
      <c r="B16" s="1273"/>
      <c r="C16" s="2311"/>
      <c r="D16" s="2312"/>
      <c r="E16" s="2312"/>
      <c r="F16" s="2312"/>
      <c r="G16" s="2312"/>
      <c r="H16" s="2312"/>
      <c r="I16" s="2312"/>
      <c r="J16" s="2312"/>
      <c r="K16" s="2312"/>
      <c r="L16" s="2312"/>
      <c r="M16" s="2312"/>
      <c r="N16" s="2313"/>
      <c r="O16" s="1299"/>
    </row>
    <row r="17" spans="1:47" ht="44.25" hidden="1" customHeight="1">
      <c r="A17" s="1075"/>
      <c r="B17" s="1273"/>
      <c r="C17" s="2311" t="str">
        <f>"Note: Supportive Housing and projects addressing the rehabilitation of foreclosed and/or abandoned SF homes/duplexes automatically receive an additional 10% allowance above the predicted cost.  The absolute cost maximum is " &amp; TEXT((U60*1.1),"$#,##0") &amp; "/unit for New Construction &amp; Adaptive Reuse and " &amp; TEXT((U61*1.1),"$#,##0") &amp; " for Acquisition/Rehab."</f>
        <v>Note: Supportive Housing and projects addressing the rehabilitation of foreclosed and/or abandoned SF homes/duplexes automatically receive an additional 10% allowance above the predicted cost.  The absolute cost maximum is $544,458/unit for New Construction &amp; Adaptive Reuse and $454,505 for Acquisition/Rehab.</v>
      </c>
      <c r="D17" s="2312"/>
      <c r="E17" s="2312"/>
      <c r="F17" s="2312"/>
      <c r="G17" s="2312"/>
      <c r="H17" s="2312"/>
      <c r="I17" s="2312"/>
      <c r="J17" s="2312"/>
      <c r="K17" s="2312"/>
      <c r="L17" s="2312"/>
      <c r="M17" s="2312"/>
      <c r="N17" s="2313"/>
      <c r="O17" s="1299"/>
    </row>
    <row r="18" spans="1:47">
      <c r="A18" s="1075"/>
      <c r="B18" s="1273"/>
      <c r="C18" s="2320"/>
      <c r="D18" s="2321"/>
      <c r="E18" s="2321"/>
      <c r="F18" s="2321"/>
      <c r="G18" s="2321"/>
      <c r="H18" s="2321"/>
      <c r="I18" s="2321"/>
      <c r="J18" s="2321"/>
      <c r="K18" s="2321"/>
      <c r="L18" s="2321"/>
      <c r="M18" s="2321"/>
      <c r="N18" s="2322"/>
      <c r="O18" s="1299"/>
    </row>
    <row r="19" spans="1:47">
      <c r="A19" s="1075"/>
      <c r="B19" s="1273"/>
      <c r="C19" s="1273"/>
      <c r="D19" s="1273"/>
      <c r="E19" s="1340"/>
      <c r="F19" s="1273"/>
      <c r="G19" s="1273"/>
      <c r="H19" s="1273"/>
      <c r="I19" s="1273"/>
      <c r="J19" s="1273"/>
      <c r="K19" s="1299"/>
      <c r="L19" s="1299"/>
      <c r="M19" s="1299"/>
      <c r="N19" s="1299"/>
      <c r="O19" s="1299"/>
    </row>
    <row r="20" spans="1:47" ht="19">
      <c r="A20" s="1075"/>
      <c r="B20" s="8" t="s">
        <v>4545</v>
      </c>
      <c r="C20" s="959"/>
      <c r="D20" s="959"/>
      <c r="E20" s="959"/>
      <c r="F20" s="959"/>
      <c r="G20" s="959"/>
      <c r="H20" s="959"/>
      <c r="I20" s="959"/>
      <c r="J20" s="959"/>
      <c r="K20" s="724"/>
      <c r="L20" s="724"/>
      <c r="M20" s="724"/>
      <c r="N20" s="724"/>
      <c r="O20" s="724"/>
    </row>
    <row r="21" spans="1:47">
      <c r="A21" s="1075"/>
      <c r="B21" s="1338"/>
      <c r="C21" s="1273"/>
      <c r="D21" s="1273"/>
      <c r="E21" s="1340"/>
      <c r="F21" s="1273"/>
      <c r="G21" s="1273"/>
      <c r="H21" s="1273"/>
      <c r="I21" s="1273"/>
      <c r="J21" s="1273"/>
      <c r="K21" s="1299"/>
      <c r="L21" s="1299"/>
      <c r="M21" s="1299"/>
      <c r="N21" s="1299"/>
      <c r="O21" s="1299"/>
    </row>
    <row r="22" spans="1:47">
      <c r="A22" s="1075"/>
      <c r="B22" s="1273"/>
      <c r="C22" s="2314" t="s">
        <v>4546</v>
      </c>
      <c r="D22" s="2315"/>
      <c r="E22" s="2315"/>
      <c r="F22" s="2315"/>
      <c r="G22" s="2315"/>
      <c r="H22" s="2315"/>
      <c r="I22" s="2315"/>
      <c r="J22" s="2315"/>
      <c r="K22" s="2315"/>
      <c r="L22" s="2315"/>
      <c r="M22" s="2323">
        <v>0</v>
      </c>
      <c r="N22" s="2323"/>
      <c r="O22" s="1299"/>
    </row>
    <row r="23" spans="1:47" ht="29" customHeight="1">
      <c r="B23" s="1273"/>
      <c r="C23" s="2316" t="s">
        <v>4547</v>
      </c>
      <c r="D23" s="2317"/>
      <c r="E23" s="2317"/>
      <c r="F23" s="2317"/>
      <c r="G23" s="2317"/>
      <c r="H23" s="2317"/>
      <c r="I23" s="2317"/>
      <c r="J23" s="2317"/>
      <c r="K23" s="2317"/>
      <c r="L23" s="2317"/>
      <c r="M23" s="2324"/>
      <c r="N23" s="2324"/>
      <c r="O23" s="1299"/>
    </row>
    <row r="24" spans="1:47" ht="29" customHeight="1">
      <c r="B24" s="1273"/>
      <c r="C24" s="2318" t="s">
        <v>4548</v>
      </c>
      <c r="D24" s="2319"/>
      <c r="E24" s="2319"/>
      <c r="F24" s="2319"/>
      <c r="G24" s="2319"/>
      <c r="H24" s="2319"/>
      <c r="I24" s="2319"/>
      <c r="J24" s="2319"/>
      <c r="K24" s="2319"/>
      <c r="L24" s="2319"/>
      <c r="M24" s="2324"/>
      <c r="N24" s="2324"/>
      <c r="O24" s="1299"/>
    </row>
    <row r="25" spans="1:47" ht="18" hidden="1" customHeight="1">
      <c r="B25" s="1273"/>
      <c r="C25" s="2316" t="s">
        <v>4549</v>
      </c>
      <c r="D25" s="2317"/>
      <c r="E25" s="2317"/>
      <c r="F25" s="2317"/>
      <c r="G25" s="2317"/>
      <c r="H25" s="2317"/>
      <c r="I25" s="2317"/>
      <c r="J25" s="2317"/>
      <c r="K25" s="2317"/>
      <c r="L25" s="2317"/>
      <c r="M25" s="2324"/>
      <c r="N25" s="2324"/>
      <c r="O25" s="1299"/>
    </row>
    <row r="26" spans="1:47" ht="29" hidden="1" customHeight="1">
      <c r="B26" s="1273"/>
      <c r="C26" s="2318" t="s">
        <v>4550</v>
      </c>
      <c r="D26" s="2319"/>
      <c r="E26" s="2319"/>
      <c r="F26" s="2319"/>
      <c r="G26" s="2319"/>
      <c r="H26" s="2319"/>
      <c r="I26" s="2319"/>
      <c r="J26" s="2319"/>
      <c r="K26" s="2319"/>
      <c r="L26" s="2319"/>
      <c r="M26" s="2324"/>
      <c r="N26" s="2324"/>
      <c r="O26" s="1273"/>
      <c r="P26" s="3"/>
      <c r="AG26" s="131"/>
      <c r="AL26" s="9"/>
      <c r="AM26" s="9"/>
      <c r="AN26" s="9"/>
      <c r="AO26" s="131"/>
      <c r="AP26" s="131"/>
      <c r="AQ26" s="131"/>
      <c r="AR26" s="131"/>
      <c r="AS26" s="131"/>
      <c r="AT26" s="131"/>
      <c r="AU26" s="131"/>
    </row>
    <row r="27" spans="1:47">
      <c r="B27" s="1273"/>
      <c r="C27" s="2316" t="s">
        <v>4551</v>
      </c>
      <c r="D27" s="2317"/>
      <c r="E27" s="2317"/>
      <c r="F27" s="2317"/>
      <c r="G27" s="2317"/>
      <c r="H27" s="2317"/>
      <c r="I27" s="2317"/>
      <c r="J27" s="2317"/>
      <c r="K27" s="2317"/>
      <c r="L27" s="2317"/>
      <c r="M27" s="2324"/>
      <c r="N27" s="2324"/>
      <c r="O27" s="1299"/>
      <c r="AG27" s="131"/>
      <c r="AL27" s="131"/>
      <c r="AM27" s="131"/>
      <c r="AN27" s="131"/>
      <c r="AO27" s="131"/>
      <c r="AP27" s="131"/>
      <c r="AQ27" s="131"/>
      <c r="AR27" s="131"/>
      <c r="AS27" s="131"/>
      <c r="AT27" s="131"/>
      <c r="AU27" s="131"/>
    </row>
    <row r="28" spans="1:47">
      <c r="A28" s="1075"/>
      <c r="B28" s="1273"/>
      <c r="C28" s="1273"/>
      <c r="D28" s="1273"/>
      <c r="E28" s="1341"/>
      <c r="F28" s="1341"/>
      <c r="G28" s="1341"/>
      <c r="H28" s="1341"/>
      <c r="I28" s="1341"/>
      <c r="J28" s="1299"/>
      <c r="K28" s="1299"/>
      <c r="L28" s="1299"/>
      <c r="M28" s="1299"/>
      <c r="N28" s="1299"/>
      <c r="O28" s="1299"/>
      <c r="AG28" s="1084"/>
      <c r="AI28" s="1084"/>
      <c r="AL28" s="131"/>
      <c r="AM28" s="131"/>
      <c r="AN28" s="131"/>
      <c r="AO28" s="131"/>
      <c r="AP28" s="131"/>
      <c r="AQ28" s="131"/>
      <c r="AR28" s="131"/>
      <c r="AS28" s="131"/>
      <c r="AT28" s="131"/>
      <c r="AU28" s="131"/>
    </row>
    <row r="29" spans="1:47">
      <c r="A29" s="1075"/>
      <c r="B29" s="1273"/>
      <c r="C29" s="1273"/>
      <c r="D29" s="1273"/>
      <c r="E29" s="1340"/>
      <c r="F29" s="1273"/>
      <c r="G29" s="1273"/>
      <c r="H29" s="1273"/>
      <c r="I29" s="1273"/>
      <c r="J29" s="1273"/>
      <c r="K29" s="1299"/>
      <c r="L29" s="1299"/>
      <c r="M29" s="1299"/>
      <c r="N29" s="1299"/>
      <c r="O29" s="1299"/>
      <c r="AG29" s="1084"/>
      <c r="AI29" s="1084"/>
      <c r="AL29" s="131"/>
      <c r="AM29" s="131"/>
      <c r="AN29" s="131"/>
      <c r="AO29" s="131"/>
      <c r="AP29" s="131"/>
      <c r="AQ29" s="131"/>
      <c r="AR29" s="131"/>
      <c r="AS29" s="131"/>
      <c r="AT29" s="131"/>
      <c r="AU29" s="131"/>
    </row>
    <row r="30" spans="1:47" ht="19">
      <c r="A30" s="1075"/>
      <c r="B30" s="8" t="s">
        <v>4552</v>
      </c>
      <c r="C30" s="959"/>
      <c r="D30" s="959"/>
      <c r="E30" s="959"/>
      <c r="F30" s="959"/>
      <c r="G30" s="959"/>
      <c r="H30" s="959"/>
      <c r="I30" s="959"/>
      <c r="J30" s="959"/>
      <c r="K30" s="724"/>
      <c r="L30" s="724"/>
      <c r="M30" s="724"/>
      <c r="N30" s="724"/>
      <c r="O30" s="724"/>
      <c r="AG30" s="1084"/>
      <c r="AI30" s="1084"/>
      <c r="AL30" s="131"/>
      <c r="AM30" s="131"/>
      <c r="AN30" s="131"/>
      <c r="AO30" s="131"/>
      <c r="AP30" s="131"/>
      <c r="AQ30" s="131"/>
      <c r="AR30" s="131"/>
      <c r="AS30" s="131"/>
      <c r="AT30" s="131"/>
      <c r="AU30" s="131"/>
    </row>
    <row r="31" spans="1:47">
      <c r="A31" s="1075"/>
      <c r="B31" s="1338"/>
      <c r="C31" s="1273"/>
      <c r="D31" s="1273"/>
      <c r="E31" s="1340"/>
      <c r="F31" s="1273"/>
      <c r="G31" s="1273"/>
      <c r="H31" s="1273"/>
      <c r="I31" s="1273"/>
      <c r="J31" s="1273"/>
      <c r="K31" s="1299"/>
      <c r="L31" s="1299"/>
      <c r="M31" s="1299"/>
      <c r="N31" s="1299"/>
      <c r="O31" s="1299"/>
      <c r="AG31" s="1084"/>
      <c r="AI31" s="1084"/>
      <c r="AL31" s="131"/>
      <c r="AM31" s="131"/>
      <c r="AN31" s="131"/>
      <c r="AO31" s="131"/>
      <c r="AP31" s="131"/>
      <c r="AQ31" s="131"/>
      <c r="AR31" s="131"/>
      <c r="AS31" s="131"/>
      <c r="AT31" s="131"/>
      <c r="AU31" s="131"/>
    </row>
    <row r="32" spans="1:47">
      <c r="A32" s="1075"/>
      <c r="B32" s="1292"/>
      <c r="C32" s="849" t="s">
        <v>3772</v>
      </c>
      <c r="D32" s="850"/>
      <c r="E32" s="851"/>
      <c r="F32" s="851"/>
      <c r="G32" s="851"/>
      <c r="H32" s="851"/>
      <c r="I32" s="851"/>
      <c r="J32" s="850"/>
      <c r="K32" s="850"/>
      <c r="L32" s="850"/>
      <c r="M32" s="850"/>
      <c r="N32" s="852"/>
      <c r="O32" s="1299"/>
      <c r="AG32" s="1084"/>
      <c r="AI32" s="1084"/>
      <c r="AL32" s="131"/>
      <c r="AM32" s="131"/>
      <c r="AN32" s="131"/>
      <c r="AO32" s="131"/>
      <c r="AP32" s="131"/>
      <c r="AQ32" s="131"/>
      <c r="AR32" s="131"/>
      <c r="AS32" s="131"/>
      <c r="AT32" s="131"/>
      <c r="AU32" s="131"/>
    </row>
    <row r="33" spans="2:48">
      <c r="B33" s="1273"/>
      <c r="C33" s="2331" t="s">
        <v>4553</v>
      </c>
      <c r="D33" s="2332"/>
      <c r="E33" s="2332"/>
      <c r="F33" s="2332"/>
      <c r="G33" s="2332"/>
      <c r="H33" s="2332"/>
      <c r="I33" s="2332"/>
      <c r="J33" s="2332"/>
      <c r="K33" s="2332"/>
      <c r="L33" s="2332"/>
      <c r="M33" s="2325">
        <f>+Acquisition_Rehab_Units</f>
        <v>0</v>
      </c>
      <c r="N33" s="2326"/>
      <c r="O33" s="1299"/>
      <c r="AG33" s="1084"/>
      <c r="AI33" s="1084"/>
      <c r="AL33" s="131"/>
      <c r="AM33" s="131"/>
      <c r="AN33" s="131"/>
      <c r="AO33" s="131"/>
      <c r="AP33" s="131"/>
      <c r="AQ33" s="131"/>
      <c r="AR33" s="131"/>
      <c r="AS33" s="131"/>
      <c r="AT33" s="131"/>
      <c r="AU33" s="131"/>
    </row>
    <row r="34" spans="2:48">
      <c r="B34" s="1273"/>
      <c r="C34" s="2333" t="s">
        <v>4554</v>
      </c>
      <c r="D34" s="2334"/>
      <c r="E34" s="2334"/>
      <c r="F34" s="2334"/>
      <c r="G34" s="2334"/>
      <c r="H34" s="2334"/>
      <c r="I34" s="2334"/>
      <c r="J34" s="2334"/>
      <c r="K34" s="2334"/>
      <c r="L34" s="2334"/>
      <c r="M34" s="2327">
        <f>+New_Construction_Units</f>
        <v>0</v>
      </c>
      <c r="N34" s="2328"/>
      <c r="O34" s="1299"/>
      <c r="AG34" s="1084"/>
      <c r="AI34" s="1084"/>
      <c r="AL34" s="131"/>
      <c r="AM34" s="131"/>
      <c r="AN34" s="131"/>
      <c r="AO34" s="131"/>
      <c r="AP34" s="131"/>
      <c r="AQ34" s="131"/>
      <c r="AR34" s="131"/>
      <c r="AS34" s="131"/>
      <c r="AT34" s="131"/>
      <c r="AU34" s="131"/>
    </row>
    <row r="35" spans="2:48">
      <c r="B35" s="1273"/>
      <c r="C35" s="2335" t="s">
        <v>4555</v>
      </c>
      <c r="D35" s="2336"/>
      <c r="E35" s="2336"/>
      <c r="F35" s="2336"/>
      <c r="G35" s="2336"/>
      <c r="H35" s="2336"/>
      <c r="I35" s="2336"/>
      <c r="J35" s="2336"/>
      <c r="K35" s="2336"/>
      <c r="L35" s="2336"/>
      <c r="M35" s="2329">
        <f>+Adaptive_Reuse_Units</f>
        <v>0</v>
      </c>
      <c r="N35" s="2330"/>
      <c r="O35" s="1299"/>
      <c r="AG35" s="1084"/>
      <c r="AI35" s="1084"/>
      <c r="AL35" s="131"/>
      <c r="AM35" s="131"/>
      <c r="AN35" s="131"/>
      <c r="AO35" s="131"/>
      <c r="AP35" s="131"/>
      <c r="AQ35" s="131"/>
      <c r="AR35" s="131"/>
      <c r="AS35" s="131"/>
      <c r="AT35" s="131"/>
      <c r="AU35" s="131"/>
    </row>
    <row r="36" spans="2:48">
      <c r="B36" s="1273"/>
      <c r="C36" s="2337" t="s">
        <v>4556</v>
      </c>
      <c r="D36" s="2338"/>
      <c r="E36" s="2338"/>
      <c r="F36" s="2338"/>
      <c r="G36" s="2338"/>
      <c r="H36" s="2338"/>
      <c r="I36" s="2338"/>
      <c r="J36" s="2338"/>
      <c r="K36" s="2338"/>
      <c r="L36" s="2338"/>
      <c r="M36" s="2339">
        <f>M33+M34+M35</f>
        <v>0</v>
      </c>
      <c r="N36" s="2340"/>
      <c r="O36" s="1299"/>
      <c r="AG36" s="1084"/>
      <c r="AI36" s="1084"/>
      <c r="AL36" s="131"/>
      <c r="AM36" s="131"/>
      <c r="AN36" s="131"/>
      <c r="AO36" s="131"/>
      <c r="AP36" s="131"/>
      <c r="AQ36" s="131"/>
      <c r="AR36" s="131"/>
      <c r="AS36" s="131"/>
      <c r="AT36" s="131"/>
      <c r="AU36" s="131"/>
    </row>
    <row r="37" spans="2:48">
      <c r="B37" s="1273"/>
      <c r="C37" s="1273"/>
      <c r="D37" s="1273"/>
      <c r="E37" s="1341"/>
      <c r="F37" s="1341"/>
      <c r="G37" s="1341"/>
      <c r="H37" s="1341"/>
      <c r="I37" s="1341"/>
      <c r="J37" s="1299"/>
      <c r="K37" s="1299"/>
      <c r="L37" s="1299"/>
      <c r="M37" s="1299"/>
      <c r="N37" s="1299"/>
      <c r="O37" s="1299"/>
      <c r="AG37" s="1084"/>
      <c r="AI37" s="1084"/>
      <c r="AL37" s="131"/>
      <c r="AM37" s="131"/>
      <c r="AN37" s="131"/>
      <c r="AO37" s="131"/>
      <c r="AP37" s="131"/>
      <c r="AQ37" s="131"/>
      <c r="AR37" s="131"/>
      <c r="AS37" s="131"/>
      <c r="AT37" s="131"/>
      <c r="AU37" s="131"/>
    </row>
    <row r="38" spans="2:48">
      <c r="B38" s="1273"/>
      <c r="C38" s="849" t="s">
        <v>4557</v>
      </c>
      <c r="D38" s="850"/>
      <c r="E38" s="851"/>
      <c r="F38" s="851"/>
      <c r="G38" s="851"/>
      <c r="H38" s="851"/>
      <c r="I38" s="851"/>
      <c r="J38" s="850"/>
      <c r="K38" s="850"/>
      <c r="L38" s="850"/>
      <c r="M38" s="850"/>
      <c r="N38" s="852"/>
      <c r="O38" s="1299"/>
      <c r="AG38" s="1084"/>
      <c r="AI38" s="1084"/>
      <c r="AL38" s="131"/>
      <c r="AM38" s="131"/>
      <c r="AN38" s="131"/>
      <c r="AO38" s="131"/>
      <c r="AP38" s="131"/>
      <c r="AQ38" s="131"/>
      <c r="AR38" s="131"/>
      <c r="AS38" s="131"/>
      <c r="AT38" s="131"/>
      <c r="AU38" s="131"/>
    </row>
    <row r="39" spans="2:48">
      <c r="B39" s="1273"/>
      <c r="C39" s="2345" t="s">
        <v>4558</v>
      </c>
      <c r="D39" s="2346"/>
      <c r="E39" s="2346"/>
      <c r="F39" s="2346"/>
      <c r="G39" s="2346"/>
      <c r="H39" s="2346"/>
      <c r="I39" s="2346"/>
      <c r="J39" s="2346"/>
      <c r="K39" s="2346"/>
      <c r="L39" s="2346"/>
      <c r="M39" s="2349" t="str">
        <f>IF(Property_City="Milwaukee","Yes","No")</f>
        <v>No</v>
      </c>
      <c r="N39" s="2350"/>
      <c r="O39" s="1299"/>
      <c r="Q39" s="9" t="s">
        <v>4559</v>
      </c>
      <c r="AG39" s="1084"/>
      <c r="AI39" s="1084"/>
      <c r="AL39" s="131"/>
      <c r="AM39" s="131"/>
      <c r="AN39" s="131"/>
      <c r="AO39" s="131"/>
      <c r="AP39" s="131"/>
      <c r="AQ39" s="131"/>
      <c r="AR39" s="131"/>
      <c r="AS39" s="131"/>
      <c r="AT39" s="131"/>
      <c r="AU39" s="131"/>
    </row>
    <row r="40" spans="2:48">
      <c r="B40" s="1273"/>
      <c r="C40" s="2343" t="s">
        <v>4560</v>
      </c>
      <c r="D40" s="2344"/>
      <c r="E40" s="2344"/>
      <c r="F40" s="2344"/>
      <c r="G40" s="2344"/>
      <c r="H40" s="2344"/>
      <c r="I40" s="2344"/>
      <c r="J40" s="2344"/>
      <c r="K40" s="2344"/>
      <c r="L40" s="2344"/>
      <c r="M40" s="2351" t="str">
        <f>IF(Property_City="Madison","Yes","No")</f>
        <v>No</v>
      </c>
      <c r="N40" s="2352"/>
      <c r="O40" s="1299"/>
      <c r="AG40" s="1084"/>
      <c r="AI40" s="1084"/>
      <c r="AL40" s="131"/>
      <c r="AM40" s="131"/>
      <c r="AN40" s="131"/>
      <c r="AO40" s="131"/>
      <c r="AP40" s="131"/>
      <c r="AQ40" s="131"/>
      <c r="AR40" s="131"/>
      <c r="AS40" s="131"/>
      <c r="AT40" s="131"/>
      <c r="AU40" s="131"/>
    </row>
    <row r="41" spans="2:48" ht="29" customHeight="1">
      <c r="B41" s="1273"/>
      <c r="C41" s="2311" t="s">
        <v>4561</v>
      </c>
      <c r="D41" s="2312"/>
      <c r="E41" s="2312"/>
      <c r="F41" s="2312"/>
      <c r="G41" s="2312"/>
      <c r="H41" s="2312"/>
      <c r="I41" s="2312"/>
      <c r="J41" s="2312"/>
      <c r="K41" s="2312"/>
      <c r="L41" s="2312"/>
      <c r="M41" s="2353" t="str">
        <f>(IF(AND(M40="No",M39="No",COUNTIF('Dropdown Lists'!AB2:AB26,Property_County)=1),"Yes","No"))</f>
        <v>No</v>
      </c>
      <c r="N41" s="2354"/>
      <c r="O41" s="1299"/>
      <c r="Q41" s="9" t="s">
        <v>4562</v>
      </c>
      <c r="AG41" s="1084"/>
      <c r="AI41" s="1084"/>
      <c r="AL41" s="131"/>
      <c r="AM41" s="131"/>
      <c r="AN41" s="131"/>
      <c r="AO41" s="131"/>
      <c r="AP41" s="131"/>
      <c r="AQ41" s="131"/>
      <c r="AR41" s="131"/>
      <c r="AS41" s="131"/>
      <c r="AT41" s="131"/>
      <c r="AU41" s="131"/>
    </row>
    <row r="42" spans="2:48">
      <c r="B42" s="1273"/>
      <c r="C42" s="2347" t="s">
        <v>4563</v>
      </c>
      <c r="D42" s="2348"/>
      <c r="E42" s="2348"/>
      <c r="F42" s="2348"/>
      <c r="G42" s="2348"/>
      <c r="H42" s="2348"/>
      <c r="I42" s="2348"/>
      <c r="J42" s="2348"/>
      <c r="K42" s="2348"/>
      <c r="L42" s="2348"/>
      <c r="M42" s="2355" t="str">
        <f>IF(COUNTIF('Dropdown Lists'!AC2:AC12,Tribal_Name)=1,"Yes","No")</f>
        <v>No</v>
      </c>
      <c r="N42" s="2356"/>
      <c r="O42" s="1299"/>
      <c r="AG42" s="1084"/>
      <c r="AI42" s="1084"/>
      <c r="AL42" s="131"/>
      <c r="AM42" s="131"/>
      <c r="AN42" s="131"/>
      <c r="AO42" s="131"/>
      <c r="AP42" s="131"/>
      <c r="AQ42" s="131"/>
      <c r="AR42" s="131"/>
      <c r="AS42" s="131"/>
      <c r="AT42" s="131"/>
      <c r="AU42" s="131"/>
    </row>
    <row r="43" spans="2:48">
      <c r="B43" s="1273"/>
      <c r="C43" s="1273"/>
      <c r="D43" s="1273"/>
      <c r="E43" s="1341"/>
      <c r="F43" s="1341"/>
      <c r="G43" s="1341"/>
      <c r="H43" s="1341"/>
      <c r="I43" s="1341"/>
      <c r="J43" s="1299"/>
      <c r="K43" s="1299"/>
      <c r="L43" s="1299"/>
      <c r="M43" s="1299"/>
      <c r="N43" s="1299"/>
      <c r="O43" s="1299"/>
      <c r="AG43" s="1084"/>
      <c r="AI43" s="1084"/>
      <c r="AL43" s="131"/>
      <c r="AM43" s="131"/>
      <c r="AN43" s="131"/>
      <c r="AO43" s="131"/>
      <c r="AP43" s="131"/>
      <c r="AQ43" s="131"/>
      <c r="AR43" s="131"/>
      <c r="AS43" s="131"/>
      <c r="AT43" s="131"/>
      <c r="AU43" s="131"/>
    </row>
    <row r="44" spans="2:48">
      <c r="B44" s="1273"/>
      <c r="C44" s="849" t="s">
        <v>4564</v>
      </c>
      <c r="D44" s="850"/>
      <c r="E44" s="851"/>
      <c r="F44" s="851"/>
      <c r="G44" s="851"/>
      <c r="H44" s="851"/>
      <c r="I44" s="851"/>
      <c r="J44" s="850"/>
      <c r="K44" s="850"/>
      <c r="L44" s="850"/>
      <c r="M44" s="850"/>
      <c r="N44" s="852"/>
      <c r="O44" s="1299"/>
      <c r="S44" s="1536" t="s">
        <v>4565</v>
      </c>
      <c r="T44" s="1630" t="s">
        <v>4566</v>
      </c>
      <c r="U44" s="1630" t="s">
        <v>4567</v>
      </c>
      <c r="V44" s="1630" t="s">
        <v>4568</v>
      </c>
      <c r="W44" s="1630" t="s">
        <v>4569</v>
      </c>
      <c r="AB44" s="1631"/>
      <c r="AG44" s="131"/>
      <c r="AH44" s="1084"/>
      <c r="AJ44" s="1084"/>
      <c r="AL44" s="131"/>
      <c r="AM44" s="131"/>
      <c r="AN44" s="131"/>
      <c r="AO44" s="131"/>
      <c r="AP44" s="131"/>
      <c r="AQ44" s="131"/>
      <c r="AR44" s="131"/>
      <c r="AS44" s="131"/>
      <c r="AT44" s="131"/>
      <c r="AU44" s="131"/>
      <c r="AV44" s="131"/>
    </row>
    <row r="45" spans="2:48">
      <c r="B45" s="1273"/>
      <c r="C45" s="1907" t="s">
        <v>4570</v>
      </c>
      <c r="D45" s="1908"/>
      <c r="E45" s="1908"/>
      <c r="F45" s="1908"/>
      <c r="G45" s="1908"/>
      <c r="H45" s="1908"/>
      <c r="I45" s="1908"/>
      <c r="J45" s="1908"/>
      <c r="K45" s="1908"/>
      <c r="L45" s="1908"/>
      <c r="M45" s="2361" t="str">
        <f>+IF(New_Construction_Units&gt;=1,"Yes","No")</f>
        <v>No</v>
      </c>
      <c r="N45" s="2362"/>
      <c r="O45" s="1299"/>
      <c r="R45" s="9" t="s">
        <v>385</v>
      </c>
      <c r="S45" s="1632">
        <f>45579*1.1*1.15*1.05</f>
        <v>60540.306750000003</v>
      </c>
      <c r="T45" s="1631">
        <f>IF(M39="yes",S45*1.1,0)</f>
        <v>0</v>
      </c>
      <c r="U45" s="1631"/>
      <c r="V45" s="1633"/>
      <c r="W45" s="1631"/>
      <c r="X45" s="1117"/>
      <c r="Y45" s="1117"/>
      <c r="Z45" s="1117"/>
      <c r="AA45" s="1117"/>
      <c r="AB45" s="1631"/>
      <c r="AG45" s="131"/>
      <c r="AH45" s="1084"/>
      <c r="AJ45" s="1084"/>
      <c r="AL45" s="131"/>
      <c r="AM45" s="131"/>
      <c r="AN45" s="131"/>
      <c r="AO45" s="131"/>
      <c r="AP45" s="131"/>
      <c r="AQ45" s="131"/>
      <c r="AR45" s="131"/>
      <c r="AS45" s="131"/>
      <c r="AT45" s="131"/>
      <c r="AU45" s="131"/>
      <c r="AV45" s="131"/>
    </row>
    <row r="46" spans="2:48">
      <c r="B46" s="1273"/>
      <c r="C46" s="2357" t="s">
        <v>4571</v>
      </c>
      <c r="D46" s="2358"/>
      <c r="E46" s="2358"/>
      <c r="F46" s="2358"/>
      <c r="G46" s="2358"/>
      <c r="H46" s="2358"/>
      <c r="I46" s="2358"/>
      <c r="J46" s="2358"/>
      <c r="K46" s="2358"/>
      <c r="L46" s="2358"/>
      <c r="M46" s="2363" t="str">
        <f>IF(Adaptive_Reuse_Units&gt;=1,"Yes","No")</f>
        <v>No</v>
      </c>
      <c r="N46" s="2364"/>
      <c r="O46" s="1299"/>
      <c r="R46" s="1117" t="s">
        <v>4572</v>
      </c>
      <c r="S46" s="1634">
        <f>45880*1.1*1.15*1.05</f>
        <v>60940.110000000008</v>
      </c>
      <c r="T46" s="1631">
        <f>IF(M40="yes",S46*1.1,0)</f>
        <v>0</v>
      </c>
      <c r="U46" s="1631"/>
      <c r="V46" s="1633"/>
      <c r="W46" s="1631"/>
      <c r="X46" s="1117"/>
      <c r="Y46" s="1117"/>
      <c r="Z46" s="1117"/>
      <c r="AA46" s="1117"/>
      <c r="AB46" s="1631"/>
      <c r="AG46" s="131"/>
      <c r="AH46" s="1084"/>
      <c r="AJ46" s="1084"/>
      <c r="AL46" s="131"/>
      <c r="AM46" s="131"/>
      <c r="AN46" s="131"/>
      <c r="AO46" s="131"/>
      <c r="AP46" s="131"/>
      <c r="AQ46" s="131"/>
      <c r="AR46" s="131"/>
      <c r="AS46" s="131"/>
      <c r="AT46" s="131"/>
      <c r="AU46" s="131"/>
      <c r="AV46" s="131"/>
    </row>
    <row r="47" spans="2:48">
      <c r="B47" s="1273"/>
      <c r="C47" s="2359" t="s">
        <v>4573</v>
      </c>
      <c r="D47" s="2360"/>
      <c r="E47" s="2360"/>
      <c r="F47" s="2360"/>
      <c r="G47" s="2360"/>
      <c r="H47" s="2360"/>
      <c r="I47" s="2360"/>
      <c r="J47" s="2360"/>
      <c r="K47" s="2360"/>
      <c r="L47" s="2360"/>
      <c r="M47" s="2365">
        <f>+'11. Unit Mix'!G142</f>
        <v>0</v>
      </c>
      <c r="N47" s="2366"/>
      <c r="O47" s="1299"/>
      <c r="R47" s="1117" t="s">
        <v>4574</v>
      </c>
      <c r="S47" s="1634">
        <f>7995*1.1*1.15*1.05</f>
        <v>10619.358749999999</v>
      </c>
      <c r="T47" s="1631">
        <f>IF(M41="yes",S47*1.1,0)</f>
        <v>0</v>
      </c>
      <c r="U47" s="1631"/>
      <c r="V47" s="1633"/>
      <c r="W47" s="1631"/>
      <c r="X47" s="1117"/>
      <c r="Y47" s="1117"/>
      <c r="Z47" s="1117"/>
      <c r="AA47" s="1117"/>
      <c r="AG47" s="131"/>
      <c r="AH47" s="1084"/>
      <c r="AJ47" s="1084"/>
      <c r="AL47" s="131"/>
      <c r="AM47" s="131"/>
      <c r="AN47" s="131"/>
      <c r="AO47" s="131"/>
      <c r="AP47" s="131"/>
      <c r="AQ47" s="131"/>
      <c r="AR47" s="131"/>
      <c r="AS47" s="131"/>
      <c r="AT47" s="131"/>
      <c r="AU47" s="131"/>
      <c r="AV47" s="131"/>
    </row>
    <row r="48" spans="2:48">
      <c r="B48" s="1273"/>
      <c r="C48" s="1273"/>
      <c r="D48" s="1273"/>
      <c r="E48" s="1341"/>
      <c r="F48" s="1341"/>
      <c r="G48" s="1341"/>
      <c r="H48" s="1341"/>
      <c r="I48" s="1341"/>
      <c r="J48" s="1299"/>
      <c r="K48" s="1299"/>
      <c r="L48" s="1299"/>
      <c r="M48" s="1299"/>
      <c r="N48" s="1299"/>
      <c r="O48" s="1299"/>
      <c r="R48" s="1117" t="s">
        <v>4575</v>
      </c>
      <c r="S48" s="1634">
        <f>39066*1.1*1.15*1.05</f>
        <v>51889.414500000006</v>
      </c>
      <c r="T48" s="1631">
        <f>IF(M42="yes",S48*1.1,0)</f>
        <v>0</v>
      </c>
      <c r="U48" s="1631"/>
      <c r="V48" s="1633"/>
      <c r="W48" s="1631"/>
      <c r="X48" s="1117"/>
      <c r="Y48" s="1117"/>
      <c r="Z48" s="1117"/>
      <c r="AA48" s="1117"/>
      <c r="AC48" s="1631"/>
      <c r="AG48" s="131"/>
      <c r="AH48" s="1084"/>
      <c r="AJ48" s="1084"/>
      <c r="AL48" s="131"/>
      <c r="AM48" s="131"/>
      <c r="AN48" s="131"/>
      <c r="AO48" s="131"/>
      <c r="AP48" s="131"/>
      <c r="AQ48" s="131"/>
      <c r="AR48" s="131"/>
      <c r="AS48" s="131"/>
      <c r="AT48" s="131"/>
      <c r="AU48" s="131"/>
      <c r="AV48" s="131"/>
    </row>
    <row r="49" spans="1:54">
      <c r="B49" s="1273"/>
      <c r="C49" s="849" t="s">
        <v>4576</v>
      </c>
      <c r="D49" s="850"/>
      <c r="E49" s="851"/>
      <c r="F49" s="851"/>
      <c r="G49" s="851"/>
      <c r="H49" s="851"/>
      <c r="I49" s="851"/>
      <c r="J49" s="850"/>
      <c r="K49" s="850"/>
      <c r="L49" s="850"/>
      <c r="M49" s="850"/>
      <c r="N49" s="852"/>
      <c r="O49" s="1299"/>
      <c r="R49" s="1117" t="s">
        <v>4577</v>
      </c>
      <c r="S49" s="1634">
        <f>78012*1.1*1.15*1.05</f>
        <v>103619.43900000001</v>
      </c>
      <c r="T49" s="1631">
        <f>IF(M45="yes",S49*1.1,0)</f>
        <v>0</v>
      </c>
      <c r="U49" s="1631">
        <f>IF(M36&lt;&gt;0,T49*(M34/M36),0)</f>
        <v>0</v>
      </c>
      <c r="V49" s="1631"/>
      <c r="W49" s="1631"/>
      <c r="X49" s="1117"/>
      <c r="Y49" s="1117"/>
      <c r="Z49" s="1117"/>
      <c r="AA49" s="1117"/>
      <c r="AC49" s="1631"/>
      <c r="AG49" s="131"/>
      <c r="AH49" s="1084"/>
      <c r="AJ49" s="1084"/>
      <c r="AL49" s="131"/>
      <c r="AM49" s="131"/>
      <c r="AN49" s="131"/>
      <c r="AO49" s="131"/>
      <c r="AP49" s="131"/>
      <c r="AQ49" s="131"/>
      <c r="AR49" s="131"/>
      <c r="AS49" s="131"/>
      <c r="AT49" s="131"/>
      <c r="AU49" s="131"/>
      <c r="AV49" s="131"/>
    </row>
    <row r="50" spans="1:54">
      <c r="B50" s="1273"/>
      <c r="C50" s="2300" t="s">
        <v>4578</v>
      </c>
      <c r="D50" s="2301"/>
      <c r="E50" s="2301"/>
      <c r="F50" s="2301"/>
      <c r="G50" s="2301"/>
      <c r="H50" s="2301"/>
      <c r="I50" s="2301"/>
      <c r="J50" s="2301"/>
      <c r="K50" s="2301"/>
      <c r="L50" s="2301"/>
      <c r="M50" s="2341">
        <f>IF(Set_Aside=9%,0,IF(PC_DEV_Developer_Costs_Subtotal_Total-21000*Total_Units&gt;0,PC_DEV_Developer_Costs_Subtotal_Total-21000*Total_Units,0))</f>
        <v>0</v>
      </c>
      <c r="N50" s="2342"/>
      <c r="O50" s="1299"/>
      <c r="R50" s="1117" t="s">
        <v>4579</v>
      </c>
      <c r="S50" s="1634">
        <f>78317*1.1*1.15*1.05</f>
        <v>104024.55525</v>
      </c>
      <c r="T50" s="1631">
        <f>IF(M46="yes",S50*1.1,0)</f>
        <v>0</v>
      </c>
      <c r="U50" s="1631"/>
      <c r="V50" s="1631">
        <f>IF(M36&lt;&gt;0,T50*(M35/M36),0)</f>
        <v>0</v>
      </c>
      <c r="W50" s="1631"/>
      <c r="X50" s="1117"/>
      <c r="Y50" s="1117"/>
      <c r="Z50" s="1117"/>
      <c r="AA50" s="1635"/>
      <c r="AC50" s="1633"/>
      <c r="AG50" s="131"/>
      <c r="AH50" s="1084"/>
      <c r="AJ50" s="1084"/>
      <c r="AL50" s="131"/>
      <c r="AM50" s="131"/>
      <c r="AN50" s="131"/>
      <c r="AO50" s="131"/>
      <c r="AP50" s="131"/>
      <c r="AQ50" s="131"/>
      <c r="AR50" s="131"/>
      <c r="AS50" s="131"/>
      <c r="AT50" s="131"/>
      <c r="AU50" s="131"/>
      <c r="AV50" s="131"/>
    </row>
    <row r="51" spans="1:54">
      <c r="A51" s="1075"/>
      <c r="B51" s="1273"/>
      <c r="C51" s="1273"/>
      <c r="D51" s="1273"/>
      <c r="E51" s="1341"/>
      <c r="F51" s="1341"/>
      <c r="G51" s="1341"/>
      <c r="H51" s="1341"/>
      <c r="I51" s="1341"/>
      <c r="J51" s="1299"/>
      <c r="K51" s="1299"/>
      <c r="L51" s="1299"/>
      <c r="M51" s="1299"/>
      <c r="N51" s="1299"/>
      <c r="O51" s="1299"/>
      <c r="R51" s="1117" t="s">
        <v>4580</v>
      </c>
      <c r="S51" s="1634">
        <f>25769*1.1*1.15*1.05</f>
        <v>34227.674250000004</v>
      </c>
      <c r="T51" s="1631">
        <f>IF(M23="yes",S51*1.1,0)</f>
        <v>0</v>
      </c>
      <c r="U51" s="1631"/>
      <c r="V51" s="1631"/>
      <c r="W51" s="1631">
        <f>IF(M36&lt;&gt;0,T51*(M33/M36),0)</f>
        <v>0</v>
      </c>
      <c r="X51" s="1117"/>
      <c r="Y51" s="1117"/>
      <c r="Z51" s="1117"/>
      <c r="AA51" s="1117"/>
      <c r="AC51" s="1633"/>
      <c r="AG51" s="131"/>
      <c r="AH51" s="1084"/>
      <c r="AJ51" s="1084"/>
      <c r="AL51" s="131"/>
      <c r="AM51" s="131"/>
      <c r="AN51" s="131"/>
      <c r="AO51" s="131"/>
      <c r="AP51" s="131"/>
      <c r="AQ51" s="131"/>
      <c r="AR51" s="131"/>
      <c r="AS51" s="131"/>
      <c r="AT51" s="131"/>
      <c r="AU51" s="131"/>
      <c r="AV51" s="131"/>
    </row>
    <row r="52" spans="1:54" ht="19">
      <c r="A52" s="1075"/>
      <c r="B52" s="8" t="s">
        <v>4581</v>
      </c>
      <c r="C52" s="959"/>
      <c r="D52" s="959"/>
      <c r="E52" s="959"/>
      <c r="F52" s="959"/>
      <c r="G52" s="959"/>
      <c r="H52" s="959"/>
      <c r="I52" s="959"/>
      <c r="J52" s="959"/>
      <c r="K52" s="724"/>
      <c r="L52" s="724"/>
      <c r="M52" s="724"/>
      <c r="N52" s="724"/>
      <c r="O52" s="724"/>
      <c r="R52" s="1117"/>
      <c r="S52" s="1634"/>
      <c r="T52" s="1631"/>
      <c r="U52" s="1631"/>
      <c r="V52" s="1631"/>
      <c r="W52" s="1631"/>
      <c r="X52" s="1117"/>
      <c r="Y52" s="1117"/>
      <c r="Z52" s="1117"/>
      <c r="AA52" s="1117"/>
      <c r="AC52" s="1633"/>
      <c r="AG52" s="131"/>
      <c r="AH52" s="1084"/>
      <c r="AJ52" s="1084"/>
      <c r="AL52" s="131"/>
      <c r="AM52" s="131"/>
      <c r="AN52" s="131"/>
      <c r="AO52" s="131"/>
      <c r="AP52" s="131"/>
      <c r="AQ52" s="131"/>
      <c r="AR52" s="131"/>
      <c r="AS52" s="131"/>
      <c r="AT52" s="131"/>
      <c r="AU52" s="131"/>
      <c r="AV52" s="131"/>
    </row>
    <row r="53" spans="1:54">
      <c r="A53" s="1075"/>
      <c r="B53" s="1338"/>
      <c r="C53" s="1273"/>
      <c r="D53" s="1273"/>
      <c r="E53" s="1340"/>
      <c r="F53" s="1273"/>
      <c r="G53" s="1273"/>
      <c r="H53" s="1273"/>
      <c r="I53" s="1273"/>
      <c r="J53" s="1273"/>
      <c r="K53" s="1299"/>
      <c r="L53" s="1299"/>
      <c r="M53" s="1299"/>
      <c r="N53" s="1299"/>
      <c r="O53" s="1299"/>
      <c r="R53" s="1117" t="s">
        <v>4582</v>
      </c>
      <c r="S53" s="1634">
        <f>67297*1.1*1.15*1.05</f>
        <v>89387.240250000003</v>
      </c>
      <c r="T53" s="1631">
        <f>IF(M24="yes",S53*1.1,0)</f>
        <v>0</v>
      </c>
      <c r="U53" s="1631"/>
      <c r="V53" s="1631"/>
      <c r="W53" s="1631">
        <f>IF(M36&lt;&gt;0,T53*(M33/M36),0)</f>
        <v>0</v>
      </c>
      <c r="X53" s="1117"/>
      <c r="Y53" s="1117"/>
      <c r="Z53" s="1117"/>
      <c r="AA53" s="1117"/>
      <c r="AC53" s="1631"/>
      <c r="AG53" s="131"/>
      <c r="AH53" s="1084"/>
      <c r="AJ53" s="1084"/>
      <c r="AL53" s="131"/>
      <c r="AM53" s="131"/>
      <c r="AN53" s="131"/>
      <c r="AO53" s="131"/>
      <c r="AP53" s="131"/>
      <c r="AQ53" s="131"/>
      <c r="AR53" s="131"/>
      <c r="AS53" s="131"/>
      <c r="AT53" s="131"/>
      <c r="AU53" s="131"/>
      <c r="AV53" s="131"/>
    </row>
    <row r="54" spans="1:54">
      <c r="B54" s="1292"/>
      <c r="C54" s="1907" t="s">
        <v>4583</v>
      </c>
      <c r="D54" s="1908"/>
      <c r="E54" s="1908"/>
      <c r="F54" s="1908"/>
      <c r="G54" s="1908"/>
      <c r="H54" s="1908"/>
      <c r="I54" s="1908"/>
      <c r="J54" s="1908"/>
      <c r="K54" s="1908"/>
      <c r="L54" s="1908"/>
      <c r="M54" s="2367">
        <f>IFERROR(IF(SUM(T45:T48,U49:W53,T55,T57)&gt;0, SUM(T45:T48,U49:W53,T55,T57)+34535*1.15+(4371*8*1.15), 0), 0)</f>
        <v>0</v>
      </c>
      <c r="N54" s="2368"/>
      <c r="O54" s="1299"/>
      <c r="R54" s="1117"/>
      <c r="S54" s="1634"/>
      <c r="T54" s="1631"/>
      <c r="U54" s="1633"/>
      <c r="V54" s="1633"/>
      <c r="W54" s="1633"/>
      <c r="X54" s="1117"/>
      <c r="Y54" s="1117"/>
      <c r="Z54" s="1117"/>
      <c r="AA54" s="1117"/>
      <c r="AC54" s="1633"/>
      <c r="AG54" s="131"/>
      <c r="AL54" s="131"/>
      <c r="AM54" s="131"/>
      <c r="AN54" s="709"/>
      <c r="AO54" s="495"/>
      <c r="AP54" s="131"/>
      <c r="AQ54" s="131"/>
      <c r="AR54" s="131"/>
      <c r="AS54" s="131"/>
      <c r="AT54" s="131"/>
      <c r="AU54" s="131"/>
      <c r="AV54" s="131"/>
      <c r="AW54" s="131"/>
    </row>
    <row r="55" spans="1:54">
      <c r="B55" s="1273"/>
      <c r="C55" s="2357" t="s">
        <v>4584</v>
      </c>
      <c r="D55" s="2358"/>
      <c r="E55" s="2358"/>
      <c r="F55" s="2358"/>
      <c r="G55" s="2358"/>
      <c r="H55" s="2358"/>
      <c r="I55" s="2358"/>
      <c r="J55" s="2358"/>
      <c r="K55" s="2358"/>
      <c r="L55" s="2358"/>
      <c r="M55" s="2369">
        <f>M54*0.3</f>
        <v>0</v>
      </c>
      <c r="N55" s="2370"/>
      <c r="O55" s="1344"/>
      <c r="P55" s="485"/>
      <c r="Q55" s="1117"/>
      <c r="R55" s="1117" t="s">
        <v>4585</v>
      </c>
      <c r="S55" s="1634">
        <f>32412*1.1*1.15*1.05</f>
        <v>43051.239000000001</v>
      </c>
      <c r="T55" s="1631">
        <f>IF(M27="yes",S55*1.1,0)</f>
        <v>0</v>
      </c>
      <c r="U55" s="1631"/>
      <c r="V55" s="1633"/>
      <c r="W55" s="1631"/>
      <c r="X55" s="1117"/>
      <c r="Y55" s="1117"/>
      <c r="Z55" s="1117"/>
      <c r="AA55" s="1117"/>
      <c r="AB55" s="1117"/>
      <c r="AC55" s="1631"/>
      <c r="AF55" s="1117"/>
      <c r="AG55" s="485"/>
      <c r="AH55" s="1116"/>
      <c r="AI55" s="485"/>
      <c r="AJ55" s="485"/>
      <c r="AK55" s="485"/>
      <c r="AL55" s="710"/>
      <c r="AM55" s="485"/>
      <c r="AN55" s="711"/>
      <c r="AO55" s="711"/>
      <c r="AP55" s="131"/>
      <c r="AQ55" s="131"/>
      <c r="AR55" s="131"/>
      <c r="AS55" s="131"/>
      <c r="AT55" s="131"/>
      <c r="AU55" s="131"/>
      <c r="AV55" s="131"/>
      <c r="AW55" s="131"/>
    </row>
    <row r="56" spans="1:54">
      <c r="B56" s="1273"/>
      <c r="C56" s="2373" t="s">
        <v>4586</v>
      </c>
      <c r="D56" s="2374"/>
      <c r="E56" s="2374"/>
      <c r="F56" s="2374"/>
      <c r="G56" s="2374"/>
      <c r="H56" s="2374"/>
      <c r="I56" s="2374"/>
      <c r="J56" s="2374"/>
      <c r="K56" s="2374"/>
      <c r="L56" s="2374"/>
      <c r="M56" s="2371">
        <f>M54+M55</f>
        <v>0</v>
      </c>
      <c r="N56" s="2372"/>
      <c r="O56" s="1344"/>
      <c r="P56" s="485"/>
      <c r="Q56" s="1117"/>
      <c r="R56" s="1117"/>
      <c r="S56" s="1634"/>
      <c r="T56" s="1631"/>
      <c r="U56" s="1633"/>
      <c r="V56" s="1633"/>
      <c r="W56" s="1633"/>
      <c r="X56" s="1117"/>
      <c r="Y56" s="1117"/>
      <c r="Z56" s="1117"/>
      <c r="AA56" s="1117"/>
      <c r="AF56" s="1117"/>
      <c r="AG56" s="485"/>
      <c r="AH56" s="1116"/>
      <c r="AI56" s="485"/>
      <c r="AJ56" s="485"/>
      <c r="AK56" s="485"/>
      <c r="AL56" s="710"/>
      <c r="AM56" s="485"/>
      <c r="AN56" s="711"/>
      <c r="AO56" s="711"/>
      <c r="AP56" s="131"/>
      <c r="AQ56" s="131"/>
      <c r="AR56" s="131"/>
      <c r="AS56" s="131"/>
      <c r="AT56" s="131"/>
      <c r="AU56" s="131"/>
      <c r="AV56" s="131"/>
      <c r="AW56" s="131"/>
    </row>
    <row r="57" spans="1:54">
      <c r="B57" s="1273"/>
      <c r="C57" s="1273"/>
      <c r="D57" s="1273"/>
      <c r="E57" s="1342"/>
      <c r="F57" s="1343"/>
      <c r="G57" s="1343"/>
      <c r="H57" s="1343"/>
      <c r="I57" s="1273"/>
      <c r="J57" s="1344"/>
      <c r="K57" s="1344"/>
      <c r="L57" s="1344"/>
      <c r="M57" s="1344"/>
      <c r="N57" s="1344"/>
      <c r="O57" s="1344"/>
      <c r="P57" s="485"/>
      <c r="Q57" s="1117"/>
      <c r="R57" s="1117" t="s">
        <v>4587</v>
      </c>
      <c r="S57" s="1634">
        <f>36.7*1.1*1.15*1.05</f>
        <v>48.746775</v>
      </c>
      <c r="T57" s="1631">
        <f>IF(M36&lt;&gt;0,(M47/M36)*(S57*1.1),0)</f>
        <v>0</v>
      </c>
      <c r="U57" s="1631"/>
      <c r="V57" s="1631"/>
      <c r="W57" s="1631"/>
      <c r="X57" s="1117"/>
      <c r="Y57" s="1117"/>
      <c r="Z57" s="1117"/>
      <c r="AA57" s="1117"/>
      <c r="AF57" s="1117"/>
      <c r="AG57" s="485"/>
      <c r="AH57" s="1116"/>
      <c r="AI57" s="485"/>
      <c r="AJ57" s="485"/>
      <c r="AK57" s="485"/>
      <c r="AL57" s="710"/>
      <c r="AM57" s="485"/>
      <c r="AN57" s="711"/>
      <c r="AO57" s="711"/>
      <c r="AP57" s="131"/>
      <c r="AQ57" s="131"/>
      <c r="AR57" s="131"/>
      <c r="AS57" s="131"/>
      <c r="AT57" s="131"/>
      <c r="AU57" s="131"/>
      <c r="AV57" s="131"/>
      <c r="AW57" s="131"/>
      <c r="AX57" s="131"/>
      <c r="AY57" s="131"/>
      <c r="AZ57" s="131"/>
      <c r="BA57" s="131"/>
      <c r="BB57" s="131"/>
    </row>
    <row r="58" spans="1:54" ht="29" customHeight="1">
      <c r="B58" s="1273"/>
      <c r="C58" s="2377" t="str">
        <f>"Adjusted Cost Limit (not to exceed "&amp; TEXT(U60,"$#,##0") &amp; " per-unit for New Construction and Adaptive Reuse, or " &amp; TEXT(U61,"$#,##0") &amp; " for Acquisition/Rehab)"</f>
        <v>Adjusted Cost Limit (not to exceed $494,961 per-unit for New Construction and Adaptive Reuse, or $413,186 for Acquisition/Rehab)</v>
      </c>
      <c r="D58" s="2378"/>
      <c r="E58" s="2378"/>
      <c r="F58" s="2378"/>
      <c r="G58" s="2378"/>
      <c r="H58" s="2378"/>
      <c r="I58" s="2378"/>
      <c r="J58" s="2378"/>
      <c r="K58" s="2378"/>
      <c r="L58" s="2378"/>
      <c r="M58" s="2375">
        <f>IFERROR(AA62,0)</f>
        <v>0</v>
      </c>
      <c r="N58" s="2376"/>
      <c r="O58" s="1344"/>
      <c r="P58" s="485"/>
      <c r="Q58" s="1117"/>
      <c r="R58" s="1117"/>
      <c r="S58" s="1631"/>
      <c r="T58" s="1631"/>
      <c r="U58" s="1631"/>
      <c r="V58" s="1631"/>
      <c r="W58" s="1117"/>
      <c r="X58" s="1117"/>
      <c r="Y58" s="1117"/>
      <c r="Z58" s="1117"/>
      <c r="AB58" s="1710"/>
      <c r="AG58" s="131"/>
      <c r="AL58" s="131"/>
      <c r="AM58" s="131"/>
      <c r="AN58" s="131"/>
      <c r="AO58" s="131"/>
    </row>
    <row r="59" spans="1:54">
      <c r="B59" s="1273"/>
      <c r="C59" s="1273"/>
      <c r="D59" s="1273"/>
      <c r="E59" s="1342"/>
      <c r="F59" s="2299"/>
      <c r="G59" s="2299"/>
      <c r="H59" s="2299"/>
      <c r="I59" s="1273"/>
      <c r="J59" s="1344"/>
      <c r="K59" s="1344"/>
      <c r="L59" s="1344"/>
      <c r="M59" s="1344"/>
      <c r="N59" s="1344"/>
      <c r="O59" s="1344"/>
      <c r="P59" s="485"/>
      <c r="Q59" s="1117"/>
      <c r="S59" s="1536" t="s">
        <v>4588</v>
      </c>
      <c r="T59" s="1536" t="s">
        <v>4589</v>
      </c>
      <c r="U59" s="1630" t="s">
        <v>4590</v>
      </c>
      <c r="V59" s="1630" t="s">
        <v>4591</v>
      </c>
      <c r="W59" s="1630" t="s">
        <v>4592</v>
      </c>
      <c r="X59" s="1630" t="s">
        <v>4593</v>
      </c>
      <c r="Y59" s="1630" t="s">
        <v>4594</v>
      </c>
      <c r="Z59" s="1630" t="s">
        <v>4592</v>
      </c>
      <c r="AA59" s="1083" t="s">
        <v>4595</v>
      </c>
      <c r="AB59" s="1536"/>
      <c r="AD59" s="1636"/>
      <c r="AG59" s="131"/>
      <c r="AL59" s="131"/>
      <c r="AM59" s="131"/>
      <c r="AN59" s="131"/>
      <c r="AO59" s="131"/>
      <c r="AP59" s="131"/>
      <c r="AQ59" s="131"/>
    </row>
    <row r="60" spans="1:54" ht="29" hidden="1" customHeight="1">
      <c r="B60" s="1273"/>
      <c r="C60" s="2385" t="s">
        <v>4596</v>
      </c>
      <c r="D60" s="2386"/>
      <c r="E60" s="2386"/>
      <c r="F60" s="2386"/>
      <c r="G60" s="2386"/>
      <c r="H60" s="2386"/>
      <c r="I60" s="2386"/>
      <c r="J60" s="2386"/>
      <c r="K60" s="2386"/>
      <c r="L60" s="2386"/>
      <c r="M60" s="2383">
        <f>IF(OR(M25="Yes",M26="Yes"),M58*0.1,0)*0</f>
        <v>0</v>
      </c>
      <c r="N60" s="2384"/>
      <c r="O60" s="1344"/>
      <c r="P60" s="485"/>
      <c r="Q60" s="1117"/>
      <c r="R60" s="9" t="s">
        <v>4597</v>
      </c>
      <c r="S60" s="1637">
        <f>409906*1.05</f>
        <v>430401.30000000005</v>
      </c>
      <c r="T60" s="1637">
        <f>193407*1.05</f>
        <v>203077.35</v>
      </c>
      <c r="U60" s="1638">
        <f>S60*1.15</f>
        <v>494961.495</v>
      </c>
      <c r="V60" s="1636">
        <f>T60*1.15</f>
        <v>233538.95249999998</v>
      </c>
      <c r="W60" s="1636">
        <f>M54+M55</f>
        <v>0</v>
      </c>
      <c r="X60" s="1636">
        <f>IF(W60&gt;U60,U60,IF(W60&lt;V60,V60,W60))</f>
        <v>233538.95249999998</v>
      </c>
      <c r="Y60" s="926">
        <f>IF(M36&lt;&gt;0,(M34+M35)/M36,0)</f>
        <v>0</v>
      </c>
      <c r="Z60" s="670">
        <f>W60*Y60</f>
        <v>0</v>
      </c>
      <c r="AA60" s="670">
        <f>X60*Y60</f>
        <v>0</v>
      </c>
      <c r="AB60" s="1710"/>
      <c r="AD60" s="1636"/>
      <c r="AG60" s="131"/>
      <c r="AL60" s="131"/>
      <c r="AM60" s="131"/>
      <c r="AN60" s="131"/>
      <c r="AO60" s="131"/>
      <c r="AP60" s="131"/>
      <c r="AQ60" s="131"/>
    </row>
    <row r="61" spans="1:54">
      <c r="B61" s="1273"/>
      <c r="C61" s="1273"/>
      <c r="D61" s="1273"/>
      <c r="E61" s="1342"/>
      <c r="F61" s="1343"/>
      <c r="G61" s="1343"/>
      <c r="H61" s="1343"/>
      <c r="I61" s="1273"/>
      <c r="J61" s="1344"/>
      <c r="K61" s="1344"/>
      <c r="L61" s="1344"/>
      <c r="M61" s="1344"/>
      <c r="N61" s="1344"/>
      <c r="O61" s="1344"/>
      <c r="P61" s="485"/>
      <c r="Q61" s="1117"/>
      <c r="R61" s="9" t="s">
        <v>4598</v>
      </c>
      <c r="S61" s="1637">
        <f>342183*1.05</f>
        <v>359292.15</v>
      </c>
      <c r="T61" s="1637">
        <f>109597*1.05</f>
        <v>115076.85</v>
      </c>
      <c r="U61" s="1636">
        <f>S61*1.15</f>
        <v>413185.97249999997</v>
      </c>
      <c r="V61" s="1636">
        <f>T61*1.15</f>
        <v>132338.3775</v>
      </c>
      <c r="W61" s="1636">
        <f>M54+M55</f>
        <v>0</v>
      </c>
      <c r="X61" s="1636">
        <f>IF(W61&gt;U61,U61,IF(W61&lt;V61,V61,W61))</f>
        <v>132338.3775</v>
      </c>
      <c r="Y61" s="926">
        <f>IF(M36&lt;&gt;0,M33/M36,0)</f>
        <v>0</v>
      </c>
      <c r="Z61" s="670">
        <f>W61*Y61</f>
        <v>0</v>
      </c>
      <c r="AA61" s="670">
        <f>X61*Y61</f>
        <v>0</v>
      </c>
      <c r="AG61" s="131"/>
      <c r="AL61" s="131"/>
      <c r="AM61" s="131"/>
      <c r="AN61" s="131"/>
      <c r="AO61" s="131"/>
      <c r="AP61" s="131"/>
      <c r="AQ61" s="131"/>
    </row>
    <row r="62" spans="1:54">
      <c r="B62" s="1273"/>
      <c r="C62" s="2387" t="s">
        <v>4599</v>
      </c>
      <c r="D62" s="2388"/>
      <c r="E62" s="2388"/>
      <c r="F62" s="2388"/>
      <c r="G62" s="2388"/>
      <c r="H62" s="2388"/>
      <c r="I62" s="2388"/>
      <c r="J62" s="2388"/>
      <c r="K62" s="2388"/>
      <c r="L62" s="2388"/>
      <c r="M62" s="2381">
        <f>M58</f>
        <v>0</v>
      </c>
      <c r="N62" s="2382"/>
      <c r="O62" s="1344"/>
      <c r="P62" s="485"/>
      <c r="Q62" s="1117"/>
      <c r="W62" s="670"/>
      <c r="Z62" s="670">
        <f>Z60+Z61</f>
        <v>0</v>
      </c>
      <c r="AA62" s="670">
        <f>AA60+AA61</f>
        <v>0</v>
      </c>
      <c r="AC62" s="670"/>
      <c r="AG62" s="131"/>
      <c r="AL62" s="131"/>
      <c r="AM62" s="131"/>
      <c r="AN62" s="131"/>
      <c r="AO62" s="131"/>
      <c r="AP62" s="131"/>
      <c r="AQ62" s="131"/>
    </row>
    <row r="63" spans="1:54">
      <c r="B63" s="1273"/>
      <c r="C63" s="2389" t="s">
        <v>4600</v>
      </c>
      <c r="D63" s="2390"/>
      <c r="E63" s="2390"/>
      <c r="F63" s="2390"/>
      <c r="G63" s="2390"/>
      <c r="H63" s="2390"/>
      <c r="I63" s="2390"/>
      <c r="J63" s="2390"/>
      <c r="K63" s="2390"/>
      <c r="L63" s="2390"/>
      <c r="M63" s="2379">
        <f>IFERROR(('14. Project Costs'!F173-M50-M22)/Total_Units,0)</f>
        <v>0</v>
      </c>
      <c r="N63" s="2380"/>
      <c r="O63" s="1344"/>
      <c r="P63" s="485"/>
      <c r="Q63" s="9" t="s">
        <v>4601</v>
      </c>
      <c r="S63" s="670"/>
      <c r="T63" s="670"/>
      <c r="V63" s="670"/>
      <c r="AA63" s="670"/>
      <c r="AG63" s="131"/>
      <c r="AL63" s="131"/>
      <c r="AM63" s="131"/>
      <c r="AN63" s="131"/>
      <c r="AO63" s="131"/>
    </row>
    <row r="64" spans="1:54">
      <c r="A64" s="1075"/>
      <c r="B64" s="1273"/>
      <c r="C64" s="1273"/>
      <c r="D64" s="1273"/>
      <c r="E64" s="1341"/>
      <c r="F64" s="1341"/>
      <c r="G64" s="1341"/>
      <c r="H64" s="1341"/>
      <c r="I64" s="1341"/>
      <c r="J64" s="1299"/>
      <c r="K64" s="1299"/>
      <c r="L64" s="1299"/>
      <c r="M64" s="1299"/>
      <c r="N64" s="1299"/>
      <c r="O64" s="1299"/>
      <c r="R64" s="1117" t="s">
        <v>4580</v>
      </c>
      <c r="S64" s="1634">
        <f>25769*1.1*1.15*1.05</f>
        <v>34227.674250000004</v>
      </c>
      <c r="T64" s="1631">
        <f>IF(M36="yes",S64*1.1,0)</f>
        <v>0</v>
      </c>
      <c r="U64" s="1631"/>
      <c r="V64" s="1631"/>
      <c r="W64" s="1631">
        <f>IF(M49&lt;&gt;0,T64*(M46/M49),0)</f>
        <v>0</v>
      </c>
      <c r="X64" s="1117"/>
      <c r="Y64" s="1117"/>
      <c r="Z64" s="1117"/>
      <c r="AA64" s="1117"/>
      <c r="AC64" s="1633"/>
      <c r="AG64" s="131"/>
      <c r="AH64" s="1084"/>
      <c r="AJ64" s="1084"/>
      <c r="AL64" s="131"/>
      <c r="AM64" s="131"/>
      <c r="AN64" s="131"/>
      <c r="AO64" s="131"/>
      <c r="AP64" s="131"/>
      <c r="AQ64" s="131"/>
      <c r="AR64" s="131"/>
      <c r="AS64" s="131"/>
      <c r="AT64" s="131"/>
      <c r="AU64" s="131"/>
      <c r="AV64" s="131"/>
    </row>
    <row r="65" spans="1:48" ht="19">
      <c r="A65" s="1075"/>
      <c r="B65" s="8" t="s">
        <v>4602</v>
      </c>
      <c r="C65" s="959"/>
      <c r="D65" s="959"/>
      <c r="E65" s="959"/>
      <c r="F65" s="959"/>
      <c r="G65" s="959"/>
      <c r="H65" s="959"/>
      <c r="I65" s="959"/>
      <c r="J65" s="959"/>
      <c r="K65" s="724"/>
      <c r="L65" s="724"/>
      <c r="M65" s="724"/>
      <c r="N65" s="724"/>
      <c r="O65" s="724"/>
      <c r="R65" s="1117"/>
      <c r="S65" s="1634"/>
      <c r="T65" s="1631"/>
      <c r="U65" s="1631"/>
      <c r="V65" s="1631"/>
      <c r="W65" s="1631"/>
      <c r="X65" s="1117"/>
      <c r="Y65" s="1117"/>
      <c r="Z65" s="1117"/>
      <c r="AA65" s="1117"/>
      <c r="AC65" s="1633"/>
      <c r="AG65" s="131"/>
      <c r="AH65" s="1084"/>
      <c r="AJ65" s="1084"/>
      <c r="AL65" s="131"/>
      <c r="AM65" s="131"/>
      <c r="AN65" s="131"/>
      <c r="AO65" s="131"/>
      <c r="AP65" s="131"/>
      <c r="AQ65" s="131"/>
      <c r="AR65" s="131"/>
      <c r="AS65" s="131"/>
      <c r="AT65" s="131"/>
      <c r="AU65" s="131"/>
      <c r="AV65" s="131"/>
    </row>
    <row r="66" spans="1:48">
      <c r="A66" s="1075"/>
      <c r="B66" s="1292"/>
      <c r="C66" s="1273"/>
      <c r="D66" s="1273"/>
      <c r="E66" s="1341"/>
      <c r="F66" s="1341"/>
      <c r="G66" s="1341"/>
      <c r="H66" s="1341"/>
      <c r="I66" s="1341"/>
      <c r="J66" s="1299"/>
      <c r="K66" s="1299"/>
      <c r="L66" s="1299"/>
      <c r="M66" s="1299"/>
      <c r="N66" s="1299"/>
      <c r="O66" s="1299"/>
      <c r="P66" s="485"/>
      <c r="Q66" s="1117"/>
      <c r="AG66" s="131"/>
      <c r="AL66" s="131"/>
      <c r="AM66" s="131"/>
      <c r="AN66" s="131"/>
      <c r="AO66" s="131"/>
    </row>
    <row r="67" spans="1:48">
      <c r="B67" s="1273"/>
      <c r="C67" s="2302" t="s">
        <v>4603</v>
      </c>
      <c r="D67" s="2303"/>
      <c r="E67" s="2303"/>
      <c r="F67" s="2303"/>
      <c r="G67" s="2303"/>
      <c r="H67" s="2303"/>
      <c r="I67" s="2303"/>
      <c r="J67" s="2303"/>
      <c r="K67" s="2303"/>
      <c r="L67" s="2303"/>
      <c r="M67" s="2303"/>
      <c r="N67" s="2304"/>
      <c r="O67" s="1344"/>
      <c r="P67" s="485"/>
      <c r="Q67" s="1117"/>
      <c r="R67" s="1117"/>
      <c r="S67" s="1117"/>
      <c r="T67" s="1633"/>
      <c r="U67" s="1117"/>
      <c r="V67" s="1117"/>
      <c r="W67" s="1117"/>
      <c r="X67" s="1639"/>
      <c r="Y67" s="1117"/>
      <c r="AG67" s="131"/>
      <c r="AL67" s="131"/>
      <c r="AM67" s="131"/>
      <c r="AN67" s="131"/>
      <c r="AO67" s="131"/>
    </row>
    <row r="68" spans="1:48">
      <c r="B68" s="1273"/>
      <c r="C68" s="2305"/>
      <c r="D68" s="2306"/>
      <c r="E68" s="2306"/>
      <c r="F68" s="2306"/>
      <c r="G68" s="2306"/>
      <c r="H68" s="2306"/>
      <c r="I68" s="2306"/>
      <c r="J68" s="2306"/>
      <c r="K68" s="2306"/>
      <c r="L68" s="2306"/>
      <c r="M68" s="2306"/>
      <c r="N68" s="2307"/>
      <c r="O68" s="1299"/>
      <c r="P68" s="485"/>
      <c r="Q68" s="1117"/>
      <c r="Z68" s="1630"/>
      <c r="AG68" s="131"/>
      <c r="AL68" s="131"/>
      <c r="AM68" s="131"/>
      <c r="AN68" s="131"/>
      <c r="AO68" s="131"/>
    </row>
    <row r="69" spans="1:48">
      <c r="B69" s="1273"/>
      <c r="C69" s="2296" t="s">
        <v>4604</v>
      </c>
      <c r="D69" s="2297"/>
      <c r="E69" s="2297"/>
      <c r="F69" s="2297"/>
      <c r="G69" s="2297"/>
      <c r="H69" s="2297"/>
      <c r="I69" s="2297"/>
      <c r="J69" s="2297"/>
      <c r="K69" s="2297"/>
      <c r="L69" s="2297"/>
      <c r="M69" s="2297"/>
      <c r="N69" s="2298"/>
      <c r="O69" s="1299"/>
      <c r="P69" s="485"/>
      <c r="Q69" s="1117"/>
      <c r="Z69" s="1631"/>
      <c r="AG69" s="131"/>
      <c r="AL69" s="131"/>
      <c r="AM69" s="131"/>
      <c r="AN69" s="131"/>
      <c r="AO69" s="131"/>
    </row>
    <row r="70" spans="1:48" ht="29" customHeight="1">
      <c r="B70" s="1273"/>
      <c r="C70" s="1345" t="s">
        <v>4605</v>
      </c>
      <c r="D70" s="2393" t="s">
        <v>4606</v>
      </c>
      <c r="E70" s="2393"/>
      <c r="F70" s="2393"/>
      <c r="G70" s="2393"/>
      <c r="H70" s="2393"/>
      <c r="I70" s="2393"/>
      <c r="J70" s="2393"/>
      <c r="K70" s="2393"/>
      <c r="L70" s="2393"/>
      <c r="M70" s="2393"/>
      <c r="N70" s="2394"/>
      <c r="O70" s="1273"/>
      <c r="P70" s="485"/>
      <c r="Q70" s="1117"/>
      <c r="Z70" s="1117"/>
      <c r="AG70" s="131"/>
      <c r="AL70" s="131"/>
      <c r="AM70" s="131"/>
      <c r="AN70" s="131"/>
      <c r="AO70" s="131"/>
    </row>
    <row r="71" spans="1:48" ht="29" customHeight="1">
      <c r="B71" s="1273"/>
      <c r="C71" s="1345" t="s">
        <v>4605</v>
      </c>
      <c r="D71" s="2393" t="s">
        <v>4607</v>
      </c>
      <c r="E71" s="2393"/>
      <c r="F71" s="2393"/>
      <c r="G71" s="2393"/>
      <c r="H71" s="2393"/>
      <c r="I71" s="2393"/>
      <c r="J71" s="2393"/>
      <c r="K71" s="2393"/>
      <c r="L71" s="2393"/>
      <c r="M71" s="2393"/>
      <c r="N71" s="2394"/>
      <c r="O71" s="1273"/>
      <c r="P71" s="485"/>
      <c r="Q71" s="1117"/>
      <c r="AG71" s="131"/>
      <c r="AL71" s="131"/>
      <c r="AM71" s="131"/>
      <c r="AN71" s="131"/>
    </row>
    <row r="72" spans="1:48" ht="29" customHeight="1">
      <c r="B72" s="1273"/>
      <c r="C72" s="1345" t="s">
        <v>4605</v>
      </c>
      <c r="D72" s="2393" t="s">
        <v>4608</v>
      </c>
      <c r="E72" s="2393"/>
      <c r="F72" s="2393"/>
      <c r="G72" s="2393"/>
      <c r="H72" s="2393"/>
      <c r="I72" s="2393"/>
      <c r="J72" s="2393"/>
      <c r="K72" s="2393"/>
      <c r="L72" s="2393"/>
      <c r="M72" s="2393"/>
      <c r="N72" s="2394"/>
      <c r="O72" s="1273"/>
      <c r="P72" s="485"/>
      <c r="Q72" s="1117"/>
      <c r="AG72" s="131"/>
      <c r="AL72" s="131"/>
      <c r="AM72" s="131"/>
      <c r="AN72" s="131"/>
    </row>
    <row r="73" spans="1:48" ht="29" customHeight="1">
      <c r="B73" s="1273"/>
      <c r="C73" s="1345" t="s">
        <v>4605</v>
      </c>
      <c r="D73" s="2393" t="s">
        <v>4609</v>
      </c>
      <c r="E73" s="2393"/>
      <c r="F73" s="2393"/>
      <c r="G73" s="2393"/>
      <c r="H73" s="2393"/>
      <c r="I73" s="2393"/>
      <c r="J73" s="2393"/>
      <c r="K73" s="2393"/>
      <c r="L73" s="2393"/>
      <c r="M73" s="2393"/>
      <c r="N73" s="2394"/>
      <c r="O73" s="1273"/>
      <c r="P73" s="485"/>
      <c r="Q73" s="1117"/>
      <c r="AG73" s="131"/>
      <c r="AL73" s="131"/>
      <c r="AM73" s="131"/>
      <c r="AN73" s="131"/>
    </row>
    <row r="74" spans="1:48" ht="47.25" customHeight="1">
      <c r="B74" s="1273"/>
      <c r="C74" s="1346" t="s">
        <v>4605</v>
      </c>
      <c r="D74" s="2391" t="s">
        <v>4610</v>
      </c>
      <c r="E74" s="2391"/>
      <c r="F74" s="2391"/>
      <c r="G74" s="2391"/>
      <c r="H74" s="2391"/>
      <c r="I74" s="2391"/>
      <c r="J74" s="2391"/>
      <c r="K74" s="2391"/>
      <c r="L74" s="2391"/>
      <c r="M74" s="2391"/>
      <c r="N74" s="2392"/>
      <c r="O74" s="1273"/>
      <c r="AG74" s="131"/>
      <c r="AL74" s="131"/>
      <c r="AM74" s="131"/>
      <c r="AN74" s="131"/>
    </row>
    <row r="75" spans="1:48">
      <c r="B75" s="1273"/>
      <c r="C75" s="1273"/>
      <c r="D75" s="1273"/>
      <c r="E75" s="1273"/>
      <c r="F75" s="1273"/>
      <c r="G75" s="1273"/>
      <c r="H75" s="1273"/>
      <c r="I75" s="1273"/>
      <c r="J75" s="1273"/>
      <c r="K75" s="1273"/>
      <c r="L75" s="1273"/>
      <c r="M75" s="1273"/>
      <c r="N75" s="1273"/>
      <c r="O75" s="1273"/>
      <c r="AA75" s="1710"/>
      <c r="AG75" s="131"/>
      <c r="AL75" s="131"/>
      <c r="AM75" s="131"/>
      <c r="AN75" s="131"/>
    </row>
    <row r="76" spans="1:48">
      <c r="AG76" s="131"/>
      <c r="AL76" s="131"/>
      <c r="AM76" s="131"/>
      <c r="AN76" s="131"/>
      <c r="AO76" s="131"/>
      <c r="AP76" s="131"/>
      <c r="AQ76" s="131"/>
      <c r="AR76" s="131"/>
      <c r="AS76" s="131"/>
      <c r="AT76" s="131"/>
      <c r="AU76" s="131"/>
    </row>
    <row r="77" spans="1:48">
      <c r="AG77" s="131"/>
      <c r="AR77" s="131"/>
      <c r="AS77" s="131"/>
      <c r="AT77" s="131"/>
      <c r="AU77" s="131"/>
    </row>
    <row r="78" spans="1:48">
      <c r="AG78" s="131"/>
      <c r="AR78" s="131"/>
      <c r="AS78" s="131"/>
      <c r="AT78" s="131"/>
      <c r="AU78" s="131"/>
    </row>
    <row r="79" spans="1:48">
      <c r="AG79" s="131"/>
      <c r="AR79" s="131"/>
      <c r="AS79" s="131"/>
      <c r="AT79" s="131"/>
      <c r="AU79" s="131"/>
    </row>
    <row r="80" spans="1:48">
      <c r="AG80" s="131"/>
      <c r="AR80" s="131"/>
      <c r="AS80" s="131"/>
      <c r="AT80" s="131"/>
      <c r="AU80" s="131"/>
    </row>
    <row r="81" spans="33:47">
      <c r="AG81" s="131"/>
      <c r="AR81" s="131"/>
      <c r="AS81" s="131"/>
      <c r="AT81" s="131"/>
      <c r="AU81" s="131"/>
    </row>
  </sheetData>
  <sheetProtection algorithmName="SHA-512" hashValue="8rsMjgc34zcBEHwgh+f7Av6deeu0Ng7rOwgjhTfNAsbTSFvH19VMHzALk9CYMqtjiLGP00lXtwrJZLgwJ9KykQ==" saltValue="af4qcXnKlBgnMq9GKkKCGA==" spinCount="100000" sheet="1" objects="1" scenarios="1" selectLockedCells="1"/>
  <mergeCells count="73">
    <mergeCell ref="D74:N74"/>
    <mergeCell ref="D70:N70"/>
    <mergeCell ref="D71:N71"/>
    <mergeCell ref="D72:N72"/>
    <mergeCell ref="D73:N73"/>
    <mergeCell ref="M58:N58"/>
    <mergeCell ref="C58:L58"/>
    <mergeCell ref="M63:N63"/>
    <mergeCell ref="M62:N62"/>
    <mergeCell ref="M60:N60"/>
    <mergeCell ref="C60:L60"/>
    <mergeCell ref="C62:L62"/>
    <mergeCell ref="C63:L63"/>
    <mergeCell ref="M47:N47"/>
    <mergeCell ref="M54:N54"/>
    <mergeCell ref="M55:N55"/>
    <mergeCell ref="M56:N56"/>
    <mergeCell ref="C54:L54"/>
    <mergeCell ref="C55:L55"/>
    <mergeCell ref="C56:L56"/>
    <mergeCell ref="C36:L36"/>
    <mergeCell ref="M36:N36"/>
    <mergeCell ref="M50:N50"/>
    <mergeCell ref="C40:L40"/>
    <mergeCell ref="C41:L41"/>
    <mergeCell ref="C39:L39"/>
    <mergeCell ref="C42:L42"/>
    <mergeCell ref="M39:N39"/>
    <mergeCell ref="M40:N40"/>
    <mergeCell ref="M41:N41"/>
    <mergeCell ref="M42:N42"/>
    <mergeCell ref="C45:L45"/>
    <mergeCell ref="C46:L46"/>
    <mergeCell ref="C47:L47"/>
    <mergeCell ref="M45:N45"/>
    <mergeCell ref="M46:N46"/>
    <mergeCell ref="M33:N33"/>
    <mergeCell ref="M34:N34"/>
    <mergeCell ref="M35:N35"/>
    <mergeCell ref="C33:L33"/>
    <mergeCell ref="C34:L34"/>
    <mergeCell ref="C35:L35"/>
    <mergeCell ref="C26:L26"/>
    <mergeCell ref="C27:L27"/>
    <mergeCell ref="M23:N23"/>
    <mergeCell ref="M24:N24"/>
    <mergeCell ref="M25:N25"/>
    <mergeCell ref="M26:N26"/>
    <mergeCell ref="M27:N27"/>
    <mergeCell ref="C22:L22"/>
    <mergeCell ref="C23:L23"/>
    <mergeCell ref="C24:L24"/>
    <mergeCell ref="C25:L25"/>
    <mergeCell ref="C16:N16"/>
    <mergeCell ref="C17:N17"/>
    <mergeCell ref="C18:N18"/>
    <mergeCell ref="M22:N22"/>
    <mergeCell ref="B1:I1"/>
    <mergeCell ref="M1:O1"/>
    <mergeCell ref="C69:N69"/>
    <mergeCell ref="F59:H59"/>
    <mergeCell ref="C50:L50"/>
    <mergeCell ref="C67:N67"/>
    <mergeCell ref="C68:N68"/>
    <mergeCell ref="C7:N7"/>
    <mergeCell ref="C8:N8"/>
    <mergeCell ref="C9:N9"/>
    <mergeCell ref="C10:N10"/>
    <mergeCell ref="C11:N11"/>
    <mergeCell ref="C12:N12"/>
    <mergeCell ref="C13:N13"/>
    <mergeCell ref="C14:N14"/>
    <mergeCell ref="C15:N15"/>
  </mergeCells>
  <conditionalFormatting sqref="M62">
    <cfRule type="expression" dxfId="227" priority="2">
      <formula>"&gt;$G$47"</formula>
    </cfRule>
    <cfRule type="expression" dxfId="226" priority="3">
      <formula>"&lt;=$G$47"</formula>
    </cfRule>
  </conditionalFormatting>
  <conditionalFormatting sqref="M63">
    <cfRule type="expression" dxfId="225" priority="1">
      <formula>$M$63&gt;$M$62</formula>
    </cfRule>
    <cfRule type="expression" dxfId="224" priority="4">
      <formula>$M$63&lt;=$M$62</formula>
    </cfRule>
  </conditionalFormatting>
  <dataValidations count="2">
    <dataValidation type="custom" allowBlank="1" showInputMessage="1" showErrorMessage="1" sqref="M1 A7 C7:D7" xr:uid="{6F45AE5E-BF06-4B8E-A6F2-9EC217242422}">
      <formula1>"&lt;0&gt;0"</formula1>
    </dataValidation>
    <dataValidation type="list" allowBlank="1" showInputMessage="1" showErrorMessage="1" sqref="M23:M27" xr:uid="{0D8B3DEE-7F23-44E6-B9A7-6380869A98F8}">
      <formula1>YesNo</formula1>
    </dataValidation>
  </dataValidations>
  <pageMargins left="0.7" right="0.7" top="0.75" bottom="0.75" header="0.3" footer="0.3"/>
  <pageSetup scale="56" orientation="portrait" r:id="rId1"/>
  <headerFooter>
    <oddHeader>&amp;L&amp;G</oddHeader>
    <oddFooter>&amp;LVersion - 2023.0.01&amp;CWHEDA MULTIFAMILY APPLICATION&amp;R&amp;P of &amp;N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9390-22DD-4D78-9318-3D8511782D12}">
  <sheetPr codeName="Sheet20"/>
  <dimension ref="A1:CH766"/>
  <sheetViews>
    <sheetView workbookViewId="0">
      <selection activeCell="G11" sqref="G11"/>
    </sheetView>
  </sheetViews>
  <sheetFormatPr baseColWidth="10" defaultColWidth="9.1640625" defaultRowHeight="15"/>
  <cols>
    <col min="1" max="1" width="4.33203125" style="76" customWidth="1"/>
    <col min="2" max="2" width="5.5" style="26" customWidth="1"/>
    <col min="3" max="3" width="47.1640625" style="26" customWidth="1"/>
    <col min="4" max="4" width="23.5" style="26" bestFit="1" customWidth="1"/>
    <col min="5" max="5" width="20.5" style="26" customWidth="1"/>
    <col min="6" max="6" width="19.83203125" style="26" bestFit="1" customWidth="1"/>
    <col min="7" max="7" width="15.5" style="26" customWidth="1"/>
    <col min="8" max="8" width="16.33203125" style="26" bestFit="1" customWidth="1"/>
    <col min="9" max="9" width="20.5" style="26" bestFit="1" customWidth="1"/>
    <col min="10" max="36" width="15.5" style="26" customWidth="1"/>
    <col min="37" max="37" width="6.6640625" style="26" customWidth="1"/>
    <col min="38" max="40" width="0" style="26" hidden="1" customWidth="1"/>
    <col min="41" max="41" width="0" style="679" hidden="1" customWidth="1"/>
    <col min="42" max="45" width="0" style="26" hidden="1" customWidth="1"/>
    <col min="46" max="16384" width="9.1640625" style="26"/>
  </cols>
  <sheetData>
    <row r="1" spans="1:86" ht="29">
      <c r="B1" s="960" t="str">
        <f>'1. TOC'!B1</f>
        <v>WHEDA 2025 Multifamily Application</v>
      </c>
      <c r="C1" s="76"/>
      <c r="D1" s="961"/>
      <c r="E1" s="540" t="str">
        <f>'1. TOC'!L1</f>
        <v>v25.1.9</v>
      </c>
      <c r="F1" s="1086" t="str">
        <f>HYPERLINK("#Table_of_Contents", Table_of_Contents)</f>
        <v>Table of Contents</v>
      </c>
      <c r="G1" s="29"/>
      <c r="H1" s="29"/>
      <c r="I1" s="29"/>
      <c r="J1" s="29"/>
      <c r="K1" s="29"/>
      <c r="L1" s="29"/>
      <c r="M1" s="29"/>
      <c r="N1" s="97"/>
      <c r="O1" s="97"/>
      <c r="P1" s="97"/>
      <c r="Q1" s="76"/>
      <c r="R1" s="76"/>
      <c r="S1" s="76"/>
      <c r="T1" s="76"/>
      <c r="U1" s="76"/>
      <c r="V1" s="76"/>
      <c r="W1" s="76"/>
      <c r="X1" s="76"/>
      <c r="Y1" s="76"/>
      <c r="Z1" s="76"/>
      <c r="AA1" s="76"/>
      <c r="AB1" s="76"/>
      <c r="AC1" s="76"/>
      <c r="AD1" s="76"/>
      <c r="AE1" s="76"/>
      <c r="AF1" s="76"/>
      <c r="AG1" s="76"/>
      <c r="AH1" s="76"/>
      <c r="AI1" s="76"/>
      <c r="AJ1" s="76"/>
      <c r="AK1" s="76"/>
      <c r="AL1" s="76"/>
      <c r="AM1" s="76"/>
      <c r="AN1" s="76"/>
      <c r="AO1" s="36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row>
    <row r="2" spans="1:86" ht="19">
      <c r="B2" s="934" t="str">
        <f>_xlfn.CONCAT(IF(ISBLANK(WHEDA_Project_Number),"",_xlfn.CONCAT(WHEDA_Project_Number,"-")), Project_Name, IF(ISBLANK(Credit_percentage_applied_for),"",_xlfn.CONCAT(" (", Credit_percentage_applied_for," HTC)")))</f>
        <v/>
      </c>
      <c r="C2" s="153"/>
      <c r="D2" s="962"/>
      <c r="E2" s="958"/>
      <c r="F2" s="958"/>
      <c r="G2" s="77"/>
      <c r="H2" s="77"/>
      <c r="I2" s="77"/>
      <c r="J2" s="77"/>
      <c r="K2" s="77"/>
      <c r="L2" s="77"/>
      <c r="M2" s="77"/>
      <c r="N2" s="958"/>
      <c r="O2" s="958"/>
      <c r="P2" s="958"/>
      <c r="Q2" s="153"/>
      <c r="R2" s="153"/>
      <c r="S2" s="153"/>
      <c r="T2" s="153"/>
      <c r="U2" s="153"/>
      <c r="V2" s="153"/>
      <c r="W2" s="153"/>
      <c r="X2" s="153"/>
      <c r="Y2" s="153"/>
      <c r="Z2" s="153"/>
      <c r="AA2" s="153"/>
      <c r="AB2" s="153"/>
      <c r="AC2" s="153"/>
      <c r="AD2" s="153"/>
      <c r="AE2" s="153"/>
      <c r="AF2" s="153"/>
      <c r="AG2" s="153"/>
      <c r="AH2" s="153"/>
      <c r="AI2" s="153"/>
      <c r="AJ2" s="153"/>
      <c r="AK2" s="153"/>
      <c r="AL2" s="76"/>
      <c r="AM2" s="76"/>
      <c r="AN2" s="76"/>
      <c r="AO2" s="36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row>
    <row r="3" spans="1:86" s="679" customFormat="1">
      <c r="A3" s="366"/>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row>
    <row r="4" spans="1:86" ht="29">
      <c r="B4" s="4" t="s">
        <v>135</v>
      </c>
      <c r="C4" s="15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158"/>
      <c r="AL4" s="76"/>
      <c r="AM4" s="76"/>
      <c r="AN4" s="76"/>
      <c r="AO4" s="36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row>
    <row r="5" spans="1:86">
      <c r="B5" s="1689"/>
      <c r="C5" s="1717" t="s">
        <v>4611</v>
      </c>
      <c r="D5" s="1689"/>
      <c r="E5" s="1689"/>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1689"/>
      <c r="AD5" s="1689"/>
      <c r="AE5" s="1689"/>
      <c r="AF5" s="1689"/>
      <c r="AG5" s="1689"/>
      <c r="AH5" s="1689"/>
      <c r="AI5" s="1689"/>
      <c r="AJ5" s="1689"/>
      <c r="AK5" s="1689"/>
      <c r="AL5" s="76"/>
      <c r="AM5" s="76"/>
      <c r="AN5" s="76"/>
      <c r="AO5" s="36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row>
    <row r="6" spans="1:86" ht="30.75" customHeight="1">
      <c r="B6" s="1689"/>
      <c r="C6" s="1395" t="s">
        <v>4612</v>
      </c>
      <c r="D6" s="1689"/>
      <c r="E6" s="1689"/>
      <c r="F6" s="1689"/>
      <c r="G6" s="159" t="s">
        <v>4613</v>
      </c>
      <c r="H6" s="159" t="s">
        <v>4614</v>
      </c>
      <c r="I6" s="159" t="s">
        <v>4615</v>
      </c>
      <c r="J6" s="1689"/>
      <c r="K6" s="1689"/>
      <c r="L6" s="1689"/>
      <c r="M6" s="1689"/>
      <c r="N6" s="1689"/>
      <c r="O6" s="1689"/>
      <c r="P6" s="1689"/>
      <c r="Q6" s="1689"/>
      <c r="R6" s="1689"/>
      <c r="S6" s="1689"/>
      <c r="T6" s="1689"/>
      <c r="U6" s="1689"/>
      <c r="V6" s="1689"/>
      <c r="W6" s="1689"/>
      <c r="X6" s="1689"/>
      <c r="Y6" s="1689"/>
      <c r="Z6" s="1689"/>
      <c r="AA6" s="1689"/>
      <c r="AB6" s="1689"/>
      <c r="AC6" s="1689"/>
      <c r="AD6" s="1689"/>
      <c r="AE6" s="1689"/>
      <c r="AF6" s="1689"/>
      <c r="AG6" s="1689"/>
      <c r="AH6" s="1689"/>
      <c r="AI6" s="1689"/>
      <c r="AJ6" s="1689"/>
      <c r="AK6" s="1689"/>
      <c r="AL6" s="76"/>
      <c r="AM6" s="76"/>
      <c r="AN6" s="76"/>
      <c r="AO6" s="36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row>
    <row r="7" spans="1:86">
      <c r="B7" s="1689"/>
      <c r="C7" s="1689"/>
      <c r="D7" s="1689"/>
      <c r="E7" s="1689"/>
      <c r="F7" s="1689"/>
      <c r="G7" s="668">
        <f>+Construction_Start_Date</f>
        <v>0</v>
      </c>
      <c r="H7" s="669">
        <f>+DATEDIF(Construction_Start_Date,Construction_Complete,"M")</f>
        <v>0</v>
      </c>
      <c r="I7" s="669">
        <f>+DATEDIF(Construction_Start_Date,'4. Project Description'!F89,"M")</f>
        <v>0</v>
      </c>
      <c r="J7" s="1689"/>
      <c r="K7" s="1689"/>
      <c r="L7" s="1689"/>
      <c r="M7" s="1689"/>
      <c r="N7" s="1689"/>
      <c r="O7" s="1689"/>
      <c r="P7" s="1689"/>
      <c r="Q7" s="1689"/>
      <c r="R7" s="1689"/>
      <c r="S7" s="1689"/>
      <c r="T7" s="1689"/>
      <c r="U7" s="1689"/>
      <c r="V7" s="1689"/>
      <c r="W7" s="1689"/>
      <c r="X7" s="1689"/>
      <c r="Y7" s="1689"/>
      <c r="Z7" s="1689"/>
      <c r="AA7" s="1689"/>
      <c r="AB7" s="1689"/>
      <c r="AC7" s="1689"/>
      <c r="AD7" s="1689"/>
      <c r="AE7" s="1689"/>
      <c r="AF7" s="1689"/>
      <c r="AG7" s="1689"/>
      <c r="AH7" s="1689"/>
      <c r="AI7" s="1689"/>
      <c r="AJ7" s="1689"/>
      <c r="AK7" s="1689"/>
      <c r="AL7" s="76"/>
      <c r="AM7" s="76"/>
      <c r="AN7" s="76"/>
      <c r="AO7" s="36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row>
    <row r="8" spans="1:86">
      <c r="B8" s="1689"/>
      <c r="C8" s="1689"/>
      <c r="D8" s="1689"/>
      <c r="E8" s="2404" t="s">
        <v>4616</v>
      </c>
      <c r="F8" s="2405"/>
      <c r="G8" s="160">
        <v>1</v>
      </c>
      <c r="H8" s="160">
        <v>2</v>
      </c>
      <c r="I8" s="160">
        <v>3</v>
      </c>
      <c r="J8" s="160">
        <v>4</v>
      </c>
      <c r="K8" s="160">
        <v>5</v>
      </c>
      <c r="L8" s="160">
        <v>6</v>
      </c>
      <c r="M8" s="160">
        <v>7</v>
      </c>
      <c r="N8" s="160">
        <v>8</v>
      </c>
      <c r="O8" s="160">
        <v>9</v>
      </c>
      <c r="P8" s="160">
        <v>10</v>
      </c>
      <c r="Q8" s="160">
        <v>11</v>
      </c>
      <c r="R8" s="160">
        <v>12</v>
      </c>
      <c r="S8" s="160">
        <v>13</v>
      </c>
      <c r="T8" s="160">
        <v>14</v>
      </c>
      <c r="U8" s="160">
        <v>15</v>
      </c>
      <c r="V8" s="160">
        <v>16</v>
      </c>
      <c r="W8" s="160">
        <v>17</v>
      </c>
      <c r="X8" s="160">
        <v>18</v>
      </c>
      <c r="Y8" s="160">
        <v>19</v>
      </c>
      <c r="Z8" s="160">
        <v>20</v>
      </c>
      <c r="AA8" s="160">
        <v>21</v>
      </c>
      <c r="AB8" s="160">
        <v>22</v>
      </c>
      <c r="AC8" s="160">
        <v>23</v>
      </c>
      <c r="AD8" s="160">
        <v>24</v>
      </c>
      <c r="AE8" s="160">
        <v>25</v>
      </c>
      <c r="AF8" s="160">
        <v>26</v>
      </c>
      <c r="AG8" s="160">
        <v>27</v>
      </c>
      <c r="AH8" s="160">
        <v>28</v>
      </c>
      <c r="AI8" s="160">
        <v>29</v>
      </c>
      <c r="AJ8" s="160">
        <v>30</v>
      </c>
      <c r="AK8" s="1689"/>
      <c r="AL8" s="76"/>
      <c r="AM8" s="76"/>
      <c r="AN8" s="76"/>
      <c r="AO8" s="36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row>
    <row r="9" spans="1:86">
      <c r="B9" s="1689"/>
      <c r="C9" s="1689"/>
      <c r="D9" s="1689"/>
      <c r="E9" s="2404" t="s">
        <v>4617</v>
      </c>
      <c r="F9" s="2405"/>
      <c r="G9" s="160" t="s">
        <v>4618</v>
      </c>
      <c r="H9" s="160" t="s">
        <v>4619</v>
      </c>
      <c r="I9" s="160" t="s">
        <v>4620</v>
      </c>
      <c r="J9" s="160" t="s">
        <v>4621</v>
      </c>
      <c r="K9" s="160" t="s">
        <v>4622</v>
      </c>
      <c r="L9" s="160" t="s">
        <v>4623</v>
      </c>
      <c r="M9" s="160" t="s">
        <v>4624</v>
      </c>
      <c r="N9" s="160" t="s">
        <v>4625</v>
      </c>
      <c r="O9" s="160" t="s">
        <v>4626</v>
      </c>
      <c r="P9" s="160" t="s">
        <v>4627</v>
      </c>
      <c r="Q9" s="160" t="s">
        <v>4628</v>
      </c>
      <c r="R9" s="160" t="s">
        <v>4629</v>
      </c>
      <c r="S9" s="160" t="s">
        <v>4630</v>
      </c>
      <c r="T9" s="160" t="s">
        <v>4631</v>
      </c>
      <c r="U9" s="160" t="s">
        <v>4632</v>
      </c>
      <c r="V9" s="160" t="s">
        <v>4633</v>
      </c>
      <c r="W9" s="160" t="s">
        <v>4634</v>
      </c>
      <c r="X9" s="160" t="s">
        <v>4635</v>
      </c>
      <c r="Y9" s="160" t="s">
        <v>4636</v>
      </c>
      <c r="Z9" s="160" t="s">
        <v>4637</v>
      </c>
      <c r="AA9" s="160" t="s">
        <v>4638</v>
      </c>
      <c r="AB9" s="160" t="s">
        <v>4639</v>
      </c>
      <c r="AC9" s="160" t="s">
        <v>4640</v>
      </c>
      <c r="AD9" s="160" t="s">
        <v>4641</v>
      </c>
      <c r="AE9" s="160" t="s">
        <v>4642</v>
      </c>
      <c r="AF9" s="160" t="s">
        <v>4643</v>
      </c>
      <c r="AG9" s="160" t="s">
        <v>4643</v>
      </c>
      <c r="AH9" s="160" t="s">
        <v>4644</v>
      </c>
      <c r="AI9" s="160" t="s">
        <v>4645</v>
      </c>
      <c r="AJ9" s="160" t="s">
        <v>4646</v>
      </c>
      <c r="AK9" s="1689"/>
      <c r="AL9" s="76"/>
      <c r="AM9" s="76"/>
      <c r="AN9" s="76"/>
      <c r="AO9" s="36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row>
    <row r="10" spans="1:86">
      <c r="B10" s="1689"/>
      <c r="C10" s="1689"/>
      <c r="D10" s="1689"/>
      <c r="E10" s="2404" t="s">
        <v>4647</v>
      </c>
      <c r="F10" s="2405"/>
      <c r="G10" s="161">
        <f>+EDATE($G$7,G8)</f>
        <v>31</v>
      </c>
      <c r="H10" s="161">
        <f t="shared" ref="H10:AJ10" si="0">+EDATE($G$7,H8)</f>
        <v>60</v>
      </c>
      <c r="I10" s="161">
        <f t="shared" si="0"/>
        <v>91</v>
      </c>
      <c r="J10" s="161">
        <f t="shared" si="0"/>
        <v>121</v>
      </c>
      <c r="K10" s="161">
        <f t="shared" si="0"/>
        <v>152</v>
      </c>
      <c r="L10" s="161">
        <f t="shared" si="0"/>
        <v>182</v>
      </c>
      <c r="M10" s="161">
        <f t="shared" si="0"/>
        <v>213</v>
      </c>
      <c r="N10" s="161">
        <f t="shared" si="0"/>
        <v>244</v>
      </c>
      <c r="O10" s="161">
        <f t="shared" si="0"/>
        <v>274</v>
      </c>
      <c r="P10" s="161">
        <f t="shared" si="0"/>
        <v>305</v>
      </c>
      <c r="Q10" s="161">
        <f t="shared" si="0"/>
        <v>335</v>
      </c>
      <c r="R10" s="161">
        <f t="shared" si="0"/>
        <v>366</v>
      </c>
      <c r="S10" s="161">
        <f t="shared" si="0"/>
        <v>397</v>
      </c>
      <c r="T10" s="161">
        <f t="shared" si="0"/>
        <v>425</v>
      </c>
      <c r="U10" s="161">
        <f t="shared" si="0"/>
        <v>456</v>
      </c>
      <c r="V10" s="161">
        <f t="shared" si="0"/>
        <v>486</v>
      </c>
      <c r="W10" s="161">
        <f t="shared" si="0"/>
        <v>517</v>
      </c>
      <c r="X10" s="161">
        <f t="shared" si="0"/>
        <v>547</v>
      </c>
      <c r="Y10" s="161">
        <f t="shared" si="0"/>
        <v>578</v>
      </c>
      <c r="Z10" s="161">
        <f t="shared" si="0"/>
        <v>609</v>
      </c>
      <c r="AA10" s="161">
        <f t="shared" si="0"/>
        <v>639</v>
      </c>
      <c r="AB10" s="161">
        <f t="shared" si="0"/>
        <v>670</v>
      </c>
      <c r="AC10" s="161">
        <f t="shared" si="0"/>
        <v>700</v>
      </c>
      <c r="AD10" s="161">
        <f t="shared" si="0"/>
        <v>731</v>
      </c>
      <c r="AE10" s="161">
        <f t="shared" si="0"/>
        <v>762</v>
      </c>
      <c r="AF10" s="161">
        <f t="shared" si="0"/>
        <v>790</v>
      </c>
      <c r="AG10" s="161">
        <f t="shared" si="0"/>
        <v>821</v>
      </c>
      <c r="AH10" s="161">
        <f t="shared" si="0"/>
        <v>851</v>
      </c>
      <c r="AI10" s="161">
        <f t="shared" si="0"/>
        <v>882</v>
      </c>
      <c r="AJ10" s="161">
        <f t="shared" si="0"/>
        <v>912</v>
      </c>
      <c r="AK10" s="1689"/>
      <c r="AL10" s="76"/>
      <c r="AM10" s="76"/>
      <c r="AN10" s="76"/>
      <c r="AO10" s="36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row>
    <row r="11" spans="1:86">
      <c r="B11" s="1689"/>
      <c r="C11" s="1689"/>
      <c r="D11" s="1689"/>
      <c r="E11" s="2403" t="s">
        <v>4648</v>
      </c>
      <c r="F11" s="2403"/>
      <c r="G11" s="319">
        <f>+IFERROR(G8/H7,0)</f>
        <v>0</v>
      </c>
      <c r="H11" s="319">
        <f>+G11</f>
        <v>0</v>
      </c>
      <c r="I11" s="319">
        <f>+IF(I8&lt;=$H$7,H11,0)</f>
        <v>0</v>
      </c>
      <c r="J11" s="319">
        <f t="shared" ref="J11:AJ11" si="1">+IF(J8&lt;=$H$7,I11,0)</f>
        <v>0</v>
      </c>
      <c r="K11" s="319">
        <f t="shared" si="1"/>
        <v>0</v>
      </c>
      <c r="L11" s="319">
        <f t="shared" si="1"/>
        <v>0</v>
      </c>
      <c r="M11" s="319">
        <f t="shared" si="1"/>
        <v>0</v>
      </c>
      <c r="N11" s="319">
        <f t="shared" si="1"/>
        <v>0</v>
      </c>
      <c r="O11" s="319">
        <f t="shared" si="1"/>
        <v>0</v>
      </c>
      <c r="P11" s="319">
        <f t="shared" si="1"/>
        <v>0</v>
      </c>
      <c r="Q11" s="319">
        <f t="shared" si="1"/>
        <v>0</v>
      </c>
      <c r="R11" s="319">
        <f t="shared" si="1"/>
        <v>0</v>
      </c>
      <c r="S11" s="319">
        <f t="shared" si="1"/>
        <v>0</v>
      </c>
      <c r="T11" s="319">
        <f t="shared" si="1"/>
        <v>0</v>
      </c>
      <c r="U11" s="319">
        <f t="shared" si="1"/>
        <v>0</v>
      </c>
      <c r="V11" s="319">
        <f t="shared" si="1"/>
        <v>0</v>
      </c>
      <c r="W11" s="319">
        <f t="shared" si="1"/>
        <v>0</v>
      </c>
      <c r="X11" s="319">
        <f t="shared" si="1"/>
        <v>0</v>
      </c>
      <c r="Y11" s="319">
        <f t="shared" si="1"/>
        <v>0</v>
      </c>
      <c r="Z11" s="319">
        <f t="shared" si="1"/>
        <v>0</v>
      </c>
      <c r="AA11" s="319">
        <f t="shared" si="1"/>
        <v>0</v>
      </c>
      <c r="AB11" s="319">
        <f t="shared" si="1"/>
        <v>0</v>
      </c>
      <c r="AC11" s="319">
        <f t="shared" si="1"/>
        <v>0</v>
      </c>
      <c r="AD11" s="319">
        <f t="shared" si="1"/>
        <v>0</v>
      </c>
      <c r="AE11" s="319">
        <f t="shared" si="1"/>
        <v>0</v>
      </c>
      <c r="AF11" s="319">
        <f t="shared" si="1"/>
        <v>0</v>
      </c>
      <c r="AG11" s="319">
        <f t="shared" si="1"/>
        <v>0</v>
      </c>
      <c r="AH11" s="319">
        <f t="shared" si="1"/>
        <v>0</v>
      </c>
      <c r="AI11" s="319">
        <f t="shared" si="1"/>
        <v>0</v>
      </c>
      <c r="AJ11" s="319">
        <f t="shared" si="1"/>
        <v>0</v>
      </c>
      <c r="AK11" s="1689"/>
      <c r="AL11" s="76"/>
      <c r="AM11" s="76"/>
      <c r="AN11" s="76"/>
      <c r="AO11" s="36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row>
    <row r="12" spans="1:86">
      <c r="B12" s="1689"/>
      <c r="C12" s="1689"/>
      <c r="D12" s="1689"/>
      <c r="E12" s="2403" t="s">
        <v>4649</v>
      </c>
      <c r="F12" s="2403"/>
      <c r="G12" s="162">
        <f>G11</f>
        <v>0</v>
      </c>
      <c r="H12" s="162">
        <f t="shared" ref="H12:AJ12" si="2">+G12+H11</f>
        <v>0</v>
      </c>
      <c r="I12" s="162">
        <f t="shared" si="2"/>
        <v>0</v>
      </c>
      <c r="J12" s="162">
        <f t="shared" si="2"/>
        <v>0</v>
      </c>
      <c r="K12" s="162">
        <f t="shared" si="2"/>
        <v>0</v>
      </c>
      <c r="L12" s="162">
        <f t="shared" si="2"/>
        <v>0</v>
      </c>
      <c r="M12" s="162">
        <f t="shared" si="2"/>
        <v>0</v>
      </c>
      <c r="N12" s="162">
        <f t="shared" si="2"/>
        <v>0</v>
      </c>
      <c r="O12" s="162">
        <f t="shared" si="2"/>
        <v>0</v>
      </c>
      <c r="P12" s="162">
        <f t="shared" si="2"/>
        <v>0</v>
      </c>
      <c r="Q12" s="162">
        <f t="shared" si="2"/>
        <v>0</v>
      </c>
      <c r="R12" s="162">
        <f t="shared" si="2"/>
        <v>0</v>
      </c>
      <c r="S12" s="162">
        <f t="shared" si="2"/>
        <v>0</v>
      </c>
      <c r="T12" s="162">
        <f t="shared" si="2"/>
        <v>0</v>
      </c>
      <c r="U12" s="162">
        <f t="shared" si="2"/>
        <v>0</v>
      </c>
      <c r="V12" s="162">
        <f t="shared" si="2"/>
        <v>0</v>
      </c>
      <c r="W12" s="162">
        <f t="shared" si="2"/>
        <v>0</v>
      </c>
      <c r="X12" s="162">
        <f t="shared" si="2"/>
        <v>0</v>
      </c>
      <c r="Y12" s="162">
        <f t="shared" si="2"/>
        <v>0</v>
      </c>
      <c r="Z12" s="162">
        <f t="shared" si="2"/>
        <v>0</v>
      </c>
      <c r="AA12" s="162">
        <f t="shared" si="2"/>
        <v>0</v>
      </c>
      <c r="AB12" s="162">
        <f t="shared" si="2"/>
        <v>0</v>
      </c>
      <c r="AC12" s="162">
        <f t="shared" si="2"/>
        <v>0</v>
      </c>
      <c r="AD12" s="162">
        <f t="shared" si="2"/>
        <v>0</v>
      </c>
      <c r="AE12" s="162">
        <f t="shared" si="2"/>
        <v>0</v>
      </c>
      <c r="AF12" s="162">
        <f t="shared" si="2"/>
        <v>0</v>
      </c>
      <c r="AG12" s="162">
        <f t="shared" si="2"/>
        <v>0</v>
      </c>
      <c r="AH12" s="162">
        <f t="shared" si="2"/>
        <v>0</v>
      </c>
      <c r="AI12" s="162">
        <f t="shared" si="2"/>
        <v>0</v>
      </c>
      <c r="AJ12" s="162">
        <f t="shared" si="2"/>
        <v>0</v>
      </c>
      <c r="AK12" s="1689"/>
      <c r="AL12" s="76"/>
      <c r="AM12" s="76"/>
      <c r="AN12" s="76"/>
      <c r="AO12" s="36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row>
    <row r="13" spans="1:86" ht="16">
      <c r="B13" s="1689"/>
      <c r="C13" s="1689"/>
      <c r="D13" s="1689"/>
      <c r="E13" s="159" t="s">
        <v>4650</v>
      </c>
      <c r="F13" s="159" t="s">
        <v>4651</v>
      </c>
      <c r="G13" s="159" t="str">
        <f t="shared" ref="G13:AJ13" si="3">G9</f>
        <v>Draw #1</v>
      </c>
      <c r="H13" s="159" t="str">
        <f t="shared" si="3"/>
        <v>Draw #2</v>
      </c>
      <c r="I13" s="159" t="str">
        <f t="shared" si="3"/>
        <v>Draw #3</v>
      </c>
      <c r="J13" s="159" t="str">
        <f t="shared" si="3"/>
        <v>Draw #4</v>
      </c>
      <c r="K13" s="159" t="str">
        <f t="shared" si="3"/>
        <v>Draw #5</v>
      </c>
      <c r="L13" s="159" t="str">
        <f t="shared" si="3"/>
        <v>Draw #6</v>
      </c>
      <c r="M13" s="159" t="str">
        <f t="shared" si="3"/>
        <v>Draw #7</v>
      </c>
      <c r="N13" s="159" t="str">
        <f t="shared" si="3"/>
        <v>Draw #8</v>
      </c>
      <c r="O13" s="159" t="str">
        <f t="shared" si="3"/>
        <v>Draw #9</v>
      </c>
      <c r="P13" s="159" t="str">
        <f t="shared" si="3"/>
        <v>Draw #10</v>
      </c>
      <c r="Q13" s="159" t="str">
        <f t="shared" si="3"/>
        <v>Draw #11</v>
      </c>
      <c r="R13" s="159" t="str">
        <f t="shared" si="3"/>
        <v>Draw #12</v>
      </c>
      <c r="S13" s="159" t="str">
        <f t="shared" si="3"/>
        <v>Draw #13</v>
      </c>
      <c r="T13" s="159" t="str">
        <f t="shared" si="3"/>
        <v>Draw #14</v>
      </c>
      <c r="U13" s="159" t="str">
        <f t="shared" si="3"/>
        <v>Draw #15</v>
      </c>
      <c r="V13" s="159" t="str">
        <f t="shared" si="3"/>
        <v>Draw #16</v>
      </c>
      <c r="W13" s="159" t="str">
        <f t="shared" si="3"/>
        <v>Draw #17</v>
      </c>
      <c r="X13" s="159" t="str">
        <f t="shared" si="3"/>
        <v>Draw #18</v>
      </c>
      <c r="Y13" s="159" t="str">
        <f t="shared" si="3"/>
        <v>Draw $19</v>
      </c>
      <c r="Z13" s="159" t="str">
        <f t="shared" si="3"/>
        <v>Draw #20</v>
      </c>
      <c r="AA13" s="159" t="str">
        <f t="shared" si="3"/>
        <v>Draw #21</v>
      </c>
      <c r="AB13" s="159" t="str">
        <f t="shared" si="3"/>
        <v>Draw #22</v>
      </c>
      <c r="AC13" s="159" t="str">
        <f t="shared" si="3"/>
        <v>Draw #23</v>
      </c>
      <c r="AD13" s="159" t="str">
        <f t="shared" si="3"/>
        <v>Draw #24</v>
      </c>
      <c r="AE13" s="159" t="str">
        <f t="shared" si="3"/>
        <v>Draw #25</v>
      </c>
      <c r="AF13" s="159" t="str">
        <f t="shared" si="3"/>
        <v>Draw #26</v>
      </c>
      <c r="AG13" s="159" t="str">
        <f t="shared" si="3"/>
        <v>Draw #26</v>
      </c>
      <c r="AH13" s="159" t="str">
        <f t="shared" si="3"/>
        <v>Draw #28</v>
      </c>
      <c r="AI13" s="159" t="str">
        <f t="shared" si="3"/>
        <v>Draw #29</v>
      </c>
      <c r="AJ13" s="159" t="str">
        <f t="shared" si="3"/>
        <v>Draw #30</v>
      </c>
      <c r="AK13" s="1689"/>
      <c r="AL13" s="76"/>
      <c r="AM13" s="76"/>
      <c r="AN13" s="76"/>
      <c r="AO13" s="36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row>
    <row r="14" spans="1:86" ht="16">
      <c r="B14" s="1689"/>
      <c r="C14" s="163" t="s">
        <v>4315</v>
      </c>
      <c r="D14" s="163"/>
      <c r="E14" s="163"/>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89"/>
      <c r="AL14" s="76"/>
      <c r="AM14" s="76"/>
      <c r="AN14" s="76"/>
      <c r="AO14" s="36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row>
    <row r="15" spans="1:86">
      <c r="B15" s="1689"/>
      <c r="C15" s="773" t="str" cm="1">
        <f t="array" ref="C15:D15">'14. Project Costs'!C12:D12</f>
        <v>Land</v>
      </c>
      <c r="D15" s="774">
        <v>0</v>
      </c>
      <c r="E15" s="237">
        <f>PC_ACQ_Land_Acq_Total</f>
        <v>0</v>
      </c>
      <c r="F15" s="235">
        <f>+E15-SUM(G15:AJ15)</f>
        <v>0</v>
      </c>
      <c r="G15" s="241">
        <f>+E15</f>
        <v>0</v>
      </c>
      <c r="H15" s="241">
        <v>0</v>
      </c>
      <c r="I15" s="241">
        <v>0</v>
      </c>
      <c r="J15" s="241">
        <v>0</v>
      </c>
      <c r="K15" s="241">
        <v>0</v>
      </c>
      <c r="L15" s="241">
        <v>0</v>
      </c>
      <c r="M15" s="241">
        <v>0</v>
      </c>
      <c r="N15" s="241">
        <v>0</v>
      </c>
      <c r="O15" s="241">
        <v>0</v>
      </c>
      <c r="P15" s="241">
        <v>0</v>
      </c>
      <c r="Q15" s="241">
        <v>0</v>
      </c>
      <c r="R15" s="241">
        <v>0</v>
      </c>
      <c r="S15" s="241">
        <v>0</v>
      </c>
      <c r="T15" s="241">
        <v>0</v>
      </c>
      <c r="U15" s="241">
        <v>0</v>
      </c>
      <c r="V15" s="241">
        <v>0</v>
      </c>
      <c r="W15" s="241">
        <v>0</v>
      </c>
      <c r="X15" s="241">
        <v>0</v>
      </c>
      <c r="Y15" s="241">
        <v>0</v>
      </c>
      <c r="Z15" s="241">
        <v>0</v>
      </c>
      <c r="AA15" s="241">
        <v>0</v>
      </c>
      <c r="AB15" s="241">
        <v>0</v>
      </c>
      <c r="AC15" s="241">
        <v>0</v>
      </c>
      <c r="AD15" s="241">
        <v>0</v>
      </c>
      <c r="AE15" s="241">
        <v>0</v>
      </c>
      <c r="AF15" s="241">
        <v>0</v>
      </c>
      <c r="AG15" s="241">
        <v>0</v>
      </c>
      <c r="AH15" s="241">
        <v>0</v>
      </c>
      <c r="AI15" s="241">
        <v>0</v>
      </c>
      <c r="AJ15" s="241">
        <v>0</v>
      </c>
      <c r="AK15" s="1689"/>
      <c r="AL15" s="76"/>
      <c r="AM15" s="76"/>
      <c r="AN15" s="76"/>
      <c r="AO15" s="36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row>
    <row r="16" spans="1:86">
      <c r="B16" s="1689"/>
      <c r="C16" s="773" t="str" cm="1">
        <f t="array" ref="C16:D16">'14. Project Costs'!C13:D13</f>
        <v>Purchase of Buildings</v>
      </c>
      <c r="D16" s="774">
        <v>0</v>
      </c>
      <c r="E16" s="237">
        <f>PC_ACQ_Building_Acq_Total</f>
        <v>0</v>
      </c>
      <c r="F16" s="235">
        <f>+E16-SUM(G16:AJ16)</f>
        <v>0</v>
      </c>
      <c r="G16" s="241">
        <f>+E16</f>
        <v>0</v>
      </c>
      <c r="H16" s="241">
        <v>0</v>
      </c>
      <c r="I16" s="241">
        <v>0</v>
      </c>
      <c r="J16" s="241">
        <v>0</v>
      </c>
      <c r="K16" s="241">
        <v>0</v>
      </c>
      <c r="L16" s="241">
        <v>0</v>
      </c>
      <c r="M16" s="241">
        <v>0</v>
      </c>
      <c r="N16" s="241">
        <v>0</v>
      </c>
      <c r="O16" s="241">
        <v>0</v>
      </c>
      <c r="P16" s="241">
        <v>0</v>
      </c>
      <c r="Q16" s="241">
        <v>0</v>
      </c>
      <c r="R16" s="241">
        <v>0</v>
      </c>
      <c r="S16" s="241">
        <v>0</v>
      </c>
      <c r="T16" s="241">
        <v>0</v>
      </c>
      <c r="U16" s="241">
        <v>0</v>
      </c>
      <c r="V16" s="241">
        <v>0</v>
      </c>
      <c r="W16" s="241">
        <v>0</v>
      </c>
      <c r="X16" s="241">
        <v>0</v>
      </c>
      <c r="Y16" s="241">
        <v>0</v>
      </c>
      <c r="Z16" s="241">
        <v>0</v>
      </c>
      <c r="AA16" s="241">
        <v>0</v>
      </c>
      <c r="AB16" s="241">
        <v>0</v>
      </c>
      <c r="AC16" s="241">
        <v>0</v>
      </c>
      <c r="AD16" s="241">
        <v>0</v>
      </c>
      <c r="AE16" s="241">
        <v>0</v>
      </c>
      <c r="AF16" s="241">
        <v>0</v>
      </c>
      <c r="AG16" s="241">
        <v>0</v>
      </c>
      <c r="AH16" s="241">
        <v>0</v>
      </c>
      <c r="AI16" s="241">
        <v>0</v>
      </c>
      <c r="AJ16" s="241">
        <v>0</v>
      </c>
      <c r="AK16" s="1689"/>
      <c r="AL16" s="76"/>
      <c r="AM16" s="76"/>
      <c r="AN16" s="76"/>
      <c r="AO16" s="36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row>
    <row r="17" spans="2:86">
      <c r="B17" s="1689"/>
      <c r="C17" s="773" t="str" cm="1">
        <f t="array" ref="C17:D17">'14. Project Costs'!C14:D14</f>
        <v>Other Purchase Bldgs &amp; Land</v>
      </c>
      <c r="D17" s="774">
        <v>0</v>
      </c>
      <c r="E17" s="237">
        <f>PC_ACQ_Other_Purchase_Total</f>
        <v>0</v>
      </c>
      <c r="F17" s="235">
        <f t="shared" ref="F17:F18" si="4">+E17-SUM(G17:AJ17)</f>
        <v>0</v>
      </c>
      <c r="G17" s="241">
        <f>+E17</f>
        <v>0</v>
      </c>
      <c r="H17" s="241">
        <v>0</v>
      </c>
      <c r="I17" s="241">
        <v>0</v>
      </c>
      <c r="J17" s="241">
        <v>0</v>
      </c>
      <c r="K17" s="241">
        <v>0</v>
      </c>
      <c r="L17" s="241">
        <v>0</v>
      </c>
      <c r="M17" s="241">
        <v>0</v>
      </c>
      <c r="N17" s="241">
        <v>0</v>
      </c>
      <c r="O17" s="241">
        <v>0</v>
      </c>
      <c r="P17" s="241">
        <v>0</v>
      </c>
      <c r="Q17" s="241">
        <v>0</v>
      </c>
      <c r="R17" s="241">
        <v>0</v>
      </c>
      <c r="S17" s="241">
        <v>0</v>
      </c>
      <c r="T17" s="241">
        <v>0</v>
      </c>
      <c r="U17" s="241">
        <v>0</v>
      </c>
      <c r="V17" s="241">
        <v>0</v>
      </c>
      <c r="W17" s="241">
        <v>0</v>
      </c>
      <c r="X17" s="241">
        <v>0</v>
      </c>
      <c r="Y17" s="241">
        <v>0</v>
      </c>
      <c r="Z17" s="241">
        <v>0</v>
      </c>
      <c r="AA17" s="241">
        <v>0</v>
      </c>
      <c r="AB17" s="241">
        <v>0</v>
      </c>
      <c r="AC17" s="241">
        <v>0</v>
      </c>
      <c r="AD17" s="241">
        <v>0</v>
      </c>
      <c r="AE17" s="241">
        <v>0</v>
      </c>
      <c r="AF17" s="241">
        <v>0</v>
      </c>
      <c r="AG17" s="241">
        <v>0</v>
      </c>
      <c r="AH17" s="241">
        <v>0</v>
      </c>
      <c r="AI17" s="241">
        <v>0</v>
      </c>
      <c r="AJ17" s="241">
        <v>0</v>
      </c>
      <c r="AK17" s="1689"/>
      <c r="AL17" s="76"/>
      <c r="AM17" s="76"/>
      <c r="AN17" s="76"/>
      <c r="AO17" s="36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row>
    <row r="18" spans="2:86">
      <c r="B18" s="1689"/>
      <c r="C18" s="775" t="str" cm="1">
        <f t="array" ref="C18:D18">'14. Project Costs'!C15:D15</f>
        <v>Other Acquisition</v>
      </c>
      <c r="D18" s="776">
        <v>0</v>
      </c>
      <c r="E18" s="777">
        <f>PC_ACQ_Other_Acq_Total</f>
        <v>0</v>
      </c>
      <c r="F18" s="778">
        <f t="shared" si="4"/>
        <v>0</v>
      </c>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778"/>
      <c r="AG18" s="778"/>
      <c r="AH18" s="778"/>
      <c r="AI18" s="778"/>
      <c r="AJ18" s="778"/>
      <c r="AK18" s="1689"/>
      <c r="AL18" s="76"/>
      <c r="AM18" s="76"/>
      <c r="AN18" s="76"/>
      <c r="AO18" s="36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row>
    <row r="19" spans="2:86">
      <c r="B19" s="1689"/>
      <c r="C19" s="168" t="s">
        <v>2724</v>
      </c>
      <c r="D19" s="168"/>
      <c r="E19" s="238">
        <f>SUM(E15:E18)</f>
        <v>0</v>
      </c>
      <c r="F19" s="239">
        <f>SUM(F15:F18)</f>
        <v>0</v>
      </c>
      <c r="G19" s="239">
        <f t="shared" ref="G19:AJ19" si="5">SUM(G14:G18)</f>
        <v>0</v>
      </c>
      <c r="H19" s="239">
        <f t="shared" si="5"/>
        <v>0</v>
      </c>
      <c r="I19" s="239">
        <f t="shared" si="5"/>
        <v>0</v>
      </c>
      <c r="J19" s="239">
        <f t="shared" si="5"/>
        <v>0</v>
      </c>
      <c r="K19" s="239">
        <f t="shared" si="5"/>
        <v>0</v>
      </c>
      <c r="L19" s="239">
        <f t="shared" si="5"/>
        <v>0</v>
      </c>
      <c r="M19" s="239">
        <f t="shared" si="5"/>
        <v>0</v>
      </c>
      <c r="N19" s="239">
        <f t="shared" si="5"/>
        <v>0</v>
      </c>
      <c r="O19" s="239">
        <f t="shared" si="5"/>
        <v>0</v>
      </c>
      <c r="P19" s="239">
        <f t="shared" si="5"/>
        <v>0</v>
      </c>
      <c r="Q19" s="239">
        <f t="shared" si="5"/>
        <v>0</v>
      </c>
      <c r="R19" s="239">
        <f t="shared" si="5"/>
        <v>0</v>
      </c>
      <c r="S19" s="239">
        <f t="shared" si="5"/>
        <v>0</v>
      </c>
      <c r="T19" s="239">
        <f t="shared" si="5"/>
        <v>0</v>
      </c>
      <c r="U19" s="239">
        <f t="shared" si="5"/>
        <v>0</v>
      </c>
      <c r="V19" s="239">
        <f t="shared" si="5"/>
        <v>0</v>
      </c>
      <c r="W19" s="239">
        <f t="shared" si="5"/>
        <v>0</v>
      </c>
      <c r="X19" s="239">
        <f t="shared" si="5"/>
        <v>0</v>
      </c>
      <c r="Y19" s="239">
        <f t="shared" si="5"/>
        <v>0</v>
      </c>
      <c r="Z19" s="239">
        <f t="shared" si="5"/>
        <v>0</v>
      </c>
      <c r="AA19" s="239">
        <f t="shared" si="5"/>
        <v>0</v>
      </c>
      <c r="AB19" s="239">
        <f t="shared" si="5"/>
        <v>0</v>
      </c>
      <c r="AC19" s="239">
        <f t="shared" si="5"/>
        <v>0</v>
      </c>
      <c r="AD19" s="239">
        <f t="shared" si="5"/>
        <v>0</v>
      </c>
      <c r="AE19" s="239">
        <f t="shared" si="5"/>
        <v>0</v>
      </c>
      <c r="AF19" s="239">
        <f t="shared" si="5"/>
        <v>0</v>
      </c>
      <c r="AG19" s="239">
        <f t="shared" si="5"/>
        <v>0</v>
      </c>
      <c r="AH19" s="239">
        <f t="shared" si="5"/>
        <v>0</v>
      </c>
      <c r="AI19" s="239">
        <f t="shared" si="5"/>
        <v>0</v>
      </c>
      <c r="AJ19" s="239">
        <f t="shared" si="5"/>
        <v>0</v>
      </c>
      <c r="AK19" s="1689"/>
      <c r="AL19" s="76"/>
      <c r="AM19" s="76"/>
      <c r="AN19" s="76"/>
      <c r="AO19" s="36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row>
    <row r="20" spans="2:86" ht="16">
      <c r="B20" s="1689"/>
      <c r="C20" s="169" t="s">
        <v>2727</v>
      </c>
      <c r="D20" s="169"/>
      <c r="E20" s="257"/>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1689"/>
      <c r="AL20" s="76"/>
      <c r="AM20" s="76"/>
      <c r="AN20" s="76"/>
      <c r="AO20" s="36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row>
    <row r="21" spans="2:86">
      <c r="B21" s="1689"/>
      <c r="C21" s="171" t="s">
        <v>2729</v>
      </c>
      <c r="D21" s="171"/>
      <c r="E21" s="254"/>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1689"/>
      <c r="AL21" s="76"/>
      <c r="AM21" s="76"/>
      <c r="AN21" s="76"/>
      <c r="AO21" s="36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row>
    <row r="22" spans="2:86">
      <c r="B22" s="1689"/>
      <c r="C22" s="773" t="str" cm="1">
        <f t="array" ref="C22:D22">'14. Project Costs'!C19:D19</f>
        <v>Hard/Construction Costs</v>
      </c>
      <c r="D22" s="774">
        <v>0</v>
      </c>
      <c r="E22" s="237">
        <f>PC_CST_Building_Total</f>
        <v>0</v>
      </c>
      <c r="F22" s="235">
        <f t="shared" ref="F22:F28" si="6">+E22-SUM(G22:AJ22)</f>
        <v>0</v>
      </c>
      <c r="G22" s="241">
        <f t="shared" ref="G22:AJ28" si="7">+$E22*G$11</f>
        <v>0</v>
      </c>
      <c r="H22" s="241">
        <f t="shared" si="7"/>
        <v>0</v>
      </c>
      <c r="I22" s="241">
        <f t="shared" si="7"/>
        <v>0</v>
      </c>
      <c r="J22" s="241">
        <f t="shared" si="7"/>
        <v>0</v>
      </c>
      <c r="K22" s="241">
        <f t="shared" si="7"/>
        <v>0</v>
      </c>
      <c r="L22" s="241">
        <f t="shared" si="7"/>
        <v>0</v>
      </c>
      <c r="M22" s="241">
        <f t="shared" si="7"/>
        <v>0</v>
      </c>
      <c r="N22" s="241">
        <f t="shared" si="7"/>
        <v>0</v>
      </c>
      <c r="O22" s="241">
        <f t="shared" si="7"/>
        <v>0</v>
      </c>
      <c r="P22" s="241">
        <f t="shared" si="7"/>
        <v>0</v>
      </c>
      <c r="Q22" s="241">
        <f t="shared" si="7"/>
        <v>0</v>
      </c>
      <c r="R22" s="241">
        <f t="shared" si="7"/>
        <v>0</v>
      </c>
      <c r="S22" s="241">
        <f t="shared" si="7"/>
        <v>0</v>
      </c>
      <c r="T22" s="241">
        <f t="shared" si="7"/>
        <v>0</v>
      </c>
      <c r="U22" s="241">
        <f t="shared" si="7"/>
        <v>0</v>
      </c>
      <c r="V22" s="241">
        <f t="shared" si="7"/>
        <v>0</v>
      </c>
      <c r="W22" s="241">
        <f t="shared" si="7"/>
        <v>0</v>
      </c>
      <c r="X22" s="241">
        <f t="shared" si="7"/>
        <v>0</v>
      </c>
      <c r="Y22" s="241">
        <f t="shared" si="7"/>
        <v>0</v>
      </c>
      <c r="Z22" s="241">
        <f t="shared" si="7"/>
        <v>0</v>
      </c>
      <c r="AA22" s="241">
        <f t="shared" si="7"/>
        <v>0</v>
      </c>
      <c r="AB22" s="241">
        <f t="shared" si="7"/>
        <v>0</v>
      </c>
      <c r="AC22" s="241">
        <f t="shared" si="7"/>
        <v>0</v>
      </c>
      <c r="AD22" s="241">
        <f t="shared" si="7"/>
        <v>0</v>
      </c>
      <c r="AE22" s="241">
        <f t="shared" si="7"/>
        <v>0</v>
      </c>
      <c r="AF22" s="241">
        <f t="shared" si="7"/>
        <v>0</v>
      </c>
      <c r="AG22" s="241">
        <f t="shared" si="7"/>
        <v>0</v>
      </c>
      <c r="AH22" s="241">
        <f t="shared" si="7"/>
        <v>0</v>
      </c>
      <c r="AI22" s="241">
        <f t="shared" si="7"/>
        <v>0</v>
      </c>
      <c r="AJ22" s="241">
        <f t="shared" si="7"/>
        <v>0</v>
      </c>
      <c r="AK22" s="1689"/>
      <c r="AL22" s="76"/>
      <c r="AM22" s="76"/>
      <c r="AN22" s="76"/>
      <c r="AO22" s="36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row>
    <row r="23" spans="2:86">
      <c r="B23" s="1689"/>
      <c r="C23" s="773" t="str" cm="1">
        <f t="array" ref="C23:D23">+'14. Project Costs'!C24:D24</f>
        <v>E - Equipment &amp; Furnishings</v>
      </c>
      <c r="D23" s="774">
        <v>0</v>
      </c>
      <c r="E23" s="237">
        <f>+'14. Project Costs'!F24</f>
        <v>0</v>
      </c>
      <c r="F23" s="235">
        <f t="shared" si="6"/>
        <v>0</v>
      </c>
      <c r="G23" s="241">
        <f t="shared" si="7"/>
        <v>0</v>
      </c>
      <c r="H23" s="241">
        <f t="shared" si="7"/>
        <v>0</v>
      </c>
      <c r="I23" s="241">
        <f t="shared" si="7"/>
        <v>0</v>
      </c>
      <c r="J23" s="241">
        <f t="shared" si="7"/>
        <v>0</v>
      </c>
      <c r="K23" s="241">
        <f t="shared" si="7"/>
        <v>0</v>
      </c>
      <c r="L23" s="241">
        <f t="shared" si="7"/>
        <v>0</v>
      </c>
      <c r="M23" s="241">
        <f t="shared" si="7"/>
        <v>0</v>
      </c>
      <c r="N23" s="241">
        <f t="shared" si="7"/>
        <v>0</v>
      </c>
      <c r="O23" s="241">
        <f t="shared" si="7"/>
        <v>0</v>
      </c>
      <c r="P23" s="241">
        <f t="shared" si="7"/>
        <v>0</v>
      </c>
      <c r="Q23" s="241">
        <f t="shared" si="7"/>
        <v>0</v>
      </c>
      <c r="R23" s="241">
        <f t="shared" si="7"/>
        <v>0</v>
      </c>
      <c r="S23" s="241">
        <f t="shared" si="7"/>
        <v>0</v>
      </c>
      <c r="T23" s="241">
        <f t="shared" si="7"/>
        <v>0</v>
      </c>
      <c r="U23" s="241">
        <f t="shared" si="7"/>
        <v>0</v>
      </c>
      <c r="V23" s="241">
        <f t="shared" si="7"/>
        <v>0</v>
      </c>
      <c r="W23" s="241">
        <f t="shared" si="7"/>
        <v>0</v>
      </c>
      <c r="X23" s="241">
        <f t="shared" si="7"/>
        <v>0</v>
      </c>
      <c r="Y23" s="241">
        <f t="shared" si="7"/>
        <v>0</v>
      </c>
      <c r="Z23" s="241">
        <f t="shared" si="7"/>
        <v>0</v>
      </c>
      <c r="AA23" s="241">
        <f t="shared" si="7"/>
        <v>0</v>
      </c>
      <c r="AB23" s="241">
        <f t="shared" si="7"/>
        <v>0</v>
      </c>
      <c r="AC23" s="241">
        <f t="shared" si="7"/>
        <v>0</v>
      </c>
      <c r="AD23" s="241">
        <f t="shared" si="7"/>
        <v>0</v>
      </c>
      <c r="AE23" s="241">
        <f t="shared" si="7"/>
        <v>0</v>
      </c>
      <c r="AF23" s="241">
        <f t="shared" si="7"/>
        <v>0</v>
      </c>
      <c r="AG23" s="241">
        <f t="shared" si="7"/>
        <v>0</v>
      </c>
      <c r="AH23" s="241">
        <f t="shared" si="7"/>
        <v>0</v>
      </c>
      <c r="AI23" s="241">
        <f t="shared" si="7"/>
        <v>0</v>
      </c>
      <c r="AJ23" s="241">
        <f t="shared" si="7"/>
        <v>0</v>
      </c>
      <c r="AK23" s="1689"/>
      <c r="AL23" s="76"/>
      <c r="AM23" s="76"/>
      <c r="AN23" s="76"/>
      <c r="AO23" s="36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row>
    <row r="24" spans="2:86">
      <c r="B24" s="1689"/>
      <c r="C24" s="773" t="str" cm="1">
        <f t="array" ref="C24:D24">+'14. Project Costs'!C25:D25</f>
        <v>F - Special Construction &amp; Demolition</v>
      </c>
      <c r="D24" s="774">
        <v>0</v>
      </c>
      <c r="E24" s="237">
        <f>+'14. Project Costs'!F25</f>
        <v>0</v>
      </c>
      <c r="F24" s="235">
        <f t="shared" si="6"/>
        <v>0</v>
      </c>
      <c r="G24" s="241">
        <f t="shared" si="7"/>
        <v>0</v>
      </c>
      <c r="H24" s="241">
        <f t="shared" si="7"/>
        <v>0</v>
      </c>
      <c r="I24" s="241">
        <f t="shared" si="7"/>
        <v>0</v>
      </c>
      <c r="J24" s="241">
        <f t="shared" si="7"/>
        <v>0</v>
      </c>
      <c r="K24" s="241">
        <f t="shared" si="7"/>
        <v>0</v>
      </c>
      <c r="L24" s="241">
        <f t="shared" si="7"/>
        <v>0</v>
      </c>
      <c r="M24" s="241">
        <f t="shared" si="7"/>
        <v>0</v>
      </c>
      <c r="N24" s="241">
        <f t="shared" si="7"/>
        <v>0</v>
      </c>
      <c r="O24" s="241">
        <f t="shared" si="7"/>
        <v>0</v>
      </c>
      <c r="P24" s="241">
        <f t="shared" si="7"/>
        <v>0</v>
      </c>
      <c r="Q24" s="241">
        <f t="shared" si="7"/>
        <v>0</v>
      </c>
      <c r="R24" s="241">
        <f t="shared" si="7"/>
        <v>0</v>
      </c>
      <c r="S24" s="241">
        <f t="shared" si="7"/>
        <v>0</v>
      </c>
      <c r="T24" s="241">
        <f t="shared" si="7"/>
        <v>0</v>
      </c>
      <c r="U24" s="241">
        <f t="shared" si="7"/>
        <v>0</v>
      </c>
      <c r="V24" s="241">
        <f t="shared" si="7"/>
        <v>0</v>
      </c>
      <c r="W24" s="241">
        <f t="shared" si="7"/>
        <v>0</v>
      </c>
      <c r="X24" s="241">
        <f t="shared" si="7"/>
        <v>0</v>
      </c>
      <c r="Y24" s="241">
        <f t="shared" si="7"/>
        <v>0</v>
      </c>
      <c r="Z24" s="241">
        <f t="shared" si="7"/>
        <v>0</v>
      </c>
      <c r="AA24" s="241">
        <f t="shared" si="7"/>
        <v>0</v>
      </c>
      <c r="AB24" s="241">
        <f t="shared" si="7"/>
        <v>0</v>
      </c>
      <c r="AC24" s="241">
        <f t="shared" si="7"/>
        <v>0</v>
      </c>
      <c r="AD24" s="241">
        <f t="shared" si="7"/>
        <v>0</v>
      </c>
      <c r="AE24" s="241">
        <f t="shared" si="7"/>
        <v>0</v>
      </c>
      <c r="AF24" s="241">
        <f t="shared" si="7"/>
        <v>0</v>
      </c>
      <c r="AG24" s="241">
        <f t="shared" si="7"/>
        <v>0</v>
      </c>
      <c r="AH24" s="241">
        <f t="shared" si="7"/>
        <v>0</v>
      </c>
      <c r="AI24" s="241">
        <f t="shared" si="7"/>
        <v>0</v>
      </c>
      <c r="AJ24" s="241">
        <f t="shared" si="7"/>
        <v>0</v>
      </c>
      <c r="AK24" s="1689"/>
      <c r="AL24" s="76"/>
      <c r="AM24" s="76"/>
      <c r="AN24" s="76"/>
      <c r="AO24" s="36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row>
    <row r="25" spans="2:86">
      <c r="B25" s="1689"/>
      <c r="C25" s="773" t="str" cm="1">
        <f t="array" ref="C25:D25">+'14. Project Costs'!C27:D27</f>
        <v>Escalation</v>
      </c>
      <c r="D25" s="774">
        <v>0</v>
      </c>
      <c r="E25" s="237">
        <f>+'14. Project Costs'!F27</f>
        <v>0</v>
      </c>
      <c r="F25" s="235">
        <f t="shared" si="6"/>
        <v>0</v>
      </c>
      <c r="G25" s="241">
        <f t="shared" si="7"/>
        <v>0</v>
      </c>
      <c r="H25" s="241">
        <f t="shared" si="7"/>
        <v>0</v>
      </c>
      <c r="I25" s="241">
        <f t="shared" si="7"/>
        <v>0</v>
      </c>
      <c r="J25" s="241">
        <f t="shared" si="7"/>
        <v>0</v>
      </c>
      <c r="K25" s="241">
        <f t="shared" si="7"/>
        <v>0</v>
      </c>
      <c r="L25" s="241">
        <f t="shared" si="7"/>
        <v>0</v>
      </c>
      <c r="M25" s="241">
        <f t="shared" si="7"/>
        <v>0</v>
      </c>
      <c r="N25" s="241">
        <f t="shared" si="7"/>
        <v>0</v>
      </c>
      <c r="O25" s="241">
        <f t="shared" si="7"/>
        <v>0</v>
      </c>
      <c r="P25" s="241">
        <f t="shared" si="7"/>
        <v>0</v>
      </c>
      <c r="Q25" s="241">
        <f t="shared" si="7"/>
        <v>0</v>
      </c>
      <c r="R25" s="241">
        <f t="shared" si="7"/>
        <v>0</v>
      </c>
      <c r="S25" s="241">
        <f t="shared" si="7"/>
        <v>0</v>
      </c>
      <c r="T25" s="241">
        <f t="shared" si="7"/>
        <v>0</v>
      </c>
      <c r="U25" s="241">
        <f t="shared" si="7"/>
        <v>0</v>
      </c>
      <c r="V25" s="241">
        <f t="shared" si="7"/>
        <v>0</v>
      </c>
      <c r="W25" s="241">
        <f t="shared" si="7"/>
        <v>0</v>
      </c>
      <c r="X25" s="241">
        <f t="shared" si="7"/>
        <v>0</v>
      </c>
      <c r="Y25" s="241">
        <f t="shared" si="7"/>
        <v>0</v>
      </c>
      <c r="Z25" s="241">
        <f t="shared" si="7"/>
        <v>0</v>
      </c>
      <c r="AA25" s="241">
        <f t="shared" si="7"/>
        <v>0</v>
      </c>
      <c r="AB25" s="241">
        <f t="shared" si="7"/>
        <v>0</v>
      </c>
      <c r="AC25" s="241">
        <f t="shared" si="7"/>
        <v>0</v>
      </c>
      <c r="AD25" s="241">
        <f t="shared" si="7"/>
        <v>0</v>
      </c>
      <c r="AE25" s="241">
        <f t="shared" si="7"/>
        <v>0</v>
      </c>
      <c r="AF25" s="241">
        <f t="shared" si="7"/>
        <v>0</v>
      </c>
      <c r="AG25" s="241">
        <f t="shared" si="7"/>
        <v>0</v>
      </c>
      <c r="AH25" s="241">
        <f t="shared" si="7"/>
        <v>0</v>
      </c>
      <c r="AI25" s="241">
        <f t="shared" si="7"/>
        <v>0</v>
      </c>
      <c r="AJ25" s="241">
        <f t="shared" si="7"/>
        <v>0</v>
      </c>
      <c r="AK25" s="1689"/>
      <c r="AL25" s="76"/>
      <c r="AM25" s="76"/>
      <c r="AN25" s="76"/>
      <c r="AO25" s="36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row>
    <row r="26" spans="2:86">
      <c r="B26" s="1689"/>
      <c r="C26" s="773" t="str" cm="1">
        <f t="array" ref="C26:D26">'14. Project Costs'!C28:D28</f>
        <v>Accessory Buildings (Garage, storage, etc.)</v>
      </c>
      <c r="D26" s="774">
        <v>0</v>
      </c>
      <c r="E26" s="237">
        <f>PC_CST_Accessory_Building_Total</f>
        <v>0</v>
      </c>
      <c r="F26" s="235">
        <f t="shared" si="6"/>
        <v>0</v>
      </c>
      <c r="G26" s="241">
        <f t="shared" si="7"/>
        <v>0</v>
      </c>
      <c r="H26" s="241">
        <f t="shared" si="7"/>
        <v>0</v>
      </c>
      <c r="I26" s="241">
        <f t="shared" si="7"/>
        <v>0</v>
      </c>
      <c r="J26" s="241">
        <f t="shared" si="7"/>
        <v>0</v>
      </c>
      <c r="K26" s="241">
        <f t="shared" si="7"/>
        <v>0</v>
      </c>
      <c r="L26" s="241">
        <f t="shared" si="7"/>
        <v>0</v>
      </c>
      <c r="M26" s="241">
        <f t="shared" si="7"/>
        <v>0</v>
      </c>
      <c r="N26" s="241">
        <f t="shared" si="7"/>
        <v>0</v>
      </c>
      <c r="O26" s="241">
        <f t="shared" si="7"/>
        <v>0</v>
      </c>
      <c r="P26" s="241">
        <f t="shared" si="7"/>
        <v>0</v>
      </c>
      <c r="Q26" s="241">
        <f t="shared" si="7"/>
        <v>0</v>
      </c>
      <c r="R26" s="241">
        <f t="shared" si="7"/>
        <v>0</v>
      </c>
      <c r="S26" s="241">
        <f t="shared" si="7"/>
        <v>0</v>
      </c>
      <c r="T26" s="241">
        <f t="shared" si="7"/>
        <v>0</v>
      </c>
      <c r="U26" s="241">
        <f t="shared" si="7"/>
        <v>0</v>
      </c>
      <c r="V26" s="241">
        <f t="shared" si="7"/>
        <v>0</v>
      </c>
      <c r="W26" s="241">
        <f t="shared" si="7"/>
        <v>0</v>
      </c>
      <c r="X26" s="241">
        <f t="shared" si="7"/>
        <v>0</v>
      </c>
      <c r="Y26" s="241">
        <f t="shared" si="7"/>
        <v>0</v>
      </c>
      <c r="Z26" s="241">
        <f t="shared" si="7"/>
        <v>0</v>
      </c>
      <c r="AA26" s="241">
        <f t="shared" si="7"/>
        <v>0</v>
      </c>
      <c r="AB26" s="241">
        <f t="shared" si="7"/>
        <v>0</v>
      </c>
      <c r="AC26" s="241">
        <f t="shared" si="7"/>
        <v>0</v>
      </c>
      <c r="AD26" s="241">
        <f t="shared" si="7"/>
        <v>0</v>
      </c>
      <c r="AE26" s="241">
        <f t="shared" si="7"/>
        <v>0</v>
      </c>
      <c r="AF26" s="241">
        <f t="shared" si="7"/>
        <v>0</v>
      </c>
      <c r="AG26" s="241">
        <f t="shared" si="7"/>
        <v>0</v>
      </c>
      <c r="AH26" s="241">
        <f t="shared" si="7"/>
        <v>0</v>
      </c>
      <c r="AI26" s="241">
        <f t="shared" si="7"/>
        <v>0</v>
      </c>
      <c r="AJ26" s="241">
        <f t="shared" si="7"/>
        <v>0</v>
      </c>
      <c r="AK26" s="1689"/>
      <c r="AL26" s="76"/>
      <c r="AM26" s="76"/>
      <c r="AN26" s="76"/>
      <c r="AO26" s="36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row>
    <row r="27" spans="2:86">
      <c r="B27" s="1689"/>
      <c r="C27" s="773" t="str" cm="1">
        <f t="array" ref="C27:D27">'14. Project Costs'!C29:D29</f>
        <v>Personal Property / Furniture, Fixtures, &amp; Equipment</v>
      </c>
      <c r="D27" s="774">
        <v>0</v>
      </c>
      <c r="E27" s="237">
        <f>PC_CST_Personal_Property_Total</f>
        <v>0</v>
      </c>
      <c r="F27" s="235">
        <f t="shared" si="6"/>
        <v>0</v>
      </c>
      <c r="G27" s="241">
        <f t="shared" si="7"/>
        <v>0</v>
      </c>
      <c r="H27" s="241">
        <f t="shared" si="7"/>
        <v>0</v>
      </c>
      <c r="I27" s="241">
        <f t="shared" si="7"/>
        <v>0</v>
      </c>
      <c r="J27" s="241">
        <f t="shared" si="7"/>
        <v>0</v>
      </c>
      <c r="K27" s="241">
        <f t="shared" si="7"/>
        <v>0</v>
      </c>
      <c r="L27" s="241">
        <f t="shared" si="7"/>
        <v>0</v>
      </c>
      <c r="M27" s="241">
        <f t="shared" si="7"/>
        <v>0</v>
      </c>
      <c r="N27" s="241">
        <f t="shared" si="7"/>
        <v>0</v>
      </c>
      <c r="O27" s="241">
        <f t="shared" si="7"/>
        <v>0</v>
      </c>
      <c r="P27" s="241">
        <f t="shared" si="7"/>
        <v>0</v>
      </c>
      <c r="Q27" s="241">
        <f t="shared" si="7"/>
        <v>0</v>
      </c>
      <c r="R27" s="241">
        <f t="shared" si="7"/>
        <v>0</v>
      </c>
      <c r="S27" s="241">
        <f t="shared" si="7"/>
        <v>0</v>
      </c>
      <c r="T27" s="241">
        <f t="shared" si="7"/>
        <v>0</v>
      </c>
      <c r="U27" s="241">
        <f t="shared" si="7"/>
        <v>0</v>
      </c>
      <c r="V27" s="241">
        <f t="shared" si="7"/>
        <v>0</v>
      </c>
      <c r="W27" s="241">
        <f t="shared" si="7"/>
        <v>0</v>
      </c>
      <c r="X27" s="241">
        <f t="shared" si="7"/>
        <v>0</v>
      </c>
      <c r="Y27" s="241">
        <f t="shared" si="7"/>
        <v>0</v>
      </c>
      <c r="Z27" s="241">
        <f t="shared" si="7"/>
        <v>0</v>
      </c>
      <c r="AA27" s="241">
        <f t="shared" si="7"/>
        <v>0</v>
      </c>
      <c r="AB27" s="241">
        <f t="shared" si="7"/>
        <v>0</v>
      </c>
      <c r="AC27" s="241">
        <f t="shared" si="7"/>
        <v>0</v>
      </c>
      <c r="AD27" s="241">
        <f t="shared" si="7"/>
        <v>0</v>
      </c>
      <c r="AE27" s="241">
        <f t="shared" si="7"/>
        <v>0</v>
      </c>
      <c r="AF27" s="241">
        <f t="shared" si="7"/>
        <v>0</v>
      </c>
      <c r="AG27" s="241">
        <f t="shared" si="7"/>
        <v>0</v>
      </c>
      <c r="AH27" s="241">
        <f t="shared" si="7"/>
        <v>0</v>
      </c>
      <c r="AI27" s="241">
        <f t="shared" si="7"/>
        <v>0</v>
      </c>
      <c r="AJ27" s="241">
        <f t="shared" si="7"/>
        <v>0</v>
      </c>
      <c r="AK27" s="1689"/>
      <c r="AL27" s="76"/>
      <c r="AM27" s="76"/>
      <c r="AN27" s="76"/>
      <c r="AO27" s="36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row>
    <row r="28" spans="2:86">
      <c r="B28" s="1689"/>
      <c r="C28" s="775" t="str" cm="1">
        <f t="array" ref="C28:D28">'14. Project Costs'!C30:D30</f>
        <v>Other New Construction/Rehabilitation</v>
      </c>
      <c r="D28" s="776">
        <v>0</v>
      </c>
      <c r="E28" s="237">
        <f>PC_CST_Other_New_Construction_Total</f>
        <v>0</v>
      </c>
      <c r="F28" s="235">
        <f t="shared" si="6"/>
        <v>0</v>
      </c>
      <c r="G28" s="241">
        <f t="shared" si="7"/>
        <v>0</v>
      </c>
      <c r="H28" s="241">
        <f t="shared" si="7"/>
        <v>0</v>
      </c>
      <c r="I28" s="241">
        <f t="shared" si="7"/>
        <v>0</v>
      </c>
      <c r="J28" s="241">
        <f t="shared" si="7"/>
        <v>0</v>
      </c>
      <c r="K28" s="241">
        <f t="shared" si="7"/>
        <v>0</v>
      </c>
      <c r="L28" s="241">
        <f t="shared" si="7"/>
        <v>0</v>
      </c>
      <c r="M28" s="241">
        <f t="shared" si="7"/>
        <v>0</v>
      </c>
      <c r="N28" s="241">
        <f t="shared" si="7"/>
        <v>0</v>
      </c>
      <c r="O28" s="241">
        <f t="shared" si="7"/>
        <v>0</v>
      </c>
      <c r="P28" s="241">
        <f t="shared" si="7"/>
        <v>0</v>
      </c>
      <c r="Q28" s="241">
        <f t="shared" si="7"/>
        <v>0</v>
      </c>
      <c r="R28" s="241">
        <f t="shared" si="7"/>
        <v>0</v>
      </c>
      <c r="S28" s="241">
        <f t="shared" si="7"/>
        <v>0</v>
      </c>
      <c r="T28" s="241">
        <f t="shared" si="7"/>
        <v>0</v>
      </c>
      <c r="U28" s="241">
        <f t="shared" si="7"/>
        <v>0</v>
      </c>
      <c r="V28" s="241">
        <f t="shared" si="7"/>
        <v>0</v>
      </c>
      <c r="W28" s="241">
        <f t="shared" si="7"/>
        <v>0</v>
      </c>
      <c r="X28" s="241">
        <f t="shared" si="7"/>
        <v>0</v>
      </c>
      <c r="Y28" s="241">
        <f t="shared" si="7"/>
        <v>0</v>
      </c>
      <c r="Z28" s="241">
        <f t="shared" si="7"/>
        <v>0</v>
      </c>
      <c r="AA28" s="241">
        <f t="shared" si="7"/>
        <v>0</v>
      </c>
      <c r="AB28" s="241">
        <f t="shared" si="7"/>
        <v>0</v>
      </c>
      <c r="AC28" s="241">
        <f t="shared" si="7"/>
        <v>0</v>
      </c>
      <c r="AD28" s="241">
        <f t="shared" si="7"/>
        <v>0</v>
      </c>
      <c r="AE28" s="241">
        <f t="shared" si="7"/>
        <v>0</v>
      </c>
      <c r="AF28" s="241">
        <f t="shared" si="7"/>
        <v>0</v>
      </c>
      <c r="AG28" s="241">
        <f t="shared" si="7"/>
        <v>0</v>
      </c>
      <c r="AH28" s="241">
        <f t="shared" si="7"/>
        <v>0</v>
      </c>
      <c r="AI28" s="241">
        <f t="shared" si="7"/>
        <v>0</v>
      </c>
      <c r="AJ28" s="241">
        <f t="shared" si="7"/>
        <v>0</v>
      </c>
      <c r="AK28" s="1689"/>
      <c r="AL28" s="76"/>
      <c r="AM28" s="76"/>
      <c r="AN28" s="76"/>
      <c r="AO28" s="36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row>
    <row r="29" spans="2:86">
      <c r="B29" s="1689"/>
      <c r="C29" s="173" t="s">
        <v>2755</v>
      </c>
      <c r="D29" s="173"/>
      <c r="E29" s="242">
        <f>SUM(E22:E28)</f>
        <v>0</v>
      </c>
      <c r="F29" s="245">
        <f>SUM(F22:F28)</f>
        <v>0</v>
      </c>
      <c r="G29" s="245">
        <f t="shared" ref="G29:AJ29" si="8">SUM(G21:G28)</f>
        <v>0</v>
      </c>
      <c r="H29" s="245">
        <f t="shared" si="8"/>
        <v>0</v>
      </c>
      <c r="I29" s="245">
        <f t="shared" si="8"/>
        <v>0</v>
      </c>
      <c r="J29" s="245">
        <f t="shared" si="8"/>
        <v>0</v>
      </c>
      <c r="K29" s="245">
        <f t="shared" si="8"/>
        <v>0</v>
      </c>
      <c r="L29" s="245">
        <f t="shared" si="8"/>
        <v>0</v>
      </c>
      <c r="M29" s="245">
        <f t="shared" si="8"/>
        <v>0</v>
      </c>
      <c r="N29" s="245">
        <f t="shared" si="8"/>
        <v>0</v>
      </c>
      <c r="O29" s="245">
        <f t="shared" si="8"/>
        <v>0</v>
      </c>
      <c r="P29" s="245">
        <f t="shared" si="8"/>
        <v>0</v>
      </c>
      <c r="Q29" s="245">
        <f t="shared" si="8"/>
        <v>0</v>
      </c>
      <c r="R29" s="245">
        <f t="shared" si="8"/>
        <v>0</v>
      </c>
      <c r="S29" s="245">
        <f t="shared" si="8"/>
        <v>0</v>
      </c>
      <c r="T29" s="245">
        <f t="shared" si="8"/>
        <v>0</v>
      </c>
      <c r="U29" s="245">
        <f t="shared" si="8"/>
        <v>0</v>
      </c>
      <c r="V29" s="245">
        <f t="shared" si="8"/>
        <v>0</v>
      </c>
      <c r="W29" s="245">
        <f t="shared" si="8"/>
        <v>0</v>
      </c>
      <c r="X29" s="245">
        <f t="shared" si="8"/>
        <v>0</v>
      </c>
      <c r="Y29" s="245">
        <f t="shared" si="8"/>
        <v>0</v>
      </c>
      <c r="Z29" s="245">
        <f t="shared" si="8"/>
        <v>0</v>
      </c>
      <c r="AA29" s="245">
        <f t="shared" si="8"/>
        <v>0</v>
      </c>
      <c r="AB29" s="245">
        <f t="shared" si="8"/>
        <v>0</v>
      </c>
      <c r="AC29" s="245">
        <f t="shared" si="8"/>
        <v>0</v>
      </c>
      <c r="AD29" s="245">
        <f t="shared" si="8"/>
        <v>0</v>
      </c>
      <c r="AE29" s="245">
        <f t="shared" si="8"/>
        <v>0</v>
      </c>
      <c r="AF29" s="245">
        <f t="shared" si="8"/>
        <v>0</v>
      </c>
      <c r="AG29" s="245">
        <f t="shared" si="8"/>
        <v>0</v>
      </c>
      <c r="AH29" s="245">
        <f t="shared" si="8"/>
        <v>0</v>
      </c>
      <c r="AI29" s="245">
        <f t="shared" si="8"/>
        <v>0</v>
      </c>
      <c r="AJ29" s="245">
        <f t="shared" si="8"/>
        <v>0</v>
      </c>
      <c r="AK29" s="1689"/>
      <c r="AL29" s="76"/>
      <c r="AM29" s="76"/>
      <c r="AN29" s="76"/>
      <c r="AO29" s="36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row>
    <row r="30" spans="2:86">
      <c r="B30" s="1689"/>
      <c r="C30" s="174" t="s">
        <v>2757</v>
      </c>
      <c r="D30" s="174"/>
      <c r="E30" s="259"/>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1689"/>
      <c r="AL30" s="76"/>
      <c r="AM30" s="76"/>
      <c r="AN30" s="76"/>
      <c r="AO30" s="36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row>
    <row r="31" spans="2:86">
      <c r="B31" s="1689"/>
      <c r="C31" s="779" t="str" cm="1">
        <f t="array" ref="C31:D31">'14. Project Costs'!C33:D33</f>
        <v>Off Site Work</v>
      </c>
      <c r="D31" s="774">
        <v>0</v>
      </c>
      <c r="E31" s="237">
        <f>PC_CST_Earthwork_Other_Total</f>
        <v>0</v>
      </c>
      <c r="F31" s="235">
        <f t="shared" ref="F31:F36" si="9">+E31-SUM(G31:AJ31)</f>
        <v>0</v>
      </c>
      <c r="G31" s="241">
        <f t="shared" ref="G31:AJ31" si="10">+$E31*G$11</f>
        <v>0</v>
      </c>
      <c r="H31" s="241">
        <f t="shared" si="10"/>
        <v>0</v>
      </c>
      <c r="I31" s="241">
        <f t="shared" si="10"/>
        <v>0</v>
      </c>
      <c r="J31" s="241">
        <f t="shared" si="10"/>
        <v>0</v>
      </c>
      <c r="K31" s="241">
        <f t="shared" si="10"/>
        <v>0</v>
      </c>
      <c r="L31" s="241">
        <f t="shared" si="10"/>
        <v>0</v>
      </c>
      <c r="M31" s="241">
        <f t="shared" si="10"/>
        <v>0</v>
      </c>
      <c r="N31" s="241">
        <f t="shared" si="10"/>
        <v>0</v>
      </c>
      <c r="O31" s="241">
        <f t="shared" si="10"/>
        <v>0</v>
      </c>
      <c r="P31" s="241">
        <f t="shared" si="10"/>
        <v>0</v>
      </c>
      <c r="Q31" s="241">
        <f t="shared" si="10"/>
        <v>0</v>
      </c>
      <c r="R31" s="241">
        <f t="shared" si="10"/>
        <v>0</v>
      </c>
      <c r="S31" s="241">
        <f t="shared" si="10"/>
        <v>0</v>
      </c>
      <c r="T31" s="241">
        <f t="shared" si="10"/>
        <v>0</v>
      </c>
      <c r="U31" s="241">
        <f t="shared" si="10"/>
        <v>0</v>
      </c>
      <c r="V31" s="241">
        <f t="shared" si="10"/>
        <v>0</v>
      </c>
      <c r="W31" s="241">
        <f t="shared" si="10"/>
        <v>0</v>
      </c>
      <c r="X31" s="241">
        <f t="shared" si="10"/>
        <v>0</v>
      </c>
      <c r="Y31" s="241">
        <f t="shared" si="10"/>
        <v>0</v>
      </c>
      <c r="Z31" s="241">
        <f t="shared" si="10"/>
        <v>0</v>
      </c>
      <c r="AA31" s="241">
        <f t="shared" si="10"/>
        <v>0</v>
      </c>
      <c r="AB31" s="241">
        <f t="shared" si="10"/>
        <v>0</v>
      </c>
      <c r="AC31" s="241">
        <f t="shared" si="10"/>
        <v>0</v>
      </c>
      <c r="AD31" s="241">
        <f t="shared" si="10"/>
        <v>0</v>
      </c>
      <c r="AE31" s="241">
        <f t="shared" si="10"/>
        <v>0</v>
      </c>
      <c r="AF31" s="241">
        <f t="shared" si="10"/>
        <v>0</v>
      </c>
      <c r="AG31" s="241">
        <f t="shared" si="10"/>
        <v>0</v>
      </c>
      <c r="AH31" s="241">
        <f t="shared" si="10"/>
        <v>0</v>
      </c>
      <c r="AI31" s="241">
        <f t="shared" si="10"/>
        <v>0</v>
      </c>
      <c r="AJ31" s="241">
        <f t="shared" si="10"/>
        <v>0</v>
      </c>
      <c r="AK31" s="1689"/>
      <c r="AL31" s="76"/>
      <c r="AM31" s="76"/>
      <c r="AN31" s="76"/>
      <c r="AO31" s="36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row>
    <row r="32" spans="2:86" hidden="1">
      <c r="B32" s="1689"/>
      <c r="C32" s="320" t="str" cm="1">
        <f t="array" ref="C32:D32">'14. Project Costs'!C34:D34</f>
        <v>Utilities</v>
      </c>
      <c r="D32" s="320">
        <v>0</v>
      </c>
      <c r="E32" s="321">
        <f>PC_CST_Utilities_Total</f>
        <v>0</v>
      </c>
      <c r="F32" s="322">
        <f t="shared" si="9"/>
        <v>0</v>
      </c>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1689"/>
      <c r="AL32" s="76"/>
      <c r="AM32" s="76"/>
      <c r="AN32" s="76"/>
      <c r="AO32" s="36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row>
    <row r="33" spans="2:86" hidden="1">
      <c r="B33" s="1689"/>
      <c r="C33" s="320" t="str" cm="1">
        <f t="array" ref="C33:D33">'14. Project Costs'!C35:D35</f>
        <v>Lawns and Plantings</v>
      </c>
      <c r="D33" s="320">
        <v>0</v>
      </c>
      <c r="E33" s="321">
        <f>PC_CST_Lawn_Total</f>
        <v>0</v>
      </c>
      <c r="F33" s="322">
        <f t="shared" si="9"/>
        <v>0</v>
      </c>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1689"/>
      <c r="AL33" s="76"/>
      <c r="AM33" s="76"/>
      <c r="AN33" s="76"/>
      <c r="AO33" s="36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row>
    <row r="34" spans="2:86" hidden="1">
      <c r="B34" s="1689"/>
      <c r="C34" s="320" t="str" cm="1">
        <f t="array" ref="C34:D34">'14. Project Costs'!C36:D36</f>
        <v>Unusual Site Conditions</v>
      </c>
      <c r="D34" s="320">
        <v>0</v>
      </c>
      <c r="E34" s="321">
        <f>PC_CST_Unusual_Site_Total</f>
        <v>0</v>
      </c>
      <c r="F34" s="322">
        <f t="shared" si="9"/>
        <v>0</v>
      </c>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1689"/>
      <c r="AL34" s="76"/>
      <c r="AM34" s="76"/>
      <c r="AN34" s="76"/>
      <c r="AO34" s="36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row>
    <row r="35" spans="2:86" hidden="1">
      <c r="B35" s="1689"/>
      <c r="C35" s="320" t="str" cm="1">
        <f t="array" ref="C35:D35">'14. Project Costs'!C37:D37</f>
        <v xml:space="preserve">Roads , Walks &amp; Paving </v>
      </c>
      <c r="D35" s="320">
        <v>0</v>
      </c>
      <c r="E35" s="321">
        <f>PC_CST_Roads_Walks_Total</f>
        <v>0</v>
      </c>
      <c r="F35" s="322">
        <f t="shared" si="9"/>
        <v>0</v>
      </c>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1689"/>
      <c r="AL35" s="76"/>
      <c r="AM35" s="76"/>
      <c r="AN35" s="76"/>
      <c r="AO35" s="36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row>
    <row r="36" spans="2:86" hidden="1">
      <c r="B36" s="1689"/>
      <c r="C36" s="323" t="str" cm="1">
        <f t="array" ref="C36:D36">'14. Project Costs'!C38:D38</f>
        <v>Other Off Site Work</v>
      </c>
      <c r="D36" s="323">
        <v>0</v>
      </c>
      <c r="E36" s="321">
        <f>PC_CST_Off_Site_Work_Total</f>
        <v>0</v>
      </c>
      <c r="F36" s="322">
        <f t="shared" si="9"/>
        <v>0</v>
      </c>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1689"/>
      <c r="AL36" s="76"/>
      <c r="AM36" s="76"/>
      <c r="AN36" s="76"/>
      <c r="AO36" s="36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row>
    <row r="37" spans="2:86">
      <c r="B37" s="1689"/>
      <c r="C37" s="173" t="s">
        <v>2770</v>
      </c>
      <c r="D37" s="173"/>
      <c r="E37" s="242">
        <f>SUM(E31:E36)</f>
        <v>0</v>
      </c>
      <c r="F37" s="245">
        <f>SUM(F31:F36)</f>
        <v>0</v>
      </c>
      <c r="G37" s="245">
        <f t="shared" ref="G37:AJ37" si="11">SUM(G30:G36)</f>
        <v>0</v>
      </c>
      <c r="H37" s="245">
        <f t="shared" si="11"/>
        <v>0</v>
      </c>
      <c r="I37" s="245">
        <f t="shared" si="11"/>
        <v>0</v>
      </c>
      <c r="J37" s="245">
        <f t="shared" si="11"/>
        <v>0</v>
      </c>
      <c r="K37" s="245">
        <f t="shared" si="11"/>
        <v>0</v>
      </c>
      <c r="L37" s="245">
        <f t="shared" si="11"/>
        <v>0</v>
      </c>
      <c r="M37" s="245">
        <f t="shared" si="11"/>
        <v>0</v>
      </c>
      <c r="N37" s="245">
        <f t="shared" si="11"/>
        <v>0</v>
      </c>
      <c r="O37" s="245">
        <f t="shared" si="11"/>
        <v>0</v>
      </c>
      <c r="P37" s="245">
        <f t="shared" si="11"/>
        <v>0</v>
      </c>
      <c r="Q37" s="245">
        <f t="shared" si="11"/>
        <v>0</v>
      </c>
      <c r="R37" s="245">
        <f t="shared" si="11"/>
        <v>0</v>
      </c>
      <c r="S37" s="245">
        <f t="shared" si="11"/>
        <v>0</v>
      </c>
      <c r="T37" s="245">
        <f t="shared" si="11"/>
        <v>0</v>
      </c>
      <c r="U37" s="245">
        <f t="shared" si="11"/>
        <v>0</v>
      </c>
      <c r="V37" s="245">
        <f t="shared" si="11"/>
        <v>0</v>
      </c>
      <c r="W37" s="245">
        <f t="shared" si="11"/>
        <v>0</v>
      </c>
      <c r="X37" s="245">
        <f t="shared" si="11"/>
        <v>0</v>
      </c>
      <c r="Y37" s="245">
        <f t="shared" si="11"/>
        <v>0</v>
      </c>
      <c r="Z37" s="245">
        <f t="shared" si="11"/>
        <v>0</v>
      </c>
      <c r="AA37" s="245">
        <f t="shared" si="11"/>
        <v>0</v>
      </c>
      <c r="AB37" s="245">
        <f t="shared" si="11"/>
        <v>0</v>
      </c>
      <c r="AC37" s="245">
        <f t="shared" si="11"/>
        <v>0</v>
      </c>
      <c r="AD37" s="245">
        <f t="shared" si="11"/>
        <v>0</v>
      </c>
      <c r="AE37" s="245">
        <f t="shared" si="11"/>
        <v>0</v>
      </c>
      <c r="AF37" s="245">
        <f t="shared" si="11"/>
        <v>0</v>
      </c>
      <c r="AG37" s="245">
        <f t="shared" si="11"/>
        <v>0</v>
      </c>
      <c r="AH37" s="245">
        <f t="shared" si="11"/>
        <v>0</v>
      </c>
      <c r="AI37" s="245">
        <f t="shared" si="11"/>
        <v>0</v>
      </c>
      <c r="AJ37" s="245">
        <f t="shared" si="11"/>
        <v>0</v>
      </c>
      <c r="AK37" s="1689"/>
      <c r="AL37" s="76"/>
      <c r="AM37" s="76"/>
      <c r="AN37" s="76"/>
      <c r="AO37" s="36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row>
    <row r="38" spans="2:86">
      <c r="B38" s="1689"/>
      <c r="C38" s="174" t="s">
        <v>2776</v>
      </c>
      <c r="D38" s="174"/>
      <c r="E38" s="259"/>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1689"/>
      <c r="AL38" s="76"/>
      <c r="AM38" s="76"/>
      <c r="AN38" s="76"/>
      <c r="AO38" s="36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row>
    <row r="39" spans="2:86">
      <c r="B39" s="1689"/>
      <c r="C39" s="773" t="str" cm="1">
        <f t="array" ref="C39:D39">'14. Project Costs'!C41:D41</f>
        <v>Off-Site - Site Work</v>
      </c>
      <c r="D39" s="774">
        <v>0</v>
      </c>
      <c r="E39" s="237">
        <f>PC_CST_Demolition_Total</f>
        <v>0</v>
      </c>
      <c r="F39" s="235">
        <f t="shared" ref="F39:F45" si="12">+E39-SUM(G39:AJ39)</f>
        <v>0</v>
      </c>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1689"/>
      <c r="AL39" s="76"/>
      <c r="AM39" s="76"/>
      <c r="AN39" s="76"/>
      <c r="AO39" s="36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row>
    <row r="40" spans="2:86">
      <c r="B40" s="1689"/>
      <c r="C40" s="773" t="str" cm="1">
        <f t="array" ref="C40:D40">'14. Project Costs'!C42:D42</f>
        <v>On-Site - Site Work</v>
      </c>
      <c r="D40" s="774">
        <v>0</v>
      </c>
      <c r="E40" s="237">
        <f>PC_CST_Earthwork_Total</f>
        <v>0</v>
      </c>
      <c r="F40" s="235">
        <f t="shared" si="12"/>
        <v>0</v>
      </c>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1689"/>
      <c r="AL40" s="76"/>
      <c r="AM40" s="76"/>
      <c r="AN40" s="76"/>
      <c r="AO40" s="36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s="76"/>
      <c r="CD40" s="76"/>
      <c r="CE40" s="76"/>
      <c r="CF40" s="76"/>
      <c r="CG40" s="76"/>
      <c r="CH40" s="76"/>
    </row>
    <row r="41" spans="2:86" hidden="1">
      <c r="B41" s="1689"/>
      <c r="C41" s="779" t="str" cm="1">
        <f t="array" ref="C41:D41">'14. Project Costs'!C43:D43</f>
        <v>Demolition</v>
      </c>
      <c r="D41" s="774">
        <v>0</v>
      </c>
      <c r="E41" s="237">
        <f>PC_CST_Roads_Total</f>
        <v>0</v>
      </c>
      <c r="F41" s="235">
        <f t="shared" si="12"/>
        <v>0</v>
      </c>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1689"/>
      <c r="AL41" s="76"/>
      <c r="AM41" s="76"/>
      <c r="AN41" s="76"/>
      <c r="AO41" s="36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76"/>
      <c r="CA41" s="76"/>
      <c r="CB41" s="76"/>
      <c r="CC41" s="76"/>
      <c r="CD41" s="76"/>
      <c r="CE41" s="76"/>
      <c r="CF41" s="76"/>
      <c r="CG41" s="76"/>
      <c r="CH41" s="76"/>
    </row>
    <row r="42" spans="2:86" hidden="1">
      <c r="B42" s="1689"/>
      <c r="C42" s="779" t="str" cm="1">
        <f t="array" ref="C42:D42">'14. Project Costs'!C44:D44</f>
        <v>Site Utilities</v>
      </c>
      <c r="D42" s="774">
        <v>0</v>
      </c>
      <c r="E42" s="237">
        <f>PC_CST_Site_Utilities_Total</f>
        <v>0</v>
      </c>
      <c r="F42" s="235">
        <f t="shared" si="12"/>
        <v>0</v>
      </c>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1689"/>
      <c r="AL42" s="76"/>
      <c r="AM42" s="76"/>
      <c r="AN42" s="76"/>
      <c r="AO42" s="36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c r="CE42" s="76"/>
      <c r="CF42" s="76"/>
      <c r="CG42" s="76"/>
      <c r="CH42" s="76"/>
    </row>
    <row r="43" spans="2:86">
      <c r="B43" s="1689"/>
      <c r="C43" s="773" t="str" cm="1">
        <f t="array" ref="C43:D43">'14. Project Costs'!C45:D45</f>
        <v>Landscaping</v>
      </c>
      <c r="D43" s="774">
        <v>0</v>
      </c>
      <c r="E43" s="237">
        <f>PC_CST_Lawn_Planting_Total</f>
        <v>0</v>
      </c>
      <c r="F43" s="235">
        <f t="shared" si="12"/>
        <v>0</v>
      </c>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1689"/>
      <c r="AL43" s="76"/>
      <c r="AM43" s="76"/>
      <c r="AN43" s="76"/>
      <c r="AO43" s="36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row>
    <row r="44" spans="2:86" hidden="1">
      <c r="B44" s="1689"/>
      <c r="C44" s="167" t="str" cm="1">
        <f t="array" ref="C44:D44">'14. Project Costs'!C46:D46</f>
        <v>Furnishing and Equipment</v>
      </c>
      <c r="D44" s="323">
        <v>0</v>
      </c>
      <c r="E44" s="237">
        <f>PC_CST_Fixtures_Furn_Total</f>
        <v>0</v>
      </c>
      <c r="F44" s="235">
        <f t="shared" si="12"/>
        <v>0</v>
      </c>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1689"/>
      <c r="AL44" s="76"/>
      <c r="AM44" s="76"/>
      <c r="AN44" s="76"/>
      <c r="AO44" s="36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row>
    <row r="45" spans="2:86" hidden="1">
      <c r="B45" s="1689"/>
      <c r="C45" s="167" t="str" cm="1">
        <f t="array" ref="C45:D45">'14. Project Costs'!C47:D47</f>
        <v>Unusual Site Conditions</v>
      </c>
      <c r="D45" s="323">
        <v>0</v>
      </c>
      <c r="E45" s="237">
        <f>PC_CST_Unusual_SC_Total</f>
        <v>0</v>
      </c>
      <c r="F45" s="235">
        <f t="shared" si="12"/>
        <v>0</v>
      </c>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1689"/>
      <c r="AL45" s="76"/>
      <c r="AM45" s="76"/>
      <c r="AN45" s="76"/>
      <c r="AO45" s="36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row>
    <row r="46" spans="2:86" hidden="1">
      <c r="B46" s="1689"/>
      <c r="C46" s="167" t="str" cm="1">
        <f t="array" ref="C46:D46">'14. Project Costs'!C48:D48</f>
        <v>Other Site Work</v>
      </c>
      <c r="D46" s="323">
        <v>0</v>
      </c>
      <c r="E46" s="237">
        <f>PC_CST_Other_Site_Work_Total</f>
        <v>0</v>
      </c>
      <c r="F46" s="235"/>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1689"/>
      <c r="AL46" s="76"/>
      <c r="AM46" s="76"/>
      <c r="AN46" s="76"/>
      <c r="AO46" s="36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row>
    <row r="47" spans="2:86">
      <c r="B47" s="1689"/>
      <c r="C47" s="173" t="s">
        <v>4652</v>
      </c>
      <c r="D47" s="173"/>
      <c r="E47" s="242">
        <f>SUM(E39:E46)</f>
        <v>0</v>
      </c>
      <c r="F47" s="245">
        <f>SUM(F39:F46)</f>
        <v>0</v>
      </c>
      <c r="G47" s="245">
        <f t="shared" ref="G47:AJ47" si="13">SUM(G38:G46)</f>
        <v>0</v>
      </c>
      <c r="H47" s="245">
        <f t="shared" si="13"/>
        <v>0</v>
      </c>
      <c r="I47" s="245">
        <f t="shared" si="13"/>
        <v>0</v>
      </c>
      <c r="J47" s="245">
        <f t="shared" si="13"/>
        <v>0</v>
      </c>
      <c r="K47" s="245">
        <f t="shared" si="13"/>
        <v>0</v>
      </c>
      <c r="L47" s="245">
        <f t="shared" si="13"/>
        <v>0</v>
      </c>
      <c r="M47" s="245">
        <f t="shared" si="13"/>
        <v>0</v>
      </c>
      <c r="N47" s="245">
        <f t="shared" si="13"/>
        <v>0</v>
      </c>
      <c r="O47" s="245">
        <f t="shared" si="13"/>
        <v>0</v>
      </c>
      <c r="P47" s="245">
        <f t="shared" si="13"/>
        <v>0</v>
      </c>
      <c r="Q47" s="245">
        <f t="shared" si="13"/>
        <v>0</v>
      </c>
      <c r="R47" s="245">
        <f t="shared" si="13"/>
        <v>0</v>
      </c>
      <c r="S47" s="245">
        <f t="shared" si="13"/>
        <v>0</v>
      </c>
      <c r="T47" s="245">
        <f t="shared" si="13"/>
        <v>0</v>
      </c>
      <c r="U47" s="245">
        <f t="shared" si="13"/>
        <v>0</v>
      </c>
      <c r="V47" s="245">
        <f t="shared" si="13"/>
        <v>0</v>
      </c>
      <c r="W47" s="245">
        <f t="shared" si="13"/>
        <v>0</v>
      </c>
      <c r="X47" s="245">
        <f t="shared" si="13"/>
        <v>0</v>
      </c>
      <c r="Y47" s="245">
        <f t="shared" si="13"/>
        <v>0</v>
      </c>
      <c r="Z47" s="245">
        <f t="shared" si="13"/>
        <v>0</v>
      </c>
      <c r="AA47" s="245">
        <f t="shared" si="13"/>
        <v>0</v>
      </c>
      <c r="AB47" s="245">
        <f t="shared" si="13"/>
        <v>0</v>
      </c>
      <c r="AC47" s="245">
        <f t="shared" si="13"/>
        <v>0</v>
      </c>
      <c r="AD47" s="245">
        <f t="shared" si="13"/>
        <v>0</v>
      </c>
      <c r="AE47" s="245">
        <f t="shared" si="13"/>
        <v>0</v>
      </c>
      <c r="AF47" s="245">
        <f t="shared" si="13"/>
        <v>0</v>
      </c>
      <c r="AG47" s="245">
        <f t="shared" si="13"/>
        <v>0</v>
      </c>
      <c r="AH47" s="245">
        <f t="shared" si="13"/>
        <v>0</v>
      </c>
      <c r="AI47" s="245">
        <f t="shared" si="13"/>
        <v>0</v>
      </c>
      <c r="AJ47" s="245">
        <f t="shared" si="13"/>
        <v>0</v>
      </c>
      <c r="AK47" s="1689"/>
      <c r="AL47" s="76"/>
      <c r="AM47" s="76"/>
      <c r="AN47" s="76"/>
      <c r="AO47" s="36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row>
    <row r="48" spans="2:86">
      <c r="B48" s="1689"/>
      <c r="C48" s="176" t="s">
        <v>2803</v>
      </c>
      <c r="D48" s="176"/>
      <c r="E48" s="259"/>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1689"/>
      <c r="AL48" s="76"/>
      <c r="AM48" s="76"/>
      <c r="AN48" s="76"/>
      <c r="AO48" s="36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row>
    <row r="49" spans="2:86">
      <c r="B49" s="1689"/>
      <c r="C49" s="773" t="str" cm="1">
        <f t="array" ref="C49:D49">'14. Project Costs'!C51:D51</f>
        <v>General Requirements</v>
      </c>
      <c r="D49" s="774">
        <v>0</v>
      </c>
      <c r="E49" s="237">
        <f>PC_CST_General_Requirements_Total</f>
        <v>0</v>
      </c>
      <c r="F49" s="235">
        <f>+E49-SUM(G49:AJ49)</f>
        <v>0</v>
      </c>
      <c r="G49" s="241">
        <f>+G$11*$E49</f>
        <v>0</v>
      </c>
      <c r="H49" s="241">
        <f t="shared" ref="H49:W51" si="14">+H$11*$E49</f>
        <v>0</v>
      </c>
      <c r="I49" s="241">
        <f t="shared" si="14"/>
        <v>0</v>
      </c>
      <c r="J49" s="241">
        <f t="shared" si="14"/>
        <v>0</v>
      </c>
      <c r="K49" s="241">
        <f t="shared" si="14"/>
        <v>0</v>
      </c>
      <c r="L49" s="241">
        <f t="shared" si="14"/>
        <v>0</v>
      </c>
      <c r="M49" s="241">
        <f t="shared" si="14"/>
        <v>0</v>
      </c>
      <c r="N49" s="241">
        <f t="shared" si="14"/>
        <v>0</v>
      </c>
      <c r="O49" s="241">
        <f t="shared" si="14"/>
        <v>0</v>
      </c>
      <c r="P49" s="241">
        <f t="shared" si="14"/>
        <v>0</v>
      </c>
      <c r="Q49" s="241">
        <f t="shared" si="14"/>
        <v>0</v>
      </c>
      <c r="R49" s="241">
        <f t="shared" si="14"/>
        <v>0</v>
      </c>
      <c r="S49" s="241">
        <f t="shared" si="14"/>
        <v>0</v>
      </c>
      <c r="T49" s="241">
        <f t="shared" si="14"/>
        <v>0</v>
      </c>
      <c r="U49" s="241">
        <f t="shared" si="14"/>
        <v>0</v>
      </c>
      <c r="V49" s="241">
        <f t="shared" si="14"/>
        <v>0</v>
      </c>
      <c r="W49" s="241"/>
      <c r="X49" s="241"/>
      <c r="Y49" s="241"/>
      <c r="Z49" s="241"/>
      <c r="AA49" s="241"/>
      <c r="AB49" s="241"/>
      <c r="AC49" s="241"/>
      <c r="AD49" s="241"/>
      <c r="AE49" s="241"/>
      <c r="AF49" s="241"/>
      <c r="AG49" s="241"/>
      <c r="AH49" s="241"/>
      <c r="AI49" s="241"/>
      <c r="AJ49" s="241"/>
      <c r="AK49" s="1689"/>
      <c r="AL49" s="76"/>
      <c r="AM49" s="76"/>
      <c r="AN49" s="76"/>
      <c r="AO49" s="36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row>
    <row r="50" spans="2:86">
      <c r="B50" s="1689"/>
      <c r="C50" s="773" t="str" cm="1">
        <f t="array" ref="C50:D50">'14. Project Costs'!C52:D52</f>
        <v>Contractor Overhead</v>
      </c>
      <c r="D50" s="774">
        <v>0</v>
      </c>
      <c r="E50" s="237">
        <f>PC_CST_Builders_Overhead_Total</f>
        <v>0</v>
      </c>
      <c r="F50" s="235">
        <f t="shared" ref="F50:F54" si="15">+E50-SUM(G50:AJ50)</f>
        <v>0</v>
      </c>
      <c r="G50" s="241">
        <f t="shared" ref="G50:V54" si="16">+G$11*$E50</f>
        <v>0</v>
      </c>
      <c r="H50" s="241">
        <f t="shared" si="14"/>
        <v>0</v>
      </c>
      <c r="I50" s="241">
        <f t="shared" si="14"/>
        <v>0</v>
      </c>
      <c r="J50" s="241">
        <f t="shared" si="14"/>
        <v>0</v>
      </c>
      <c r="K50" s="241">
        <f t="shared" si="14"/>
        <v>0</v>
      </c>
      <c r="L50" s="241">
        <f t="shared" si="14"/>
        <v>0</v>
      </c>
      <c r="M50" s="241">
        <f t="shared" si="14"/>
        <v>0</v>
      </c>
      <c r="N50" s="241">
        <f t="shared" si="14"/>
        <v>0</v>
      </c>
      <c r="O50" s="241">
        <f t="shared" si="14"/>
        <v>0</v>
      </c>
      <c r="P50" s="241">
        <f t="shared" si="14"/>
        <v>0</v>
      </c>
      <c r="Q50" s="241">
        <f t="shared" si="14"/>
        <v>0</v>
      </c>
      <c r="R50" s="241">
        <f t="shared" si="14"/>
        <v>0</v>
      </c>
      <c r="S50" s="241">
        <f t="shared" si="14"/>
        <v>0</v>
      </c>
      <c r="T50" s="241">
        <f t="shared" si="14"/>
        <v>0</v>
      </c>
      <c r="U50" s="241">
        <f t="shared" si="14"/>
        <v>0</v>
      </c>
      <c r="V50" s="241">
        <f t="shared" si="14"/>
        <v>0</v>
      </c>
      <c r="W50" s="241">
        <f t="shared" si="14"/>
        <v>0</v>
      </c>
      <c r="X50" s="241"/>
      <c r="Y50" s="241"/>
      <c r="Z50" s="241"/>
      <c r="AA50" s="241"/>
      <c r="AB50" s="241"/>
      <c r="AC50" s="241"/>
      <c r="AD50" s="241"/>
      <c r="AE50" s="241"/>
      <c r="AF50" s="241"/>
      <c r="AG50" s="241"/>
      <c r="AH50" s="241"/>
      <c r="AI50" s="241"/>
      <c r="AJ50" s="241"/>
      <c r="AK50" s="1689"/>
      <c r="AL50" s="76"/>
      <c r="AM50" s="76"/>
      <c r="AN50" s="76"/>
      <c r="AO50" s="36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row>
    <row r="51" spans="2:86">
      <c r="B51" s="1689"/>
      <c r="C51" s="773" t="str" cm="1">
        <f t="array" ref="C51:D51">'14. Project Costs'!C53:D53</f>
        <v>Contractor Profit</v>
      </c>
      <c r="D51" s="774">
        <v>0</v>
      </c>
      <c r="E51" s="237">
        <f>PC_CST_Builders_Profit_Total</f>
        <v>0</v>
      </c>
      <c r="F51" s="235">
        <f t="shared" si="15"/>
        <v>0</v>
      </c>
      <c r="G51" s="241">
        <f t="shared" si="16"/>
        <v>0</v>
      </c>
      <c r="H51" s="241">
        <f t="shared" si="14"/>
        <v>0</v>
      </c>
      <c r="I51" s="241">
        <f t="shared" si="14"/>
        <v>0</v>
      </c>
      <c r="J51" s="241">
        <f t="shared" si="14"/>
        <v>0</v>
      </c>
      <c r="K51" s="241">
        <f t="shared" si="14"/>
        <v>0</v>
      </c>
      <c r="L51" s="241">
        <f t="shared" si="14"/>
        <v>0</v>
      </c>
      <c r="M51" s="241">
        <f t="shared" si="14"/>
        <v>0</v>
      </c>
      <c r="N51" s="241">
        <f t="shared" si="14"/>
        <v>0</v>
      </c>
      <c r="O51" s="241">
        <f t="shared" si="14"/>
        <v>0</v>
      </c>
      <c r="P51" s="241">
        <f t="shared" si="14"/>
        <v>0</v>
      </c>
      <c r="Q51" s="241">
        <f t="shared" si="14"/>
        <v>0</v>
      </c>
      <c r="R51" s="241">
        <f t="shared" si="14"/>
        <v>0</v>
      </c>
      <c r="S51" s="241">
        <f t="shared" si="14"/>
        <v>0</v>
      </c>
      <c r="T51" s="241">
        <f t="shared" si="14"/>
        <v>0</v>
      </c>
      <c r="U51" s="241">
        <f t="shared" si="14"/>
        <v>0</v>
      </c>
      <c r="V51" s="241">
        <f t="shared" si="14"/>
        <v>0</v>
      </c>
      <c r="W51" s="241">
        <f t="shared" si="14"/>
        <v>0</v>
      </c>
      <c r="X51" s="241"/>
      <c r="Y51" s="241"/>
      <c r="Z51" s="241"/>
      <c r="AA51" s="241"/>
      <c r="AB51" s="241"/>
      <c r="AC51" s="241"/>
      <c r="AD51" s="241"/>
      <c r="AE51" s="241"/>
      <c r="AF51" s="241"/>
      <c r="AG51" s="241"/>
      <c r="AH51" s="241"/>
      <c r="AI51" s="241"/>
      <c r="AJ51" s="241"/>
      <c r="AK51" s="1689"/>
      <c r="AL51" s="76"/>
      <c r="AM51" s="76"/>
      <c r="AN51" s="76"/>
      <c r="AO51" s="36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row>
    <row r="52" spans="2:86">
      <c r="B52" s="1689"/>
      <c r="C52" s="773" t="str" cm="1">
        <f t="array" ref="C52:D52">'14. Project Costs'!C54:D54</f>
        <v>Construction Supervision</v>
      </c>
      <c r="D52" s="774">
        <v>0</v>
      </c>
      <c r="E52" s="237">
        <f>PC_CST_Constr_Mgmt_Fee_Total</f>
        <v>0</v>
      </c>
      <c r="F52" s="235">
        <f t="shared" si="15"/>
        <v>0</v>
      </c>
      <c r="G52" s="241">
        <f t="shared" si="16"/>
        <v>0</v>
      </c>
      <c r="H52" s="241">
        <f t="shared" si="16"/>
        <v>0</v>
      </c>
      <c r="I52" s="241">
        <f t="shared" si="16"/>
        <v>0</v>
      </c>
      <c r="J52" s="241">
        <f t="shared" si="16"/>
        <v>0</v>
      </c>
      <c r="K52" s="241">
        <f t="shared" si="16"/>
        <v>0</v>
      </c>
      <c r="L52" s="241">
        <f t="shared" si="16"/>
        <v>0</v>
      </c>
      <c r="M52" s="241">
        <f t="shared" si="16"/>
        <v>0</v>
      </c>
      <c r="N52" s="241">
        <f t="shared" si="16"/>
        <v>0</v>
      </c>
      <c r="O52" s="241">
        <f t="shared" si="16"/>
        <v>0</v>
      </c>
      <c r="P52" s="241">
        <f t="shared" si="16"/>
        <v>0</v>
      </c>
      <c r="Q52" s="241">
        <f t="shared" si="16"/>
        <v>0</v>
      </c>
      <c r="R52" s="241">
        <f t="shared" si="16"/>
        <v>0</v>
      </c>
      <c r="S52" s="241">
        <f t="shared" si="16"/>
        <v>0</v>
      </c>
      <c r="T52" s="241">
        <f t="shared" si="16"/>
        <v>0</v>
      </c>
      <c r="U52" s="241">
        <f t="shared" si="16"/>
        <v>0</v>
      </c>
      <c r="V52" s="241">
        <f t="shared" si="16"/>
        <v>0</v>
      </c>
      <c r="W52" s="241"/>
      <c r="X52" s="241"/>
      <c r="Y52" s="241"/>
      <c r="Z52" s="241"/>
      <c r="AA52" s="241"/>
      <c r="AB52" s="241"/>
      <c r="AC52" s="241"/>
      <c r="AD52" s="241"/>
      <c r="AE52" s="241"/>
      <c r="AF52" s="241"/>
      <c r="AG52" s="241"/>
      <c r="AH52" s="241"/>
      <c r="AI52" s="241"/>
      <c r="AJ52" s="241"/>
      <c r="AK52" s="1689"/>
      <c r="AL52" s="76"/>
      <c r="AM52" s="76"/>
      <c r="AN52" s="76"/>
      <c r="AO52" s="36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row>
    <row r="53" spans="2:86">
      <c r="B53" s="1689"/>
      <c r="C53" s="775" t="s">
        <v>2824</v>
      </c>
      <c r="D53" s="775"/>
      <c r="E53" s="237">
        <f>PC_CST_Builders_Risk_Ins_Total</f>
        <v>0</v>
      </c>
      <c r="F53" s="235">
        <f t="shared" si="15"/>
        <v>0</v>
      </c>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1689"/>
      <c r="AL53" s="76"/>
      <c r="AM53" s="76"/>
      <c r="AN53" s="76"/>
      <c r="AO53" s="36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row>
    <row r="54" spans="2:86">
      <c r="B54" s="1689"/>
      <c r="C54" s="775" t="s">
        <v>2826</v>
      </c>
      <c r="D54" s="775"/>
      <c r="E54" s="237">
        <f>PC_CST_Other_Contractor_Fee_Total</f>
        <v>0</v>
      </c>
      <c r="F54" s="235">
        <f t="shared" si="15"/>
        <v>0</v>
      </c>
      <c r="G54" s="241">
        <f t="shared" si="16"/>
        <v>0</v>
      </c>
      <c r="H54" s="241">
        <f t="shared" si="16"/>
        <v>0</v>
      </c>
      <c r="I54" s="241">
        <f t="shared" si="16"/>
        <v>0</v>
      </c>
      <c r="J54" s="241">
        <f t="shared" si="16"/>
        <v>0</v>
      </c>
      <c r="K54" s="241">
        <f t="shared" si="16"/>
        <v>0</v>
      </c>
      <c r="L54" s="241">
        <f t="shared" si="16"/>
        <v>0</v>
      </c>
      <c r="M54" s="241">
        <f t="shared" si="16"/>
        <v>0</v>
      </c>
      <c r="N54" s="241">
        <f t="shared" si="16"/>
        <v>0</v>
      </c>
      <c r="O54" s="241">
        <f t="shared" si="16"/>
        <v>0</v>
      </c>
      <c r="P54" s="241">
        <f t="shared" si="16"/>
        <v>0</v>
      </c>
      <c r="Q54" s="241">
        <f t="shared" si="16"/>
        <v>0</v>
      </c>
      <c r="R54" s="241">
        <f t="shared" si="16"/>
        <v>0</v>
      </c>
      <c r="S54" s="241">
        <f t="shared" si="16"/>
        <v>0</v>
      </c>
      <c r="T54" s="241">
        <f t="shared" si="16"/>
        <v>0</v>
      </c>
      <c r="U54" s="241">
        <f t="shared" si="16"/>
        <v>0</v>
      </c>
      <c r="V54" s="241">
        <f t="shared" si="16"/>
        <v>0</v>
      </c>
      <c r="W54" s="241">
        <f t="shared" ref="W54:Y54" si="17">+W$11*$E54</f>
        <v>0</v>
      </c>
      <c r="X54" s="241">
        <f t="shared" si="17"/>
        <v>0</v>
      </c>
      <c r="Y54" s="241">
        <f t="shared" si="17"/>
        <v>0</v>
      </c>
      <c r="Z54" s="241"/>
      <c r="AA54" s="241"/>
      <c r="AB54" s="241"/>
      <c r="AC54" s="241"/>
      <c r="AD54" s="241"/>
      <c r="AE54" s="241"/>
      <c r="AF54" s="241"/>
      <c r="AG54" s="241"/>
      <c r="AH54" s="241"/>
      <c r="AI54" s="241"/>
      <c r="AJ54" s="241"/>
      <c r="AK54" s="1689"/>
      <c r="AL54" s="76"/>
      <c r="AM54" s="76"/>
      <c r="AN54" s="76"/>
      <c r="AO54" s="36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row>
    <row r="55" spans="2:86">
      <c r="B55" s="1689"/>
      <c r="C55" s="173" t="s">
        <v>2828</v>
      </c>
      <c r="D55" s="173"/>
      <c r="E55" s="242">
        <f>SUM(E49:E54)</f>
        <v>0</v>
      </c>
      <c r="F55" s="245">
        <f>SUM(F49:F54)</f>
        <v>0</v>
      </c>
      <c r="G55" s="245">
        <f t="shared" ref="G55:AJ55" si="18">SUM(G48:G54)</f>
        <v>0</v>
      </c>
      <c r="H55" s="245">
        <f t="shared" si="18"/>
        <v>0</v>
      </c>
      <c r="I55" s="245">
        <f t="shared" si="18"/>
        <v>0</v>
      </c>
      <c r="J55" s="245">
        <f t="shared" si="18"/>
        <v>0</v>
      </c>
      <c r="K55" s="245">
        <f t="shared" si="18"/>
        <v>0</v>
      </c>
      <c r="L55" s="245">
        <f t="shared" si="18"/>
        <v>0</v>
      </c>
      <c r="M55" s="245">
        <f t="shared" si="18"/>
        <v>0</v>
      </c>
      <c r="N55" s="245">
        <f t="shared" si="18"/>
        <v>0</v>
      </c>
      <c r="O55" s="245">
        <f t="shared" si="18"/>
        <v>0</v>
      </c>
      <c r="P55" s="245">
        <f t="shared" si="18"/>
        <v>0</v>
      </c>
      <c r="Q55" s="245">
        <f t="shared" si="18"/>
        <v>0</v>
      </c>
      <c r="R55" s="245">
        <f t="shared" si="18"/>
        <v>0</v>
      </c>
      <c r="S55" s="245">
        <f t="shared" si="18"/>
        <v>0</v>
      </c>
      <c r="T55" s="245">
        <f t="shared" si="18"/>
        <v>0</v>
      </c>
      <c r="U55" s="245">
        <f t="shared" si="18"/>
        <v>0</v>
      </c>
      <c r="V55" s="245">
        <f t="shared" si="18"/>
        <v>0</v>
      </c>
      <c r="W55" s="245">
        <f t="shared" si="18"/>
        <v>0</v>
      </c>
      <c r="X55" s="245">
        <f t="shared" si="18"/>
        <v>0</v>
      </c>
      <c r="Y55" s="245">
        <f t="shared" si="18"/>
        <v>0</v>
      </c>
      <c r="Z55" s="245">
        <f t="shared" si="18"/>
        <v>0</v>
      </c>
      <c r="AA55" s="245">
        <f t="shared" si="18"/>
        <v>0</v>
      </c>
      <c r="AB55" s="245">
        <f t="shared" si="18"/>
        <v>0</v>
      </c>
      <c r="AC55" s="245">
        <f t="shared" si="18"/>
        <v>0</v>
      </c>
      <c r="AD55" s="245">
        <f t="shared" si="18"/>
        <v>0</v>
      </c>
      <c r="AE55" s="245">
        <f t="shared" si="18"/>
        <v>0</v>
      </c>
      <c r="AF55" s="245">
        <f t="shared" si="18"/>
        <v>0</v>
      </c>
      <c r="AG55" s="245">
        <f t="shared" si="18"/>
        <v>0</v>
      </c>
      <c r="AH55" s="245">
        <f t="shared" si="18"/>
        <v>0</v>
      </c>
      <c r="AI55" s="245">
        <f t="shared" si="18"/>
        <v>0</v>
      </c>
      <c r="AJ55" s="245">
        <f t="shared" si="18"/>
        <v>0</v>
      </c>
      <c r="AK55" s="1689"/>
      <c r="AL55" s="76"/>
      <c r="AM55" s="76"/>
      <c r="AN55" s="76"/>
      <c r="AO55" s="36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row>
    <row r="56" spans="2:86">
      <c r="B56" s="1689"/>
      <c r="C56" s="168" t="s">
        <v>2830</v>
      </c>
      <c r="D56" s="168"/>
      <c r="E56" s="256">
        <f>E29+E37+E47+E55</f>
        <v>0</v>
      </c>
      <c r="F56" s="239">
        <f t="shared" ref="F56:AJ56" si="19">+F55+F47+F37+F29</f>
        <v>0</v>
      </c>
      <c r="G56" s="239">
        <f t="shared" si="19"/>
        <v>0</v>
      </c>
      <c r="H56" s="239">
        <f t="shared" si="19"/>
        <v>0</v>
      </c>
      <c r="I56" s="239">
        <f t="shared" si="19"/>
        <v>0</v>
      </c>
      <c r="J56" s="239">
        <f t="shared" si="19"/>
        <v>0</v>
      </c>
      <c r="K56" s="239">
        <f t="shared" si="19"/>
        <v>0</v>
      </c>
      <c r="L56" s="239">
        <f t="shared" si="19"/>
        <v>0</v>
      </c>
      <c r="M56" s="239">
        <f t="shared" si="19"/>
        <v>0</v>
      </c>
      <c r="N56" s="239">
        <f t="shared" si="19"/>
        <v>0</v>
      </c>
      <c r="O56" s="239">
        <f t="shared" si="19"/>
        <v>0</v>
      </c>
      <c r="P56" s="239">
        <f t="shared" si="19"/>
        <v>0</v>
      </c>
      <c r="Q56" s="239">
        <f t="shared" si="19"/>
        <v>0</v>
      </c>
      <c r="R56" s="239">
        <f t="shared" si="19"/>
        <v>0</v>
      </c>
      <c r="S56" s="239">
        <f t="shared" si="19"/>
        <v>0</v>
      </c>
      <c r="T56" s="239">
        <f t="shared" si="19"/>
        <v>0</v>
      </c>
      <c r="U56" s="239">
        <f t="shared" si="19"/>
        <v>0</v>
      </c>
      <c r="V56" s="239">
        <f t="shared" si="19"/>
        <v>0</v>
      </c>
      <c r="W56" s="239">
        <f t="shared" si="19"/>
        <v>0</v>
      </c>
      <c r="X56" s="239">
        <f t="shared" si="19"/>
        <v>0</v>
      </c>
      <c r="Y56" s="239">
        <f t="shared" si="19"/>
        <v>0</v>
      </c>
      <c r="Z56" s="239">
        <f t="shared" si="19"/>
        <v>0</v>
      </c>
      <c r="AA56" s="239">
        <f t="shared" si="19"/>
        <v>0</v>
      </c>
      <c r="AB56" s="239">
        <f t="shared" si="19"/>
        <v>0</v>
      </c>
      <c r="AC56" s="239">
        <f t="shared" si="19"/>
        <v>0</v>
      </c>
      <c r="AD56" s="239">
        <f t="shared" si="19"/>
        <v>0</v>
      </c>
      <c r="AE56" s="239">
        <f t="shared" si="19"/>
        <v>0</v>
      </c>
      <c r="AF56" s="239">
        <f t="shared" si="19"/>
        <v>0</v>
      </c>
      <c r="AG56" s="239">
        <f t="shared" si="19"/>
        <v>0</v>
      </c>
      <c r="AH56" s="239">
        <f t="shared" si="19"/>
        <v>0</v>
      </c>
      <c r="AI56" s="239">
        <f t="shared" si="19"/>
        <v>0</v>
      </c>
      <c r="AJ56" s="239">
        <f t="shared" si="19"/>
        <v>0</v>
      </c>
      <c r="AK56" s="1689"/>
      <c r="AL56" s="76"/>
      <c r="AM56" s="76"/>
      <c r="AN56" s="76"/>
      <c r="AO56" s="36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row>
    <row r="57" spans="2:86" ht="16">
      <c r="B57" s="1689"/>
      <c r="C57" s="169" t="s">
        <v>2832</v>
      </c>
      <c r="D57" s="169"/>
      <c r="E57" s="260"/>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1689"/>
      <c r="AL57" s="76"/>
      <c r="AM57" s="76"/>
      <c r="AN57" s="76"/>
      <c r="AO57" s="36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row>
    <row r="58" spans="2:86">
      <c r="B58" s="1689"/>
      <c r="C58" s="779" t="str" cm="1">
        <f t="array" ref="C58:D58">'14. Project Costs'!C60:D60</f>
        <v>Construction Contingency</v>
      </c>
      <c r="D58" s="774">
        <v>0</v>
      </c>
      <c r="E58" s="237">
        <f>PC_CNT_Res_HC_Contingency_Total</f>
        <v>0</v>
      </c>
      <c r="F58" s="235">
        <f t="shared" ref="F58:F59" si="20">+E58-SUM(G58:AJ58)</f>
        <v>0</v>
      </c>
      <c r="G58" s="241">
        <f t="shared" ref="G58:V59" si="21">+G$11*$E58</f>
        <v>0</v>
      </c>
      <c r="H58" s="241">
        <f t="shared" si="21"/>
        <v>0</v>
      </c>
      <c r="I58" s="241">
        <f t="shared" si="21"/>
        <v>0</v>
      </c>
      <c r="J58" s="241">
        <f t="shared" si="21"/>
        <v>0</v>
      </c>
      <c r="K58" s="241">
        <f t="shared" si="21"/>
        <v>0</v>
      </c>
      <c r="L58" s="241">
        <f t="shared" si="21"/>
        <v>0</v>
      </c>
      <c r="M58" s="241">
        <f t="shared" si="21"/>
        <v>0</v>
      </c>
      <c r="N58" s="241">
        <f t="shared" si="21"/>
        <v>0</v>
      </c>
      <c r="O58" s="241">
        <f t="shared" si="21"/>
        <v>0</v>
      </c>
      <c r="P58" s="241">
        <f t="shared" si="21"/>
        <v>0</v>
      </c>
      <c r="Q58" s="241">
        <f t="shared" si="21"/>
        <v>0</v>
      </c>
      <c r="R58" s="241">
        <f t="shared" si="21"/>
        <v>0</v>
      </c>
      <c r="S58" s="241">
        <f t="shared" si="21"/>
        <v>0</v>
      </c>
      <c r="T58" s="241">
        <f t="shared" si="21"/>
        <v>0</v>
      </c>
      <c r="U58" s="241">
        <f t="shared" si="21"/>
        <v>0</v>
      </c>
      <c r="V58" s="241">
        <f t="shared" si="21"/>
        <v>0</v>
      </c>
      <c r="W58" s="241"/>
      <c r="X58" s="241"/>
      <c r="Y58" s="241"/>
      <c r="Z58" s="241"/>
      <c r="AA58" s="241"/>
      <c r="AB58" s="241"/>
      <c r="AC58" s="241"/>
      <c r="AD58" s="241"/>
      <c r="AE58" s="241"/>
      <c r="AF58" s="241"/>
      <c r="AG58" s="241"/>
      <c r="AH58" s="241"/>
      <c r="AI58" s="241"/>
      <c r="AJ58" s="241"/>
      <c r="AK58" s="1689"/>
      <c r="AL58" s="76"/>
      <c r="AM58" s="76"/>
      <c r="AN58" s="76"/>
      <c r="AO58" s="36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row>
    <row r="59" spans="2:86">
      <c r="B59" s="1689"/>
      <c r="C59" s="775" t="str" cm="1">
        <f t="array" ref="C59:D59">'14. Project Costs'!C61:D61</f>
        <v>Other Contingency</v>
      </c>
      <c r="D59" s="776">
        <v>0</v>
      </c>
      <c r="E59" s="261">
        <f>PC_CNT_Res_SC_Contingency_Total</f>
        <v>0</v>
      </c>
      <c r="F59" s="235">
        <f t="shared" si="20"/>
        <v>0</v>
      </c>
      <c r="G59" s="241">
        <f t="shared" si="21"/>
        <v>0</v>
      </c>
      <c r="H59" s="241">
        <f t="shared" si="21"/>
        <v>0</v>
      </c>
      <c r="I59" s="241">
        <f t="shared" si="21"/>
        <v>0</v>
      </c>
      <c r="J59" s="241">
        <f t="shared" si="21"/>
        <v>0</v>
      </c>
      <c r="K59" s="241">
        <f t="shared" si="21"/>
        <v>0</v>
      </c>
      <c r="L59" s="241">
        <f t="shared" si="21"/>
        <v>0</v>
      </c>
      <c r="M59" s="241">
        <f t="shared" si="21"/>
        <v>0</v>
      </c>
      <c r="N59" s="241">
        <f t="shared" si="21"/>
        <v>0</v>
      </c>
      <c r="O59" s="241">
        <f t="shared" si="21"/>
        <v>0</v>
      </c>
      <c r="P59" s="241">
        <f t="shared" si="21"/>
        <v>0</v>
      </c>
      <c r="Q59" s="241">
        <f t="shared" si="21"/>
        <v>0</v>
      </c>
      <c r="R59" s="241">
        <f t="shared" si="21"/>
        <v>0</v>
      </c>
      <c r="S59" s="241">
        <f t="shared" si="21"/>
        <v>0</v>
      </c>
      <c r="T59" s="241">
        <f t="shared" si="21"/>
        <v>0</v>
      </c>
      <c r="U59" s="241">
        <f t="shared" si="21"/>
        <v>0</v>
      </c>
      <c r="V59" s="241">
        <f t="shared" si="21"/>
        <v>0</v>
      </c>
      <c r="W59" s="241">
        <f t="shared" ref="W59" si="22">+W$11*$E59</f>
        <v>0</v>
      </c>
      <c r="X59" s="241"/>
      <c r="Y59" s="241"/>
      <c r="Z59" s="241"/>
      <c r="AA59" s="241"/>
      <c r="AB59" s="241"/>
      <c r="AC59" s="241"/>
      <c r="AD59" s="241"/>
      <c r="AE59" s="241"/>
      <c r="AF59" s="241"/>
      <c r="AG59" s="241"/>
      <c r="AH59" s="241"/>
      <c r="AI59" s="241"/>
      <c r="AJ59" s="241"/>
      <c r="AK59" s="1689"/>
      <c r="AL59" s="76"/>
      <c r="AM59" s="76"/>
      <c r="AN59" s="76"/>
      <c r="AO59" s="36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row>
    <row r="60" spans="2:86">
      <c r="B60" s="1689"/>
      <c r="C60" s="168" t="s">
        <v>2844</v>
      </c>
      <c r="D60" s="168"/>
      <c r="E60" s="238">
        <f>+E59+E58</f>
        <v>0</v>
      </c>
      <c r="F60" s="239">
        <f>+F59+F58</f>
        <v>0</v>
      </c>
      <c r="G60" s="239">
        <f t="shared" ref="G60:AJ60" si="23">+G59+G58</f>
        <v>0</v>
      </c>
      <c r="H60" s="239">
        <f t="shared" si="23"/>
        <v>0</v>
      </c>
      <c r="I60" s="239">
        <f t="shared" si="23"/>
        <v>0</v>
      </c>
      <c r="J60" s="239">
        <f t="shared" si="23"/>
        <v>0</v>
      </c>
      <c r="K60" s="239">
        <f t="shared" si="23"/>
        <v>0</v>
      </c>
      <c r="L60" s="239">
        <f t="shared" si="23"/>
        <v>0</v>
      </c>
      <c r="M60" s="239">
        <f t="shared" si="23"/>
        <v>0</v>
      </c>
      <c r="N60" s="239">
        <f t="shared" si="23"/>
        <v>0</v>
      </c>
      <c r="O60" s="239">
        <f t="shared" si="23"/>
        <v>0</v>
      </c>
      <c r="P60" s="239">
        <f t="shared" si="23"/>
        <v>0</v>
      </c>
      <c r="Q60" s="239">
        <f t="shared" si="23"/>
        <v>0</v>
      </c>
      <c r="R60" s="239">
        <f t="shared" si="23"/>
        <v>0</v>
      </c>
      <c r="S60" s="239">
        <f t="shared" si="23"/>
        <v>0</v>
      </c>
      <c r="T60" s="239">
        <f t="shared" si="23"/>
        <v>0</v>
      </c>
      <c r="U60" s="239">
        <f t="shared" si="23"/>
        <v>0</v>
      </c>
      <c r="V60" s="239">
        <f t="shared" si="23"/>
        <v>0</v>
      </c>
      <c r="W60" s="239">
        <f t="shared" si="23"/>
        <v>0</v>
      </c>
      <c r="X60" s="239">
        <f t="shared" si="23"/>
        <v>0</v>
      </c>
      <c r="Y60" s="239">
        <f t="shared" si="23"/>
        <v>0</v>
      </c>
      <c r="Z60" s="239">
        <f t="shared" si="23"/>
        <v>0</v>
      </c>
      <c r="AA60" s="239">
        <f t="shared" si="23"/>
        <v>0</v>
      </c>
      <c r="AB60" s="239">
        <f t="shared" si="23"/>
        <v>0</v>
      </c>
      <c r="AC60" s="239">
        <f t="shared" si="23"/>
        <v>0</v>
      </c>
      <c r="AD60" s="239">
        <f t="shared" si="23"/>
        <v>0</v>
      </c>
      <c r="AE60" s="239">
        <f t="shared" si="23"/>
        <v>0</v>
      </c>
      <c r="AF60" s="239">
        <f t="shared" si="23"/>
        <v>0</v>
      </c>
      <c r="AG60" s="239">
        <f t="shared" si="23"/>
        <v>0</v>
      </c>
      <c r="AH60" s="239">
        <f t="shared" si="23"/>
        <v>0</v>
      </c>
      <c r="AI60" s="239">
        <f t="shared" si="23"/>
        <v>0</v>
      </c>
      <c r="AJ60" s="239">
        <f t="shared" si="23"/>
        <v>0</v>
      </c>
      <c r="AK60" s="1689"/>
      <c r="AL60" s="76"/>
      <c r="AM60" s="76"/>
      <c r="AN60" s="76"/>
      <c r="AO60" s="36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row>
    <row r="61" spans="2:86" ht="16">
      <c r="B61" s="1689"/>
      <c r="C61" s="169" t="s">
        <v>2847</v>
      </c>
      <c r="D61" s="169"/>
      <c r="E61" s="170"/>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89"/>
      <c r="AL61" s="76"/>
      <c r="AM61" s="76"/>
      <c r="AN61" s="76"/>
      <c r="AO61" s="36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row>
    <row r="62" spans="2:86">
      <c r="B62" s="1689"/>
      <c r="C62" s="171" t="s">
        <v>2848</v>
      </c>
      <c r="D62" s="171"/>
      <c r="E62" s="172"/>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1689"/>
      <c r="AL62" s="76"/>
      <c r="AM62" s="76"/>
      <c r="AN62" s="76"/>
      <c r="AO62" s="36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row>
    <row r="63" spans="2:86" hidden="1">
      <c r="B63" s="1689"/>
      <c r="C63" s="165" t="str" cm="1">
        <f t="array" ref="C63:D63">'14. Project Costs'!C65:D65</f>
        <v>WHEDA Application Fees (incl. T/E Ap Fee)</v>
      </c>
      <c r="D63" s="165">
        <v>0</v>
      </c>
      <c r="E63" s="237">
        <f>PC_CSP_WHEDA_App_Fees_Total</f>
        <v>0</v>
      </c>
      <c r="F63" s="235">
        <f t="shared" ref="F63:F69" si="24">+E63-SUM(G63:AJ63)</f>
        <v>0</v>
      </c>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1689"/>
      <c r="AL63" s="76"/>
      <c r="AM63" s="76"/>
      <c r="AN63" s="76"/>
      <c r="AO63" s="36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row>
    <row r="64" spans="2:86" hidden="1">
      <c r="B64" s="1689"/>
      <c r="C64" s="165" t="str" cm="1">
        <f t="array" ref="C64:D64">'14. Project Costs'!C66:D66</f>
        <v>T/E Bond Allocation/Reservation Fees</v>
      </c>
      <c r="D64" s="165">
        <v>0</v>
      </c>
      <c r="E64" s="237">
        <f>PC_CSP_TE_Bond_Alloc_Total</f>
        <v>0</v>
      </c>
      <c r="F64" s="235">
        <f t="shared" si="24"/>
        <v>0</v>
      </c>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1689"/>
      <c r="AL64" s="76"/>
      <c r="AM64" s="76"/>
      <c r="AN64" s="76"/>
      <c r="AO64" s="36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row>
    <row r="65" spans="2:86">
      <c r="B65" s="1689"/>
      <c r="C65" s="773" t="str" cm="1">
        <f t="array" ref="C65:D65">'14. Project Costs'!C67:D67</f>
        <v>Construction Loan Origination Fee - WHEDA</v>
      </c>
      <c r="D65" s="774">
        <v>0</v>
      </c>
      <c r="E65" s="237">
        <f>PC_CSP_WHEDA_Constr_Loan_Total</f>
        <v>0</v>
      </c>
      <c r="F65" s="235">
        <f t="shared" si="24"/>
        <v>0</v>
      </c>
      <c r="G65" s="241">
        <f>+E65</f>
        <v>0</v>
      </c>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1689"/>
      <c r="AL65" s="76"/>
      <c r="AM65" s="76"/>
      <c r="AN65" s="76"/>
      <c r="AO65" s="36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row>
    <row r="66" spans="2:86">
      <c r="B66" s="1689"/>
      <c r="C66" s="773" t="str" cm="1">
        <f t="array" ref="C66:D66">'14. Project Costs'!C68:D68</f>
        <v>Construction Loan Origination Fee - Non WHEDA</v>
      </c>
      <c r="D66" s="774">
        <v>0</v>
      </c>
      <c r="E66" s="237">
        <f>PC_CSP_WHEDA_Other_Finan_Total</f>
        <v>0</v>
      </c>
      <c r="F66" s="235">
        <f t="shared" si="24"/>
        <v>0</v>
      </c>
      <c r="G66" s="241">
        <f>+E66</f>
        <v>0</v>
      </c>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1689"/>
      <c r="AL66" s="76"/>
      <c r="AM66" s="76"/>
      <c r="AN66" s="76"/>
      <c r="AO66" s="36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row>
    <row r="67" spans="2:86" hidden="1">
      <c r="B67" s="1689"/>
      <c r="C67" s="165" t="str" cm="1">
        <f t="array" ref="C67:D67">'14. Project Costs'!C69:D69</f>
        <v>WHEDA Legal/Structuring Fees</v>
      </c>
      <c r="D67" s="165">
        <v>0</v>
      </c>
      <c r="E67" s="237">
        <f>PC_CSP_WHEDA_Legal_Total</f>
        <v>0</v>
      </c>
      <c r="F67" s="235">
        <f t="shared" si="24"/>
        <v>0</v>
      </c>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1689"/>
      <c r="AL67" s="76"/>
      <c r="AM67" s="76"/>
      <c r="AN67" s="76"/>
      <c r="AO67" s="36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row>
    <row r="68" spans="2:86" hidden="1">
      <c r="B68" s="1689"/>
      <c r="C68" s="165" t="str" cm="1">
        <f t="array" ref="C68:D68">'14. Project Costs'!C70:D70</f>
        <v>WHEDA Construction Inspection Fees</v>
      </c>
      <c r="D68" s="165">
        <v>0</v>
      </c>
      <c r="E68" s="237">
        <f>PC_CSP_WHEDA_Constr_Inspect_Total</f>
        <v>0</v>
      </c>
      <c r="F68" s="235">
        <f t="shared" si="24"/>
        <v>0</v>
      </c>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1689"/>
      <c r="AL68" s="76"/>
      <c r="AM68" s="76"/>
      <c r="AN68" s="76"/>
      <c r="AO68" s="36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row>
    <row r="69" spans="2:86" hidden="1">
      <c r="B69" s="1689"/>
      <c r="C69" s="167" t="str" cm="1">
        <f t="array" ref="C69:D69">'14. Project Costs'!C71:D71</f>
        <v>Other Fees and Expenses</v>
      </c>
      <c r="D69" s="167">
        <v>0</v>
      </c>
      <c r="E69" s="237">
        <f>PC_CSP_Other_Fees_Total</f>
        <v>0</v>
      </c>
      <c r="F69" s="235">
        <f t="shared" si="24"/>
        <v>0</v>
      </c>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1689"/>
      <c r="AL69" s="76"/>
      <c r="AM69" s="76"/>
      <c r="AN69" s="76"/>
      <c r="AO69" s="36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row>
    <row r="70" spans="2:86">
      <c r="B70" s="1689"/>
      <c r="C70" s="173" t="s">
        <v>2871</v>
      </c>
      <c r="D70" s="173"/>
      <c r="E70" s="242">
        <f>SUM(E63:E69)</f>
        <v>0</v>
      </c>
      <c r="F70" s="243">
        <f>SUM(F63:F69)</f>
        <v>0</v>
      </c>
      <c r="G70" s="243">
        <f t="shared" ref="G70:AJ70" si="25">SUM(G63:G69)</f>
        <v>0</v>
      </c>
      <c r="H70" s="243">
        <f t="shared" si="25"/>
        <v>0</v>
      </c>
      <c r="I70" s="243">
        <f t="shared" si="25"/>
        <v>0</v>
      </c>
      <c r="J70" s="243">
        <f t="shared" si="25"/>
        <v>0</v>
      </c>
      <c r="K70" s="243">
        <f t="shared" si="25"/>
        <v>0</v>
      </c>
      <c r="L70" s="243">
        <f t="shared" si="25"/>
        <v>0</v>
      </c>
      <c r="M70" s="243">
        <f t="shared" si="25"/>
        <v>0</v>
      </c>
      <c r="N70" s="243">
        <f t="shared" si="25"/>
        <v>0</v>
      </c>
      <c r="O70" s="243">
        <f t="shared" si="25"/>
        <v>0</v>
      </c>
      <c r="P70" s="243">
        <f t="shared" si="25"/>
        <v>0</v>
      </c>
      <c r="Q70" s="243">
        <f t="shared" si="25"/>
        <v>0</v>
      </c>
      <c r="R70" s="243">
        <f t="shared" si="25"/>
        <v>0</v>
      </c>
      <c r="S70" s="243">
        <f t="shared" si="25"/>
        <v>0</v>
      </c>
      <c r="T70" s="243">
        <f t="shared" si="25"/>
        <v>0</v>
      </c>
      <c r="U70" s="243">
        <f t="shared" si="25"/>
        <v>0</v>
      </c>
      <c r="V70" s="243">
        <f t="shared" si="25"/>
        <v>0</v>
      </c>
      <c r="W70" s="243">
        <f t="shared" si="25"/>
        <v>0</v>
      </c>
      <c r="X70" s="243">
        <f t="shared" si="25"/>
        <v>0</v>
      </c>
      <c r="Y70" s="243">
        <f t="shared" si="25"/>
        <v>0</v>
      </c>
      <c r="Z70" s="243">
        <f t="shared" si="25"/>
        <v>0</v>
      </c>
      <c r="AA70" s="243">
        <f t="shared" si="25"/>
        <v>0</v>
      </c>
      <c r="AB70" s="243">
        <f t="shared" si="25"/>
        <v>0</v>
      </c>
      <c r="AC70" s="243">
        <f t="shared" si="25"/>
        <v>0</v>
      </c>
      <c r="AD70" s="243">
        <f t="shared" si="25"/>
        <v>0</v>
      </c>
      <c r="AE70" s="243">
        <f t="shared" si="25"/>
        <v>0</v>
      </c>
      <c r="AF70" s="243">
        <f t="shared" si="25"/>
        <v>0</v>
      </c>
      <c r="AG70" s="243">
        <f t="shared" si="25"/>
        <v>0</v>
      </c>
      <c r="AH70" s="243">
        <f t="shared" si="25"/>
        <v>0</v>
      </c>
      <c r="AI70" s="243">
        <f t="shared" si="25"/>
        <v>0</v>
      </c>
      <c r="AJ70" s="243">
        <f t="shared" si="25"/>
        <v>0</v>
      </c>
      <c r="AK70" s="1689"/>
      <c r="AL70" s="76"/>
      <c r="AM70" s="76"/>
      <c r="AN70" s="76"/>
      <c r="AO70" s="36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row>
    <row r="71" spans="2:86">
      <c r="B71" s="1689"/>
      <c r="C71" s="177" t="s">
        <v>2874</v>
      </c>
      <c r="D71" s="177"/>
      <c r="E71" s="244"/>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1689"/>
      <c r="AL71" s="76"/>
      <c r="AM71" s="76"/>
      <c r="AN71" s="76"/>
      <c r="AO71" s="36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row>
    <row r="72" spans="2:86">
      <c r="B72" s="1689"/>
      <c r="C72" s="775" t="str" cm="1">
        <f t="array" ref="C72:D72">'14. Project Costs'!C74:D74</f>
        <v>Cost of Bond Issuance</v>
      </c>
      <c r="D72" s="776">
        <v>0</v>
      </c>
      <c r="E72" s="237">
        <f>PC_CSP_Bond_Issuance_Fee_Total</f>
        <v>0</v>
      </c>
      <c r="F72" s="235">
        <f t="shared" ref="F72" si="26">+E72-SUM(G72:AJ72)</f>
        <v>0</v>
      </c>
      <c r="G72" s="241">
        <f>+E72</f>
        <v>0</v>
      </c>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1689"/>
      <c r="AL72" s="76"/>
      <c r="AM72" s="76"/>
      <c r="AN72" s="76"/>
      <c r="AO72" s="36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row>
    <row r="73" spans="2:86">
      <c r="B73" s="1689"/>
      <c r="C73" s="173" t="s">
        <v>2878</v>
      </c>
      <c r="D73" s="173"/>
      <c r="E73" s="242">
        <f>E72</f>
        <v>0</v>
      </c>
      <c r="F73" s="245">
        <f>+F72</f>
        <v>0</v>
      </c>
      <c r="G73" s="245">
        <f t="shared" ref="G73:AJ73" si="27">+G72</f>
        <v>0</v>
      </c>
      <c r="H73" s="245">
        <f t="shared" si="27"/>
        <v>0</v>
      </c>
      <c r="I73" s="245">
        <f t="shared" si="27"/>
        <v>0</v>
      </c>
      <c r="J73" s="245">
        <f t="shared" si="27"/>
        <v>0</v>
      </c>
      <c r="K73" s="245">
        <f t="shared" si="27"/>
        <v>0</v>
      </c>
      <c r="L73" s="245">
        <f t="shared" si="27"/>
        <v>0</v>
      </c>
      <c r="M73" s="245">
        <f t="shared" si="27"/>
        <v>0</v>
      </c>
      <c r="N73" s="245">
        <f t="shared" si="27"/>
        <v>0</v>
      </c>
      <c r="O73" s="245">
        <f t="shared" si="27"/>
        <v>0</v>
      </c>
      <c r="P73" s="245">
        <f t="shared" si="27"/>
        <v>0</v>
      </c>
      <c r="Q73" s="245">
        <f t="shared" si="27"/>
        <v>0</v>
      </c>
      <c r="R73" s="245">
        <f t="shared" si="27"/>
        <v>0</v>
      </c>
      <c r="S73" s="245">
        <f t="shared" si="27"/>
        <v>0</v>
      </c>
      <c r="T73" s="245">
        <f t="shared" si="27"/>
        <v>0</v>
      </c>
      <c r="U73" s="245">
        <f t="shared" si="27"/>
        <v>0</v>
      </c>
      <c r="V73" s="245">
        <f t="shared" si="27"/>
        <v>0</v>
      </c>
      <c r="W73" s="245">
        <f t="shared" si="27"/>
        <v>0</v>
      </c>
      <c r="X73" s="245">
        <f t="shared" si="27"/>
        <v>0</v>
      </c>
      <c r="Y73" s="245">
        <f t="shared" si="27"/>
        <v>0</v>
      </c>
      <c r="Z73" s="245">
        <f t="shared" si="27"/>
        <v>0</v>
      </c>
      <c r="AA73" s="245">
        <f t="shared" si="27"/>
        <v>0</v>
      </c>
      <c r="AB73" s="245">
        <f t="shared" si="27"/>
        <v>0</v>
      </c>
      <c r="AC73" s="245">
        <f t="shared" si="27"/>
        <v>0</v>
      </c>
      <c r="AD73" s="245">
        <f t="shared" si="27"/>
        <v>0</v>
      </c>
      <c r="AE73" s="245">
        <f t="shared" si="27"/>
        <v>0</v>
      </c>
      <c r="AF73" s="245">
        <f t="shared" si="27"/>
        <v>0</v>
      </c>
      <c r="AG73" s="245">
        <f t="shared" si="27"/>
        <v>0</v>
      </c>
      <c r="AH73" s="245">
        <f t="shared" si="27"/>
        <v>0</v>
      </c>
      <c r="AI73" s="245">
        <f t="shared" si="27"/>
        <v>0</v>
      </c>
      <c r="AJ73" s="245">
        <f t="shared" si="27"/>
        <v>0</v>
      </c>
      <c r="AK73" s="1689"/>
      <c r="AL73" s="76"/>
      <c r="AM73" s="76"/>
      <c r="AN73" s="76"/>
      <c r="AO73" s="36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row>
    <row r="74" spans="2:86">
      <c r="B74" s="1689"/>
      <c r="C74" s="171" t="s">
        <v>2880</v>
      </c>
      <c r="D74" s="171"/>
      <c r="E74" s="244"/>
      <c r="F74" s="246"/>
      <c r="G74" s="246"/>
      <c r="H74" s="246"/>
      <c r="I74" s="246"/>
      <c r="J74" s="246"/>
      <c r="K74" s="246"/>
      <c r="L74" s="246"/>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c r="AJ74" s="246"/>
      <c r="AK74" s="1689"/>
      <c r="AL74" s="76"/>
      <c r="AM74" s="76"/>
      <c r="AN74" s="76"/>
      <c r="AO74" s="36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row>
    <row r="75" spans="2:86">
      <c r="B75" s="1689"/>
      <c r="C75" s="773" t="str" cm="1">
        <f t="array" ref="C75:D75">'14. Project Costs'!C77:D77</f>
        <v>Bridge Loan Fees and Expenses</v>
      </c>
      <c r="D75" s="774">
        <v>0</v>
      </c>
      <c r="E75" s="237">
        <f>PC_CSP_Predev_Bridge_Loan_Int_Total</f>
        <v>0</v>
      </c>
      <c r="F75" s="235">
        <f t="shared" ref="F75:F82" si="28">+E75-SUM(G75:AJ75)</f>
        <v>0</v>
      </c>
      <c r="G75" s="241">
        <f>+E75</f>
        <v>0</v>
      </c>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1689"/>
      <c r="AL75" s="76"/>
      <c r="AM75" s="76"/>
      <c r="AN75" s="76"/>
      <c r="AO75" s="36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row>
    <row r="76" spans="2:86" hidden="1">
      <c r="B76" s="1689"/>
      <c r="C76" s="175" t="str" cm="1">
        <f t="array" ref="C76:D76">'14. Project Costs'!C78:D78</f>
        <v>Predev./ Bridge Financing Fees</v>
      </c>
      <c r="D76" s="175">
        <v>0</v>
      </c>
      <c r="E76" s="247">
        <f>PC_CSP_Predev_Bridge_Finan_Fees_Total</f>
        <v>0</v>
      </c>
      <c r="F76" s="248">
        <f t="shared" si="28"/>
        <v>0</v>
      </c>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1689"/>
      <c r="AL76" s="76"/>
      <c r="AM76" s="76"/>
      <c r="AN76" s="76"/>
      <c r="AO76" s="36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row>
    <row r="77" spans="2:86" hidden="1">
      <c r="B77" s="1689"/>
      <c r="C77" s="165" t="str" cm="1">
        <f t="array" ref="C77:D77">'14. Project Costs'!C79:D79</f>
        <v>Predev / Bridge Origination Fees</v>
      </c>
      <c r="D77" s="165">
        <v>0</v>
      </c>
      <c r="E77" s="237">
        <f>PC_CSP_Predev_Bridge_Orig_Fees_Total</f>
        <v>0</v>
      </c>
      <c r="F77" s="235">
        <f t="shared" si="28"/>
        <v>0</v>
      </c>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41"/>
      <c r="AH77" s="241"/>
      <c r="AI77" s="241"/>
      <c r="AJ77" s="241"/>
      <c r="AK77" s="1689"/>
      <c r="AL77" s="76"/>
      <c r="AM77" s="76"/>
      <c r="AN77" s="76"/>
      <c r="AO77" s="36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row>
    <row r="78" spans="2:86">
      <c r="B78" s="1689"/>
      <c r="C78" s="773" t="str">
        <f>'14. Project Costs'!C80</f>
        <v>WHEDA Construction Loan Interest</v>
      </c>
      <c r="D78" s="178" t="s">
        <v>4653</v>
      </c>
      <c r="E78" s="253">
        <f>PC_CSP_Constr_Period_Int_Total</f>
        <v>0</v>
      </c>
      <c r="F78" s="251">
        <f>+E78-SUM(G78:AJ78)</f>
        <v>0</v>
      </c>
      <c r="G78" s="637">
        <f>SUM(G188,G193)</f>
        <v>0</v>
      </c>
      <c r="H78" s="252">
        <f t="shared" ref="H78:AJ78" si="29">SUM(H188,H193)</f>
        <v>0</v>
      </c>
      <c r="I78" s="252">
        <f t="shared" si="29"/>
        <v>0</v>
      </c>
      <c r="J78" s="252">
        <f t="shared" si="29"/>
        <v>0</v>
      </c>
      <c r="K78" s="252">
        <f t="shared" si="29"/>
        <v>0</v>
      </c>
      <c r="L78" s="252">
        <f t="shared" si="29"/>
        <v>0</v>
      </c>
      <c r="M78" s="252">
        <f t="shared" si="29"/>
        <v>0</v>
      </c>
      <c r="N78" s="252">
        <f t="shared" si="29"/>
        <v>0</v>
      </c>
      <c r="O78" s="252">
        <f t="shared" si="29"/>
        <v>0</v>
      </c>
      <c r="P78" s="252">
        <f t="shared" si="29"/>
        <v>0</v>
      </c>
      <c r="Q78" s="252">
        <f t="shared" si="29"/>
        <v>0</v>
      </c>
      <c r="R78" s="252">
        <f t="shared" si="29"/>
        <v>0</v>
      </c>
      <c r="S78" s="252">
        <f t="shared" si="29"/>
        <v>0</v>
      </c>
      <c r="T78" s="252">
        <f t="shared" si="29"/>
        <v>0</v>
      </c>
      <c r="U78" s="252">
        <f t="shared" si="29"/>
        <v>0</v>
      </c>
      <c r="V78" s="252">
        <f t="shared" si="29"/>
        <v>0</v>
      </c>
      <c r="W78" s="252">
        <f t="shared" si="29"/>
        <v>0</v>
      </c>
      <c r="X78" s="252">
        <f t="shared" si="29"/>
        <v>0</v>
      </c>
      <c r="Y78" s="252">
        <f t="shared" si="29"/>
        <v>0</v>
      </c>
      <c r="Z78" s="252">
        <f t="shared" si="29"/>
        <v>0</v>
      </c>
      <c r="AA78" s="252">
        <f t="shared" si="29"/>
        <v>0</v>
      </c>
      <c r="AB78" s="252">
        <f t="shared" si="29"/>
        <v>0</v>
      </c>
      <c r="AC78" s="252">
        <f t="shared" si="29"/>
        <v>0</v>
      </c>
      <c r="AD78" s="252">
        <f t="shared" si="29"/>
        <v>0</v>
      </c>
      <c r="AE78" s="252">
        <f t="shared" si="29"/>
        <v>0</v>
      </c>
      <c r="AF78" s="252">
        <f t="shared" si="29"/>
        <v>0</v>
      </c>
      <c r="AG78" s="252">
        <f t="shared" si="29"/>
        <v>0</v>
      </c>
      <c r="AH78" s="252">
        <f t="shared" si="29"/>
        <v>0</v>
      </c>
      <c r="AI78" s="252">
        <f t="shared" si="29"/>
        <v>0</v>
      </c>
      <c r="AJ78" s="252">
        <f t="shared" si="29"/>
        <v>0</v>
      </c>
      <c r="AK78" s="1689"/>
      <c r="AL78" s="76"/>
      <c r="AM78" s="76"/>
      <c r="AN78" s="76"/>
      <c r="AO78" s="36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row>
    <row r="79" spans="2:86">
      <c r="B79" s="1689"/>
      <c r="C79" s="773" t="str" cm="1">
        <f t="array" ref="C79:D79">'14. Project Costs'!C81:D81</f>
        <v>Other Construction Loan Interest</v>
      </c>
      <c r="D79" s="774">
        <v>0</v>
      </c>
      <c r="E79" s="253">
        <f>PC_CSP_LU_Period_Constr_Total</f>
        <v>0</v>
      </c>
      <c r="F79" s="235">
        <f t="shared" si="28"/>
        <v>0</v>
      </c>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41"/>
      <c r="AH79" s="241"/>
      <c r="AI79" s="241"/>
      <c r="AJ79" s="241"/>
      <c r="AK79" s="1689"/>
      <c r="AL79" s="76"/>
      <c r="AM79" s="76"/>
      <c r="AN79" s="76"/>
      <c r="AO79" s="36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row>
    <row r="80" spans="2:86" hidden="1">
      <c r="B80" s="1689"/>
      <c r="C80" s="773" t="str" cm="1">
        <f t="array" ref="C80:D80">'14. Project Costs'!C82:D82</f>
        <v>Construction Lender Legal Fees</v>
      </c>
      <c r="D80" s="774">
        <v>0</v>
      </c>
      <c r="E80" s="237">
        <f>PC_CSP_Constr_Lender_Fees_Total</f>
        <v>0</v>
      </c>
      <c r="F80" s="235">
        <f t="shared" si="28"/>
        <v>0</v>
      </c>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1689"/>
      <c r="AL80" s="76"/>
      <c r="AM80" s="76"/>
      <c r="AN80" s="76"/>
      <c r="AO80" s="36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row>
    <row r="81" spans="2:86" hidden="1">
      <c r="B81" s="1689"/>
      <c r="C81" s="773" t="str" cm="1">
        <f t="array" ref="C81:D81">'14. Project Costs'!C83:D83</f>
        <v>Lender Inspection Fees</v>
      </c>
      <c r="D81" s="774">
        <v>0</v>
      </c>
      <c r="E81" s="237">
        <f>PC_CSP_Lender_Insp_Fees_Total</f>
        <v>0</v>
      </c>
      <c r="F81" s="235">
        <f t="shared" si="28"/>
        <v>0</v>
      </c>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1689"/>
      <c r="AL81" s="76"/>
      <c r="AM81" s="76"/>
      <c r="AN81" s="76"/>
      <c r="AO81" s="36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row>
    <row r="82" spans="2:86">
      <c r="B82" s="1689"/>
      <c r="C82" s="775" t="str" cm="1">
        <f t="array" ref="C82:D82">'14. Project Costs'!C84:D84</f>
        <v>Legal Fees - Miscellaneous</v>
      </c>
      <c r="D82" s="776">
        <v>0</v>
      </c>
      <c r="E82" s="237">
        <f>PC_CSP_Other_Lender_Fees_Total</f>
        <v>0</v>
      </c>
      <c r="F82" s="235">
        <f t="shared" si="28"/>
        <v>0</v>
      </c>
      <c r="G82" s="241">
        <f>+E82</f>
        <v>0</v>
      </c>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1689"/>
      <c r="AL82" s="76"/>
      <c r="AM82" s="76"/>
      <c r="AN82" s="76"/>
      <c r="AO82" s="36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row>
    <row r="83" spans="2:86">
      <c r="B83" s="1689"/>
      <c r="C83" s="173" t="s">
        <v>2902</v>
      </c>
      <c r="D83" s="173"/>
      <c r="E83" s="242">
        <f>SUM(E75:E82)</f>
        <v>0</v>
      </c>
      <c r="F83" s="245">
        <f>SUM(F75:F82)</f>
        <v>0</v>
      </c>
      <c r="G83" s="245">
        <f t="shared" ref="G83:AJ83" si="30">SUM(G74:G82)</f>
        <v>0</v>
      </c>
      <c r="H83" s="245">
        <f t="shared" si="30"/>
        <v>0</v>
      </c>
      <c r="I83" s="245">
        <f t="shared" si="30"/>
        <v>0</v>
      </c>
      <c r="J83" s="245">
        <f t="shared" si="30"/>
        <v>0</v>
      </c>
      <c r="K83" s="245">
        <f t="shared" si="30"/>
        <v>0</v>
      </c>
      <c r="L83" s="245">
        <f t="shared" si="30"/>
        <v>0</v>
      </c>
      <c r="M83" s="245">
        <f t="shared" si="30"/>
        <v>0</v>
      </c>
      <c r="N83" s="245">
        <f t="shared" si="30"/>
        <v>0</v>
      </c>
      <c r="O83" s="245">
        <f t="shared" si="30"/>
        <v>0</v>
      </c>
      <c r="P83" s="245">
        <f t="shared" si="30"/>
        <v>0</v>
      </c>
      <c r="Q83" s="245">
        <f t="shared" si="30"/>
        <v>0</v>
      </c>
      <c r="R83" s="245">
        <f t="shared" si="30"/>
        <v>0</v>
      </c>
      <c r="S83" s="245">
        <f t="shared" si="30"/>
        <v>0</v>
      </c>
      <c r="T83" s="245">
        <f t="shared" si="30"/>
        <v>0</v>
      </c>
      <c r="U83" s="245">
        <f t="shared" si="30"/>
        <v>0</v>
      </c>
      <c r="V83" s="245">
        <f t="shared" si="30"/>
        <v>0</v>
      </c>
      <c r="W83" s="245">
        <f t="shared" si="30"/>
        <v>0</v>
      </c>
      <c r="X83" s="245">
        <f t="shared" si="30"/>
        <v>0</v>
      </c>
      <c r="Y83" s="245">
        <f t="shared" si="30"/>
        <v>0</v>
      </c>
      <c r="Z83" s="245">
        <f t="shared" si="30"/>
        <v>0</v>
      </c>
      <c r="AA83" s="245">
        <f t="shared" si="30"/>
        <v>0</v>
      </c>
      <c r="AB83" s="245">
        <f t="shared" si="30"/>
        <v>0</v>
      </c>
      <c r="AC83" s="245">
        <f t="shared" si="30"/>
        <v>0</v>
      </c>
      <c r="AD83" s="245">
        <f t="shared" si="30"/>
        <v>0</v>
      </c>
      <c r="AE83" s="245">
        <f t="shared" si="30"/>
        <v>0</v>
      </c>
      <c r="AF83" s="245">
        <f t="shared" si="30"/>
        <v>0</v>
      </c>
      <c r="AG83" s="245">
        <f t="shared" si="30"/>
        <v>0</v>
      </c>
      <c r="AH83" s="245">
        <f t="shared" si="30"/>
        <v>0</v>
      </c>
      <c r="AI83" s="245">
        <f t="shared" si="30"/>
        <v>0</v>
      </c>
      <c r="AJ83" s="245">
        <f t="shared" si="30"/>
        <v>0</v>
      </c>
      <c r="AK83" s="1689"/>
      <c r="AL83" s="76"/>
      <c r="AM83" s="76"/>
      <c r="AN83" s="76"/>
      <c r="AO83" s="36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row>
    <row r="84" spans="2:86">
      <c r="B84" s="1689"/>
      <c r="C84" s="171" t="s">
        <v>2903</v>
      </c>
      <c r="D84" s="171"/>
      <c r="E84" s="254"/>
      <c r="F84" s="246"/>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46"/>
      <c r="AH84" s="246"/>
      <c r="AI84" s="246"/>
      <c r="AJ84" s="246"/>
      <c r="AK84" s="1689"/>
      <c r="AL84" s="76"/>
      <c r="AM84" s="76"/>
      <c r="AN84" s="76"/>
      <c r="AO84" s="36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row>
    <row r="85" spans="2:86">
      <c r="B85" s="1689"/>
      <c r="C85" s="773" t="str" cm="1">
        <f t="array" ref="C85:D85">'14. Project Costs'!C87:D87</f>
        <v>Construction Loan Credit Enhancement/LOC</v>
      </c>
      <c r="D85" s="774">
        <v>0</v>
      </c>
      <c r="E85" s="237">
        <f>PC_CSP_Credit_Enhance_Fee_Total</f>
        <v>0</v>
      </c>
      <c r="F85" s="235">
        <f t="shared" ref="F85:F94" si="31">+E85-SUM(G85:AJ85)</f>
        <v>0</v>
      </c>
      <c r="G85" s="241">
        <f>+E85</f>
        <v>0</v>
      </c>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1689"/>
      <c r="AL85" s="76"/>
      <c r="AM85" s="76"/>
      <c r="AN85" s="76"/>
      <c r="AO85" s="36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row>
    <row r="86" spans="2:86">
      <c r="B86" s="1689"/>
      <c r="C86" s="773" t="str" cm="1">
        <f t="array" ref="C86:D86">'14. Project Costs'!C88:D88</f>
        <v>Construction Period Real Estate Taxes</v>
      </c>
      <c r="D86" s="774">
        <v>0</v>
      </c>
      <c r="E86" s="237">
        <f>PC_CSP_Taxes_During_Constr_Total</f>
        <v>0</v>
      </c>
      <c r="F86" s="235">
        <f t="shared" si="31"/>
        <v>0</v>
      </c>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1689"/>
      <c r="AL86" s="76"/>
      <c r="AM86" s="76"/>
      <c r="AN86" s="76"/>
      <c r="AO86" s="36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row>
    <row r="87" spans="2:86">
      <c r="B87" s="1689"/>
      <c r="C87" s="773" t="str" cm="1">
        <f t="array" ref="C87:D87">'14. Project Costs'!C89:D89</f>
        <v>Title and Recording</v>
      </c>
      <c r="D87" s="774">
        <v>0</v>
      </c>
      <c r="E87" s="237">
        <f>PC_CSP_Title_Recording_Total</f>
        <v>0</v>
      </c>
      <c r="F87" s="235">
        <f t="shared" si="31"/>
        <v>0</v>
      </c>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1689"/>
      <c r="AL87" s="76"/>
      <c r="AM87" s="76"/>
      <c r="AN87" s="76"/>
      <c r="AO87" s="36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row>
    <row r="88" spans="2:86" hidden="1">
      <c r="B88" s="1689"/>
      <c r="C88" s="773" t="str" cm="1">
        <f t="array" ref="C88:D88">'14. Project Costs'!C90:D90</f>
        <v>Green Building Cert/ Inspections</v>
      </c>
      <c r="D88" s="774">
        <v>0</v>
      </c>
      <c r="E88" s="237">
        <f>PC_CSP_Green_Building_Total</f>
        <v>0</v>
      </c>
      <c r="F88" s="235">
        <f t="shared" si="31"/>
        <v>0</v>
      </c>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1689"/>
      <c r="AL88" s="76"/>
      <c r="AM88" s="76"/>
      <c r="AN88" s="76"/>
      <c r="AO88" s="36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row>
    <row r="89" spans="2:86">
      <c r="B89" s="1689"/>
      <c r="C89" s="773" t="str" cm="1">
        <f t="array" ref="C89:D89">'14. Project Costs'!C91:D91</f>
        <v>Construction Insurance</v>
      </c>
      <c r="D89" s="774">
        <v>0</v>
      </c>
      <c r="E89" s="237">
        <f>PC_CSP_Constr_Hazard_insur_Total</f>
        <v>0</v>
      </c>
      <c r="F89" s="235">
        <f t="shared" si="31"/>
        <v>0</v>
      </c>
      <c r="G89" s="241">
        <f>+E89</f>
        <v>0</v>
      </c>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1689"/>
      <c r="AL89" s="76"/>
      <c r="AM89" s="76"/>
      <c r="AN89" s="76"/>
      <c r="AO89" s="36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row>
    <row r="90" spans="2:86" hidden="1">
      <c r="B90" s="1689"/>
      <c r="C90" s="773" t="str" cm="1">
        <f t="array" ref="C90:D90">'14. Project Costs'!C92:D92</f>
        <v>Construction Liability Insurance</v>
      </c>
      <c r="D90" s="774">
        <v>0</v>
      </c>
      <c r="E90" s="237">
        <f>PC_CSP_Constr_Liability_Total</f>
        <v>0</v>
      </c>
      <c r="F90" s="235">
        <f t="shared" si="31"/>
        <v>0</v>
      </c>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1689"/>
      <c r="AL90" s="76"/>
      <c r="AM90" s="76"/>
      <c r="AN90" s="76"/>
      <c r="AO90" s="36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row>
    <row r="91" spans="2:86" hidden="1">
      <c r="B91" s="1689"/>
      <c r="C91" s="775" t="str" cm="1">
        <f t="array" ref="C91:D91">'14. Project Costs'!C93:D93</f>
        <v>Other Interim/Const Costs</v>
      </c>
      <c r="D91" s="776">
        <v>0</v>
      </c>
      <c r="E91" s="237">
        <f>PC_CSP_Other_Interim_Total</f>
        <v>0</v>
      </c>
      <c r="F91" s="235">
        <f t="shared" si="31"/>
        <v>0</v>
      </c>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1689"/>
      <c r="AL91" s="76"/>
      <c r="AM91" s="76"/>
      <c r="AN91" s="76"/>
      <c r="AO91" s="36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row>
    <row r="92" spans="2:86">
      <c r="B92" s="1689"/>
      <c r="C92" s="779" t="str" cm="1">
        <f t="array" ref="C92:D92">'14. Project Costs'!C94:D94</f>
        <v>Temporary Relocation Expenses</v>
      </c>
      <c r="D92" s="774">
        <v>0</v>
      </c>
      <c r="E92" s="237">
        <f>PC_CSP_Temp_Reloocation_Total</f>
        <v>0</v>
      </c>
      <c r="F92" s="235">
        <f t="shared" si="31"/>
        <v>0</v>
      </c>
      <c r="G92" s="241">
        <f t="shared" ref="G92:P93" si="32">+$E92*G$11</f>
        <v>0</v>
      </c>
      <c r="H92" s="241">
        <f t="shared" si="32"/>
        <v>0</v>
      </c>
      <c r="I92" s="241">
        <f t="shared" si="32"/>
        <v>0</v>
      </c>
      <c r="J92" s="241">
        <f t="shared" si="32"/>
        <v>0</v>
      </c>
      <c r="K92" s="241">
        <f t="shared" si="32"/>
        <v>0</v>
      </c>
      <c r="L92" s="241">
        <f t="shared" si="32"/>
        <v>0</v>
      </c>
      <c r="M92" s="241">
        <f t="shared" si="32"/>
        <v>0</v>
      </c>
      <c r="N92" s="241">
        <f t="shared" si="32"/>
        <v>0</v>
      </c>
      <c r="O92" s="241">
        <f t="shared" si="32"/>
        <v>0</v>
      </c>
      <c r="P92" s="241">
        <f t="shared" si="32"/>
        <v>0</v>
      </c>
      <c r="Q92" s="241">
        <f t="shared" ref="Q92:Z93" si="33">+$E92*Q$11</f>
        <v>0</v>
      </c>
      <c r="R92" s="241">
        <f t="shared" si="33"/>
        <v>0</v>
      </c>
      <c r="S92" s="241">
        <f t="shared" si="33"/>
        <v>0</v>
      </c>
      <c r="T92" s="241">
        <f t="shared" si="33"/>
        <v>0</v>
      </c>
      <c r="U92" s="241">
        <f t="shared" si="33"/>
        <v>0</v>
      </c>
      <c r="V92" s="241">
        <f t="shared" si="33"/>
        <v>0</v>
      </c>
      <c r="W92" s="241">
        <f t="shared" si="33"/>
        <v>0</v>
      </c>
      <c r="X92" s="241">
        <f t="shared" si="33"/>
        <v>0</v>
      </c>
      <c r="Y92" s="241">
        <f t="shared" si="33"/>
        <v>0</v>
      </c>
      <c r="Z92" s="241">
        <f t="shared" si="33"/>
        <v>0</v>
      </c>
      <c r="AA92" s="241">
        <f t="shared" ref="AA92:AJ93" si="34">+$E92*AA$11</f>
        <v>0</v>
      </c>
      <c r="AB92" s="241">
        <f t="shared" si="34"/>
        <v>0</v>
      </c>
      <c r="AC92" s="241">
        <f t="shared" si="34"/>
        <v>0</v>
      </c>
      <c r="AD92" s="241">
        <f t="shared" si="34"/>
        <v>0</v>
      </c>
      <c r="AE92" s="241">
        <f t="shared" si="34"/>
        <v>0</v>
      </c>
      <c r="AF92" s="241">
        <f t="shared" si="34"/>
        <v>0</v>
      </c>
      <c r="AG92" s="241">
        <f t="shared" si="34"/>
        <v>0</v>
      </c>
      <c r="AH92" s="241">
        <f t="shared" si="34"/>
        <v>0</v>
      </c>
      <c r="AI92" s="241">
        <f t="shared" si="34"/>
        <v>0</v>
      </c>
      <c r="AJ92" s="241">
        <f t="shared" si="34"/>
        <v>0</v>
      </c>
      <c r="AK92" s="1689"/>
      <c r="AL92" s="76"/>
      <c r="AM92" s="76"/>
      <c r="AN92" s="76"/>
      <c r="AO92" s="36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row>
    <row r="93" spans="2:86">
      <c r="B93" s="1689"/>
      <c r="C93" s="779" t="str" cm="1">
        <f t="array" ref="C93:D93">'14. Project Costs'!C95:D95</f>
        <v>Permanent Relocation Expenses</v>
      </c>
      <c r="D93" s="774">
        <v>0</v>
      </c>
      <c r="E93" s="237">
        <f>PC_CSP_Perm_Relocation_Total</f>
        <v>0</v>
      </c>
      <c r="F93" s="235">
        <f t="shared" si="31"/>
        <v>0</v>
      </c>
      <c r="G93" s="241">
        <f t="shared" si="32"/>
        <v>0</v>
      </c>
      <c r="H93" s="241">
        <f t="shared" si="32"/>
        <v>0</v>
      </c>
      <c r="I93" s="241">
        <f t="shared" si="32"/>
        <v>0</v>
      </c>
      <c r="J93" s="241">
        <f t="shared" si="32"/>
        <v>0</v>
      </c>
      <c r="K93" s="241">
        <f t="shared" si="32"/>
        <v>0</v>
      </c>
      <c r="L93" s="241">
        <f t="shared" si="32"/>
        <v>0</v>
      </c>
      <c r="M93" s="241">
        <f t="shared" si="32"/>
        <v>0</v>
      </c>
      <c r="N93" s="241">
        <f t="shared" si="32"/>
        <v>0</v>
      </c>
      <c r="O93" s="241">
        <f t="shared" si="32"/>
        <v>0</v>
      </c>
      <c r="P93" s="241">
        <f t="shared" si="32"/>
        <v>0</v>
      </c>
      <c r="Q93" s="241">
        <f t="shared" si="33"/>
        <v>0</v>
      </c>
      <c r="R93" s="241">
        <f t="shared" si="33"/>
        <v>0</v>
      </c>
      <c r="S93" s="241">
        <f t="shared" si="33"/>
        <v>0</v>
      </c>
      <c r="T93" s="241">
        <f t="shared" si="33"/>
        <v>0</v>
      </c>
      <c r="U93" s="241">
        <f t="shared" si="33"/>
        <v>0</v>
      </c>
      <c r="V93" s="241">
        <f t="shared" si="33"/>
        <v>0</v>
      </c>
      <c r="W93" s="241">
        <f t="shared" si="33"/>
        <v>0</v>
      </c>
      <c r="X93" s="241">
        <f t="shared" si="33"/>
        <v>0</v>
      </c>
      <c r="Y93" s="241">
        <f t="shared" si="33"/>
        <v>0</v>
      </c>
      <c r="Z93" s="241">
        <f t="shared" si="33"/>
        <v>0</v>
      </c>
      <c r="AA93" s="241">
        <f t="shared" si="34"/>
        <v>0</v>
      </c>
      <c r="AB93" s="241">
        <f t="shared" si="34"/>
        <v>0</v>
      </c>
      <c r="AC93" s="241">
        <f t="shared" si="34"/>
        <v>0</v>
      </c>
      <c r="AD93" s="241">
        <f t="shared" si="34"/>
        <v>0</v>
      </c>
      <c r="AE93" s="241">
        <f t="shared" si="34"/>
        <v>0</v>
      </c>
      <c r="AF93" s="241">
        <f t="shared" si="34"/>
        <v>0</v>
      </c>
      <c r="AG93" s="241">
        <f t="shared" si="34"/>
        <v>0</v>
      </c>
      <c r="AH93" s="241">
        <f t="shared" si="34"/>
        <v>0</v>
      </c>
      <c r="AI93" s="241">
        <f t="shared" si="34"/>
        <v>0</v>
      </c>
      <c r="AJ93" s="241">
        <f t="shared" si="34"/>
        <v>0</v>
      </c>
      <c r="AK93" s="1689"/>
      <c r="AL93" s="76"/>
      <c r="AM93" s="76"/>
      <c r="AN93" s="76"/>
      <c r="AO93" s="36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row>
    <row r="94" spans="2:86">
      <c r="B94" s="1689"/>
      <c r="C94" s="775" t="str" cm="1">
        <f t="array" ref="C94:D94">'14. Project Costs'!C96:D96</f>
        <v>Other Interim/Construction Costs</v>
      </c>
      <c r="D94" s="776">
        <v>0</v>
      </c>
      <c r="E94" s="237">
        <f>PC_CSP_Other_Constr_Costs_Total</f>
        <v>0</v>
      </c>
      <c r="F94" s="235">
        <f t="shared" si="31"/>
        <v>0</v>
      </c>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1689"/>
      <c r="AL94" s="76"/>
      <c r="AM94" s="76"/>
      <c r="AN94" s="76"/>
      <c r="AO94" s="36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row>
    <row r="95" spans="2:86">
      <c r="B95" s="1689"/>
      <c r="C95" s="173" t="s">
        <v>4654</v>
      </c>
      <c r="D95" s="173"/>
      <c r="E95" s="242">
        <f>SUM(E85:E94)</f>
        <v>0</v>
      </c>
      <c r="F95" s="245">
        <f>SUM(F85:F94)</f>
        <v>0</v>
      </c>
      <c r="G95" s="245">
        <f t="shared" ref="G95:AJ95" si="35">SUM(G84:G94)</f>
        <v>0</v>
      </c>
      <c r="H95" s="245">
        <f t="shared" si="35"/>
        <v>0</v>
      </c>
      <c r="I95" s="245">
        <f t="shared" si="35"/>
        <v>0</v>
      </c>
      <c r="J95" s="245">
        <f t="shared" si="35"/>
        <v>0</v>
      </c>
      <c r="K95" s="245">
        <f t="shared" si="35"/>
        <v>0</v>
      </c>
      <c r="L95" s="245">
        <f t="shared" si="35"/>
        <v>0</v>
      </c>
      <c r="M95" s="245">
        <f t="shared" si="35"/>
        <v>0</v>
      </c>
      <c r="N95" s="245">
        <f t="shared" si="35"/>
        <v>0</v>
      </c>
      <c r="O95" s="245">
        <f t="shared" si="35"/>
        <v>0</v>
      </c>
      <c r="P95" s="245">
        <f t="shared" si="35"/>
        <v>0</v>
      </c>
      <c r="Q95" s="245">
        <f t="shared" si="35"/>
        <v>0</v>
      </c>
      <c r="R95" s="245">
        <f t="shared" si="35"/>
        <v>0</v>
      </c>
      <c r="S95" s="245">
        <f t="shared" si="35"/>
        <v>0</v>
      </c>
      <c r="T95" s="245">
        <f t="shared" si="35"/>
        <v>0</v>
      </c>
      <c r="U95" s="245">
        <f t="shared" si="35"/>
        <v>0</v>
      </c>
      <c r="V95" s="245">
        <f t="shared" si="35"/>
        <v>0</v>
      </c>
      <c r="W95" s="245">
        <f t="shared" si="35"/>
        <v>0</v>
      </c>
      <c r="X95" s="245">
        <f t="shared" si="35"/>
        <v>0</v>
      </c>
      <c r="Y95" s="245">
        <f t="shared" si="35"/>
        <v>0</v>
      </c>
      <c r="Z95" s="245">
        <f t="shared" si="35"/>
        <v>0</v>
      </c>
      <c r="AA95" s="245">
        <f t="shared" si="35"/>
        <v>0</v>
      </c>
      <c r="AB95" s="245">
        <f t="shared" si="35"/>
        <v>0</v>
      </c>
      <c r="AC95" s="245">
        <f t="shared" si="35"/>
        <v>0</v>
      </c>
      <c r="AD95" s="245">
        <f t="shared" si="35"/>
        <v>0</v>
      </c>
      <c r="AE95" s="245">
        <f t="shared" si="35"/>
        <v>0</v>
      </c>
      <c r="AF95" s="245">
        <f t="shared" si="35"/>
        <v>0</v>
      </c>
      <c r="AG95" s="245">
        <f t="shared" si="35"/>
        <v>0</v>
      </c>
      <c r="AH95" s="245">
        <f t="shared" si="35"/>
        <v>0</v>
      </c>
      <c r="AI95" s="245">
        <f t="shared" si="35"/>
        <v>0</v>
      </c>
      <c r="AJ95" s="245">
        <f t="shared" si="35"/>
        <v>0</v>
      </c>
      <c r="AK95" s="1689"/>
      <c r="AL95" s="76"/>
      <c r="AM95" s="76"/>
      <c r="AN95" s="76"/>
      <c r="AO95" s="36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row>
    <row r="96" spans="2:86">
      <c r="B96" s="1689"/>
      <c r="C96" s="168" t="s">
        <v>2945</v>
      </c>
      <c r="D96" s="168"/>
      <c r="E96" s="256">
        <f t="shared" ref="E96:AJ96" si="36">+E95+E83+E73+E70</f>
        <v>0</v>
      </c>
      <c r="F96" s="239">
        <f t="shared" si="36"/>
        <v>0</v>
      </c>
      <c r="G96" s="239">
        <f t="shared" si="36"/>
        <v>0</v>
      </c>
      <c r="H96" s="239">
        <f t="shared" si="36"/>
        <v>0</v>
      </c>
      <c r="I96" s="239">
        <f t="shared" si="36"/>
        <v>0</v>
      </c>
      <c r="J96" s="239">
        <f t="shared" si="36"/>
        <v>0</v>
      </c>
      <c r="K96" s="239">
        <f t="shared" si="36"/>
        <v>0</v>
      </c>
      <c r="L96" s="239">
        <f t="shared" si="36"/>
        <v>0</v>
      </c>
      <c r="M96" s="239">
        <f t="shared" si="36"/>
        <v>0</v>
      </c>
      <c r="N96" s="239">
        <f t="shared" si="36"/>
        <v>0</v>
      </c>
      <c r="O96" s="239">
        <f t="shared" si="36"/>
        <v>0</v>
      </c>
      <c r="P96" s="239">
        <f t="shared" si="36"/>
        <v>0</v>
      </c>
      <c r="Q96" s="239">
        <f t="shared" si="36"/>
        <v>0</v>
      </c>
      <c r="R96" s="239">
        <f t="shared" si="36"/>
        <v>0</v>
      </c>
      <c r="S96" s="239">
        <f t="shared" si="36"/>
        <v>0</v>
      </c>
      <c r="T96" s="239">
        <f t="shared" si="36"/>
        <v>0</v>
      </c>
      <c r="U96" s="239">
        <f t="shared" si="36"/>
        <v>0</v>
      </c>
      <c r="V96" s="239">
        <f t="shared" si="36"/>
        <v>0</v>
      </c>
      <c r="W96" s="239">
        <f t="shared" si="36"/>
        <v>0</v>
      </c>
      <c r="X96" s="239">
        <f t="shared" si="36"/>
        <v>0</v>
      </c>
      <c r="Y96" s="239">
        <f t="shared" si="36"/>
        <v>0</v>
      </c>
      <c r="Z96" s="239">
        <f t="shared" si="36"/>
        <v>0</v>
      </c>
      <c r="AA96" s="239">
        <f t="shared" si="36"/>
        <v>0</v>
      </c>
      <c r="AB96" s="239">
        <f t="shared" si="36"/>
        <v>0</v>
      </c>
      <c r="AC96" s="239">
        <f t="shared" si="36"/>
        <v>0</v>
      </c>
      <c r="AD96" s="239">
        <f t="shared" si="36"/>
        <v>0</v>
      </c>
      <c r="AE96" s="239">
        <f t="shared" si="36"/>
        <v>0</v>
      </c>
      <c r="AF96" s="239">
        <f t="shared" si="36"/>
        <v>0</v>
      </c>
      <c r="AG96" s="239">
        <f t="shared" si="36"/>
        <v>0</v>
      </c>
      <c r="AH96" s="239">
        <f t="shared" si="36"/>
        <v>0</v>
      </c>
      <c r="AI96" s="239">
        <f t="shared" si="36"/>
        <v>0</v>
      </c>
      <c r="AJ96" s="239">
        <f t="shared" si="36"/>
        <v>0</v>
      </c>
      <c r="AK96" s="1689"/>
      <c r="AL96" s="76"/>
      <c r="AM96" s="76"/>
      <c r="AN96" s="76"/>
      <c r="AO96" s="36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row>
    <row r="97" spans="2:86" ht="16">
      <c r="B97" s="1689"/>
      <c r="C97" s="179" t="s">
        <v>2947</v>
      </c>
      <c r="D97" s="179"/>
      <c r="E97" s="170"/>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89"/>
      <c r="AL97" s="76"/>
      <c r="AM97" s="76"/>
      <c r="AN97" s="76"/>
      <c r="AO97" s="36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row>
    <row r="98" spans="2:86">
      <c r="B98" s="1689"/>
      <c r="C98" s="780" t="str" cm="1">
        <f t="array" ref="C98:D98">'14. Project Costs'!C101:D101</f>
        <v>Permanent Loan Origination Fee - Non WHEDA</v>
      </c>
      <c r="D98" s="781">
        <v>0</v>
      </c>
      <c r="E98" s="237">
        <f>PC_FIN_Perm_Lender_Finan_Total</f>
        <v>0</v>
      </c>
      <c r="F98" s="235">
        <f t="shared" ref="F98:F106" si="37">+E98-SUM(G98:AJ98)</f>
        <v>0</v>
      </c>
      <c r="G98" s="241">
        <f t="shared" ref="G98:G106" si="38">+E98</f>
        <v>0</v>
      </c>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1689"/>
      <c r="AL98" s="76"/>
      <c r="AM98" s="76"/>
      <c r="AN98" s="76"/>
      <c r="AO98" s="36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row>
    <row r="99" spans="2:86">
      <c r="B99" s="1689"/>
      <c r="C99" s="780" t="str" cm="1">
        <f t="array" ref="C99:D99">'14. Project Costs'!C102:D102</f>
        <v>Permanent Loan Origination Fee - WHEDA</v>
      </c>
      <c r="D99" s="781">
        <v>0</v>
      </c>
      <c r="E99" s="237">
        <f>PC_FIN_WHEDA_Perm_Loan_Total</f>
        <v>0</v>
      </c>
      <c r="F99" s="235">
        <f t="shared" si="37"/>
        <v>0</v>
      </c>
      <c r="G99" s="241">
        <f t="shared" si="38"/>
        <v>0</v>
      </c>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1689"/>
      <c r="AL99" s="76"/>
      <c r="AM99" s="76"/>
      <c r="AN99" s="76"/>
      <c r="AO99" s="36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row>
    <row r="100" spans="2:86" hidden="1">
      <c r="B100" s="1689"/>
      <c r="C100" s="780" t="str" cm="1">
        <f t="array" ref="C100:D100">'14. Project Costs'!C103:D103</f>
        <v>Perm Lender Origination/Points</v>
      </c>
      <c r="D100" s="781">
        <v>0</v>
      </c>
      <c r="E100" s="237">
        <f>PC_FIN_Perm_Lender_Orig_Total</f>
        <v>0</v>
      </c>
      <c r="F100" s="235">
        <f t="shared" si="37"/>
        <v>0</v>
      </c>
      <c r="G100" s="241">
        <f t="shared" si="38"/>
        <v>0</v>
      </c>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1689"/>
      <c r="AL100" s="76"/>
      <c r="AM100" s="76"/>
      <c r="AN100" s="76"/>
      <c r="AO100" s="36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row>
    <row r="101" spans="2:86" hidden="1">
      <c r="B101" s="1689"/>
      <c r="C101" s="780" t="str" cm="1">
        <f t="array" ref="C101:D101">'14. Project Costs'!C104:D104</f>
        <v>Perm Lender Legal Fees</v>
      </c>
      <c r="D101" s="781">
        <v>0</v>
      </c>
      <c r="E101" s="237">
        <f>PC_FIN_Perm_Lender_Legal_Total</f>
        <v>0</v>
      </c>
      <c r="F101" s="235">
        <f t="shared" si="37"/>
        <v>0</v>
      </c>
      <c r="G101" s="241">
        <f t="shared" si="38"/>
        <v>0</v>
      </c>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1689"/>
      <c r="AL101" s="76"/>
      <c r="AM101" s="76"/>
      <c r="AN101" s="76"/>
      <c r="AO101" s="36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row>
    <row r="102" spans="2:86">
      <c r="B102" s="1689"/>
      <c r="C102" s="780" t="str" cm="1">
        <f t="array" ref="C102:D102">'14. Project Costs'!C105:D105</f>
        <v>Permanent Loan Credit Enhancement</v>
      </c>
      <c r="D102" s="781">
        <v>0</v>
      </c>
      <c r="E102" s="237">
        <f>PC_FIN_Credit_Enhance_Perm_Loan_Total</f>
        <v>0</v>
      </c>
      <c r="F102" s="235">
        <f t="shared" si="37"/>
        <v>0</v>
      </c>
      <c r="G102" s="241">
        <f t="shared" si="38"/>
        <v>0</v>
      </c>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1689"/>
      <c r="AL102" s="76"/>
      <c r="AM102" s="76"/>
      <c r="AN102" s="76"/>
      <c r="AO102" s="36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row>
    <row r="103" spans="2:86" hidden="1">
      <c r="B103" s="1689"/>
      <c r="C103" s="773" t="str" cm="1">
        <f t="array" ref="C103:D103">'14. Project Costs'!C106:D106</f>
        <v>Perm Closing Title and Recording</v>
      </c>
      <c r="D103" s="774">
        <v>0</v>
      </c>
      <c r="E103" s="237">
        <f>PC_FIN_Perm_Closing_Title_Total</f>
        <v>0</v>
      </c>
      <c r="F103" s="235">
        <f t="shared" si="37"/>
        <v>0</v>
      </c>
      <c r="G103" s="241">
        <f t="shared" si="38"/>
        <v>0</v>
      </c>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1689"/>
      <c r="AL103" s="76"/>
      <c r="AM103" s="76"/>
      <c r="AN103" s="76"/>
      <c r="AO103" s="36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row>
    <row r="104" spans="2:86" hidden="1">
      <c r="B104" s="1689"/>
      <c r="C104" s="773" t="str" cm="1">
        <f t="array" ref="C104:D104">'14. Project Costs'!C107:D107</f>
        <v xml:space="preserve">Perm Closing Property Taxes  </v>
      </c>
      <c r="D104" s="774">
        <v>0</v>
      </c>
      <c r="E104" s="237">
        <f>PC_FIN_Perm_Closing_Property_Total</f>
        <v>0</v>
      </c>
      <c r="F104" s="235">
        <f t="shared" si="37"/>
        <v>0</v>
      </c>
      <c r="G104" s="241">
        <f t="shared" si="38"/>
        <v>0</v>
      </c>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1689"/>
      <c r="AL104" s="76"/>
      <c r="AM104" s="76"/>
      <c r="AN104" s="76"/>
      <c r="AO104" s="36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row>
    <row r="105" spans="2:86">
      <c r="B105" s="1689"/>
      <c r="C105" s="782" t="str" cm="1">
        <f t="array" ref="C105:D105">'14. Project Costs'!C108:D108</f>
        <v>Legal Fees - Real Estate</v>
      </c>
      <c r="D105" s="783">
        <v>0</v>
      </c>
      <c r="E105" s="237">
        <f>PC_FIN_Legal_Fees_RE_Total</f>
        <v>0</v>
      </c>
      <c r="F105" s="235">
        <f t="shared" si="37"/>
        <v>0</v>
      </c>
      <c r="G105" s="241">
        <f t="shared" si="38"/>
        <v>0</v>
      </c>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1689"/>
      <c r="AL105" s="76"/>
      <c r="AM105" s="76"/>
      <c r="AN105" s="76"/>
      <c r="AO105" s="36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row>
    <row r="106" spans="2:86">
      <c r="B106" s="1689"/>
      <c r="C106" s="782" t="str" cm="1">
        <f t="array" ref="C106:D106">'14. Project Costs'!C109:D109</f>
        <v>Other Financing Fees and Expenses</v>
      </c>
      <c r="D106" s="783">
        <v>0</v>
      </c>
      <c r="E106" s="237">
        <f>PC_FIN_Other_Perm_Finan_Total</f>
        <v>0</v>
      </c>
      <c r="F106" s="235">
        <f t="shared" si="37"/>
        <v>0</v>
      </c>
      <c r="G106" s="241">
        <f t="shared" si="38"/>
        <v>0</v>
      </c>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1689"/>
      <c r="AL106" s="76"/>
      <c r="AM106" s="76"/>
      <c r="AN106" s="76"/>
      <c r="AO106" s="36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row>
    <row r="107" spans="2:86">
      <c r="B107" s="1689"/>
      <c r="C107" s="168" t="s">
        <v>2968</v>
      </c>
      <c r="D107" s="168"/>
      <c r="E107" s="238">
        <f>SUM(E98:E106)</f>
        <v>0</v>
      </c>
      <c r="F107" s="239">
        <f>SUM(F98:F106)</f>
        <v>0</v>
      </c>
      <c r="G107" s="239">
        <f t="shared" ref="G107:AJ107" si="39">SUM(G98:G106)</f>
        <v>0</v>
      </c>
      <c r="H107" s="239">
        <f t="shared" si="39"/>
        <v>0</v>
      </c>
      <c r="I107" s="239">
        <f t="shared" si="39"/>
        <v>0</v>
      </c>
      <c r="J107" s="239">
        <f t="shared" si="39"/>
        <v>0</v>
      </c>
      <c r="K107" s="239">
        <f t="shared" si="39"/>
        <v>0</v>
      </c>
      <c r="L107" s="239">
        <f t="shared" si="39"/>
        <v>0</v>
      </c>
      <c r="M107" s="239">
        <f t="shared" si="39"/>
        <v>0</v>
      </c>
      <c r="N107" s="239">
        <f t="shared" si="39"/>
        <v>0</v>
      </c>
      <c r="O107" s="239">
        <f t="shared" si="39"/>
        <v>0</v>
      </c>
      <c r="P107" s="239">
        <f t="shared" si="39"/>
        <v>0</v>
      </c>
      <c r="Q107" s="239">
        <f t="shared" si="39"/>
        <v>0</v>
      </c>
      <c r="R107" s="239">
        <f t="shared" si="39"/>
        <v>0</v>
      </c>
      <c r="S107" s="239">
        <f t="shared" si="39"/>
        <v>0</v>
      </c>
      <c r="T107" s="239">
        <f t="shared" si="39"/>
        <v>0</v>
      </c>
      <c r="U107" s="239">
        <f t="shared" si="39"/>
        <v>0</v>
      </c>
      <c r="V107" s="239">
        <f t="shared" si="39"/>
        <v>0</v>
      </c>
      <c r="W107" s="239">
        <f t="shared" si="39"/>
        <v>0</v>
      </c>
      <c r="X107" s="239">
        <f t="shared" si="39"/>
        <v>0</v>
      </c>
      <c r="Y107" s="239">
        <f t="shared" si="39"/>
        <v>0</v>
      </c>
      <c r="Z107" s="239">
        <f t="shared" si="39"/>
        <v>0</v>
      </c>
      <c r="AA107" s="239">
        <f t="shared" si="39"/>
        <v>0</v>
      </c>
      <c r="AB107" s="239">
        <f t="shared" si="39"/>
        <v>0</v>
      </c>
      <c r="AC107" s="239">
        <f t="shared" si="39"/>
        <v>0</v>
      </c>
      <c r="AD107" s="239">
        <f t="shared" si="39"/>
        <v>0</v>
      </c>
      <c r="AE107" s="239">
        <f t="shared" si="39"/>
        <v>0</v>
      </c>
      <c r="AF107" s="239">
        <f t="shared" si="39"/>
        <v>0</v>
      </c>
      <c r="AG107" s="239">
        <f t="shared" si="39"/>
        <v>0</v>
      </c>
      <c r="AH107" s="239">
        <f t="shared" si="39"/>
        <v>0</v>
      </c>
      <c r="AI107" s="239">
        <f t="shared" si="39"/>
        <v>0</v>
      </c>
      <c r="AJ107" s="239">
        <f t="shared" si="39"/>
        <v>0</v>
      </c>
      <c r="AK107" s="1689"/>
      <c r="AL107" s="76"/>
      <c r="AM107" s="76"/>
      <c r="AN107" s="76"/>
      <c r="AO107" s="36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row>
    <row r="108" spans="2:86" ht="16">
      <c r="B108" s="1689"/>
      <c r="C108" s="169" t="s">
        <v>2969</v>
      </c>
      <c r="D108" s="169"/>
      <c r="E108" s="170"/>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89"/>
      <c r="AL108" s="76"/>
      <c r="AM108" s="76"/>
      <c r="AN108" s="76"/>
      <c r="AO108" s="36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row>
    <row r="109" spans="2:86">
      <c r="B109" s="1689"/>
      <c r="C109" s="773" t="str" cm="1">
        <f t="array" ref="C109:D109">'14. Project Costs'!C112:D112</f>
        <v>Architect's Fee - Design</v>
      </c>
      <c r="D109" s="774" t="str">
        <v>N/A</v>
      </c>
      <c r="E109" s="237">
        <f>PC_ARC_Arch_Design_Total</f>
        <v>0</v>
      </c>
      <c r="F109" s="235">
        <f t="shared" ref="F109:F113" si="40">+E109-SUM(G109:AJ109)</f>
        <v>0</v>
      </c>
      <c r="G109" s="241">
        <f>+E109</f>
        <v>0</v>
      </c>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1689"/>
      <c r="AL109" s="76"/>
      <c r="AM109" s="76"/>
      <c r="AN109" s="76"/>
      <c r="AO109" s="36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row>
    <row r="110" spans="2:86">
      <c r="B110" s="1689"/>
      <c r="C110" s="773" t="str" cm="1">
        <f t="array" ref="C110:D110">'14. Project Costs'!C113:D113</f>
        <v>Architect's Fee - Inspection/Supervision</v>
      </c>
      <c r="D110" s="774" t="str">
        <v>N/A</v>
      </c>
      <c r="E110" s="237">
        <f>PC_ARC_Arch_Super_Total</f>
        <v>0</v>
      </c>
      <c r="F110" s="235">
        <f t="shared" si="40"/>
        <v>0</v>
      </c>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1689"/>
      <c r="AL110" s="76"/>
      <c r="AM110" s="76"/>
      <c r="AN110" s="76"/>
      <c r="AO110" s="36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row>
    <row r="111" spans="2:86">
      <c r="B111" s="1689"/>
      <c r="C111" s="779" t="str" cm="1">
        <f t="array" ref="C111:D111">'14. Project Costs'!C114:D114</f>
        <v>Engineering Costs</v>
      </c>
      <c r="D111" s="774">
        <v>0</v>
      </c>
      <c r="E111" s="237">
        <f>PC_ARC_Engineer_Fee_Total</f>
        <v>0</v>
      </c>
      <c r="F111" s="235">
        <f t="shared" si="40"/>
        <v>0</v>
      </c>
      <c r="G111" s="241">
        <f>+E111</f>
        <v>0</v>
      </c>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1689"/>
      <c r="AL111" s="76"/>
      <c r="AM111" s="76"/>
      <c r="AN111" s="76"/>
      <c r="AO111" s="36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row>
    <row r="112" spans="2:86">
      <c r="B112" s="1689"/>
      <c r="C112" s="779" t="str" cm="1">
        <f t="array" ref="C112:D112">'14. Project Costs'!C115:D115</f>
        <v xml:space="preserve">Survey </v>
      </c>
      <c r="D112" s="774">
        <v>0</v>
      </c>
      <c r="E112" s="237">
        <f>PC_ARC_ALTA_Total</f>
        <v>0</v>
      </c>
      <c r="F112" s="235">
        <f t="shared" si="40"/>
        <v>0</v>
      </c>
      <c r="G112" s="241">
        <f>+E112</f>
        <v>0</v>
      </c>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1689"/>
      <c r="AL112" s="76"/>
      <c r="AM112" s="76"/>
      <c r="AN112" s="76"/>
      <c r="AO112" s="36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row>
    <row r="113" spans="2:86">
      <c r="B113" s="1689"/>
      <c r="C113" s="782" t="str" cm="1">
        <f t="array" ref="C113:D113">'14. Project Costs'!C116:D116</f>
        <v>Other Architect and Engineering</v>
      </c>
      <c r="D113" s="783">
        <v>0</v>
      </c>
      <c r="E113" s="237">
        <f>PC_ARC_Other_Arch_Total</f>
        <v>0</v>
      </c>
      <c r="F113" s="235">
        <f t="shared" si="40"/>
        <v>0</v>
      </c>
      <c r="G113" s="241">
        <f>+E113</f>
        <v>0</v>
      </c>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1689"/>
      <c r="AL113" s="76"/>
      <c r="AM113" s="76"/>
      <c r="AN113" s="76"/>
      <c r="AO113" s="36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row>
    <row r="114" spans="2:86">
      <c r="B114" s="1689"/>
      <c r="C114" s="168" t="s">
        <v>2979</v>
      </c>
      <c r="D114" s="168"/>
      <c r="E114" s="238">
        <f>SUM(E109:E113)</f>
        <v>0</v>
      </c>
      <c r="F114" s="239">
        <f>SUM(F109:F113)</f>
        <v>0</v>
      </c>
      <c r="G114" s="239">
        <f t="shared" ref="G114:AJ114" si="41">SUM(G109:G113)</f>
        <v>0</v>
      </c>
      <c r="H114" s="239">
        <f t="shared" si="41"/>
        <v>0</v>
      </c>
      <c r="I114" s="239">
        <f t="shared" si="41"/>
        <v>0</v>
      </c>
      <c r="J114" s="239">
        <f t="shared" si="41"/>
        <v>0</v>
      </c>
      <c r="K114" s="239">
        <f t="shared" si="41"/>
        <v>0</v>
      </c>
      <c r="L114" s="239">
        <f t="shared" si="41"/>
        <v>0</v>
      </c>
      <c r="M114" s="239">
        <f t="shared" si="41"/>
        <v>0</v>
      </c>
      <c r="N114" s="239">
        <f t="shared" si="41"/>
        <v>0</v>
      </c>
      <c r="O114" s="239">
        <f t="shared" si="41"/>
        <v>0</v>
      </c>
      <c r="P114" s="239">
        <f t="shared" si="41"/>
        <v>0</v>
      </c>
      <c r="Q114" s="239">
        <f t="shared" si="41"/>
        <v>0</v>
      </c>
      <c r="R114" s="239">
        <f t="shared" si="41"/>
        <v>0</v>
      </c>
      <c r="S114" s="239">
        <f t="shared" si="41"/>
        <v>0</v>
      </c>
      <c r="T114" s="239">
        <f t="shared" si="41"/>
        <v>0</v>
      </c>
      <c r="U114" s="239">
        <f t="shared" si="41"/>
        <v>0</v>
      </c>
      <c r="V114" s="239">
        <f t="shared" si="41"/>
        <v>0</v>
      </c>
      <c r="W114" s="239">
        <f t="shared" si="41"/>
        <v>0</v>
      </c>
      <c r="X114" s="239">
        <f t="shared" si="41"/>
        <v>0</v>
      </c>
      <c r="Y114" s="239">
        <f t="shared" si="41"/>
        <v>0</v>
      </c>
      <c r="Z114" s="239">
        <f t="shared" si="41"/>
        <v>0</v>
      </c>
      <c r="AA114" s="239">
        <f t="shared" si="41"/>
        <v>0</v>
      </c>
      <c r="AB114" s="239">
        <f t="shared" si="41"/>
        <v>0</v>
      </c>
      <c r="AC114" s="239">
        <f t="shared" si="41"/>
        <v>0</v>
      </c>
      <c r="AD114" s="239">
        <f t="shared" si="41"/>
        <v>0</v>
      </c>
      <c r="AE114" s="239">
        <f t="shared" si="41"/>
        <v>0</v>
      </c>
      <c r="AF114" s="239">
        <f t="shared" si="41"/>
        <v>0</v>
      </c>
      <c r="AG114" s="239">
        <f t="shared" si="41"/>
        <v>0</v>
      </c>
      <c r="AH114" s="239">
        <f t="shared" si="41"/>
        <v>0</v>
      </c>
      <c r="AI114" s="239">
        <f t="shared" si="41"/>
        <v>0</v>
      </c>
      <c r="AJ114" s="239">
        <f t="shared" si="41"/>
        <v>0</v>
      </c>
      <c r="AK114" s="1689"/>
      <c r="AL114" s="76"/>
      <c r="AM114" s="76"/>
      <c r="AN114" s="76"/>
      <c r="AO114" s="36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row>
    <row r="115" spans="2:86" ht="16">
      <c r="B115" s="1689"/>
      <c r="C115" s="169" t="s">
        <v>2980</v>
      </c>
      <c r="D115" s="169"/>
      <c r="E115" s="257"/>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1689"/>
      <c r="AL115" s="76"/>
      <c r="AM115" s="76"/>
      <c r="AN115" s="76"/>
      <c r="AO115" s="36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row>
    <row r="116" spans="2:86">
      <c r="B116" s="1689"/>
      <c r="C116" s="773" t="str" cm="1">
        <f t="array" ref="C116:D116">'14. Project Costs'!C119:D119</f>
        <v>Organizational (Partnership)</v>
      </c>
      <c r="D116" s="774">
        <v>0</v>
      </c>
      <c r="E116" s="237">
        <f>PC_SYN_Organ_Legal_Fees_Total</f>
        <v>0</v>
      </c>
      <c r="F116" s="235">
        <f t="shared" ref="F116:F119" si="42">+E116-SUM(G116:AJ116)</f>
        <v>0</v>
      </c>
      <c r="G116" s="241">
        <f>+E116</f>
        <v>0</v>
      </c>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1689"/>
      <c r="AL116" s="76"/>
      <c r="AM116" s="76"/>
      <c r="AN116" s="76"/>
      <c r="AO116" s="36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row>
    <row r="117" spans="2:86">
      <c r="B117" s="1689"/>
      <c r="C117" s="773" t="s">
        <v>2983</v>
      </c>
      <c r="D117" s="774"/>
      <c r="E117" s="237">
        <f>PC_SYN_Tax_Opinion_Total</f>
        <v>0</v>
      </c>
      <c r="F117" s="235">
        <f t="shared" si="42"/>
        <v>0</v>
      </c>
      <c r="G117" s="241">
        <f>+E117</f>
        <v>0</v>
      </c>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1689"/>
      <c r="AL117" s="76"/>
      <c r="AM117" s="76"/>
      <c r="AN117" s="76"/>
      <c r="AO117" s="36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row>
    <row r="118" spans="2:86" hidden="1">
      <c r="B118" s="1689"/>
      <c r="C118" s="773" t="str" cm="1">
        <f t="array" ref="C118:D118">'14. Project Costs'!C120:D120</f>
        <v>Other Syndication Costs</v>
      </c>
      <c r="D118" s="774">
        <v>0</v>
      </c>
      <c r="E118" s="237">
        <f>PC_SYN_Tax_Opinion_Total</f>
        <v>0</v>
      </c>
      <c r="F118" s="235">
        <f t="shared" si="42"/>
        <v>0</v>
      </c>
      <c r="G118" s="241">
        <f>+E118</f>
        <v>0</v>
      </c>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1689"/>
      <c r="AL118" s="76"/>
      <c r="AM118" s="76"/>
      <c r="AN118" s="76"/>
      <c r="AO118" s="36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row>
    <row r="119" spans="2:86">
      <c r="B119" s="1689"/>
      <c r="C119" s="773" t="str" cm="1">
        <f t="array" ref="C119:D119">'14. Project Costs'!C122:D122</f>
        <v>Other Syndication Costs</v>
      </c>
      <c r="D119" s="776">
        <v>0</v>
      </c>
      <c r="E119" s="237">
        <f>PC_SYN_Other_Syn_Fees_Total</f>
        <v>0</v>
      </c>
      <c r="F119" s="235">
        <f t="shared" si="42"/>
        <v>0</v>
      </c>
      <c r="G119" s="241">
        <f>+E119</f>
        <v>0</v>
      </c>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1689"/>
      <c r="AL119" s="76"/>
      <c r="AM119" s="76"/>
      <c r="AN119" s="76"/>
      <c r="AO119" s="36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row>
    <row r="120" spans="2:86">
      <c r="B120" s="1689"/>
      <c r="C120" s="168" t="s">
        <v>2984</v>
      </c>
      <c r="D120" s="168"/>
      <c r="E120" s="238">
        <f>SUM(E116:E119)</f>
        <v>0</v>
      </c>
      <c r="F120" s="239">
        <f>SUM(F116:F119)</f>
        <v>0</v>
      </c>
      <c r="G120" s="239">
        <f t="shared" ref="G120:AJ120" si="43">SUM(G116:G119)</f>
        <v>0</v>
      </c>
      <c r="H120" s="239">
        <f t="shared" si="43"/>
        <v>0</v>
      </c>
      <c r="I120" s="239">
        <f t="shared" si="43"/>
        <v>0</v>
      </c>
      <c r="J120" s="239">
        <f t="shared" si="43"/>
        <v>0</v>
      </c>
      <c r="K120" s="239">
        <f t="shared" si="43"/>
        <v>0</v>
      </c>
      <c r="L120" s="239">
        <f t="shared" si="43"/>
        <v>0</v>
      </c>
      <c r="M120" s="239">
        <f t="shared" si="43"/>
        <v>0</v>
      </c>
      <c r="N120" s="239">
        <f t="shared" si="43"/>
        <v>0</v>
      </c>
      <c r="O120" s="239">
        <f t="shared" si="43"/>
        <v>0</v>
      </c>
      <c r="P120" s="239">
        <f t="shared" si="43"/>
        <v>0</v>
      </c>
      <c r="Q120" s="239">
        <f t="shared" si="43"/>
        <v>0</v>
      </c>
      <c r="R120" s="239">
        <f t="shared" si="43"/>
        <v>0</v>
      </c>
      <c r="S120" s="239">
        <f t="shared" si="43"/>
        <v>0</v>
      </c>
      <c r="T120" s="239">
        <f t="shared" si="43"/>
        <v>0</v>
      </c>
      <c r="U120" s="239">
        <f t="shared" si="43"/>
        <v>0</v>
      </c>
      <c r="V120" s="239">
        <f t="shared" si="43"/>
        <v>0</v>
      </c>
      <c r="W120" s="239">
        <f t="shared" si="43"/>
        <v>0</v>
      </c>
      <c r="X120" s="239">
        <f t="shared" si="43"/>
        <v>0</v>
      </c>
      <c r="Y120" s="239">
        <f t="shared" si="43"/>
        <v>0</v>
      </c>
      <c r="Z120" s="239">
        <f t="shared" si="43"/>
        <v>0</v>
      </c>
      <c r="AA120" s="239">
        <f t="shared" si="43"/>
        <v>0</v>
      </c>
      <c r="AB120" s="239">
        <f t="shared" si="43"/>
        <v>0</v>
      </c>
      <c r="AC120" s="239">
        <f t="shared" si="43"/>
        <v>0</v>
      </c>
      <c r="AD120" s="239">
        <f t="shared" si="43"/>
        <v>0</v>
      </c>
      <c r="AE120" s="239">
        <f t="shared" si="43"/>
        <v>0</v>
      </c>
      <c r="AF120" s="239">
        <f t="shared" si="43"/>
        <v>0</v>
      </c>
      <c r="AG120" s="239">
        <f t="shared" si="43"/>
        <v>0</v>
      </c>
      <c r="AH120" s="239">
        <f t="shared" si="43"/>
        <v>0</v>
      </c>
      <c r="AI120" s="239">
        <f t="shared" si="43"/>
        <v>0</v>
      </c>
      <c r="AJ120" s="239">
        <f t="shared" si="43"/>
        <v>0</v>
      </c>
      <c r="AK120" s="1689"/>
      <c r="AL120" s="76"/>
      <c r="AM120" s="76"/>
      <c r="AN120" s="76"/>
      <c r="AO120" s="36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row>
    <row r="121" spans="2:86" ht="16">
      <c r="B121" s="1689"/>
      <c r="C121" s="169" t="s">
        <v>2986</v>
      </c>
      <c r="D121" s="169"/>
      <c r="E121" s="257"/>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1689"/>
      <c r="AL121" s="76"/>
      <c r="AM121" s="76"/>
      <c r="AN121" s="76"/>
      <c r="AO121" s="36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row>
    <row r="122" spans="2:86">
      <c r="B122" s="1689"/>
      <c r="C122" s="773" t="str" cm="1">
        <f t="array" ref="C122:D122">'14. Project Costs'!C125:D125</f>
        <v>Operating Reserve</v>
      </c>
      <c r="D122" s="774">
        <v>0</v>
      </c>
      <c r="E122" s="237">
        <f>PC_CAP_Operating_Expen_Res_Total</f>
        <v>0</v>
      </c>
      <c r="F122" s="235">
        <f t="shared" ref="F122:F129" si="44">+E122-SUM(G122:AJ122)</f>
        <v>0</v>
      </c>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1689"/>
      <c r="AL122" s="76"/>
      <c r="AM122" s="76"/>
      <c r="AN122" s="76"/>
      <c r="AO122" s="36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row>
    <row r="123" spans="2:86">
      <c r="B123" s="1689"/>
      <c r="C123" s="773" t="str" cm="1">
        <f t="array" ref="C123:D123">'14. Project Costs'!C126:D126</f>
        <v>Replacement Reserve</v>
      </c>
      <c r="D123" s="774">
        <v>0</v>
      </c>
      <c r="E123" s="237">
        <f>PC_CAP_Replacement_Reserves_Total</f>
        <v>0</v>
      </c>
      <c r="F123" s="235">
        <f t="shared" si="44"/>
        <v>0</v>
      </c>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1689"/>
      <c r="AL123" s="76"/>
      <c r="AM123" s="76"/>
      <c r="AN123" s="76"/>
      <c r="AO123" s="36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row>
    <row r="124" spans="2:86">
      <c r="B124" s="1689"/>
      <c r="C124" s="773" t="str" cm="1">
        <f t="array" ref="C124:D124">'14. Project Costs'!C127:D127</f>
        <v>Lease-up Operating Deficit</v>
      </c>
      <c r="D124" s="774">
        <v>0</v>
      </c>
      <c r="E124" s="237">
        <f>PC_CAP_Stab_RentUp_Res_Total</f>
        <v>0</v>
      </c>
      <c r="F124" s="235">
        <f t="shared" si="44"/>
        <v>0</v>
      </c>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1689"/>
      <c r="AL124" s="76"/>
      <c r="AM124" s="76"/>
      <c r="AN124" s="76"/>
      <c r="AO124" s="36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row>
    <row r="125" spans="2:86">
      <c r="B125" s="1689"/>
      <c r="C125" s="773" t="str" cm="1">
        <f t="array" ref="C125:D125">'14. Project Costs'!C128:D128</f>
        <v>Debt Service Reserve</v>
      </c>
      <c r="D125" s="774">
        <v>0</v>
      </c>
      <c r="E125" s="237">
        <f>PC_CAP_Debt_Serv_Reserve_Total</f>
        <v>0</v>
      </c>
      <c r="F125" s="235">
        <f t="shared" si="44"/>
        <v>0</v>
      </c>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1689"/>
      <c r="AL125" s="76"/>
      <c r="AM125" s="76"/>
      <c r="AN125" s="76"/>
      <c r="AO125" s="36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row>
    <row r="126" spans="2:86">
      <c r="B126" s="1689"/>
      <c r="C126" s="773" t="str" cm="1">
        <f t="array" ref="C126:D126">'14. Project Costs'!C129:D129</f>
        <v>Capital Needs Reserve</v>
      </c>
      <c r="D126" s="774">
        <v>0</v>
      </c>
      <c r="E126" s="237">
        <f>PC_CAP_Capital_Needs_Res_Total</f>
        <v>0</v>
      </c>
      <c r="F126" s="235">
        <f t="shared" si="44"/>
        <v>0</v>
      </c>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1689"/>
      <c r="AL126" s="76"/>
      <c r="AM126" s="76"/>
      <c r="AN126" s="76"/>
      <c r="AO126" s="36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row>
    <row r="127" spans="2:86">
      <c r="B127" s="1689"/>
      <c r="C127" s="773" t="str" cm="1">
        <f t="array" ref="C127:D127">'14. Project Costs'!C130:D130</f>
        <v>Other Reserves</v>
      </c>
      <c r="D127" s="774">
        <v>0</v>
      </c>
      <c r="E127" s="237">
        <f>PC_CAP_Other_Reserve_Total</f>
        <v>0</v>
      </c>
      <c r="F127" s="235">
        <f t="shared" si="44"/>
        <v>0</v>
      </c>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1689"/>
      <c r="AL127" s="76"/>
      <c r="AM127" s="76"/>
      <c r="AN127" s="76"/>
      <c r="AO127" s="36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row>
    <row r="128" spans="2:86">
      <c r="B128" s="1689"/>
      <c r="C128" s="773" t="str" cm="1">
        <f t="array" ref="C128:D128">'14. Project Costs'!C131:D131</f>
        <v>Escrows</v>
      </c>
      <c r="D128" s="774">
        <v>0</v>
      </c>
      <c r="E128" s="237">
        <f>PC_CAP_Escrow_Total</f>
        <v>0</v>
      </c>
      <c r="F128" s="235">
        <f t="shared" si="44"/>
        <v>0</v>
      </c>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1689"/>
      <c r="AL128" s="76"/>
      <c r="AM128" s="76"/>
      <c r="AN128" s="76"/>
      <c r="AO128" s="36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row>
    <row r="129" spans="2:86" hidden="1">
      <c r="B129" s="1689"/>
      <c r="C129" s="180" t="str" cm="1">
        <f t="array" ref="C129:D129">'14. Project Costs'!C132:D132</f>
        <v>Other Capitalized Reserves</v>
      </c>
      <c r="D129" s="180">
        <v>0</v>
      </c>
      <c r="E129" s="237">
        <f>PC_CAP_Other_Cap_Reserves_Total</f>
        <v>0</v>
      </c>
      <c r="F129" s="235">
        <f t="shared" si="44"/>
        <v>0</v>
      </c>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1689"/>
      <c r="AL129" s="76"/>
      <c r="AM129" s="76"/>
      <c r="AN129" s="76"/>
      <c r="AO129" s="36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row>
    <row r="130" spans="2:86">
      <c r="B130" s="1689"/>
      <c r="C130" s="168" t="s">
        <v>2998</v>
      </c>
      <c r="D130" s="168"/>
      <c r="E130" s="238">
        <f t="shared" ref="E130:AJ130" si="45">SUM(E122:E129)</f>
        <v>0</v>
      </c>
      <c r="F130" s="239">
        <f t="shared" si="45"/>
        <v>0</v>
      </c>
      <c r="G130" s="239">
        <f t="shared" si="45"/>
        <v>0</v>
      </c>
      <c r="H130" s="239">
        <f t="shared" si="45"/>
        <v>0</v>
      </c>
      <c r="I130" s="239">
        <f t="shared" si="45"/>
        <v>0</v>
      </c>
      <c r="J130" s="239">
        <f t="shared" si="45"/>
        <v>0</v>
      </c>
      <c r="K130" s="239">
        <f t="shared" si="45"/>
        <v>0</v>
      </c>
      <c r="L130" s="239">
        <f t="shared" si="45"/>
        <v>0</v>
      </c>
      <c r="M130" s="239">
        <f t="shared" si="45"/>
        <v>0</v>
      </c>
      <c r="N130" s="239">
        <f t="shared" si="45"/>
        <v>0</v>
      </c>
      <c r="O130" s="239">
        <f t="shared" si="45"/>
        <v>0</v>
      </c>
      <c r="P130" s="239">
        <f t="shared" si="45"/>
        <v>0</v>
      </c>
      <c r="Q130" s="239">
        <f t="shared" si="45"/>
        <v>0</v>
      </c>
      <c r="R130" s="239">
        <f t="shared" si="45"/>
        <v>0</v>
      </c>
      <c r="S130" s="239">
        <f t="shared" si="45"/>
        <v>0</v>
      </c>
      <c r="T130" s="239">
        <f t="shared" si="45"/>
        <v>0</v>
      </c>
      <c r="U130" s="239">
        <f t="shared" si="45"/>
        <v>0</v>
      </c>
      <c r="V130" s="239">
        <f t="shared" si="45"/>
        <v>0</v>
      </c>
      <c r="W130" s="239">
        <f t="shared" si="45"/>
        <v>0</v>
      </c>
      <c r="X130" s="239">
        <f t="shared" si="45"/>
        <v>0</v>
      </c>
      <c r="Y130" s="239">
        <f t="shared" si="45"/>
        <v>0</v>
      </c>
      <c r="Z130" s="239">
        <f t="shared" si="45"/>
        <v>0</v>
      </c>
      <c r="AA130" s="239">
        <f t="shared" si="45"/>
        <v>0</v>
      </c>
      <c r="AB130" s="239">
        <f t="shared" si="45"/>
        <v>0</v>
      </c>
      <c r="AC130" s="239">
        <f t="shared" si="45"/>
        <v>0</v>
      </c>
      <c r="AD130" s="239">
        <f t="shared" si="45"/>
        <v>0</v>
      </c>
      <c r="AE130" s="239">
        <f t="shared" si="45"/>
        <v>0</v>
      </c>
      <c r="AF130" s="239">
        <f t="shared" si="45"/>
        <v>0</v>
      </c>
      <c r="AG130" s="239">
        <f t="shared" si="45"/>
        <v>0</v>
      </c>
      <c r="AH130" s="239">
        <f t="shared" si="45"/>
        <v>0</v>
      </c>
      <c r="AI130" s="239">
        <f t="shared" si="45"/>
        <v>0</v>
      </c>
      <c r="AJ130" s="239">
        <f t="shared" si="45"/>
        <v>0</v>
      </c>
      <c r="AK130" s="1689"/>
      <c r="AL130" s="76"/>
      <c r="AM130" s="76"/>
      <c r="AN130" s="76"/>
      <c r="AO130" s="36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row>
    <row r="131" spans="2:86" ht="16">
      <c r="B131" s="1689"/>
      <c r="C131" s="169" t="s">
        <v>2999</v>
      </c>
      <c r="D131" s="169"/>
      <c r="E131" s="257"/>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1689"/>
      <c r="AL131" s="76"/>
      <c r="AM131" s="76"/>
      <c r="AN131" s="76"/>
      <c r="AO131" s="36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row>
    <row r="132" spans="2:86">
      <c r="B132" s="1689"/>
      <c r="C132" s="171" t="s">
        <v>3000</v>
      </c>
      <c r="D132" s="171"/>
      <c r="E132" s="254"/>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1689"/>
      <c r="AL132" s="76"/>
      <c r="AM132" s="76"/>
      <c r="AN132" s="76"/>
      <c r="AO132" s="36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row>
    <row r="133" spans="2:86">
      <c r="B133" s="1689"/>
      <c r="C133" s="779" t="str" cm="1">
        <f t="array" ref="C133:D133">'14. Project Costs'!C136:D136</f>
        <v>Appraisal(s)</v>
      </c>
      <c r="D133" s="774">
        <v>0</v>
      </c>
      <c r="E133" s="237">
        <f>PC_RPT_Appraisals_Total</f>
        <v>0</v>
      </c>
      <c r="F133" s="235">
        <f t="shared" ref="F133:F136" si="46">+E133-SUM(G133:AJ133)</f>
        <v>0</v>
      </c>
      <c r="G133" s="241">
        <f>+E133</f>
        <v>0</v>
      </c>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1689"/>
      <c r="AL133" s="76"/>
      <c r="AM133" s="76"/>
      <c r="AN133" s="76"/>
      <c r="AO133" s="36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row>
    <row r="134" spans="2:86">
      <c r="B134" s="1689"/>
      <c r="C134" s="779" t="str" cm="1">
        <f t="array" ref="C134:D134">'14. Project Costs'!C137:D137</f>
        <v>Market Study</v>
      </c>
      <c r="D134" s="774">
        <v>0</v>
      </c>
      <c r="E134" s="237">
        <f>PC_RPT_Market_Study_Total</f>
        <v>0</v>
      </c>
      <c r="F134" s="235">
        <f t="shared" si="46"/>
        <v>0</v>
      </c>
      <c r="G134" s="241">
        <f>+E134</f>
        <v>0</v>
      </c>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1689"/>
      <c r="AL134" s="76"/>
      <c r="AM134" s="76"/>
      <c r="AN134" s="76"/>
      <c r="AO134" s="36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row>
    <row r="135" spans="2:86">
      <c r="B135" s="1689"/>
      <c r="C135" s="779" t="str" cm="1">
        <f t="array" ref="C135:D135">'14. Project Costs'!C138:D138</f>
        <v>Capital Needs Assessment Report</v>
      </c>
      <c r="D135" s="774">
        <v>0</v>
      </c>
      <c r="E135" s="237">
        <f>PC_RPT_Physical_Capital_Total</f>
        <v>0</v>
      </c>
      <c r="F135" s="235">
        <f t="shared" si="46"/>
        <v>0</v>
      </c>
      <c r="G135" s="241">
        <f>+E135</f>
        <v>0</v>
      </c>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1689"/>
      <c r="AL135" s="76"/>
      <c r="AM135" s="76"/>
      <c r="AN135" s="76"/>
      <c r="AO135" s="36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row>
    <row r="136" spans="2:86">
      <c r="B136" s="1689"/>
      <c r="C136" s="775" t="str" cm="1">
        <f t="array" ref="C136:D136">'14. Project Costs'!C139:D139</f>
        <v>Environmental Report</v>
      </c>
      <c r="D136" s="776">
        <v>0</v>
      </c>
      <c r="E136" s="237">
        <f>PC_RPT_Environmental_Study_Total</f>
        <v>0</v>
      </c>
      <c r="F136" s="235">
        <f t="shared" si="46"/>
        <v>0</v>
      </c>
      <c r="G136" s="241">
        <f>+E136</f>
        <v>0</v>
      </c>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1689"/>
      <c r="AL136" s="76"/>
      <c r="AM136" s="76"/>
      <c r="AN136" s="76"/>
      <c r="AO136" s="36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row>
    <row r="137" spans="2:86" hidden="1">
      <c r="B137" s="1689"/>
      <c r="C137" s="173" t="s">
        <v>3009</v>
      </c>
      <c r="D137" s="173"/>
      <c r="E137" s="242">
        <f t="shared" ref="E137:AJ137" si="47">SUM(E133:E136)</f>
        <v>0</v>
      </c>
      <c r="F137" s="245">
        <f t="shared" si="47"/>
        <v>0</v>
      </c>
      <c r="G137" s="245">
        <f t="shared" si="47"/>
        <v>0</v>
      </c>
      <c r="H137" s="245">
        <f t="shared" si="47"/>
        <v>0</v>
      </c>
      <c r="I137" s="245">
        <f t="shared" si="47"/>
        <v>0</v>
      </c>
      <c r="J137" s="245">
        <f t="shared" si="47"/>
        <v>0</v>
      </c>
      <c r="K137" s="245">
        <f t="shared" si="47"/>
        <v>0</v>
      </c>
      <c r="L137" s="245">
        <f t="shared" si="47"/>
        <v>0</v>
      </c>
      <c r="M137" s="245">
        <f t="shared" si="47"/>
        <v>0</v>
      </c>
      <c r="N137" s="245">
        <f t="shared" si="47"/>
        <v>0</v>
      </c>
      <c r="O137" s="245">
        <f t="shared" si="47"/>
        <v>0</v>
      </c>
      <c r="P137" s="245">
        <f t="shared" si="47"/>
        <v>0</v>
      </c>
      <c r="Q137" s="245">
        <f t="shared" si="47"/>
        <v>0</v>
      </c>
      <c r="R137" s="245">
        <f t="shared" si="47"/>
        <v>0</v>
      </c>
      <c r="S137" s="245">
        <f t="shared" si="47"/>
        <v>0</v>
      </c>
      <c r="T137" s="245">
        <f t="shared" si="47"/>
        <v>0</v>
      </c>
      <c r="U137" s="245">
        <f t="shared" si="47"/>
        <v>0</v>
      </c>
      <c r="V137" s="245">
        <f t="shared" si="47"/>
        <v>0</v>
      </c>
      <c r="W137" s="245">
        <f t="shared" si="47"/>
        <v>0</v>
      </c>
      <c r="X137" s="245">
        <f t="shared" si="47"/>
        <v>0</v>
      </c>
      <c r="Y137" s="245">
        <f t="shared" si="47"/>
        <v>0</v>
      </c>
      <c r="Z137" s="245">
        <f t="shared" si="47"/>
        <v>0</v>
      </c>
      <c r="AA137" s="245">
        <f t="shared" si="47"/>
        <v>0</v>
      </c>
      <c r="AB137" s="245">
        <f t="shared" si="47"/>
        <v>0</v>
      </c>
      <c r="AC137" s="245">
        <f t="shared" si="47"/>
        <v>0</v>
      </c>
      <c r="AD137" s="245">
        <f t="shared" si="47"/>
        <v>0</v>
      </c>
      <c r="AE137" s="245">
        <f t="shared" si="47"/>
        <v>0</v>
      </c>
      <c r="AF137" s="245">
        <f t="shared" si="47"/>
        <v>0</v>
      </c>
      <c r="AG137" s="245">
        <f t="shared" si="47"/>
        <v>0</v>
      </c>
      <c r="AH137" s="245">
        <f t="shared" si="47"/>
        <v>0</v>
      </c>
      <c r="AI137" s="245">
        <f t="shared" si="47"/>
        <v>0</v>
      </c>
      <c r="AJ137" s="245">
        <f t="shared" si="47"/>
        <v>0</v>
      </c>
      <c r="AK137" s="1689"/>
      <c r="AL137" s="76"/>
      <c r="AM137" s="76"/>
      <c r="AN137" s="76"/>
      <c r="AO137" s="36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row>
    <row r="138" spans="2:86" hidden="1">
      <c r="B138" s="1689"/>
      <c r="C138" s="171" t="s">
        <v>3010</v>
      </c>
      <c r="D138" s="171"/>
      <c r="E138" s="254"/>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1689"/>
      <c r="AL138" s="76"/>
      <c r="AM138" s="76"/>
      <c r="AN138" s="76"/>
      <c r="AO138" s="36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row>
    <row r="139" spans="2:86" hidden="1">
      <c r="B139" s="1689"/>
      <c r="C139" s="175" t="str">
        <f>'14. Project Costs'!C142</f>
        <v>Environmental Review Fee (HOME/Risk Share)</v>
      </c>
      <c r="D139" s="175"/>
      <c r="E139" s="237">
        <f>PC_RPT_Environmental_Review_Total</f>
        <v>0</v>
      </c>
      <c r="F139" s="235">
        <f t="shared" ref="F139:F144" si="48">+E139-SUM(G139:AJ139)</f>
        <v>0</v>
      </c>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1689"/>
      <c r="AL139" s="76"/>
      <c r="AM139" s="76"/>
      <c r="AN139" s="76"/>
      <c r="AO139" s="36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row>
    <row r="140" spans="2:86" hidden="1">
      <c r="B140" s="1689"/>
      <c r="C140" s="175" t="str">
        <f>'14. Project Costs'!C143</f>
        <v xml:space="preserve">Soils Geotech Report / Soil Borings Expense </v>
      </c>
      <c r="D140" s="175"/>
      <c r="E140" s="237">
        <f>PC_RPT_Soils_Total</f>
        <v>0</v>
      </c>
      <c r="F140" s="235">
        <f t="shared" si="48"/>
        <v>0</v>
      </c>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1689"/>
      <c r="AL140" s="76"/>
      <c r="AM140" s="76"/>
      <c r="AN140" s="76"/>
      <c r="AO140" s="36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row>
    <row r="141" spans="2:86" hidden="1">
      <c r="B141" s="1689"/>
      <c r="C141" s="175" t="str">
        <f>'14. Project Costs'!C144</f>
        <v>Boundary / Topo-Survey</v>
      </c>
      <c r="D141" s="175"/>
      <c r="E141" s="237">
        <f>PC_RPT_Boundry_Total</f>
        <v>0</v>
      </c>
      <c r="F141" s="235">
        <f t="shared" si="48"/>
        <v>0</v>
      </c>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1689"/>
      <c r="AL141" s="76"/>
      <c r="AM141" s="76"/>
      <c r="AN141" s="76"/>
      <c r="AO141" s="36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row>
    <row r="142" spans="2:86" hidden="1">
      <c r="B142" s="1689"/>
      <c r="C142" s="180" t="str">
        <f>'14. Project Costs'!C145</f>
        <v>Third Party Review Fees</v>
      </c>
      <c r="D142" s="180"/>
      <c r="E142" s="237">
        <f>PC_RPT_Third_Party_Review_Total</f>
        <v>0</v>
      </c>
      <c r="F142" s="235">
        <f t="shared" si="48"/>
        <v>0</v>
      </c>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1689"/>
      <c r="AL142" s="76"/>
      <c r="AM142" s="76"/>
      <c r="AN142" s="76"/>
      <c r="AO142" s="36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row>
    <row r="143" spans="2:86" hidden="1">
      <c r="B143" s="1689"/>
      <c r="C143" s="180" t="str">
        <f>'14. Project Costs'!C146</f>
        <v>Other Zoning Study</v>
      </c>
      <c r="D143" s="180"/>
      <c r="E143" s="237">
        <f>PC_RPT_Other_Zoning_Fees_Total</f>
        <v>0</v>
      </c>
      <c r="F143" s="235">
        <f t="shared" si="48"/>
        <v>0</v>
      </c>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1689"/>
      <c r="AL143" s="76"/>
      <c r="AM143" s="76"/>
      <c r="AN143" s="76"/>
      <c r="AO143" s="36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row>
    <row r="144" spans="2:86" hidden="1">
      <c r="B144" s="1689"/>
      <c r="C144" s="167" t="str">
        <f>'14. Project Costs'!C147</f>
        <v>Other Reports &amp; Studies</v>
      </c>
      <c r="D144" s="167"/>
      <c r="E144" s="261">
        <f>PC_RPT_Other_Reports_Total</f>
        <v>0</v>
      </c>
      <c r="F144" s="235">
        <f t="shared" si="48"/>
        <v>0</v>
      </c>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689"/>
      <c r="AL144" s="76"/>
      <c r="AM144" s="76"/>
      <c r="AN144" s="76"/>
      <c r="AO144" s="36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row>
    <row r="145" spans="2:86" hidden="1">
      <c r="B145" s="1689"/>
      <c r="C145" s="173" t="s">
        <v>3017</v>
      </c>
      <c r="D145" s="173"/>
      <c r="E145" s="242">
        <f t="shared" ref="E145:AJ145" si="49">SUM(E139:E144)</f>
        <v>0</v>
      </c>
      <c r="F145" s="245">
        <f t="shared" si="49"/>
        <v>0</v>
      </c>
      <c r="G145" s="245">
        <f t="shared" si="49"/>
        <v>0</v>
      </c>
      <c r="H145" s="245">
        <f t="shared" si="49"/>
        <v>0</v>
      </c>
      <c r="I145" s="245">
        <f t="shared" si="49"/>
        <v>0</v>
      </c>
      <c r="J145" s="245">
        <f t="shared" si="49"/>
        <v>0</v>
      </c>
      <c r="K145" s="245">
        <f t="shared" si="49"/>
        <v>0</v>
      </c>
      <c r="L145" s="245">
        <f t="shared" si="49"/>
        <v>0</v>
      </c>
      <c r="M145" s="245">
        <f t="shared" si="49"/>
        <v>0</v>
      </c>
      <c r="N145" s="245">
        <f t="shared" si="49"/>
        <v>0</v>
      </c>
      <c r="O145" s="245">
        <f t="shared" si="49"/>
        <v>0</v>
      </c>
      <c r="P145" s="245">
        <f t="shared" si="49"/>
        <v>0</v>
      </c>
      <c r="Q145" s="245">
        <f t="shared" si="49"/>
        <v>0</v>
      </c>
      <c r="R145" s="245">
        <f t="shared" si="49"/>
        <v>0</v>
      </c>
      <c r="S145" s="245">
        <f t="shared" si="49"/>
        <v>0</v>
      </c>
      <c r="T145" s="245">
        <f t="shared" si="49"/>
        <v>0</v>
      </c>
      <c r="U145" s="245">
        <f t="shared" si="49"/>
        <v>0</v>
      </c>
      <c r="V145" s="245">
        <f t="shared" si="49"/>
        <v>0</v>
      </c>
      <c r="W145" s="245">
        <f t="shared" si="49"/>
        <v>0</v>
      </c>
      <c r="X145" s="245">
        <f t="shared" si="49"/>
        <v>0</v>
      </c>
      <c r="Y145" s="245">
        <f t="shared" si="49"/>
        <v>0</v>
      </c>
      <c r="Z145" s="245">
        <f t="shared" si="49"/>
        <v>0</v>
      </c>
      <c r="AA145" s="245">
        <f t="shared" si="49"/>
        <v>0</v>
      </c>
      <c r="AB145" s="245">
        <f t="shared" si="49"/>
        <v>0</v>
      </c>
      <c r="AC145" s="245">
        <f t="shared" si="49"/>
        <v>0</v>
      </c>
      <c r="AD145" s="245">
        <f t="shared" si="49"/>
        <v>0</v>
      </c>
      <c r="AE145" s="245">
        <f t="shared" si="49"/>
        <v>0</v>
      </c>
      <c r="AF145" s="245">
        <f t="shared" si="49"/>
        <v>0</v>
      </c>
      <c r="AG145" s="245">
        <f t="shared" si="49"/>
        <v>0</v>
      </c>
      <c r="AH145" s="245">
        <f t="shared" si="49"/>
        <v>0</v>
      </c>
      <c r="AI145" s="245">
        <f t="shared" si="49"/>
        <v>0</v>
      </c>
      <c r="AJ145" s="245">
        <f t="shared" si="49"/>
        <v>0</v>
      </c>
      <c r="AK145" s="1689"/>
      <c r="AL145" s="76"/>
      <c r="AM145" s="76"/>
      <c r="AN145" s="76"/>
      <c r="AO145" s="36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row>
    <row r="146" spans="2:86">
      <c r="B146" s="1689"/>
      <c r="C146" s="168" t="s">
        <v>3018</v>
      </c>
      <c r="D146" s="168"/>
      <c r="E146" s="256">
        <f t="shared" ref="E146:AJ146" si="50">+E145+E137</f>
        <v>0</v>
      </c>
      <c r="F146" s="239">
        <f t="shared" si="50"/>
        <v>0</v>
      </c>
      <c r="G146" s="239">
        <f t="shared" si="50"/>
        <v>0</v>
      </c>
      <c r="H146" s="239">
        <f t="shared" si="50"/>
        <v>0</v>
      </c>
      <c r="I146" s="239">
        <f t="shared" si="50"/>
        <v>0</v>
      </c>
      <c r="J146" s="239">
        <f t="shared" si="50"/>
        <v>0</v>
      </c>
      <c r="K146" s="239">
        <f t="shared" si="50"/>
        <v>0</v>
      </c>
      <c r="L146" s="239">
        <f t="shared" si="50"/>
        <v>0</v>
      </c>
      <c r="M146" s="239">
        <f t="shared" si="50"/>
        <v>0</v>
      </c>
      <c r="N146" s="239">
        <f t="shared" si="50"/>
        <v>0</v>
      </c>
      <c r="O146" s="239">
        <f t="shared" si="50"/>
        <v>0</v>
      </c>
      <c r="P146" s="239">
        <f t="shared" si="50"/>
        <v>0</v>
      </c>
      <c r="Q146" s="239">
        <f t="shared" si="50"/>
        <v>0</v>
      </c>
      <c r="R146" s="239">
        <f t="shared" si="50"/>
        <v>0</v>
      </c>
      <c r="S146" s="239">
        <f t="shared" si="50"/>
        <v>0</v>
      </c>
      <c r="T146" s="239">
        <f t="shared" si="50"/>
        <v>0</v>
      </c>
      <c r="U146" s="239">
        <f t="shared" si="50"/>
        <v>0</v>
      </c>
      <c r="V146" s="239">
        <f t="shared" si="50"/>
        <v>0</v>
      </c>
      <c r="W146" s="239">
        <f t="shared" si="50"/>
        <v>0</v>
      </c>
      <c r="X146" s="239">
        <f t="shared" si="50"/>
        <v>0</v>
      </c>
      <c r="Y146" s="239">
        <f t="shared" si="50"/>
        <v>0</v>
      </c>
      <c r="Z146" s="239">
        <f t="shared" si="50"/>
        <v>0</v>
      </c>
      <c r="AA146" s="239">
        <f t="shared" si="50"/>
        <v>0</v>
      </c>
      <c r="AB146" s="239">
        <f t="shared" si="50"/>
        <v>0</v>
      </c>
      <c r="AC146" s="239">
        <f t="shared" si="50"/>
        <v>0</v>
      </c>
      <c r="AD146" s="239">
        <f t="shared" si="50"/>
        <v>0</v>
      </c>
      <c r="AE146" s="239">
        <f t="shared" si="50"/>
        <v>0</v>
      </c>
      <c r="AF146" s="239">
        <f t="shared" si="50"/>
        <v>0</v>
      </c>
      <c r="AG146" s="239">
        <f t="shared" si="50"/>
        <v>0</v>
      </c>
      <c r="AH146" s="239">
        <f t="shared" si="50"/>
        <v>0</v>
      </c>
      <c r="AI146" s="239">
        <f t="shared" si="50"/>
        <v>0</v>
      </c>
      <c r="AJ146" s="239">
        <f t="shared" si="50"/>
        <v>0</v>
      </c>
      <c r="AK146" s="1689"/>
      <c r="AL146" s="76"/>
      <c r="AM146" s="76"/>
      <c r="AN146" s="76"/>
      <c r="AO146" s="36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row>
    <row r="147" spans="2:86" ht="16">
      <c r="B147" s="1689"/>
      <c r="C147" s="169" t="s">
        <v>3019</v>
      </c>
      <c r="D147" s="169"/>
      <c r="E147" s="257"/>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1689"/>
      <c r="AL147" s="76"/>
      <c r="AM147" s="76"/>
      <c r="AN147" s="76"/>
      <c r="AO147" s="36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row>
    <row r="148" spans="2:86">
      <c r="B148" s="1689"/>
      <c r="C148" s="779" t="str">
        <f>'14. Project Costs'!C151</f>
        <v xml:space="preserve">Federal / Historic Tax Credit Fees </v>
      </c>
      <c r="D148" s="779"/>
      <c r="E148" s="237">
        <f>PC_SFT_HTC_Fees_Total</f>
        <v>0</v>
      </c>
      <c r="F148" s="235">
        <f t="shared" ref="F148:F160" si="51">+E148-SUM(G148:AJ148)</f>
        <v>0</v>
      </c>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1689"/>
      <c r="AL148" s="76"/>
      <c r="AM148" s="76"/>
      <c r="AN148" s="76"/>
      <c r="AO148" s="36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row>
    <row r="149" spans="2:86">
      <c r="B149" s="1689"/>
      <c r="C149" s="779" t="str">
        <f>'14. Project Costs'!C152</f>
        <v xml:space="preserve">Tax Credit Application Fee </v>
      </c>
      <c r="D149" s="774"/>
      <c r="E149" s="237">
        <f>PC_SFT_LIHTC_App_Fees_Total</f>
        <v>0</v>
      </c>
      <c r="F149" s="235">
        <f t="shared" si="51"/>
        <v>0</v>
      </c>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1689"/>
      <c r="AL149" s="76"/>
      <c r="AM149" s="76"/>
      <c r="AN149" s="76"/>
      <c r="AO149" s="36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row>
    <row r="150" spans="2:86">
      <c r="B150" s="1689"/>
      <c r="C150" s="779" t="str">
        <f>'14. Project Costs'!C153</f>
        <v xml:space="preserve">Tax Credit Allocation Fee </v>
      </c>
      <c r="D150" s="774"/>
      <c r="E150" s="237">
        <f>PC_SFT_LIHTC_Reserv_Fees_Total</f>
        <v>0</v>
      </c>
      <c r="F150" s="235">
        <f t="shared" si="51"/>
        <v>0</v>
      </c>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1689"/>
      <c r="AL150" s="76"/>
      <c r="AM150" s="76"/>
      <c r="AN150" s="76"/>
      <c r="AO150" s="36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row>
    <row r="151" spans="2:86">
      <c r="B151" s="1689"/>
      <c r="C151" s="779" t="str" cm="1">
        <f t="array" ref="C151:D151">'14. Project Costs'!C154:D154</f>
        <v>Tax Credit Compliance Fee</v>
      </c>
      <c r="D151" s="774">
        <v>0</v>
      </c>
      <c r="E151" s="237">
        <f>PC_SFT_LIHTC_Monitoring_Fees_Total</f>
        <v>0</v>
      </c>
      <c r="F151" s="235">
        <f t="shared" si="51"/>
        <v>0</v>
      </c>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1689"/>
      <c r="AL151" s="76"/>
      <c r="AM151" s="76"/>
      <c r="AN151" s="76"/>
      <c r="AO151" s="36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c r="CH151" s="76"/>
    </row>
    <row r="152" spans="2:86">
      <c r="B152" s="1689"/>
      <c r="C152" s="773" t="str" cm="1">
        <f t="array" ref="C152:D152">'14. Project Costs'!C155:D155</f>
        <v xml:space="preserve">Local / Building Permit Fees </v>
      </c>
      <c r="D152" s="774">
        <v>0</v>
      </c>
      <c r="E152" s="237">
        <f>PC_SFT_Local_Bldg_Permit_Total</f>
        <v>0</v>
      </c>
      <c r="F152" s="235">
        <f t="shared" si="51"/>
        <v>0</v>
      </c>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1689"/>
      <c r="AL152" s="76"/>
      <c r="AM152" s="76"/>
      <c r="AN152" s="76"/>
      <c r="AO152" s="36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row>
    <row r="153" spans="2:86">
      <c r="B153" s="1689"/>
      <c r="C153" s="773" t="str" cm="1">
        <f t="array" ref="C153:D153">'14. Project Costs'!C156:D156</f>
        <v>Water, Sewer, and Impact Fees</v>
      </c>
      <c r="D153" s="774">
        <v>0</v>
      </c>
      <c r="E153" s="237">
        <f>PC_SFT_Water_Sewer_Total</f>
        <v>0</v>
      </c>
      <c r="F153" s="235">
        <f t="shared" si="51"/>
        <v>0</v>
      </c>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1689"/>
      <c r="AL153" s="76"/>
      <c r="AM153" s="76"/>
      <c r="AN153" s="76"/>
      <c r="AO153" s="36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76"/>
      <c r="CH153" s="76"/>
    </row>
    <row r="154" spans="2:86">
      <c r="B154" s="1689"/>
      <c r="C154" s="773" t="str" cm="1">
        <f t="array" ref="C154:D154">'14. Project Costs'!C157:D157</f>
        <v>Net Local Development Impact Fees</v>
      </c>
      <c r="D154" s="774">
        <v>0</v>
      </c>
      <c r="E154" s="237">
        <f>PC_SFT_Net_Local_Dev_Total</f>
        <v>0</v>
      </c>
      <c r="F154" s="235">
        <f t="shared" si="51"/>
        <v>0</v>
      </c>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1689"/>
      <c r="AL154" s="76"/>
      <c r="AM154" s="76"/>
      <c r="AN154" s="76"/>
      <c r="AO154" s="36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c r="CH154" s="76"/>
    </row>
    <row r="155" spans="2:86">
      <c r="B155" s="1689"/>
      <c r="C155" s="773" t="str" cm="1">
        <f t="array" ref="C155:D155">'14. Project Costs'!C158:D158</f>
        <v>Commercial Costs - non-construction related)</v>
      </c>
      <c r="D155" s="774">
        <v>0</v>
      </c>
      <c r="E155" s="237">
        <f>'14. Project Costs'!F158</f>
        <v>0</v>
      </c>
      <c r="F155" s="235">
        <f t="shared" si="51"/>
        <v>0</v>
      </c>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1689"/>
      <c r="AL155" s="76"/>
      <c r="AM155" s="76"/>
      <c r="AN155" s="76"/>
      <c r="AO155" s="36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c r="CH155" s="76"/>
    </row>
    <row r="156" spans="2:86">
      <c r="B156" s="1689"/>
      <c r="C156" s="773" t="str" cm="1">
        <f t="array" ref="C156:D156">'14. Project Costs'!C159:D159</f>
        <v>Cost Certification/Accounting Fees</v>
      </c>
      <c r="D156" s="774">
        <v>0</v>
      </c>
      <c r="E156" s="237">
        <f>PC_SFT_Accting_Fees_Total</f>
        <v>0</v>
      </c>
      <c r="F156" s="235">
        <f t="shared" si="51"/>
        <v>0</v>
      </c>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1689"/>
      <c r="AL156" s="76"/>
      <c r="AM156" s="76"/>
      <c r="AN156" s="76"/>
      <c r="AO156" s="36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c r="CH156" s="76"/>
    </row>
    <row r="157" spans="2:86">
      <c r="B157" s="1689"/>
      <c r="C157" s="773" t="str" cm="1">
        <f t="array" ref="C157:D157">'14. Project Costs'!C160:D160</f>
        <v>Rent-Up Marketing Expense</v>
      </c>
      <c r="D157" s="774">
        <v>0</v>
      </c>
      <c r="E157" s="237">
        <f>'14. Project Costs'!F160</f>
        <v>0</v>
      </c>
      <c r="F157" s="235">
        <f t="shared" si="51"/>
        <v>0</v>
      </c>
      <c r="G157" s="262"/>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1689"/>
      <c r="AL157" s="76"/>
      <c r="AM157" s="76"/>
      <c r="AN157" s="76"/>
      <c r="AO157" s="36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row>
    <row r="158" spans="2:86">
      <c r="B158" s="1689"/>
      <c r="C158" s="773" t="str" cm="1">
        <f t="array" ref="C158:D158">'14. Project Costs'!C161:D161</f>
        <v>Commercial Marketing &amp; Rent-Up Expenses</v>
      </c>
      <c r="D158" s="774">
        <v>0</v>
      </c>
      <c r="E158" s="237">
        <f>'14. Project Costs'!F161</f>
        <v>0</v>
      </c>
      <c r="F158" s="235">
        <f t="shared" si="51"/>
        <v>0</v>
      </c>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1689"/>
      <c r="AL158" s="76"/>
      <c r="AM158" s="76"/>
      <c r="AN158" s="76"/>
      <c r="AO158" s="36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row>
    <row r="159" spans="2:86">
      <c r="B159" s="1689"/>
      <c r="C159" s="775" t="str" cm="1">
        <f t="array" ref="C159:D159">'14. Project Costs'!C162:D162</f>
        <v>Mortgage Payoff - N/A for Tax Credit Application</v>
      </c>
      <c r="D159" s="776">
        <v>0</v>
      </c>
      <c r="E159" s="237">
        <f>'14. Project Costs'!F162</f>
        <v>0</v>
      </c>
      <c r="F159" s="235">
        <f t="shared" si="51"/>
        <v>0</v>
      </c>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1689"/>
      <c r="AL159" s="76"/>
      <c r="AM159" s="76"/>
      <c r="AN159" s="76"/>
      <c r="AO159" s="36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row>
    <row r="160" spans="2:86">
      <c r="B160" s="1689"/>
      <c r="C160" s="775" t="str" cm="1">
        <f t="array" ref="C160:D160">'14. Project Costs'!C163:D163</f>
        <v>Other Miscellaneous Costs</v>
      </c>
      <c r="D160" s="776">
        <v>0</v>
      </c>
      <c r="E160" s="237">
        <f>PC_SFT_Other_Misc_Costs_Total</f>
        <v>0</v>
      </c>
      <c r="F160" s="235">
        <f t="shared" si="51"/>
        <v>0</v>
      </c>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1689"/>
      <c r="AL160" s="76"/>
      <c r="AM160" s="76"/>
      <c r="AN160" s="76"/>
      <c r="AO160" s="36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row>
    <row r="161" spans="2:86">
      <c r="B161" s="1689"/>
      <c r="C161" s="168" t="s">
        <v>3037</v>
      </c>
      <c r="D161" s="168"/>
      <c r="E161" s="238">
        <f t="shared" ref="E161:AJ161" si="52">SUM(E148:E160)</f>
        <v>0</v>
      </c>
      <c r="F161" s="239">
        <f t="shared" si="52"/>
        <v>0</v>
      </c>
      <c r="G161" s="239">
        <f t="shared" si="52"/>
        <v>0</v>
      </c>
      <c r="H161" s="239">
        <f t="shared" si="52"/>
        <v>0</v>
      </c>
      <c r="I161" s="239">
        <f t="shared" si="52"/>
        <v>0</v>
      </c>
      <c r="J161" s="239">
        <f t="shared" si="52"/>
        <v>0</v>
      </c>
      <c r="K161" s="239">
        <f t="shared" si="52"/>
        <v>0</v>
      </c>
      <c r="L161" s="239">
        <f t="shared" si="52"/>
        <v>0</v>
      </c>
      <c r="M161" s="239">
        <f t="shared" si="52"/>
        <v>0</v>
      </c>
      <c r="N161" s="239">
        <f t="shared" si="52"/>
        <v>0</v>
      </c>
      <c r="O161" s="239">
        <f t="shared" si="52"/>
        <v>0</v>
      </c>
      <c r="P161" s="239">
        <f t="shared" si="52"/>
        <v>0</v>
      </c>
      <c r="Q161" s="239">
        <f t="shared" si="52"/>
        <v>0</v>
      </c>
      <c r="R161" s="239">
        <f t="shared" si="52"/>
        <v>0</v>
      </c>
      <c r="S161" s="239">
        <f t="shared" si="52"/>
        <v>0</v>
      </c>
      <c r="T161" s="239">
        <f t="shared" si="52"/>
        <v>0</v>
      </c>
      <c r="U161" s="239">
        <f t="shared" si="52"/>
        <v>0</v>
      </c>
      <c r="V161" s="239">
        <f t="shared" si="52"/>
        <v>0</v>
      </c>
      <c r="W161" s="239">
        <f t="shared" si="52"/>
        <v>0</v>
      </c>
      <c r="X161" s="239">
        <f t="shared" si="52"/>
        <v>0</v>
      </c>
      <c r="Y161" s="239">
        <f t="shared" si="52"/>
        <v>0</v>
      </c>
      <c r="Z161" s="239">
        <f t="shared" si="52"/>
        <v>0</v>
      </c>
      <c r="AA161" s="239">
        <f t="shared" si="52"/>
        <v>0</v>
      </c>
      <c r="AB161" s="239">
        <f t="shared" si="52"/>
        <v>0</v>
      </c>
      <c r="AC161" s="239">
        <f t="shared" si="52"/>
        <v>0</v>
      </c>
      <c r="AD161" s="239">
        <f t="shared" si="52"/>
        <v>0</v>
      </c>
      <c r="AE161" s="239">
        <f t="shared" si="52"/>
        <v>0</v>
      </c>
      <c r="AF161" s="239">
        <f t="shared" si="52"/>
        <v>0</v>
      </c>
      <c r="AG161" s="239">
        <f t="shared" si="52"/>
        <v>0</v>
      </c>
      <c r="AH161" s="239">
        <f t="shared" si="52"/>
        <v>0</v>
      </c>
      <c r="AI161" s="239">
        <f t="shared" si="52"/>
        <v>0</v>
      </c>
      <c r="AJ161" s="239">
        <f t="shared" si="52"/>
        <v>0</v>
      </c>
      <c r="AK161" s="1689"/>
      <c r="AL161" s="76"/>
      <c r="AM161" s="76"/>
      <c r="AN161" s="76"/>
      <c r="AO161" s="36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row>
    <row r="162" spans="2:86">
      <c r="B162" s="1689"/>
      <c r="C162" s="784" t="s">
        <v>3038</v>
      </c>
      <c r="D162" s="784"/>
      <c r="E162" s="263">
        <f>+E161+E146+E130+E120+E114+E107+E96+E60+E56+E19</f>
        <v>0</v>
      </c>
      <c r="F162" s="263">
        <f>+F161+F146+F130+F120+F114+F107+F96+F60+F56+F19</f>
        <v>0</v>
      </c>
      <c r="G162" s="263">
        <f t="shared" ref="G162:AJ162" si="53">+G161+G146+G130+G120+G114+G107+G96+G60+G56+G19</f>
        <v>0</v>
      </c>
      <c r="H162" s="263">
        <f t="shared" si="53"/>
        <v>0</v>
      </c>
      <c r="I162" s="263">
        <f t="shared" si="53"/>
        <v>0</v>
      </c>
      <c r="J162" s="263">
        <f t="shared" si="53"/>
        <v>0</v>
      </c>
      <c r="K162" s="263">
        <f t="shared" si="53"/>
        <v>0</v>
      </c>
      <c r="L162" s="263">
        <f t="shared" si="53"/>
        <v>0</v>
      </c>
      <c r="M162" s="263">
        <f t="shared" si="53"/>
        <v>0</v>
      </c>
      <c r="N162" s="263">
        <f t="shared" si="53"/>
        <v>0</v>
      </c>
      <c r="O162" s="263">
        <f t="shared" si="53"/>
        <v>0</v>
      </c>
      <c r="P162" s="263">
        <f t="shared" si="53"/>
        <v>0</v>
      </c>
      <c r="Q162" s="263">
        <f t="shared" si="53"/>
        <v>0</v>
      </c>
      <c r="R162" s="263">
        <f t="shared" si="53"/>
        <v>0</v>
      </c>
      <c r="S162" s="263">
        <f t="shared" si="53"/>
        <v>0</v>
      </c>
      <c r="T162" s="263">
        <f t="shared" si="53"/>
        <v>0</v>
      </c>
      <c r="U162" s="263">
        <f t="shared" si="53"/>
        <v>0</v>
      </c>
      <c r="V162" s="263">
        <f t="shared" si="53"/>
        <v>0</v>
      </c>
      <c r="W162" s="263">
        <f t="shared" si="53"/>
        <v>0</v>
      </c>
      <c r="X162" s="263">
        <f t="shared" si="53"/>
        <v>0</v>
      </c>
      <c r="Y162" s="263">
        <f t="shared" si="53"/>
        <v>0</v>
      </c>
      <c r="Z162" s="263">
        <f t="shared" si="53"/>
        <v>0</v>
      </c>
      <c r="AA162" s="263">
        <f t="shared" si="53"/>
        <v>0</v>
      </c>
      <c r="AB162" s="263">
        <f t="shared" si="53"/>
        <v>0</v>
      </c>
      <c r="AC162" s="263">
        <f t="shared" si="53"/>
        <v>0</v>
      </c>
      <c r="AD162" s="263">
        <f t="shared" si="53"/>
        <v>0</v>
      </c>
      <c r="AE162" s="263">
        <f t="shared" si="53"/>
        <v>0</v>
      </c>
      <c r="AF162" s="263">
        <f t="shared" si="53"/>
        <v>0</v>
      </c>
      <c r="AG162" s="263">
        <f t="shared" si="53"/>
        <v>0</v>
      </c>
      <c r="AH162" s="263">
        <f t="shared" si="53"/>
        <v>0</v>
      </c>
      <c r="AI162" s="263">
        <f t="shared" si="53"/>
        <v>0</v>
      </c>
      <c r="AJ162" s="263">
        <f t="shared" si="53"/>
        <v>0</v>
      </c>
      <c r="AK162" s="1689"/>
      <c r="AL162" s="76"/>
      <c r="AM162" s="76"/>
      <c r="AN162" s="76"/>
      <c r="AO162" s="36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row>
    <row r="163" spans="2:86" ht="16">
      <c r="B163" s="1689"/>
      <c r="C163" s="169" t="s">
        <v>3039</v>
      </c>
      <c r="D163" s="169"/>
      <c r="E163" s="260"/>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1689"/>
      <c r="AL163" s="76"/>
      <c r="AM163" s="76"/>
      <c r="AN163" s="76"/>
      <c r="AO163" s="36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row>
    <row r="164" spans="2:86">
      <c r="B164" s="1689"/>
      <c r="C164" s="773" t="str">
        <f>'14. Project Costs'!C167</f>
        <v>Developer's Fee Received</v>
      </c>
      <c r="D164" s="774">
        <f>PC_DEV_Dev_Fee_Received_Total</f>
        <v>0</v>
      </c>
      <c r="E164" s="237">
        <f>PC_DEV_Dev_Fee_Received_Total</f>
        <v>0</v>
      </c>
      <c r="F164" s="236">
        <f>+E164-SUM(G164:AJ164)</f>
        <v>0</v>
      </c>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1689"/>
      <c r="AL164" s="76"/>
      <c r="AM164" s="76"/>
      <c r="AN164" s="76"/>
      <c r="AO164" s="36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c r="CH164" s="76"/>
    </row>
    <row r="165" spans="2:86">
      <c r="B165" s="1689"/>
      <c r="C165" s="775" t="str">
        <f>'14. Project Costs'!C168</f>
        <v>Developer's Fee - Deferred</v>
      </c>
      <c r="D165" s="776">
        <f>PC_DEV_Dev_Fee_Received_Total</f>
        <v>0</v>
      </c>
      <c r="E165" s="237">
        <f>PC_DEV_Dev_Fee_Deferred_Total</f>
        <v>0</v>
      </c>
      <c r="F165" s="236">
        <f t="shared" ref="F165:F169" si="54">+E165-SUM(G165:AJ165)</f>
        <v>0</v>
      </c>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c r="AF165" s="264"/>
      <c r="AG165" s="264"/>
      <c r="AH165" s="264"/>
      <c r="AI165" s="264"/>
      <c r="AJ165" s="264"/>
      <c r="AK165" s="1689"/>
      <c r="AL165" s="76"/>
      <c r="AM165" s="76"/>
      <c r="AN165" s="76"/>
      <c r="AO165" s="36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c r="CH165" s="76"/>
    </row>
    <row r="166" spans="2:86">
      <c r="B166" s="1689"/>
      <c r="C166" s="773" t="str">
        <f>'14. Project Costs'!C169</f>
        <v>Developer Overhead</v>
      </c>
      <c r="D166" s="774">
        <f>PC_DEV_Dev_Fee_Received_Total</f>
        <v>0</v>
      </c>
      <c r="E166" s="237">
        <f>PC_DEV_Dev_Overhead_Total</f>
        <v>0</v>
      </c>
      <c r="F166" s="236">
        <f t="shared" si="54"/>
        <v>0</v>
      </c>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264"/>
      <c r="AF166" s="264"/>
      <c r="AG166" s="264"/>
      <c r="AH166" s="264"/>
      <c r="AI166" s="264"/>
      <c r="AJ166" s="264"/>
      <c r="AK166" s="1689"/>
      <c r="AL166" s="76"/>
      <c r="AM166" s="76"/>
      <c r="AN166" s="76"/>
      <c r="AO166" s="36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s="76"/>
      <c r="CD166" s="76"/>
      <c r="CE166" s="76"/>
      <c r="CF166" s="76"/>
      <c r="CG166" s="76"/>
      <c r="CH166" s="76"/>
    </row>
    <row r="167" spans="2:86">
      <c r="B167" s="1689"/>
      <c r="C167" s="773" t="str">
        <f>'14. Project Costs'!C170</f>
        <v>Consultants</v>
      </c>
      <c r="D167" s="774">
        <f>PC_DEV_Dev_Fee_Received_Total</f>
        <v>0</v>
      </c>
      <c r="E167" s="237">
        <f>PC_DEV_Consult_Agent_Total</f>
        <v>0</v>
      </c>
      <c r="F167" s="236">
        <f t="shared" si="54"/>
        <v>0</v>
      </c>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64"/>
      <c r="AE167" s="264"/>
      <c r="AF167" s="264"/>
      <c r="AG167" s="264"/>
      <c r="AH167" s="264"/>
      <c r="AI167" s="264"/>
      <c r="AJ167" s="264"/>
      <c r="AK167" s="1689"/>
      <c r="AL167" s="76"/>
      <c r="AM167" s="76"/>
      <c r="AN167" s="76"/>
      <c r="AO167" s="36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76"/>
      <c r="CG167" s="76"/>
      <c r="CH167" s="76"/>
    </row>
    <row r="168" spans="2:86" hidden="1">
      <c r="B168" s="1689"/>
      <c r="C168" s="779"/>
      <c r="D168" s="774">
        <f>PC_DEV_Dev_Fee_Received_Total</f>
        <v>0</v>
      </c>
      <c r="E168" s="237"/>
      <c r="F168" s="236">
        <f t="shared" si="54"/>
        <v>0</v>
      </c>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64"/>
      <c r="AE168" s="264"/>
      <c r="AF168" s="264"/>
      <c r="AG168" s="264"/>
      <c r="AH168" s="264"/>
      <c r="AI168" s="264"/>
      <c r="AJ168" s="264"/>
      <c r="AK168" s="1689"/>
      <c r="AL168" s="76"/>
      <c r="AM168" s="76"/>
      <c r="AN168" s="76"/>
      <c r="AO168" s="36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row>
    <row r="169" spans="2:86">
      <c r="B169" s="1689"/>
      <c r="C169" s="775" t="str">
        <f>'14. Project Costs'!C171</f>
        <v>Other Developer's Fees</v>
      </c>
      <c r="D169" s="776">
        <f>PC_DEV_Dev_Fee_Received_Total</f>
        <v>0</v>
      </c>
      <c r="E169" s="237">
        <f>PC_DEV_Other_Dev_Fees_Total</f>
        <v>0</v>
      </c>
      <c r="F169" s="236">
        <f t="shared" si="54"/>
        <v>0</v>
      </c>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64"/>
      <c r="AE169" s="264"/>
      <c r="AF169" s="264"/>
      <c r="AG169" s="264"/>
      <c r="AH169" s="264"/>
      <c r="AI169" s="264"/>
      <c r="AJ169" s="264"/>
      <c r="AK169" s="1689"/>
      <c r="AL169" s="76"/>
      <c r="AM169" s="76"/>
      <c r="AN169" s="76"/>
      <c r="AO169" s="36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s="76"/>
      <c r="CD169" s="76"/>
      <c r="CE169" s="76"/>
      <c r="CF169" s="76"/>
      <c r="CG169" s="76"/>
      <c r="CH169" s="76"/>
    </row>
    <row r="170" spans="2:86">
      <c r="B170" s="1689"/>
      <c r="C170" s="168" t="s">
        <v>3049</v>
      </c>
      <c r="D170" s="168"/>
      <c r="E170" s="238">
        <f t="shared" ref="E170:AJ170" si="55">SUM(E164:E169)</f>
        <v>0</v>
      </c>
      <c r="F170" s="239">
        <f t="shared" si="55"/>
        <v>0</v>
      </c>
      <c r="G170" s="239">
        <f t="shared" si="55"/>
        <v>0</v>
      </c>
      <c r="H170" s="239">
        <f t="shared" si="55"/>
        <v>0</v>
      </c>
      <c r="I170" s="239">
        <f t="shared" si="55"/>
        <v>0</v>
      </c>
      <c r="J170" s="239">
        <f t="shared" si="55"/>
        <v>0</v>
      </c>
      <c r="K170" s="239">
        <f t="shared" si="55"/>
        <v>0</v>
      </c>
      <c r="L170" s="239">
        <f t="shared" si="55"/>
        <v>0</v>
      </c>
      <c r="M170" s="239">
        <f t="shared" si="55"/>
        <v>0</v>
      </c>
      <c r="N170" s="239">
        <f t="shared" si="55"/>
        <v>0</v>
      </c>
      <c r="O170" s="239">
        <f t="shared" si="55"/>
        <v>0</v>
      </c>
      <c r="P170" s="239">
        <f t="shared" si="55"/>
        <v>0</v>
      </c>
      <c r="Q170" s="239">
        <f t="shared" si="55"/>
        <v>0</v>
      </c>
      <c r="R170" s="239">
        <f t="shared" si="55"/>
        <v>0</v>
      </c>
      <c r="S170" s="239">
        <f t="shared" si="55"/>
        <v>0</v>
      </c>
      <c r="T170" s="239">
        <f t="shared" si="55"/>
        <v>0</v>
      </c>
      <c r="U170" s="239">
        <f t="shared" si="55"/>
        <v>0</v>
      </c>
      <c r="V170" s="239">
        <f t="shared" si="55"/>
        <v>0</v>
      </c>
      <c r="W170" s="239">
        <f t="shared" si="55"/>
        <v>0</v>
      </c>
      <c r="X170" s="239">
        <f t="shared" si="55"/>
        <v>0</v>
      </c>
      <c r="Y170" s="239">
        <f t="shared" si="55"/>
        <v>0</v>
      </c>
      <c r="Z170" s="239">
        <f t="shared" si="55"/>
        <v>0</v>
      </c>
      <c r="AA170" s="239">
        <f t="shared" si="55"/>
        <v>0</v>
      </c>
      <c r="AB170" s="239">
        <f t="shared" si="55"/>
        <v>0</v>
      </c>
      <c r="AC170" s="239">
        <f t="shared" si="55"/>
        <v>0</v>
      </c>
      <c r="AD170" s="239">
        <f t="shared" si="55"/>
        <v>0</v>
      </c>
      <c r="AE170" s="239">
        <f t="shared" si="55"/>
        <v>0</v>
      </c>
      <c r="AF170" s="239">
        <f t="shared" si="55"/>
        <v>0</v>
      </c>
      <c r="AG170" s="239">
        <f t="shared" si="55"/>
        <v>0</v>
      </c>
      <c r="AH170" s="239">
        <f t="shared" si="55"/>
        <v>0</v>
      </c>
      <c r="AI170" s="239">
        <f t="shared" si="55"/>
        <v>0</v>
      </c>
      <c r="AJ170" s="239">
        <f t="shared" si="55"/>
        <v>0</v>
      </c>
      <c r="AK170" s="1689"/>
      <c r="AL170" s="76"/>
      <c r="AM170" s="76"/>
      <c r="AN170" s="76"/>
      <c r="AO170" s="36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s="76"/>
      <c r="CD170" s="76"/>
      <c r="CE170" s="76"/>
      <c r="CF170" s="76"/>
      <c r="CG170" s="76"/>
      <c r="CH170" s="76"/>
    </row>
    <row r="171" spans="2:86" ht="19">
      <c r="B171" s="1689"/>
      <c r="C171" s="785" t="s">
        <v>3050</v>
      </c>
      <c r="D171" s="785"/>
      <c r="E171" s="240">
        <f>+E170+E162</f>
        <v>0</v>
      </c>
      <c r="F171" s="240">
        <f>+F170+F162</f>
        <v>0</v>
      </c>
      <c r="G171" s="240">
        <f t="shared" ref="G171:AJ171" si="56">+G170+G162</f>
        <v>0</v>
      </c>
      <c r="H171" s="240">
        <f t="shared" si="56"/>
        <v>0</v>
      </c>
      <c r="I171" s="240">
        <f t="shared" si="56"/>
        <v>0</v>
      </c>
      <c r="J171" s="240">
        <f t="shared" si="56"/>
        <v>0</v>
      </c>
      <c r="K171" s="240">
        <f t="shared" si="56"/>
        <v>0</v>
      </c>
      <c r="L171" s="240">
        <f t="shared" si="56"/>
        <v>0</v>
      </c>
      <c r="M171" s="240">
        <f t="shared" si="56"/>
        <v>0</v>
      </c>
      <c r="N171" s="240">
        <f t="shared" si="56"/>
        <v>0</v>
      </c>
      <c r="O171" s="240">
        <f t="shared" si="56"/>
        <v>0</v>
      </c>
      <c r="P171" s="240">
        <f t="shared" si="56"/>
        <v>0</v>
      </c>
      <c r="Q171" s="240">
        <f t="shared" si="56"/>
        <v>0</v>
      </c>
      <c r="R171" s="240">
        <f t="shared" si="56"/>
        <v>0</v>
      </c>
      <c r="S171" s="240">
        <f t="shared" si="56"/>
        <v>0</v>
      </c>
      <c r="T171" s="240">
        <f t="shared" si="56"/>
        <v>0</v>
      </c>
      <c r="U171" s="240">
        <f t="shared" si="56"/>
        <v>0</v>
      </c>
      <c r="V171" s="240">
        <f t="shared" si="56"/>
        <v>0</v>
      </c>
      <c r="W171" s="240">
        <f t="shared" si="56"/>
        <v>0</v>
      </c>
      <c r="X171" s="240">
        <f t="shared" si="56"/>
        <v>0</v>
      </c>
      <c r="Y171" s="240">
        <f t="shared" si="56"/>
        <v>0</v>
      </c>
      <c r="Z171" s="240">
        <f t="shared" si="56"/>
        <v>0</v>
      </c>
      <c r="AA171" s="240">
        <f t="shared" si="56"/>
        <v>0</v>
      </c>
      <c r="AB171" s="240">
        <f t="shared" si="56"/>
        <v>0</v>
      </c>
      <c r="AC171" s="240">
        <f t="shared" si="56"/>
        <v>0</v>
      </c>
      <c r="AD171" s="240">
        <f t="shared" si="56"/>
        <v>0</v>
      </c>
      <c r="AE171" s="240">
        <f t="shared" si="56"/>
        <v>0</v>
      </c>
      <c r="AF171" s="240">
        <f t="shared" si="56"/>
        <v>0</v>
      </c>
      <c r="AG171" s="240">
        <f t="shared" si="56"/>
        <v>0</v>
      </c>
      <c r="AH171" s="240">
        <f t="shared" si="56"/>
        <v>0</v>
      </c>
      <c r="AI171" s="240">
        <f t="shared" si="56"/>
        <v>0</v>
      </c>
      <c r="AJ171" s="240">
        <f t="shared" si="56"/>
        <v>0</v>
      </c>
      <c r="AK171" s="1689"/>
      <c r="AL171" s="76"/>
      <c r="AM171" s="76"/>
      <c r="AN171" s="76"/>
      <c r="AO171" s="36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s="76"/>
      <c r="CD171" s="76"/>
      <c r="CE171" s="76"/>
      <c r="CF171" s="76"/>
      <c r="CG171" s="76"/>
      <c r="CH171" s="76"/>
    </row>
    <row r="172" spans="2:86">
      <c r="B172" s="1689"/>
      <c r="C172" s="1347"/>
      <c r="D172" s="1347"/>
      <c r="E172" s="1348"/>
      <c r="F172" s="1349"/>
      <c r="G172" s="1349"/>
      <c r="H172" s="1349"/>
      <c r="I172" s="1349"/>
      <c r="J172" s="1349"/>
      <c r="K172" s="1349"/>
      <c r="L172" s="1349"/>
      <c r="M172" s="1349"/>
      <c r="N172" s="1349"/>
      <c r="O172" s="1349"/>
      <c r="P172" s="1349"/>
      <c r="Q172" s="1349"/>
      <c r="R172" s="1349"/>
      <c r="S172" s="1349"/>
      <c r="T172" s="1349"/>
      <c r="U172" s="1349"/>
      <c r="V172" s="1349"/>
      <c r="W172" s="1349"/>
      <c r="X172" s="1349"/>
      <c r="Y172" s="1349"/>
      <c r="Z172" s="1349"/>
      <c r="AA172" s="1349"/>
      <c r="AB172" s="1349"/>
      <c r="AC172" s="1349"/>
      <c r="AD172" s="1349"/>
      <c r="AE172" s="1349"/>
      <c r="AF172" s="1349"/>
      <c r="AG172" s="1349"/>
      <c r="AH172" s="1349"/>
      <c r="AI172" s="1349"/>
      <c r="AJ172" s="1349"/>
      <c r="AK172" s="1689"/>
      <c r="AL172" s="76"/>
      <c r="AM172" s="76"/>
      <c r="AN172" s="76"/>
      <c r="AO172" s="36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row>
    <row r="173" spans="2:86">
      <c r="B173" s="1689"/>
      <c r="C173" s="1347"/>
      <c r="D173" s="182" t="s">
        <v>4655</v>
      </c>
      <c r="E173" s="265"/>
      <c r="F173" s="266"/>
      <c r="G173" s="266">
        <f>+F173+G171</f>
        <v>0</v>
      </c>
      <c r="H173" s="266">
        <f t="shared" ref="H173:AJ173" si="57">+G173+H171</f>
        <v>0</v>
      </c>
      <c r="I173" s="266">
        <f t="shared" si="57"/>
        <v>0</v>
      </c>
      <c r="J173" s="266">
        <f t="shared" si="57"/>
        <v>0</v>
      </c>
      <c r="K173" s="266">
        <f t="shared" si="57"/>
        <v>0</v>
      </c>
      <c r="L173" s="266">
        <f t="shared" si="57"/>
        <v>0</v>
      </c>
      <c r="M173" s="266">
        <f t="shared" si="57"/>
        <v>0</v>
      </c>
      <c r="N173" s="266">
        <f t="shared" si="57"/>
        <v>0</v>
      </c>
      <c r="O173" s="266">
        <f t="shared" si="57"/>
        <v>0</v>
      </c>
      <c r="P173" s="266">
        <f t="shared" si="57"/>
        <v>0</v>
      </c>
      <c r="Q173" s="266">
        <f t="shared" si="57"/>
        <v>0</v>
      </c>
      <c r="R173" s="266">
        <f t="shared" si="57"/>
        <v>0</v>
      </c>
      <c r="S173" s="266">
        <f t="shared" si="57"/>
        <v>0</v>
      </c>
      <c r="T173" s="266">
        <f t="shared" si="57"/>
        <v>0</v>
      </c>
      <c r="U173" s="266">
        <f t="shared" si="57"/>
        <v>0</v>
      </c>
      <c r="V173" s="266">
        <f t="shared" si="57"/>
        <v>0</v>
      </c>
      <c r="W173" s="266">
        <f t="shared" si="57"/>
        <v>0</v>
      </c>
      <c r="X173" s="266">
        <f t="shared" si="57"/>
        <v>0</v>
      </c>
      <c r="Y173" s="266">
        <f t="shared" si="57"/>
        <v>0</v>
      </c>
      <c r="Z173" s="266">
        <f t="shared" si="57"/>
        <v>0</v>
      </c>
      <c r="AA173" s="266">
        <f t="shared" si="57"/>
        <v>0</v>
      </c>
      <c r="AB173" s="266">
        <f t="shared" si="57"/>
        <v>0</v>
      </c>
      <c r="AC173" s="266">
        <f t="shared" si="57"/>
        <v>0</v>
      </c>
      <c r="AD173" s="266">
        <f t="shared" si="57"/>
        <v>0</v>
      </c>
      <c r="AE173" s="266">
        <f t="shared" si="57"/>
        <v>0</v>
      </c>
      <c r="AF173" s="266">
        <f t="shared" si="57"/>
        <v>0</v>
      </c>
      <c r="AG173" s="266">
        <f t="shared" si="57"/>
        <v>0</v>
      </c>
      <c r="AH173" s="266">
        <f t="shared" si="57"/>
        <v>0</v>
      </c>
      <c r="AI173" s="266">
        <f t="shared" si="57"/>
        <v>0</v>
      </c>
      <c r="AJ173" s="266">
        <f t="shared" si="57"/>
        <v>0</v>
      </c>
      <c r="AK173" s="1689"/>
      <c r="AL173" s="76"/>
      <c r="AM173" s="76"/>
      <c r="AN173" s="76"/>
      <c r="AO173" s="36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s="76"/>
      <c r="CD173" s="76"/>
      <c r="CE173" s="76"/>
      <c r="CF173" s="76"/>
      <c r="CG173" s="76"/>
      <c r="CH173" s="76"/>
    </row>
    <row r="174" spans="2:86">
      <c r="B174" s="1689"/>
      <c r="C174" s="1689"/>
      <c r="D174" s="1689"/>
      <c r="E174" s="1350"/>
      <c r="F174" s="1350"/>
      <c r="G174" s="1350"/>
      <c r="H174" s="1350"/>
      <c r="I174" s="1350"/>
      <c r="J174" s="1350"/>
      <c r="K174" s="1350"/>
      <c r="L174" s="1350"/>
      <c r="M174" s="1350"/>
      <c r="N174" s="1350"/>
      <c r="O174" s="1350"/>
      <c r="P174" s="1350"/>
      <c r="Q174" s="1350"/>
      <c r="R174" s="1350"/>
      <c r="S174" s="1350"/>
      <c r="T174" s="1350"/>
      <c r="U174" s="1350"/>
      <c r="V174" s="1350"/>
      <c r="W174" s="1350"/>
      <c r="X174" s="1350"/>
      <c r="Y174" s="1350"/>
      <c r="Z174" s="1350"/>
      <c r="AA174" s="1350"/>
      <c r="AB174" s="1350"/>
      <c r="AC174" s="1350"/>
      <c r="AD174" s="1350"/>
      <c r="AE174" s="1350"/>
      <c r="AF174" s="1350"/>
      <c r="AG174" s="1350"/>
      <c r="AH174" s="1350"/>
      <c r="AI174" s="1350"/>
      <c r="AJ174" s="1350"/>
      <c r="AK174" s="1689"/>
      <c r="AL174" s="76"/>
      <c r="AM174" s="76"/>
      <c r="AN174" s="76"/>
      <c r="AO174" s="98"/>
      <c r="AP174" s="98"/>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s="76"/>
      <c r="CD174" s="76"/>
      <c r="CE174" s="76"/>
      <c r="CF174" s="76"/>
      <c r="CG174" s="76"/>
      <c r="CH174" s="76"/>
    </row>
    <row r="175" spans="2:86" ht="19">
      <c r="B175" s="1689"/>
      <c r="C175" s="1351" t="s">
        <v>4656</v>
      </c>
      <c r="D175" s="1351"/>
      <c r="E175" s="1350"/>
      <c r="F175" s="1350"/>
      <c r="G175" s="1350"/>
      <c r="H175" s="1350"/>
      <c r="I175" s="1350"/>
      <c r="J175" s="1350"/>
      <c r="K175" s="1350"/>
      <c r="L175" s="1350"/>
      <c r="M175" s="1350"/>
      <c r="N175" s="1350"/>
      <c r="O175" s="1350"/>
      <c r="P175" s="1350"/>
      <c r="Q175" s="1350"/>
      <c r="R175" s="1350"/>
      <c r="S175" s="1350"/>
      <c r="T175" s="1350"/>
      <c r="U175" s="1350"/>
      <c r="V175" s="1350"/>
      <c r="W175" s="1350"/>
      <c r="X175" s="1350"/>
      <c r="Y175" s="1350"/>
      <c r="Z175" s="1350"/>
      <c r="AA175" s="1350"/>
      <c r="AB175" s="1350"/>
      <c r="AC175" s="1350"/>
      <c r="AD175" s="1350"/>
      <c r="AE175" s="1350"/>
      <c r="AF175" s="1350"/>
      <c r="AG175" s="1350"/>
      <c r="AH175" s="1350"/>
      <c r="AI175" s="1350"/>
      <c r="AJ175" s="1350"/>
      <c r="AK175" s="1689"/>
      <c r="AL175" s="76"/>
      <c r="AM175" s="76"/>
      <c r="AN175" s="76"/>
      <c r="AO175" s="98"/>
      <c r="AP175" s="98"/>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row>
    <row r="176" spans="2:86">
      <c r="B176" s="1689"/>
      <c r="C176" s="185" t="s">
        <v>4657</v>
      </c>
      <c r="D176" s="185"/>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689"/>
      <c r="AL176" s="76"/>
      <c r="AM176" s="76"/>
      <c r="AN176" s="76"/>
      <c r="AO176" s="98"/>
      <c r="AP176" s="98"/>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row>
    <row r="177" spans="2:86" ht="16">
      <c r="B177" s="1689"/>
      <c r="C177" s="187" t="s">
        <v>3896</v>
      </c>
      <c r="D177" s="159" t="s">
        <v>3856</v>
      </c>
      <c r="E177" s="188" t="s">
        <v>4658</v>
      </c>
      <c r="F177" s="188" t="s">
        <v>4651</v>
      </c>
      <c r="G177" s="188" t="str">
        <f t="shared" ref="G177:AJ177" si="58">G9</f>
        <v>Draw #1</v>
      </c>
      <c r="H177" s="188" t="str">
        <f t="shared" si="58"/>
        <v>Draw #2</v>
      </c>
      <c r="I177" s="188" t="str">
        <f t="shared" si="58"/>
        <v>Draw #3</v>
      </c>
      <c r="J177" s="188" t="str">
        <f t="shared" si="58"/>
        <v>Draw #4</v>
      </c>
      <c r="K177" s="188" t="str">
        <f t="shared" si="58"/>
        <v>Draw #5</v>
      </c>
      <c r="L177" s="188" t="str">
        <f t="shared" si="58"/>
        <v>Draw #6</v>
      </c>
      <c r="M177" s="188" t="str">
        <f t="shared" si="58"/>
        <v>Draw #7</v>
      </c>
      <c r="N177" s="188" t="str">
        <f t="shared" si="58"/>
        <v>Draw #8</v>
      </c>
      <c r="O177" s="188" t="str">
        <f t="shared" si="58"/>
        <v>Draw #9</v>
      </c>
      <c r="P177" s="188" t="str">
        <f t="shared" si="58"/>
        <v>Draw #10</v>
      </c>
      <c r="Q177" s="188" t="str">
        <f t="shared" si="58"/>
        <v>Draw #11</v>
      </c>
      <c r="R177" s="188" t="str">
        <f t="shared" si="58"/>
        <v>Draw #12</v>
      </c>
      <c r="S177" s="188" t="str">
        <f t="shared" si="58"/>
        <v>Draw #13</v>
      </c>
      <c r="T177" s="188" t="str">
        <f t="shared" si="58"/>
        <v>Draw #14</v>
      </c>
      <c r="U177" s="188" t="str">
        <f t="shared" si="58"/>
        <v>Draw #15</v>
      </c>
      <c r="V177" s="188" t="str">
        <f t="shared" si="58"/>
        <v>Draw #16</v>
      </c>
      <c r="W177" s="188" t="str">
        <f t="shared" si="58"/>
        <v>Draw #17</v>
      </c>
      <c r="X177" s="188" t="str">
        <f t="shared" si="58"/>
        <v>Draw #18</v>
      </c>
      <c r="Y177" s="189" t="str">
        <f t="shared" si="58"/>
        <v>Draw $19</v>
      </c>
      <c r="Z177" s="189" t="str">
        <f t="shared" si="58"/>
        <v>Draw #20</v>
      </c>
      <c r="AA177" s="189" t="str">
        <f t="shared" si="58"/>
        <v>Draw #21</v>
      </c>
      <c r="AB177" s="189" t="str">
        <f t="shared" si="58"/>
        <v>Draw #22</v>
      </c>
      <c r="AC177" s="189" t="str">
        <f t="shared" si="58"/>
        <v>Draw #23</v>
      </c>
      <c r="AD177" s="189" t="str">
        <f t="shared" si="58"/>
        <v>Draw #24</v>
      </c>
      <c r="AE177" s="189" t="str">
        <f t="shared" si="58"/>
        <v>Draw #25</v>
      </c>
      <c r="AF177" s="189" t="str">
        <f t="shared" si="58"/>
        <v>Draw #26</v>
      </c>
      <c r="AG177" s="189" t="str">
        <f t="shared" si="58"/>
        <v>Draw #26</v>
      </c>
      <c r="AH177" s="189" t="str">
        <f t="shared" si="58"/>
        <v>Draw #28</v>
      </c>
      <c r="AI177" s="189" t="str">
        <f t="shared" si="58"/>
        <v>Draw #29</v>
      </c>
      <c r="AJ177" s="189" t="str">
        <f t="shared" si="58"/>
        <v>Draw #30</v>
      </c>
      <c r="AK177" s="1689"/>
      <c r="AL177" s="98" t="s">
        <v>4659</v>
      </c>
      <c r="AM177" s="98" t="s">
        <v>4660</v>
      </c>
      <c r="AN177" s="98" t="s">
        <v>4661</v>
      </c>
      <c r="AO177" s="98" t="s">
        <v>4662</v>
      </c>
      <c r="AP177" s="98"/>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s="76"/>
      <c r="CD177" s="76"/>
      <c r="CE177" s="76"/>
      <c r="CF177" s="76"/>
      <c r="CG177" s="76"/>
      <c r="CH177" s="76"/>
    </row>
    <row r="178" spans="2:86">
      <c r="B178" s="1689"/>
      <c r="C178" s="190" t="str">
        <f>Construction_Source_1</f>
        <v>Construction Loan 1</v>
      </c>
      <c r="D178" s="191" t="str">
        <f>'12. Funding Sources'!D61</f>
        <v>Enter Lender Name</v>
      </c>
      <c r="E178" s="236">
        <f>Construction_Amount_1</f>
        <v>0</v>
      </c>
      <c r="F178" s="371">
        <f>IF(AO178,0,E178-SUM(G178:AJ178))</f>
        <v>0</v>
      </c>
      <c r="G178" s="241"/>
      <c r="H178" s="241"/>
      <c r="I178" s="241"/>
      <c r="J178" s="241"/>
      <c r="K178" s="241"/>
      <c r="L178" s="241"/>
      <c r="M178" s="667"/>
      <c r="N178" s="667"/>
      <c r="O178" s="667"/>
      <c r="P178" s="667"/>
      <c r="Q178" s="667"/>
      <c r="R178" s="667"/>
      <c r="S178" s="667"/>
      <c r="T178" s="667"/>
      <c r="U178" s="667"/>
      <c r="V178" s="667"/>
      <c r="W178" s="667"/>
      <c r="X178" s="667"/>
      <c r="Y178" s="667"/>
      <c r="Z178" s="667"/>
      <c r="AA178" s="667"/>
      <c r="AB178" s="667"/>
      <c r="AC178" s="667"/>
      <c r="AD178" s="667"/>
      <c r="AE178" s="667"/>
      <c r="AF178" s="667"/>
      <c r="AG178" s="667"/>
      <c r="AH178" s="667"/>
      <c r="AI178" s="667"/>
      <c r="AJ178" s="667"/>
      <c r="AK178" s="1689"/>
      <c r="AL178" s="98" t="b">
        <f>COUNTIF(G178:AJ178, "&gt;0")&gt;0</f>
        <v>0</v>
      </c>
      <c r="AM178" s="98" t="b">
        <f>COUNTIF(G178:AJ178, "&lt;0")&gt;0</f>
        <v>0</v>
      </c>
      <c r="AN178" s="98" t="b">
        <f>SUM(G178:AJ178)&lt;=0</f>
        <v>1</v>
      </c>
      <c r="AO178" s="98" t="b">
        <f>AND(AL178,AM178,AN178)</f>
        <v>0</v>
      </c>
      <c r="AP178" s="98"/>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s="76"/>
      <c r="CD178" s="76"/>
      <c r="CE178" s="76"/>
      <c r="CF178" s="76"/>
      <c r="CG178" s="76"/>
      <c r="CH178" s="76"/>
    </row>
    <row r="179" spans="2:86">
      <c r="B179" s="1689"/>
      <c r="C179" s="190" t="str">
        <f>Construction_Source_2</f>
        <v>Construction Loan 2</v>
      </c>
      <c r="D179" s="191" t="str">
        <f>'12. Funding Sources'!D62</f>
        <v>Enter Lender Name</v>
      </c>
      <c r="E179" s="236">
        <f>Construction_Amount_2</f>
        <v>0</v>
      </c>
      <c r="F179" s="236">
        <f t="shared" ref="F179:F182" si="59">IF(AO179,0,E179-SUM(G179:AJ179))</f>
        <v>0</v>
      </c>
      <c r="G179" s="241"/>
      <c r="H179" s="241"/>
      <c r="I179" s="241"/>
      <c r="J179" s="241"/>
      <c r="K179" s="241"/>
      <c r="L179" s="241"/>
      <c r="M179" s="241"/>
      <c r="N179" s="241"/>
      <c r="O179" s="241"/>
      <c r="P179" s="241"/>
      <c r="Q179" s="241"/>
      <c r="R179" s="241"/>
      <c r="S179" s="241"/>
      <c r="T179" s="241"/>
      <c r="U179" s="241"/>
      <c r="V179" s="241"/>
      <c r="W179" s="241"/>
      <c r="X179" s="241"/>
      <c r="Y179" s="241"/>
      <c r="Z179" s="241"/>
      <c r="AA179" s="241"/>
      <c r="AB179" s="241"/>
      <c r="AC179" s="241"/>
      <c r="AD179" s="241"/>
      <c r="AE179" s="241"/>
      <c r="AF179" s="241"/>
      <c r="AG179" s="241"/>
      <c r="AH179" s="241"/>
      <c r="AI179" s="241"/>
      <c r="AJ179" s="241"/>
      <c r="AK179" s="1689"/>
      <c r="AL179" s="98" t="b">
        <f t="shared" ref="AL179:AL185" si="60">COUNTIF(G179:AJ179, "&gt;0")&gt;0</f>
        <v>0</v>
      </c>
      <c r="AM179" s="98" t="b">
        <f t="shared" ref="AM179:AM185" si="61">COUNTIF(G179:AJ179, "&lt;0")&gt;0</f>
        <v>0</v>
      </c>
      <c r="AN179" s="98" t="b">
        <f t="shared" ref="AN179:AN185" si="62">SUM(G179:AJ179)&lt;=0</f>
        <v>1</v>
      </c>
      <c r="AO179" s="98" t="b">
        <f t="shared" ref="AO179:AO185" si="63">AND(AL179,AM179,AN179)</f>
        <v>0</v>
      </c>
      <c r="AP179" s="98"/>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row>
    <row r="180" spans="2:86">
      <c r="B180" s="1689"/>
      <c r="C180" s="190" t="str">
        <f>Construction_Source_3</f>
        <v>Construction Loan 3</v>
      </c>
      <c r="D180" s="191" t="str">
        <f>'12. Funding Sources'!D63</f>
        <v>Enter Lender Name</v>
      </c>
      <c r="E180" s="236">
        <f>Construction_Amount_3</f>
        <v>0</v>
      </c>
      <c r="F180" s="236">
        <f t="shared" si="59"/>
        <v>0</v>
      </c>
      <c r="G180" s="241"/>
      <c r="H180" s="241"/>
      <c r="I180" s="241"/>
      <c r="J180" s="241"/>
      <c r="K180" s="241"/>
      <c r="L180" s="241"/>
      <c r="M180" s="241"/>
      <c r="N180" s="241"/>
      <c r="O180" s="241"/>
      <c r="P180" s="241"/>
      <c r="Q180" s="241"/>
      <c r="R180" s="241"/>
      <c r="S180" s="241"/>
      <c r="T180" s="241"/>
      <c r="U180" s="241"/>
      <c r="V180" s="241"/>
      <c r="W180" s="241"/>
      <c r="X180" s="241"/>
      <c r="Y180" s="241"/>
      <c r="Z180" s="241"/>
      <c r="AA180" s="241"/>
      <c r="AB180" s="241"/>
      <c r="AC180" s="241"/>
      <c r="AD180" s="241"/>
      <c r="AE180" s="241"/>
      <c r="AF180" s="241"/>
      <c r="AG180" s="241"/>
      <c r="AH180" s="241"/>
      <c r="AI180" s="241"/>
      <c r="AJ180" s="241"/>
      <c r="AK180" s="1689"/>
      <c r="AL180" s="98" t="b">
        <f t="shared" si="60"/>
        <v>0</v>
      </c>
      <c r="AM180" s="98" t="b">
        <f t="shared" si="61"/>
        <v>0</v>
      </c>
      <c r="AN180" s="98" t="b">
        <f t="shared" si="62"/>
        <v>1</v>
      </c>
      <c r="AO180" s="98" t="b">
        <f t="shared" si="63"/>
        <v>0</v>
      </c>
      <c r="AP180" s="98"/>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row>
    <row r="181" spans="2:86">
      <c r="B181" s="1689"/>
      <c r="C181" s="190" t="str">
        <f>Construction_Source_4</f>
        <v>Construction Loan 4</v>
      </c>
      <c r="D181" s="191" t="str">
        <f>'12. Funding Sources'!D64</f>
        <v>Enter Lender Name</v>
      </c>
      <c r="E181" s="236">
        <f>Construction_Amount_4</f>
        <v>0</v>
      </c>
      <c r="F181" s="236">
        <f t="shared" si="59"/>
        <v>0</v>
      </c>
      <c r="G181" s="241"/>
      <c r="H181" s="241"/>
      <c r="I181" s="241"/>
      <c r="J181" s="241"/>
      <c r="K181" s="241"/>
      <c r="L181" s="241"/>
      <c r="M181" s="241"/>
      <c r="N181" s="241"/>
      <c r="O181" s="241"/>
      <c r="P181" s="241"/>
      <c r="Q181" s="241"/>
      <c r="R181" s="241"/>
      <c r="S181" s="241"/>
      <c r="T181" s="241"/>
      <c r="U181" s="241"/>
      <c r="V181" s="241"/>
      <c r="W181" s="241"/>
      <c r="X181" s="241"/>
      <c r="Y181" s="241"/>
      <c r="Z181" s="241"/>
      <c r="AA181" s="241"/>
      <c r="AB181" s="241"/>
      <c r="AC181" s="241"/>
      <c r="AD181" s="241"/>
      <c r="AE181" s="241"/>
      <c r="AF181" s="241"/>
      <c r="AG181" s="241"/>
      <c r="AH181" s="241"/>
      <c r="AI181" s="241"/>
      <c r="AJ181" s="241"/>
      <c r="AK181" s="1689"/>
      <c r="AL181" s="98" t="b">
        <f t="shared" si="60"/>
        <v>0</v>
      </c>
      <c r="AM181" s="98" t="b">
        <f t="shared" si="61"/>
        <v>0</v>
      </c>
      <c r="AN181" s="98" t="b">
        <f t="shared" si="62"/>
        <v>1</v>
      </c>
      <c r="AO181" s="98" t="b">
        <f t="shared" si="63"/>
        <v>0</v>
      </c>
      <c r="AP181" s="98"/>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s="76"/>
      <c r="CD181" s="76"/>
      <c r="CE181" s="76"/>
      <c r="CF181" s="76"/>
      <c r="CG181" s="76"/>
      <c r="CH181" s="76"/>
    </row>
    <row r="182" spans="2:86">
      <c r="B182" s="1689"/>
      <c r="C182" s="190" t="str">
        <f>Construction_Source_5</f>
        <v>Construction Loan 5</v>
      </c>
      <c r="D182" s="191" t="str">
        <f>'12. Funding Sources'!D65</f>
        <v>Enter Lender Name</v>
      </c>
      <c r="E182" s="236">
        <f>Construction_Amount_5</f>
        <v>0</v>
      </c>
      <c r="F182" s="236">
        <f t="shared" si="59"/>
        <v>0</v>
      </c>
      <c r="G182" s="241"/>
      <c r="H182" s="241"/>
      <c r="I182" s="241"/>
      <c r="J182" s="241"/>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1689"/>
      <c r="AL182" s="98" t="b">
        <f t="shared" si="60"/>
        <v>0</v>
      </c>
      <c r="AM182" s="98" t="b">
        <f t="shared" si="61"/>
        <v>0</v>
      </c>
      <c r="AN182" s="98" t="b">
        <f t="shared" si="62"/>
        <v>1</v>
      </c>
      <c r="AO182" s="98" t="b">
        <f t="shared" si="63"/>
        <v>0</v>
      </c>
      <c r="AP182" s="98"/>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row>
    <row r="183" spans="2:86" hidden="1">
      <c r="B183" s="1689"/>
      <c r="C183" s="190" t="str">
        <f>Construction_Source_6</f>
        <v>Federal Housing Tax Credit Equity</v>
      </c>
      <c r="D183" s="191" t="str">
        <f>'12. Funding Sources'!D66</f>
        <v>Specify Investor</v>
      </c>
      <c r="E183" s="236">
        <v>0</v>
      </c>
      <c r="F183" s="236">
        <v>0</v>
      </c>
      <c r="G183" s="241"/>
      <c r="H183" s="241"/>
      <c r="I183" s="241"/>
      <c r="J183" s="241"/>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1689"/>
      <c r="AL183" s="98" t="b">
        <f t="shared" si="60"/>
        <v>0</v>
      </c>
      <c r="AM183" s="98" t="b">
        <f t="shared" si="61"/>
        <v>0</v>
      </c>
      <c r="AN183" s="98" t="b">
        <f t="shared" si="62"/>
        <v>1</v>
      </c>
      <c r="AO183" s="98" t="b">
        <f t="shared" si="63"/>
        <v>0</v>
      </c>
      <c r="AP183" s="98"/>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s="76"/>
      <c r="CD183" s="76"/>
      <c r="CE183" s="76"/>
      <c r="CF183" s="76"/>
      <c r="CG183" s="76"/>
      <c r="CH183" s="76"/>
    </row>
    <row r="184" spans="2:86" hidden="1">
      <c r="B184" s="1689"/>
      <c r="C184" s="190" t="str">
        <f>Construction_Source_7</f>
        <v>State Housing Tax Credit Equity</v>
      </c>
      <c r="D184" s="191" t="str">
        <f>'12. Funding Sources'!D67</f>
        <v>Specify Investor</v>
      </c>
      <c r="E184" s="236">
        <v>0</v>
      </c>
      <c r="F184" s="236">
        <v>0</v>
      </c>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1689"/>
      <c r="AL184" s="98" t="b">
        <f t="shared" si="60"/>
        <v>0</v>
      </c>
      <c r="AM184" s="98" t="b">
        <f t="shared" si="61"/>
        <v>0</v>
      </c>
      <c r="AN184" s="98" t="b">
        <f t="shared" si="62"/>
        <v>1</v>
      </c>
      <c r="AO184" s="98" t="b">
        <f t="shared" si="63"/>
        <v>0</v>
      </c>
      <c r="AP184" s="98"/>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row>
    <row r="185" spans="2:86" hidden="1">
      <c r="B185" s="1689"/>
      <c r="C185" s="190" t="str">
        <f>Construction_Source_9</f>
        <v>Other - Specify</v>
      </c>
      <c r="D185" s="191" t="str">
        <f>'12. Funding Sources'!D68</f>
        <v>Specify Investor</v>
      </c>
      <c r="E185" s="236">
        <v>0</v>
      </c>
      <c r="F185" s="236">
        <v>0</v>
      </c>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s="241"/>
      <c r="AG185" s="241"/>
      <c r="AH185" s="241"/>
      <c r="AI185" s="241"/>
      <c r="AJ185" s="241"/>
      <c r="AK185" s="1689"/>
      <c r="AL185" s="98" t="b">
        <f t="shared" si="60"/>
        <v>0</v>
      </c>
      <c r="AM185" s="98" t="b">
        <f t="shared" si="61"/>
        <v>0</v>
      </c>
      <c r="AN185" s="98" t="b">
        <f t="shared" si="62"/>
        <v>1</v>
      </c>
      <c r="AO185" s="98" t="b">
        <f t="shared" si="63"/>
        <v>0</v>
      </c>
      <c r="AP185" s="98"/>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row>
    <row r="186" spans="2:86">
      <c r="B186" s="1689"/>
      <c r="C186" s="192" t="s">
        <v>3907</v>
      </c>
      <c r="D186" s="192"/>
      <c r="E186" s="236">
        <f>SUM(E178:E185)</f>
        <v>0</v>
      </c>
      <c r="F186" s="236">
        <f>SUM(F178:F185)</f>
        <v>0</v>
      </c>
      <c r="G186" s="236">
        <f>SUM(G178:G185)</f>
        <v>0</v>
      </c>
      <c r="H186" s="236">
        <f>SUM(H178:H185)</f>
        <v>0</v>
      </c>
      <c r="I186" s="236">
        <f t="shared" ref="I186:AJ186" si="64">SUM(I178:I185)</f>
        <v>0</v>
      </c>
      <c r="J186" s="236">
        <f t="shared" si="64"/>
        <v>0</v>
      </c>
      <c r="K186" s="236">
        <f t="shared" si="64"/>
        <v>0</v>
      </c>
      <c r="L186" s="236">
        <f t="shared" si="64"/>
        <v>0</v>
      </c>
      <c r="M186" s="236">
        <f t="shared" si="64"/>
        <v>0</v>
      </c>
      <c r="N186" s="236">
        <f t="shared" si="64"/>
        <v>0</v>
      </c>
      <c r="O186" s="236">
        <f t="shared" si="64"/>
        <v>0</v>
      </c>
      <c r="P186" s="236">
        <f t="shared" si="64"/>
        <v>0</v>
      </c>
      <c r="Q186" s="236">
        <f t="shared" si="64"/>
        <v>0</v>
      </c>
      <c r="R186" s="236">
        <f t="shared" si="64"/>
        <v>0</v>
      </c>
      <c r="S186" s="236">
        <f t="shared" si="64"/>
        <v>0</v>
      </c>
      <c r="T186" s="236">
        <f t="shared" si="64"/>
        <v>0</v>
      </c>
      <c r="U186" s="236">
        <f t="shared" si="64"/>
        <v>0</v>
      </c>
      <c r="V186" s="236">
        <f t="shared" si="64"/>
        <v>0</v>
      </c>
      <c r="W186" s="236">
        <f t="shared" si="64"/>
        <v>0</v>
      </c>
      <c r="X186" s="236">
        <f t="shared" si="64"/>
        <v>0</v>
      </c>
      <c r="Y186" s="236">
        <f t="shared" si="64"/>
        <v>0</v>
      </c>
      <c r="Z186" s="236">
        <f t="shared" si="64"/>
        <v>0</v>
      </c>
      <c r="AA186" s="236">
        <f t="shared" si="64"/>
        <v>0</v>
      </c>
      <c r="AB186" s="236">
        <f t="shared" si="64"/>
        <v>0</v>
      </c>
      <c r="AC186" s="236">
        <f t="shared" si="64"/>
        <v>0</v>
      </c>
      <c r="AD186" s="236">
        <f t="shared" si="64"/>
        <v>0</v>
      </c>
      <c r="AE186" s="236">
        <f t="shared" si="64"/>
        <v>0</v>
      </c>
      <c r="AF186" s="236">
        <f t="shared" si="64"/>
        <v>0</v>
      </c>
      <c r="AG186" s="236">
        <f t="shared" si="64"/>
        <v>0</v>
      </c>
      <c r="AH186" s="236">
        <f t="shared" si="64"/>
        <v>0</v>
      </c>
      <c r="AI186" s="236">
        <f t="shared" si="64"/>
        <v>0</v>
      </c>
      <c r="AJ186" s="236">
        <f t="shared" si="64"/>
        <v>0</v>
      </c>
      <c r="AK186" s="1689"/>
      <c r="AL186" s="76"/>
      <c r="AM186" s="76"/>
      <c r="AN186" s="76"/>
      <c r="AO186" s="98"/>
      <c r="AP186" s="98"/>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s="76"/>
      <c r="CD186" s="76"/>
      <c r="CE186" s="76"/>
      <c r="CF186" s="76"/>
      <c r="CG186" s="76"/>
      <c r="CH186" s="76"/>
    </row>
    <row r="187" spans="2:86" ht="16">
      <c r="B187" s="1689"/>
      <c r="C187" s="188" t="s">
        <v>4663</v>
      </c>
      <c r="D187" s="188"/>
      <c r="E187" s="188" t="s">
        <v>4664</v>
      </c>
      <c r="F187" s="188"/>
      <c r="G187" s="188"/>
      <c r="H187" s="188" t="str">
        <f t="shared" ref="H187:AJ187" si="65">"Mo of Int - "&amp;G8</f>
        <v>Mo of Int - 1</v>
      </c>
      <c r="I187" s="188" t="str">
        <f t="shared" si="65"/>
        <v>Mo of Int - 2</v>
      </c>
      <c r="J187" s="188" t="str">
        <f t="shared" si="65"/>
        <v>Mo of Int - 3</v>
      </c>
      <c r="K187" s="188" t="str">
        <f t="shared" si="65"/>
        <v>Mo of Int - 4</v>
      </c>
      <c r="L187" s="188" t="str">
        <f t="shared" si="65"/>
        <v>Mo of Int - 5</v>
      </c>
      <c r="M187" s="188" t="str">
        <f t="shared" si="65"/>
        <v>Mo of Int - 6</v>
      </c>
      <c r="N187" s="188" t="str">
        <f t="shared" si="65"/>
        <v>Mo of Int - 7</v>
      </c>
      <c r="O187" s="188" t="str">
        <f t="shared" si="65"/>
        <v>Mo of Int - 8</v>
      </c>
      <c r="P187" s="188" t="str">
        <f t="shared" si="65"/>
        <v>Mo of Int - 9</v>
      </c>
      <c r="Q187" s="188" t="str">
        <f t="shared" si="65"/>
        <v>Mo of Int - 10</v>
      </c>
      <c r="R187" s="188" t="str">
        <f t="shared" si="65"/>
        <v>Mo of Int - 11</v>
      </c>
      <c r="S187" s="188" t="str">
        <f t="shared" si="65"/>
        <v>Mo of Int - 12</v>
      </c>
      <c r="T187" s="188" t="str">
        <f t="shared" si="65"/>
        <v>Mo of Int - 13</v>
      </c>
      <c r="U187" s="188" t="str">
        <f t="shared" si="65"/>
        <v>Mo of Int - 14</v>
      </c>
      <c r="V187" s="188" t="str">
        <f t="shared" si="65"/>
        <v>Mo of Int - 15</v>
      </c>
      <c r="W187" s="188" t="str">
        <f t="shared" si="65"/>
        <v>Mo of Int - 16</v>
      </c>
      <c r="X187" s="188" t="str">
        <f t="shared" si="65"/>
        <v>Mo of Int - 17</v>
      </c>
      <c r="Y187" s="188" t="str">
        <f t="shared" si="65"/>
        <v>Mo of Int - 18</v>
      </c>
      <c r="Z187" s="188" t="str">
        <f t="shared" si="65"/>
        <v>Mo of Int - 19</v>
      </c>
      <c r="AA187" s="188" t="str">
        <f t="shared" si="65"/>
        <v>Mo of Int - 20</v>
      </c>
      <c r="AB187" s="188" t="str">
        <f t="shared" si="65"/>
        <v>Mo of Int - 21</v>
      </c>
      <c r="AC187" s="188" t="str">
        <f t="shared" si="65"/>
        <v>Mo of Int - 22</v>
      </c>
      <c r="AD187" s="188" t="str">
        <f t="shared" si="65"/>
        <v>Mo of Int - 23</v>
      </c>
      <c r="AE187" s="188" t="str">
        <f t="shared" si="65"/>
        <v>Mo of Int - 24</v>
      </c>
      <c r="AF187" s="188" t="str">
        <f t="shared" si="65"/>
        <v>Mo of Int - 25</v>
      </c>
      <c r="AG187" s="188" t="str">
        <f t="shared" si="65"/>
        <v>Mo of Int - 26</v>
      </c>
      <c r="AH187" s="188" t="str">
        <f t="shared" si="65"/>
        <v>Mo of Int - 27</v>
      </c>
      <c r="AI187" s="188" t="str">
        <f t="shared" si="65"/>
        <v>Mo of Int - 28</v>
      </c>
      <c r="AJ187" s="188" t="str">
        <f t="shared" si="65"/>
        <v>Mo of Int - 29</v>
      </c>
      <c r="AK187" s="1689"/>
      <c r="AL187" s="76"/>
      <c r="AM187" s="76"/>
      <c r="AN187" s="76"/>
      <c r="AO187" s="98"/>
      <c r="AP187" s="98"/>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s="76"/>
      <c r="CD187" s="76"/>
      <c r="CE187" s="76"/>
      <c r="CF187" s="76"/>
      <c r="CG187" s="76"/>
      <c r="CH187" s="76"/>
    </row>
    <row r="188" spans="2:86">
      <c r="B188" s="1689"/>
      <c r="C188" s="107" t="str">
        <f t="shared" ref="C188:D192" si="66">C178</f>
        <v>Construction Loan 1</v>
      </c>
      <c r="D188" s="107" t="str">
        <f t="shared" si="66"/>
        <v>Enter Lender Name</v>
      </c>
      <c r="E188" s="235">
        <f>+SUM(H188:AJ188)</f>
        <v>0</v>
      </c>
      <c r="F188" s="1712" t="s">
        <v>2605</v>
      </c>
      <c r="G188" s="194">
        <f>Construction_Rate_1</f>
        <v>0</v>
      </c>
      <c r="H188" s="235">
        <f>IF(G$8&lt;=$I$7,SUM($G178:G178)*$G188/12,0)</f>
        <v>0</v>
      </c>
      <c r="I188" s="235">
        <f>IF(H$8&lt;=$I$7,SUM($G178:H178)*$G188/12,0)</f>
        <v>0</v>
      </c>
      <c r="J188" s="235">
        <f>IF(I$8&lt;=$I$7,SUM($G178:I178)*$G188/12,0)</f>
        <v>0</v>
      </c>
      <c r="K188" s="235">
        <f>IF(J$8&lt;=$I$7,SUM($G178:J178)*$G188/12,0)</f>
        <v>0</v>
      </c>
      <c r="L188" s="235">
        <f>IF(K$8&lt;=$I$7,SUM($G178:K178)*$G188/12,0)</f>
        <v>0</v>
      </c>
      <c r="M188" s="235">
        <f>IF(L$8&lt;=$I$7,SUM($G178:L178)*$G188/12,0)</f>
        <v>0</v>
      </c>
      <c r="N188" s="235">
        <f>IF(M$8&lt;=$I$7,SUM($G178:M178)*$G188/12,0)</f>
        <v>0</v>
      </c>
      <c r="O188" s="235">
        <f>IF(N$8&lt;=$I$7,SUM($G178:N178)*$G188/12,0)</f>
        <v>0</v>
      </c>
      <c r="P188" s="235">
        <f>IF(O$8&lt;=$I$7,SUM($G178:O178)*$G188/12,0)</f>
        <v>0</v>
      </c>
      <c r="Q188" s="235">
        <f>IF(P$8&lt;=$I$7,SUM($G178:P178)*$G188/12,0)</f>
        <v>0</v>
      </c>
      <c r="R188" s="235">
        <f>IF(Q$8&lt;=$I$7,SUM($G178:Q178)*$G188/12,0)</f>
        <v>0</v>
      </c>
      <c r="S188" s="235">
        <f>IF(R$8&lt;=$I$7,SUM($G178:R178)*$G188/12,0)</f>
        <v>0</v>
      </c>
      <c r="T188" s="235">
        <f>IF(S$8&lt;=$I$7,SUM($G178:S178)*$G188/12,0)</f>
        <v>0</v>
      </c>
      <c r="U188" s="235">
        <f>IF(T$8&lt;=$I$7,SUM($G178:T178)*$G188/12,0)</f>
        <v>0</v>
      </c>
      <c r="V188" s="235">
        <f>IF(U$8&lt;=$I$7,SUM($G178:U178)*$G188/12,0)</f>
        <v>0</v>
      </c>
      <c r="W188" s="235">
        <f>IF(V$8&lt;=$I$7,SUM($G178:V178)*$G188/12,0)</f>
        <v>0</v>
      </c>
      <c r="X188" s="235">
        <f>IF(W$8&lt;=$I$7,SUM($G178:W178)*$G188/12,0)</f>
        <v>0</v>
      </c>
      <c r="Y188" s="235">
        <f>IF(X$8&lt;=$I$7,SUM($G178:X178)*$G188/12,0)</f>
        <v>0</v>
      </c>
      <c r="Z188" s="235">
        <f>IF(Y$8&lt;=$I$7,SUM($G178:Y178)*$G188/12,0)</f>
        <v>0</v>
      </c>
      <c r="AA188" s="235">
        <f>IF(Z$8&lt;=$I$7,SUM($G178:Z178)*$G188/12,0)</f>
        <v>0</v>
      </c>
      <c r="AB188" s="235">
        <f>IF(AA$8&lt;=$I$7,SUM($G178:AA178)*$G188/12,0)</f>
        <v>0</v>
      </c>
      <c r="AC188" s="235">
        <f>IF(AB$8&lt;=$I$7,SUM($G178:AB178)*$G188/12,0)</f>
        <v>0</v>
      </c>
      <c r="AD188" s="235">
        <f>IF(AC$8&lt;=$I$7,SUM($G178:AC178)*$G188/12,0)</f>
        <v>0</v>
      </c>
      <c r="AE188" s="235">
        <f>IF(AD$8&lt;=$I$7,SUM($G178:AD178)*$G188/12,0)</f>
        <v>0</v>
      </c>
      <c r="AF188" s="235">
        <f>IF(AE$8&lt;=$I$7,SUM($G178:AE178)*$G188/12,0)</f>
        <v>0</v>
      </c>
      <c r="AG188" s="235">
        <f>IF(AF$8&lt;=$I$7,SUM($G178:AF178)*$G188/12,0)</f>
        <v>0</v>
      </c>
      <c r="AH188" s="235">
        <f>IF(AG$8&lt;=$I$7,SUM($G178:AG178)*$G188/12,0)</f>
        <v>0</v>
      </c>
      <c r="AI188" s="235">
        <f>IF(AH$8&lt;=$I$7,SUM($G178:AH178)*$G188/12,0)</f>
        <v>0</v>
      </c>
      <c r="AJ188" s="235">
        <f>IF(AI$8&lt;=$I$7,SUM($G178:AI178)*$G188/12,0)</f>
        <v>0</v>
      </c>
      <c r="AK188" s="1689"/>
      <c r="AL188" s="76"/>
      <c r="AM188" s="76"/>
      <c r="AN188" s="76"/>
      <c r="AO188" s="36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row>
    <row r="189" spans="2:86">
      <c r="B189" s="1689"/>
      <c r="C189" s="107" t="str">
        <f t="shared" si="66"/>
        <v>Construction Loan 2</v>
      </c>
      <c r="D189" s="107" t="str">
        <f t="shared" si="66"/>
        <v>Enter Lender Name</v>
      </c>
      <c r="E189" s="235">
        <f>+SUM(H189:AJ189)</f>
        <v>0</v>
      </c>
      <c r="F189" s="1712" t="s">
        <v>2605</v>
      </c>
      <c r="G189" s="194">
        <f>Construction_Rate_2</f>
        <v>0</v>
      </c>
      <c r="H189" s="235">
        <f>IF(G$8&lt;=$I$7,SUM($G179:G179)*$G189/12,0)</f>
        <v>0</v>
      </c>
      <c r="I189" s="235">
        <f>IF(H$8&lt;=$I$7,SUM($G179:H179)*$G189/12,0)</f>
        <v>0</v>
      </c>
      <c r="J189" s="235">
        <f>IF(I$8&lt;=$I$7,SUM($G179:I179)*$G189/12,0)</f>
        <v>0</v>
      </c>
      <c r="K189" s="235">
        <f>IF(J$8&lt;=$I$7,SUM($G179:J179)*$G189/12,0)</f>
        <v>0</v>
      </c>
      <c r="L189" s="235">
        <f>IF(K$8&lt;=$I$7,SUM($G179:K179)*$G189/12,0)</f>
        <v>0</v>
      </c>
      <c r="M189" s="235">
        <f>IF(L$8&lt;=$I$7,SUM($G179:L179)*$G189/12,0)</f>
        <v>0</v>
      </c>
      <c r="N189" s="235">
        <f>IF(M$8&lt;=$I$7,SUM($G179:M179)*$G189/12,0)</f>
        <v>0</v>
      </c>
      <c r="O189" s="235">
        <f>IF(N$8&lt;=$I$7,SUM($G179:N179)*$G189/12,0)</f>
        <v>0</v>
      </c>
      <c r="P189" s="235">
        <f>IF(O$8&lt;=$I$7,SUM($G179:O179)*$G189/12,0)</f>
        <v>0</v>
      </c>
      <c r="Q189" s="235">
        <f>IF(P$8&lt;=$I$7,SUM($G179:P179)*$G189/12,0)</f>
        <v>0</v>
      </c>
      <c r="R189" s="235">
        <f>IF(Q$8&lt;=$I$7,SUM($G179:Q179)*$G189/12,0)</f>
        <v>0</v>
      </c>
      <c r="S189" s="235">
        <f>IF(R$8&lt;=$I$7,SUM($G179:R179)*$G189/12,0)</f>
        <v>0</v>
      </c>
      <c r="T189" s="235">
        <f>IF(S$8&lt;=$I$7,SUM($G179:S179)*$G189/12,0)</f>
        <v>0</v>
      </c>
      <c r="U189" s="235">
        <f>IF(T$8&lt;=$I$7,SUM($G179:T179)*$G189/12,0)</f>
        <v>0</v>
      </c>
      <c r="V189" s="235">
        <f>IF(U$8&lt;=$I$7,SUM($G179:U179)*$G189/12,0)</f>
        <v>0</v>
      </c>
      <c r="W189" s="235">
        <f>IF(V$8&lt;=$I$7,SUM($G179:V179)*$G189/12,0)</f>
        <v>0</v>
      </c>
      <c r="X189" s="235">
        <f>IF(W$8&lt;=$I$7,SUM($G179:W179)*$G189/12,0)</f>
        <v>0</v>
      </c>
      <c r="Y189" s="235">
        <f>IF(X$8&lt;=$I$7,SUM($G179:X179)*$G189/12,0)</f>
        <v>0</v>
      </c>
      <c r="Z189" s="235">
        <f>IF(Y$8&lt;=$I$7,SUM($G179:Y179)*$G189/12,0)</f>
        <v>0</v>
      </c>
      <c r="AA189" s="235">
        <f>IF(Z$8&lt;=$I$7,SUM($G179:Z179)*$G189/12,0)</f>
        <v>0</v>
      </c>
      <c r="AB189" s="235">
        <f>IF(AA$8&lt;=$I$7,SUM($G179:AA179)*$G189/12,0)</f>
        <v>0</v>
      </c>
      <c r="AC189" s="235">
        <f>IF(AB$8&lt;=$I$7,SUM($G179:AB179)*$G189/12,0)</f>
        <v>0</v>
      </c>
      <c r="AD189" s="235">
        <f>IF(AC$8&lt;=$I$7,SUM($G179:AC179)*$G189/12,0)</f>
        <v>0</v>
      </c>
      <c r="AE189" s="235">
        <f>IF(AD$8&lt;=$I$7,SUM($G179:AD179)*$G189/12,0)</f>
        <v>0</v>
      </c>
      <c r="AF189" s="235">
        <f>IF(AE$8&lt;=$I$7,SUM($G179:AE179)*$G189/12,0)</f>
        <v>0</v>
      </c>
      <c r="AG189" s="235">
        <f>IF(AF$8&lt;=$I$7,SUM($G179:AF179)*$G189/12,0)</f>
        <v>0</v>
      </c>
      <c r="AH189" s="235">
        <f>IF(AG$8&lt;=$I$7,SUM($G179:AG179)*$G189/12,0)</f>
        <v>0</v>
      </c>
      <c r="AI189" s="235">
        <f>IF(AH$8&lt;=$I$7,SUM($G179:AH179)*$G189/12,0)</f>
        <v>0</v>
      </c>
      <c r="AJ189" s="235">
        <f>IF(AI$8&lt;=$I$7,SUM($G179:AI179)*$G189/12,0)</f>
        <v>0</v>
      </c>
      <c r="AK189" s="1689"/>
      <c r="AL189" s="76"/>
      <c r="AM189" s="76"/>
      <c r="AN189" s="76"/>
      <c r="AO189" s="36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s="76"/>
      <c r="CD189" s="76"/>
      <c r="CE189" s="76"/>
      <c r="CF189" s="76"/>
      <c r="CG189" s="76"/>
      <c r="CH189" s="76"/>
    </row>
    <row r="190" spans="2:86">
      <c r="B190" s="1689"/>
      <c r="C190" s="107" t="str">
        <f t="shared" si="66"/>
        <v>Construction Loan 3</v>
      </c>
      <c r="D190" s="107" t="str">
        <f t="shared" si="66"/>
        <v>Enter Lender Name</v>
      </c>
      <c r="E190" s="235">
        <f>+SUM(H190:AJ190)</f>
        <v>0</v>
      </c>
      <c r="F190" s="1712" t="s">
        <v>2605</v>
      </c>
      <c r="G190" s="194">
        <f>Construction_Rate_3</f>
        <v>0</v>
      </c>
      <c r="H190" s="235">
        <f>IF(G$8&lt;=$I$7,SUM($G180:G180)*$G190/12,0)</f>
        <v>0</v>
      </c>
      <c r="I190" s="235">
        <f>IF(H$8&lt;=$I$7,SUM($G180:H180)*$G190/12,0)</f>
        <v>0</v>
      </c>
      <c r="J190" s="235">
        <f>IF(I$8&lt;=$I$7,SUM($G180:I180)*$G190/12,0)</f>
        <v>0</v>
      </c>
      <c r="K190" s="235">
        <f>IF(J$8&lt;=$I$7,SUM($G180:J180)*$G190/12,0)</f>
        <v>0</v>
      </c>
      <c r="L190" s="235">
        <f>IF(K$8&lt;=$I$7,SUM($G180:K180)*$G190/12,0)</f>
        <v>0</v>
      </c>
      <c r="M190" s="235">
        <f>IF(L$8&lt;=$I$7,SUM($G180:L180)*$G190/12,0)</f>
        <v>0</v>
      </c>
      <c r="N190" s="235">
        <f>IF(M$8&lt;=$I$7,SUM($G180:M180)*$G190/12,0)</f>
        <v>0</v>
      </c>
      <c r="O190" s="235">
        <f>IF(N$8&lt;=$I$7,SUM($G180:N180)*$G190/12,0)</f>
        <v>0</v>
      </c>
      <c r="P190" s="235">
        <f>IF(O$8&lt;=$I$7,SUM($G180:O180)*$G190/12,0)</f>
        <v>0</v>
      </c>
      <c r="Q190" s="235">
        <f>IF(P$8&lt;=$I$7,SUM($G180:P180)*$G190/12,0)</f>
        <v>0</v>
      </c>
      <c r="R190" s="235">
        <f>IF(Q$8&lt;=$I$7,SUM($G180:Q180)*$G190/12,0)</f>
        <v>0</v>
      </c>
      <c r="S190" s="235">
        <f>IF(R$8&lt;=$I$7,SUM($G180:R180)*$G190/12,0)</f>
        <v>0</v>
      </c>
      <c r="T190" s="235">
        <f>IF(S$8&lt;=$I$7,SUM($G180:S180)*$G190/12,0)</f>
        <v>0</v>
      </c>
      <c r="U190" s="235">
        <f>IF(T$8&lt;=$I$7,SUM($G180:T180)*$G190/12,0)</f>
        <v>0</v>
      </c>
      <c r="V190" s="235">
        <f>IF(U$8&lt;=$I$7,SUM($G180:U180)*$G190/12,0)</f>
        <v>0</v>
      </c>
      <c r="W190" s="235">
        <f>IF(V$8&lt;=$I$7,SUM($G180:V180)*$G190/12,0)</f>
        <v>0</v>
      </c>
      <c r="X190" s="235">
        <f>IF(W$8&lt;=$I$7,SUM($G180:W180)*$G190/12,0)</f>
        <v>0</v>
      </c>
      <c r="Y190" s="235">
        <f>IF(X$8&lt;=$I$7,SUM($G180:X180)*$G190/12,0)</f>
        <v>0</v>
      </c>
      <c r="Z190" s="235">
        <f>IF(Y$8&lt;=$I$7,SUM($G180:Y180)*$G190/12,0)</f>
        <v>0</v>
      </c>
      <c r="AA190" s="235">
        <f>IF(Z$8&lt;=$I$7,SUM($G180:Z180)*$G190/12,0)</f>
        <v>0</v>
      </c>
      <c r="AB190" s="235">
        <f>IF(AA$8&lt;=$I$7,SUM($G180:AA180)*$G190/12,0)</f>
        <v>0</v>
      </c>
      <c r="AC190" s="235">
        <f>IF(AB$8&lt;=$I$7,SUM($G180:AB180)*$G190/12,0)</f>
        <v>0</v>
      </c>
      <c r="AD190" s="235">
        <f>IF(AC$8&lt;=$I$7,SUM($G180:AC180)*$G190/12,0)</f>
        <v>0</v>
      </c>
      <c r="AE190" s="235">
        <f>IF(AD$8&lt;=$I$7,SUM($G180:AD180)*$G190/12,0)</f>
        <v>0</v>
      </c>
      <c r="AF190" s="235">
        <f>IF(AE$8&lt;=$I$7,SUM($G180:AE180)*$G190/12,0)</f>
        <v>0</v>
      </c>
      <c r="AG190" s="235">
        <f>IF(AF$8&lt;=$I$7,SUM($G180:AF180)*$G190/12,0)</f>
        <v>0</v>
      </c>
      <c r="AH190" s="235">
        <f>IF(AG$8&lt;=$I$7,SUM($G180:AG180)*$G190/12,0)</f>
        <v>0</v>
      </c>
      <c r="AI190" s="235">
        <f>IF(AH$8&lt;=$I$7,SUM($G180:AH180)*$G190/12,0)</f>
        <v>0</v>
      </c>
      <c r="AJ190" s="235">
        <f>IF(AI$8&lt;=$I$7,SUM($G180:AI180)*$G190/12,0)</f>
        <v>0</v>
      </c>
      <c r="AK190" s="1689"/>
      <c r="AL190" s="76"/>
      <c r="AM190" s="76"/>
      <c r="AN190" s="76"/>
      <c r="AO190" s="36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s="76"/>
      <c r="CD190" s="76"/>
      <c r="CE190" s="76"/>
      <c r="CF190" s="76"/>
      <c r="CG190" s="76"/>
      <c r="CH190" s="76"/>
    </row>
    <row r="191" spans="2:86">
      <c r="B191" s="1689"/>
      <c r="C191" s="107" t="str">
        <f t="shared" si="66"/>
        <v>Construction Loan 4</v>
      </c>
      <c r="D191" s="107" t="str">
        <f t="shared" si="66"/>
        <v>Enter Lender Name</v>
      </c>
      <c r="E191" s="235">
        <f>+SUM(H191:AJ191)</f>
        <v>0</v>
      </c>
      <c r="F191" s="1712" t="s">
        <v>2605</v>
      </c>
      <c r="G191" s="194">
        <f>Construction_Rate_4</f>
        <v>0</v>
      </c>
      <c r="H191" s="235">
        <f>IF(G$8&lt;=$I$7,SUM($G181:G181)*$G191/12,0)</f>
        <v>0</v>
      </c>
      <c r="I191" s="235">
        <f>IF(H$8&lt;=$I$7,SUM($G181:H181)*$G191/12,0)</f>
        <v>0</v>
      </c>
      <c r="J191" s="235">
        <f>IF(I$8&lt;=$I$7,SUM($G181:I181)*$G191/12,0)</f>
        <v>0</v>
      </c>
      <c r="K191" s="235">
        <f>IF(J$8&lt;=$I$7,SUM($G181:J181)*$G191/12,0)</f>
        <v>0</v>
      </c>
      <c r="L191" s="235">
        <f>IF(K$8&lt;=$I$7,SUM($G181:K181)*$G191/12,0)</f>
        <v>0</v>
      </c>
      <c r="M191" s="235">
        <f>IF(L$8&lt;=$I$7,SUM($G181:L181)*$G191/12,0)</f>
        <v>0</v>
      </c>
      <c r="N191" s="235">
        <f>IF(M$8&lt;=$I$7,SUM($G181:M181)*$G191/12,0)</f>
        <v>0</v>
      </c>
      <c r="O191" s="235">
        <f>IF(N$8&lt;=$I$7,SUM($G181:N181)*$G191/12,0)</f>
        <v>0</v>
      </c>
      <c r="P191" s="235">
        <f>IF(O$8&lt;=$I$7,SUM($G181:O181)*$G191/12,0)</f>
        <v>0</v>
      </c>
      <c r="Q191" s="235">
        <f>IF(P$8&lt;=$I$7,SUM($G181:P181)*$G191/12,0)</f>
        <v>0</v>
      </c>
      <c r="R191" s="235">
        <f>IF(Q$8&lt;=$I$7,SUM($G181:Q181)*$G191/12,0)</f>
        <v>0</v>
      </c>
      <c r="S191" s="235">
        <f>IF(R$8&lt;=$I$7,SUM($G181:R181)*$G191/12,0)</f>
        <v>0</v>
      </c>
      <c r="T191" s="235">
        <f>IF(S$8&lt;=$I$7,SUM($G181:S181)*$G191/12,0)</f>
        <v>0</v>
      </c>
      <c r="U191" s="235">
        <f>IF(T$8&lt;=$I$7,SUM($G181:T181)*$G191/12,0)</f>
        <v>0</v>
      </c>
      <c r="V191" s="235">
        <f>IF(U$8&lt;=$I$7,SUM($G181:U181)*$G191/12,0)</f>
        <v>0</v>
      </c>
      <c r="W191" s="235">
        <f>IF(V$8&lt;=$I$7,SUM($G181:V181)*$G191/12,0)</f>
        <v>0</v>
      </c>
      <c r="X191" s="235">
        <f>IF(W$8&lt;=$I$7,SUM($G181:W181)*$G191/12,0)</f>
        <v>0</v>
      </c>
      <c r="Y191" s="235">
        <f>IF(X$8&lt;=$I$7,SUM($G181:X181)*$G191/12,0)</f>
        <v>0</v>
      </c>
      <c r="Z191" s="235">
        <f>IF(Y$8&lt;=$I$7,SUM($G181:Y181)*$G191/12,0)</f>
        <v>0</v>
      </c>
      <c r="AA191" s="235">
        <f>IF(Z$8&lt;=$I$7,SUM($G181:Z181)*$G191/12,0)</f>
        <v>0</v>
      </c>
      <c r="AB191" s="235">
        <f>IF(AA$8&lt;=$I$7,SUM($G181:AA181)*$G191/12,0)</f>
        <v>0</v>
      </c>
      <c r="AC191" s="235">
        <f>IF(AB$8&lt;=$I$7,SUM($G181:AB181)*$G191/12,0)</f>
        <v>0</v>
      </c>
      <c r="AD191" s="235">
        <f>IF(AC$8&lt;=$I$7,SUM($G181:AC181)*$G191/12,0)</f>
        <v>0</v>
      </c>
      <c r="AE191" s="235">
        <f>IF(AD$8&lt;=$I$7,SUM($G181:AD181)*$G191/12,0)</f>
        <v>0</v>
      </c>
      <c r="AF191" s="235">
        <f>IF(AE$8&lt;=$I$7,SUM($G181:AE181)*$G191/12,0)</f>
        <v>0</v>
      </c>
      <c r="AG191" s="235">
        <f>IF(AF$8&lt;=$I$7,SUM($G181:AF181)*$G191/12,0)</f>
        <v>0</v>
      </c>
      <c r="AH191" s="235">
        <f>IF(AG$8&lt;=$I$7,SUM($G181:AG181)*$G191/12,0)</f>
        <v>0</v>
      </c>
      <c r="AI191" s="235">
        <f>IF(AH$8&lt;=$I$7,SUM($G181:AH181)*$G191/12,0)</f>
        <v>0</v>
      </c>
      <c r="AJ191" s="235">
        <f>IF(AI$8&lt;=$I$7,SUM($G181:AI181)*$G191/12,0)</f>
        <v>0</v>
      </c>
      <c r="AK191" s="1689"/>
      <c r="AL191" s="76"/>
      <c r="AM191" s="76"/>
      <c r="AN191" s="76"/>
      <c r="AO191" s="36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s="76"/>
      <c r="CD191" s="76"/>
      <c r="CE191" s="76"/>
      <c r="CF191" s="76"/>
      <c r="CG191" s="76"/>
      <c r="CH191" s="76"/>
    </row>
    <row r="192" spans="2:86">
      <c r="B192" s="1689"/>
      <c r="C192" s="107" t="str">
        <f t="shared" si="66"/>
        <v>Construction Loan 5</v>
      </c>
      <c r="D192" s="107" t="str">
        <f t="shared" si="66"/>
        <v>Enter Lender Name</v>
      </c>
      <c r="E192" s="235">
        <f>+SUM(H192:AJ192)</f>
        <v>0</v>
      </c>
      <c r="F192" s="1712" t="s">
        <v>2605</v>
      </c>
      <c r="G192" s="194">
        <f>Construction_Rate_5</f>
        <v>0</v>
      </c>
      <c r="H192" s="235">
        <f>IF(G$8&lt;=$I$7,SUM($G182:G182)*$G192/12,0)</f>
        <v>0</v>
      </c>
      <c r="I192" s="235">
        <f>IF(H$8&lt;=$I$7,SUM($G182:H182)*$G192/12,0)</f>
        <v>0</v>
      </c>
      <c r="J192" s="235">
        <f>IF(I$8&lt;=$I$7,SUM($G182:I182)*$G192/12,0)</f>
        <v>0</v>
      </c>
      <c r="K192" s="235">
        <f>IF(J$8&lt;=$I$7,SUM($G182:J182)*$G192/12,0)</f>
        <v>0</v>
      </c>
      <c r="L192" s="235">
        <f>IF(K$8&lt;=$I$7,SUM($G182:K182)*$G192/12,0)</f>
        <v>0</v>
      </c>
      <c r="M192" s="235">
        <f>IF(L$8&lt;=$I$7,SUM($G182:L182)*$G192/12,0)</f>
        <v>0</v>
      </c>
      <c r="N192" s="235">
        <f>IF(M$8&lt;=$I$7,SUM($G182:M182)*$G192/12,0)</f>
        <v>0</v>
      </c>
      <c r="O192" s="235">
        <f>IF(N$8&lt;=$I$7,SUM($G182:N182)*$G192/12,0)</f>
        <v>0</v>
      </c>
      <c r="P192" s="235">
        <f>IF(O$8&lt;=$I$7,SUM($G182:O182)*$G192/12,0)</f>
        <v>0</v>
      </c>
      <c r="Q192" s="235">
        <f>IF(P$8&lt;=$I$7,SUM($G182:P182)*$G192/12,0)</f>
        <v>0</v>
      </c>
      <c r="R192" s="235">
        <f>IF(Q$8&lt;=$I$7,SUM($G182:Q182)*$G192/12,0)</f>
        <v>0</v>
      </c>
      <c r="S192" s="235">
        <f>IF(R$8&lt;=$I$7,SUM($G182:R182)*$G192/12,0)</f>
        <v>0</v>
      </c>
      <c r="T192" s="235">
        <f>IF(S$8&lt;=$I$7,SUM($G182:S182)*$G192/12,0)</f>
        <v>0</v>
      </c>
      <c r="U192" s="235">
        <f>IF(T$8&lt;=$I$7,SUM($G182:T182)*$G192/12,0)</f>
        <v>0</v>
      </c>
      <c r="V192" s="235">
        <f>IF(U$8&lt;=$I$7,SUM($G182:U182)*$G192/12,0)</f>
        <v>0</v>
      </c>
      <c r="W192" s="235">
        <f>IF(V$8&lt;=$I$7,SUM($G182:V182)*$G192/12,0)</f>
        <v>0</v>
      </c>
      <c r="X192" s="235">
        <f>IF(W$8&lt;=$I$7,SUM($G182:W182)*$G192/12,0)</f>
        <v>0</v>
      </c>
      <c r="Y192" s="235">
        <f>IF(X$8&lt;=$I$7,SUM($G182:X182)*$G192/12,0)</f>
        <v>0</v>
      </c>
      <c r="Z192" s="235">
        <f>IF(Y$8&lt;=$I$7,SUM($G182:Y182)*$G192/12,0)</f>
        <v>0</v>
      </c>
      <c r="AA192" s="235">
        <f>IF(Z$8&lt;=$I$7,SUM($G182:Z182)*$G192/12,0)</f>
        <v>0</v>
      </c>
      <c r="AB192" s="235">
        <f>IF(AA$8&lt;=$I$7,SUM($G182:AA182)*$G192/12,0)</f>
        <v>0</v>
      </c>
      <c r="AC192" s="235">
        <f>IF(AB$8&lt;=$I$7,SUM($G182:AB182)*$G192/12,0)</f>
        <v>0</v>
      </c>
      <c r="AD192" s="235">
        <f>IF(AC$8&lt;=$I$7,SUM($G182:AC182)*$G192/12,0)</f>
        <v>0</v>
      </c>
      <c r="AE192" s="235">
        <f>IF(AD$8&lt;=$I$7,SUM($G182:AD182)*$G192/12,0)</f>
        <v>0</v>
      </c>
      <c r="AF192" s="235">
        <f>IF(AE$8&lt;=$I$7,SUM($G182:AE182)*$G192/12,0)</f>
        <v>0</v>
      </c>
      <c r="AG192" s="235">
        <f>IF(AF$8&lt;=$I$7,SUM($G182:AF182)*$G192/12,0)</f>
        <v>0</v>
      </c>
      <c r="AH192" s="235">
        <f>IF(AG$8&lt;=$I$7,SUM($G182:AG182)*$G192/12,0)</f>
        <v>0</v>
      </c>
      <c r="AI192" s="235">
        <f>IF(AH$8&lt;=$I$7,SUM($G182:AH182)*$G192/12,0)</f>
        <v>0</v>
      </c>
      <c r="AJ192" s="235">
        <f>IF(AI$8&lt;=$I$7,SUM($G182:AI182)*$G192/12,0)</f>
        <v>0</v>
      </c>
      <c r="AK192" s="1689"/>
      <c r="AL192" s="76"/>
      <c r="AM192" s="76"/>
      <c r="AN192" s="76"/>
      <c r="AO192" s="36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row>
    <row r="193" spans="2:86">
      <c r="B193" s="1689"/>
      <c r="C193" s="771" t="s">
        <v>4665</v>
      </c>
      <c r="D193" s="1712" t="s">
        <v>4666</v>
      </c>
      <c r="E193" s="235">
        <f>SUM(G193:AJ193)</f>
        <v>0</v>
      </c>
      <c r="F193" s="1712" t="s">
        <v>2605</v>
      </c>
      <c r="G193" s="194">
        <f>+Rate_1</f>
        <v>0</v>
      </c>
      <c r="H193" s="718">
        <v>0</v>
      </c>
      <c r="I193" s="718">
        <v>0</v>
      </c>
      <c r="J193" s="718">
        <v>0</v>
      </c>
      <c r="K193" s="718">
        <v>0</v>
      </c>
      <c r="L193" s="718">
        <v>0</v>
      </c>
      <c r="M193" s="718">
        <v>0</v>
      </c>
      <c r="N193" s="718">
        <v>0</v>
      </c>
      <c r="O193" s="718">
        <v>0</v>
      </c>
      <c r="P193" s="718">
        <v>0</v>
      </c>
      <c r="Q193" s="718">
        <v>0</v>
      </c>
      <c r="R193" s="718">
        <v>0</v>
      </c>
      <c r="S193" s="718">
        <v>0</v>
      </c>
      <c r="T193" s="718">
        <v>0</v>
      </c>
      <c r="U193" s="718">
        <v>0</v>
      </c>
      <c r="V193" s="718">
        <v>0</v>
      </c>
      <c r="W193" s="718">
        <v>0</v>
      </c>
      <c r="X193" s="718">
        <v>0</v>
      </c>
      <c r="Y193" s="718">
        <v>0</v>
      </c>
      <c r="Z193" s="718">
        <v>0</v>
      </c>
      <c r="AA193" s="718">
        <v>0</v>
      </c>
      <c r="AB193" s="718">
        <v>0</v>
      </c>
      <c r="AC193" s="718">
        <v>0</v>
      </c>
      <c r="AD193" s="718">
        <v>0</v>
      </c>
      <c r="AE193" s="718">
        <v>0</v>
      </c>
      <c r="AF193" s="718">
        <v>0</v>
      </c>
      <c r="AG193" s="718">
        <v>0</v>
      </c>
      <c r="AH193" s="718">
        <v>0</v>
      </c>
      <c r="AI193" s="718">
        <v>0</v>
      </c>
      <c r="AJ193" s="718">
        <v>0</v>
      </c>
      <c r="AK193" s="1689"/>
      <c r="AL193" s="76"/>
      <c r="AM193" s="76"/>
      <c r="AN193" s="76"/>
      <c r="AO193" s="36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s="76"/>
      <c r="CD193" s="76"/>
      <c r="CE193" s="76"/>
      <c r="CF193" s="76"/>
      <c r="CG193" s="76"/>
      <c r="CH193" s="76"/>
    </row>
    <row r="194" spans="2:86">
      <c r="B194" s="1689"/>
      <c r="C194" s="771" t="s">
        <v>3241</v>
      </c>
      <c r="D194" s="1712"/>
      <c r="E194" s="234">
        <f>SUM(E188:E193)</f>
        <v>0</v>
      </c>
      <c r="F194" s="786" t="s">
        <v>4667</v>
      </c>
      <c r="G194" s="786"/>
      <c r="H194" s="786"/>
      <c r="I194" s="786"/>
      <c r="J194" s="786"/>
      <c r="K194" s="786"/>
      <c r="L194" s="786"/>
      <c r="M194" s="786"/>
      <c r="N194" s="786"/>
      <c r="O194" s="786"/>
      <c r="P194" s="786"/>
      <c r="Q194" s="786"/>
      <c r="R194" s="786"/>
      <c r="S194" s="786"/>
      <c r="T194" s="786"/>
      <c r="U194" s="786"/>
      <c r="V194" s="786"/>
      <c r="W194" s="786"/>
      <c r="X194" s="786"/>
      <c r="Y194" s="786"/>
      <c r="Z194" s="786"/>
      <c r="AA194" s="786"/>
      <c r="AB194" s="786"/>
      <c r="AC194" s="786"/>
      <c r="AD194" s="786"/>
      <c r="AE194" s="786"/>
      <c r="AF194" s="786"/>
      <c r="AG194" s="786"/>
      <c r="AH194" s="786"/>
      <c r="AI194" s="786"/>
      <c r="AJ194" s="786"/>
      <c r="AK194" s="1689"/>
      <c r="AL194" s="76"/>
      <c r="AM194" s="76"/>
      <c r="AN194" s="76"/>
      <c r="AO194" s="36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s="76"/>
      <c r="CD194" s="76"/>
      <c r="CE194" s="76"/>
      <c r="CF194" s="76"/>
      <c r="CG194" s="76"/>
      <c r="CH194" s="76"/>
    </row>
    <row r="195" spans="2:86">
      <c r="B195" s="1689"/>
      <c r="C195" s="771" t="s">
        <v>4668</v>
      </c>
      <c r="D195" s="1712"/>
      <c r="E195" s="234">
        <f>SUM('14. Project Costs'!F80:F81)</f>
        <v>0</v>
      </c>
      <c r="F195" s="786"/>
      <c r="G195" s="786"/>
      <c r="H195" s="786"/>
      <c r="I195" s="786"/>
      <c r="J195" s="786"/>
      <c r="K195" s="786"/>
      <c r="L195" s="786"/>
      <c r="M195" s="786"/>
      <c r="N195" s="786"/>
      <c r="O195" s="786"/>
      <c r="P195" s="786"/>
      <c r="Q195" s="786"/>
      <c r="R195" s="786"/>
      <c r="S195" s="786"/>
      <c r="T195" s="786"/>
      <c r="U195" s="786"/>
      <c r="V195" s="786"/>
      <c r="W195" s="786"/>
      <c r="X195" s="786"/>
      <c r="Y195" s="786"/>
      <c r="Z195" s="786"/>
      <c r="AA195" s="786"/>
      <c r="AB195" s="786"/>
      <c r="AC195" s="786"/>
      <c r="AD195" s="786"/>
      <c r="AE195" s="786"/>
      <c r="AF195" s="786"/>
      <c r="AG195" s="786"/>
      <c r="AH195" s="786"/>
      <c r="AI195" s="786"/>
      <c r="AJ195" s="786"/>
      <c r="AK195" s="1689"/>
      <c r="AL195" s="76"/>
      <c r="AM195" s="76"/>
      <c r="AN195" s="76"/>
      <c r="AO195" s="36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row>
    <row r="196" spans="2:86">
      <c r="B196" s="1689"/>
      <c r="C196" s="1689" t="s">
        <v>4669</v>
      </c>
      <c r="D196" s="1689"/>
      <c r="E196" s="1350"/>
      <c r="F196" s="1350"/>
      <c r="G196" s="1352"/>
      <c r="H196" s="1350"/>
      <c r="I196" s="1350"/>
      <c r="J196" s="1350"/>
      <c r="K196" s="1350"/>
      <c r="L196" s="1350"/>
      <c r="M196" s="1350"/>
      <c r="N196" s="1350"/>
      <c r="O196" s="1350"/>
      <c r="P196" s="1350"/>
      <c r="Q196" s="1350"/>
      <c r="R196" s="1350"/>
      <c r="S196" s="1350"/>
      <c r="T196" s="1350"/>
      <c r="U196" s="1350"/>
      <c r="V196" s="1350"/>
      <c r="W196" s="1350"/>
      <c r="X196" s="1350"/>
      <c r="Y196" s="1350"/>
      <c r="Z196" s="1350"/>
      <c r="AA196" s="1350"/>
      <c r="AB196" s="1350"/>
      <c r="AC196" s="1350"/>
      <c r="AD196" s="1350"/>
      <c r="AE196" s="1350"/>
      <c r="AF196" s="1350"/>
      <c r="AG196" s="1350"/>
      <c r="AH196" s="1350"/>
      <c r="AI196" s="1350"/>
      <c r="AJ196" s="1350"/>
      <c r="AK196" s="1689"/>
      <c r="AL196" s="76"/>
      <c r="AM196" s="76"/>
      <c r="AN196" s="76"/>
      <c r="AO196" s="36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row>
    <row r="197" spans="2:86">
      <c r="B197" s="1689"/>
      <c r="C197" s="185" t="s">
        <v>4670</v>
      </c>
      <c r="D197" s="185"/>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689"/>
      <c r="AL197" s="76"/>
      <c r="AM197" s="76"/>
      <c r="AN197" s="76"/>
      <c r="AO197" s="36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s="76"/>
      <c r="CD197" s="76"/>
      <c r="CE197" s="76"/>
      <c r="CF197" s="76"/>
      <c r="CG197" s="76"/>
      <c r="CH197" s="76"/>
    </row>
    <row r="198" spans="2:86" ht="16">
      <c r="B198" s="1689"/>
      <c r="C198" s="159" t="s">
        <v>3855</v>
      </c>
      <c r="D198" s="159"/>
      <c r="E198" s="188" t="s">
        <v>4658</v>
      </c>
      <c r="F198" s="188" t="s">
        <v>4651</v>
      </c>
      <c r="G198" s="188" t="str">
        <f t="shared" ref="G198:AJ198" si="67">G177</f>
        <v>Draw #1</v>
      </c>
      <c r="H198" s="188" t="str">
        <f t="shared" si="67"/>
        <v>Draw #2</v>
      </c>
      <c r="I198" s="188" t="str">
        <f t="shared" si="67"/>
        <v>Draw #3</v>
      </c>
      <c r="J198" s="188" t="str">
        <f t="shared" si="67"/>
        <v>Draw #4</v>
      </c>
      <c r="K198" s="188" t="str">
        <f t="shared" si="67"/>
        <v>Draw #5</v>
      </c>
      <c r="L198" s="188" t="str">
        <f t="shared" si="67"/>
        <v>Draw #6</v>
      </c>
      <c r="M198" s="188" t="str">
        <f t="shared" si="67"/>
        <v>Draw #7</v>
      </c>
      <c r="N198" s="188" t="str">
        <f t="shared" si="67"/>
        <v>Draw #8</v>
      </c>
      <c r="O198" s="188" t="str">
        <f t="shared" si="67"/>
        <v>Draw #9</v>
      </c>
      <c r="P198" s="188" t="str">
        <f t="shared" si="67"/>
        <v>Draw #10</v>
      </c>
      <c r="Q198" s="188" t="str">
        <f t="shared" si="67"/>
        <v>Draw #11</v>
      </c>
      <c r="R198" s="188" t="str">
        <f t="shared" si="67"/>
        <v>Draw #12</v>
      </c>
      <c r="S198" s="188" t="str">
        <f t="shared" si="67"/>
        <v>Draw #13</v>
      </c>
      <c r="T198" s="188" t="str">
        <f t="shared" si="67"/>
        <v>Draw #14</v>
      </c>
      <c r="U198" s="188" t="str">
        <f t="shared" si="67"/>
        <v>Draw #15</v>
      </c>
      <c r="V198" s="188" t="str">
        <f t="shared" si="67"/>
        <v>Draw #16</v>
      </c>
      <c r="W198" s="188" t="str">
        <f t="shared" si="67"/>
        <v>Draw #17</v>
      </c>
      <c r="X198" s="188" t="str">
        <f t="shared" si="67"/>
        <v>Draw #18</v>
      </c>
      <c r="Y198" s="188" t="str">
        <f t="shared" si="67"/>
        <v>Draw $19</v>
      </c>
      <c r="Z198" s="188" t="str">
        <f t="shared" si="67"/>
        <v>Draw #20</v>
      </c>
      <c r="AA198" s="188" t="str">
        <f t="shared" si="67"/>
        <v>Draw #21</v>
      </c>
      <c r="AB198" s="188" t="str">
        <f t="shared" si="67"/>
        <v>Draw #22</v>
      </c>
      <c r="AC198" s="188" t="str">
        <f t="shared" si="67"/>
        <v>Draw #23</v>
      </c>
      <c r="AD198" s="188" t="str">
        <f t="shared" si="67"/>
        <v>Draw #24</v>
      </c>
      <c r="AE198" s="188" t="str">
        <f t="shared" si="67"/>
        <v>Draw #25</v>
      </c>
      <c r="AF198" s="188" t="str">
        <f t="shared" si="67"/>
        <v>Draw #26</v>
      </c>
      <c r="AG198" s="188" t="str">
        <f t="shared" si="67"/>
        <v>Draw #26</v>
      </c>
      <c r="AH198" s="188" t="str">
        <f t="shared" si="67"/>
        <v>Draw #28</v>
      </c>
      <c r="AI198" s="188" t="str">
        <f t="shared" si="67"/>
        <v>Draw #29</v>
      </c>
      <c r="AJ198" s="188" t="str">
        <f t="shared" si="67"/>
        <v>Draw #30</v>
      </c>
      <c r="AK198" s="1689"/>
      <c r="AL198" s="76"/>
      <c r="AM198" s="76"/>
      <c r="AN198" s="76"/>
      <c r="AO198" s="36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s="76"/>
      <c r="CD198" s="76"/>
      <c r="CE198" s="76"/>
      <c r="CF198" s="76"/>
      <c r="CG198" s="76"/>
      <c r="CH198" s="76"/>
    </row>
    <row r="199" spans="2:86">
      <c r="B199" s="1689"/>
      <c r="C199" s="1261" t="s">
        <v>4671</v>
      </c>
      <c r="D199" s="1261"/>
      <c r="E199" s="1361"/>
      <c r="F199" s="1261"/>
      <c r="G199" s="1261"/>
      <c r="H199" s="1261"/>
      <c r="I199" s="1261"/>
      <c r="J199" s="1261"/>
      <c r="K199" s="1261"/>
      <c r="L199" s="1261"/>
      <c r="M199" s="1261"/>
      <c r="N199" s="1261"/>
      <c r="O199" s="1261"/>
      <c r="P199" s="1261"/>
      <c r="Q199" s="1261"/>
      <c r="R199" s="1261"/>
      <c r="S199" s="1261"/>
      <c r="T199" s="1261"/>
      <c r="U199" s="1261"/>
      <c r="V199" s="1261"/>
      <c r="W199" s="1261"/>
      <c r="X199" s="1261"/>
      <c r="Y199" s="1261"/>
      <c r="Z199" s="1261"/>
      <c r="AA199" s="1261"/>
      <c r="AB199" s="1261"/>
      <c r="AC199" s="1261"/>
      <c r="AD199" s="1261"/>
      <c r="AE199" s="1261"/>
      <c r="AF199" s="1261"/>
      <c r="AG199" s="1261"/>
      <c r="AH199" s="1261"/>
      <c r="AI199" s="1261"/>
      <c r="AJ199" s="1261"/>
      <c r="AK199" s="1689"/>
      <c r="AL199" s="76"/>
      <c r="AM199" s="76"/>
      <c r="AN199" s="76"/>
      <c r="AO199" s="36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76"/>
      <c r="CD199" s="76"/>
      <c r="CE199" s="76"/>
      <c r="CF199" s="76"/>
      <c r="CG199" s="76"/>
      <c r="CH199" s="76"/>
    </row>
    <row r="200" spans="2:86">
      <c r="B200" s="1689"/>
      <c r="C200" s="190" t="str">
        <f>IF(Source_1="","",Source_1)</f>
        <v>WHEDA Loan</v>
      </c>
      <c r="D200" s="191" t="str">
        <f>IF('12. Funding Sources'!D11="","",'12. Funding Sources'!D11)</f>
        <v>WHEDA</v>
      </c>
      <c r="E200" s="236">
        <f>Amount_1</f>
        <v>0</v>
      </c>
      <c r="F200" s="236">
        <f t="shared" ref="F200:F209" si="68">E200-SUM(G200:AJ200)</f>
        <v>0</v>
      </c>
      <c r="G200" s="241"/>
      <c r="H200" s="241"/>
      <c r="I200" s="241"/>
      <c r="J200" s="241"/>
      <c r="K200" s="241"/>
      <c r="L200" s="241"/>
      <c r="M200" s="241"/>
      <c r="N200" s="241"/>
      <c r="O200" s="241"/>
      <c r="P200" s="241"/>
      <c r="Q200" s="241"/>
      <c r="R200" s="241"/>
      <c r="S200" s="241"/>
      <c r="T200" s="241"/>
      <c r="U200" s="241"/>
      <c r="V200" s="241"/>
      <c r="W200" s="241"/>
      <c r="X200" s="241"/>
      <c r="Y200" s="241"/>
      <c r="Z200" s="241"/>
      <c r="AA200" s="241"/>
      <c r="AB200" s="241"/>
      <c r="AC200" s="241"/>
      <c r="AD200" s="241"/>
      <c r="AE200" s="241"/>
      <c r="AF200" s="241"/>
      <c r="AG200" s="241"/>
      <c r="AH200" s="241"/>
      <c r="AI200" s="241"/>
      <c r="AJ200" s="241"/>
      <c r="AK200" s="1689"/>
      <c r="AL200" s="76"/>
      <c r="AM200" s="76"/>
      <c r="AN200" s="76"/>
      <c r="AO200" s="36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row>
    <row r="201" spans="2:86">
      <c r="B201" s="1689"/>
      <c r="C201" s="190" t="str">
        <f>IF(Source_2="","",Source_2)</f>
        <v>WHEDA Subordinate Loan 1</v>
      </c>
      <c r="D201" s="191" t="str">
        <f>IF('12. Funding Sources'!D12="","",'12. Funding Sources'!D12)</f>
        <v>WHEDA</v>
      </c>
      <c r="E201" s="236">
        <f>Amount_2</f>
        <v>0</v>
      </c>
      <c r="F201" s="236">
        <f t="shared" si="68"/>
        <v>0</v>
      </c>
      <c r="G201" s="241"/>
      <c r="H201" s="241"/>
      <c r="I201" s="241"/>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241"/>
      <c r="AF201" s="241"/>
      <c r="AG201" s="241"/>
      <c r="AH201" s="241"/>
      <c r="AI201" s="241"/>
      <c r="AJ201" s="241"/>
      <c r="AK201" s="1689"/>
      <c r="AL201" s="76"/>
      <c r="AM201" s="76"/>
      <c r="AN201" s="76"/>
      <c r="AO201" s="36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76"/>
      <c r="CD201" s="76"/>
      <c r="CE201" s="76"/>
      <c r="CF201" s="76"/>
      <c r="CG201" s="76"/>
      <c r="CH201" s="76"/>
    </row>
    <row r="202" spans="2:86">
      <c r="B202" s="1689"/>
      <c r="C202" s="190" t="str">
        <f>IF(Source_3="","",Source_3)</f>
        <v>WHEDA Subordinate Loan 2</v>
      </c>
      <c r="D202" s="191" t="str">
        <f>IF('12. Funding Sources'!D13="","",'12. Funding Sources'!D13)</f>
        <v>WHEDA</v>
      </c>
      <c r="E202" s="236">
        <f>Amount_3</f>
        <v>0</v>
      </c>
      <c r="F202" s="236">
        <f t="shared" si="68"/>
        <v>0</v>
      </c>
      <c r="G202" s="241"/>
      <c r="H202" s="241"/>
      <c r="I202" s="241"/>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1689"/>
      <c r="AL202" s="76"/>
      <c r="AM202" s="76"/>
      <c r="AN202" s="76"/>
      <c r="AO202" s="36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s="76"/>
      <c r="CD202" s="76"/>
      <c r="CE202" s="76"/>
      <c r="CF202" s="76"/>
      <c r="CG202" s="76"/>
      <c r="CH202" s="76"/>
    </row>
    <row r="203" spans="2:86">
      <c r="B203" s="1689"/>
      <c r="C203" s="190" t="str">
        <f>IF(Source_4="","",Source_4)</f>
        <v>WHEDA Subordinate Loan 3</v>
      </c>
      <c r="D203" s="191" t="str">
        <f>IF('12. Funding Sources'!D14="","",'12. Funding Sources'!D14)</f>
        <v>WHEDA</v>
      </c>
      <c r="E203" s="236">
        <f>Amount_4</f>
        <v>0</v>
      </c>
      <c r="F203" s="236">
        <f t="shared" si="68"/>
        <v>0</v>
      </c>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1689"/>
      <c r="AL203" s="76"/>
      <c r="AM203" s="76"/>
      <c r="AN203" s="76"/>
      <c r="AO203" s="36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s="76"/>
      <c r="CD203" s="76"/>
      <c r="CE203" s="76"/>
      <c r="CF203" s="76"/>
      <c r="CG203" s="76"/>
      <c r="CH203" s="76"/>
    </row>
    <row r="204" spans="2:86">
      <c r="B204" s="1689"/>
      <c r="C204" s="190" t="str">
        <f>IF(Source_5="","",Source_5)</f>
        <v>WHEDA TIF Loan</v>
      </c>
      <c r="D204" s="191" t="str">
        <f>IF('12. Funding Sources'!D15="","",'12. Funding Sources'!D15)</f>
        <v>WHEDA</v>
      </c>
      <c r="E204" s="236">
        <f>Amount_5</f>
        <v>0</v>
      </c>
      <c r="F204" s="236">
        <f t="shared" si="68"/>
        <v>0</v>
      </c>
      <c r="G204" s="241"/>
      <c r="H204" s="241"/>
      <c r="I204" s="241"/>
      <c r="J204" s="241"/>
      <c r="K204" s="241"/>
      <c r="L204" s="241"/>
      <c r="M204" s="241"/>
      <c r="N204" s="241"/>
      <c r="O204" s="241"/>
      <c r="P204" s="241"/>
      <c r="Q204" s="241"/>
      <c r="R204" s="241"/>
      <c r="S204" s="241"/>
      <c r="T204" s="241"/>
      <c r="U204" s="241"/>
      <c r="V204" s="241"/>
      <c r="W204" s="241"/>
      <c r="X204" s="241"/>
      <c r="Y204" s="241"/>
      <c r="Z204" s="241"/>
      <c r="AA204" s="241"/>
      <c r="AB204" s="241"/>
      <c r="AC204" s="241"/>
      <c r="AD204" s="241"/>
      <c r="AE204" s="241"/>
      <c r="AF204" s="241"/>
      <c r="AG204" s="241"/>
      <c r="AH204" s="241"/>
      <c r="AI204" s="241"/>
      <c r="AJ204" s="241"/>
      <c r="AK204" s="1689"/>
      <c r="AL204" s="76"/>
      <c r="AM204" s="76"/>
      <c r="AN204" s="76"/>
      <c r="AO204" s="36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76"/>
      <c r="CD204" s="76"/>
      <c r="CE204" s="76"/>
      <c r="CF204" s="76"/>
      <c r="CG204" s="76"/>
      <c r="CH204" s="76"/>
    </row>
    <row r="205" spans="2:86">
      <c r="B205" s="1689"/>
      <c r="C205" s="190" t="str">
        <f>IF(Source_6="","",Source_6)</f>
        <v>AHP Loan</v>
      </c>
      <c r="D205" s="191" t="str">
        <f>IF('12. Funding Sources'!D16="","",'12. Funding Sources'!D16)</f>
        <v>N/A for AHP</v>
      </c>
      <c r="E205" s="236">
        <f>Amount_6</f>
        <v>0</v>
      </c>
      <c r="F205" s="236">
        <f t="shared" si="68"/>
        <v>0</v>
      </c>
      <c r="G205" s="241"/>
      <c r="H205" s="241"/>
      <c r="I205" s="241"/>
      <c r="J205" s="241"/>
      <c r="K205" s="241"/>
      <c r="L205" s="241"/>
      <c r="M205" s="241"/>
      <c r="N205" s="241"/>
      <c r="O205" s="241"/>
      <c r="P205" s="241"/>
      <c r="Q205" s="241"/>
      <c r="R205" s="241"/>
      <c r="S205" s="241"/>
      <c r="T205" s="241"/>
      <c r="U205" s="241"/>
      <c r="V205" s="241"/>
      <c r="W205" s="241"/>
      <c r="X205" s="241"/>
      <c r="Y205" s="241"/>
      <c r="Z205" s="241"/>
      <c r="AA205" s="241"/>
      <c r="AB205" s="241"/>
      <c r="AC205" s="241"/>
      <c r="AD205" s="241"/>
      <c r="AE205" s="241"/>
      <c r="AF205" s="241"/>
      <c r="AG205" s="241"/>
      <c r="AH205" s="241"/>
      <c r="AI205" s="241"/>
      <c r="AJ205" s="241"/>
      <c r="AK205" s="1689"/>
      <c r="AL205" s="76"/>
      <c r="AM205" s="76"/>
      <c r="AN205" s="76"/>
      <c r="AO205" s="36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76"/>
      <c r="CD205" s="76"/>
      <c r="CE205" s="76"/>
      <c r="CF205" s="76"/>
      <c r="CG205" s="76"/>
      <c r="CH205" s="76"/>
    </row>
    <row r="206" spans="2:86">
      <c r="B206" s="1689"/>
      <c r="C206" s="190" t="str">
        <f>IF(Source_7="","",Source_7)</f>
        <v>HOME Loan</v>
      </c>
      <c r="D206" s="191" t="str">
        <f>IF('12. Funding Sources'!D17="","",'12. Funding Sources'!D17)</f>
        <v>Lender Name</v>
      </c>
      <c r="E206" s="236">
        <f>Amount_7</f>
        <v>0</v>
      </c>
      <c r="F206" s="236">
        <f t="shared" si="68"/>
        <v>0</v>
      </c>
      <c r="G206" s="241"/>
      <c r="H206" s="241"/>
      <c r="I206" s="241"/>
      <c r="J206" s="241"/>
      <c r="K206" s="241"/>
      <c r="L206" s="241"/>
      <c r="M206" s="241"/>
      <c r="N206" s="241"/>
      <c r="O206" s="241"/>
      <c r="P206" s="241"/>
      <c r="Q206" s="241"/>
      <c r="R206" s="241"/>
      <c r="S206" s="241"/>
      <c r="T206" s="241"/>
      <c r="U206" s="241"/>
      <c r="V206" s="241"/>
      <c r="W206" s="241"/>
      <c r="X206" s="241"/>
      <c r="Y206" s="241"/>
      <c r="Z206" s="241"/>
      <c r="AA206" s="241"/>
      <c r="AB206" s="241"/>
      <c r="AC206" s="241"/>
      <c r="AD206" s="241"/>
      <c r="AE206" s="241"/>
      <c r="AF206" s="241"/>
      <c r="AG206" s="241"/>
      <c r="AH206" s="241"/>
      <c r="AI206" s="241"/>
      <c r="AJ206" s="241"/>
      <c r="AK206" s="1689"/>
      <c r="AL206" s="76"/>
      <c r="AM206" s="76"/>
      <c r="AN206" s="76"/>
      <c r="AO206" s="36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c r="CH206" s="76"/>
    </row>
    <row r="207" spans="2:86">
      <c r="B207" s="1689"/>
      <c r="C207" s="190" t="str">
        <f>IF(Source_8="","",Source_8)</f>
        <v>Other</v>
      </c>
      <c r="D207" s="191" t="str">
        <f>IF('12. Funding Sources'!D18="","",'12. Funding Sources'!D18)</f>
        <v>Lender Name/Bond Issuer</v>
      </c>
      <c r="E207" s="236">
        <f>Amount_8</f>
        <v>0</v>
      </c>
      <c r="F207" s="236">
        <f t="shared" si="68"/>
        <v>0</v>
      </c>
      <c r="G207" s="241"/>
      <c r="H207" s="241"/>
      <c r="I207" s="241"/>
      <c r="J207" s="241"/>
      <c r="K207" s="241"/>
      <c r="L207" s="241"/>
      <c r="M207" s="241"/>
      <c r="N207" s="241"/>
      <c r="O207" s="241"/>
      <c r="P207" s="241"/>
      <c r="Q207" s="241"/>
      <c r="R207" s="241"/>
      <c r="S207" s="241"/>
      <c r="T207" s="241"/>
      <c r="U207" s="241"/>
      <c r="V207" s="241"/>
      <c r="W207" s="241"/>
      <c r="X207" s="241"/>
      <c r="Y207" s="241"/>
      <c r="Z207" s="241"/>
      <c r="AA207" s="241"/>
      <c r="AB207" s="241"/>
      <c r="AC207" s="241"/>
      <c r="AD207" s="241"/>
      <c r="AE207" s="241"/>
      <c r="AF207" s="241"/>
      <c r="AG207" s="241"/>
      <c r="AH207" s="241"/>
      <c r="AI207" s="241"/>
      <c r="AJ207" s="241"/>
      <c r="AK207" s="1689"/>
      <c r="AL207" s="76"/>
      <c r="AM207" s="76"/>
      <c r="AN207" s="76"/>
      <c r="AO207" s="36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s="76"/>
      <c r="CD207" s="76"/>
      <c r="CE207" s="76"/>
      <c r="CF207" s="76"/>
      <c r="CG207" s="76"/>
      <c r="CH207" s="76"/>
    </row>
    <row r="208" spans="2:86">
      <c r="B208" s="1689"/>
      <c r="C208" s="190" t="str">
        <f>IF(Source_9="","",Source_9)</f>
        <v>Other</v>
      </c>
      <c r="D208" s="191" t="str">
        <f>IF('12. Funding Sources'!D19="","",'12. Funding Sources'!D19)</f>
        <v>Lender Name/Bond Issuer</v>
      </c>
      <c r="E208" s="236">
        <f>Amount_9</f>
        <v>0</v>
      </c>
      <c r="F208" s="236">
        <f t="shared" si="68"/>
        <v>0</v>
      </c>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1"/>
      <c r="AD208" s="241"/>
      <c r="AE208" s="241"/>
      <c r="AF208" s="241"/>
      <c r="AG208" s="241"/>
      <c r="AH208" s="241"/>
      <c r="AI208" s="241"/>
      <c r="AJ208" s="241"/>
      <c r="AK208" s="1689"/>
      <c r="AL208" s="76"/>
      <c r="AM208" s="76"/>
      <c r="AN208" s="76"/>
      <c r="AO208" s="36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s="76"/>
      <c r="CD208" s="76"/>
      <c r="CE208" s="76"/>
      <c r="CF208" s="76"/>
      <c r="CG208" s="76"/>
      <c r="CH208" s="76"/>
    </row>
    <row r="209" spans="2:86">
      <c r="B209" s="1689"/>
      <c r="C209" s="190" t="str">
        <f>IF(Source_10="","",Source_10)</f>
        <v>Other</v>
      </c>
      <c r="D209" s="191" t="str">
        <f>IF('12. Funding Sources'!D20="","",'12. Funding Sources'!D20)</f>
        <v>Lender Name/Bond Issuer</v>
      </c>
      <c r="E209" s="236">
        <f>Amount_10</f>
        <v>0</v>
      </c>
      <c r="F209" s="236">
        <f t="shared" si="68"/>
        <v>0</v>
      </c>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s="241"/>
      <c r="AG209" s="241"/>
      <c r="AH209" s="241"/>
      <c r="AI209" s="241"/>
      <c r="AJ209" s="241"/>
      <c r="AK209" s="1689"/>
      <c r="AL209" s="76"/>
      <c r="AM209" s="76"/>
      <c r="AN209" s="76"/>
      <c r="AO209" s="36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c r="CH209" s="76"/>
    </row>
    <row r="210" spans="2:86">
      <c r="B210" s="1689"/>
      <c r="C210" s="1261" t="s">
        <v>4672</v>
      </c>
      <c r="D210" s="1261"/>
      <c r="E210" s="1261"/>
      <c r="F210" s="1261"/>
      <c r="G210" s="1360"/>
      <c r="H210" s="1360"/>
      <c r="I210" s="1360"/>
      <c r="J210" s="1360"/>
      <c r="K210" s="1360"/>
      <c r="L210" s="1360"/>
      <c r="M210" s="1360"/>
      <c r="N210" s="1360"/>
      <c r="O210" s="1360"/>
      <c r="P210" s="1360"/>
      <c r="Q210" s="1360"/>
      <c r="R210" s="1360"/>
      <c r="S210" s="1360"/>
      <c r="T210" s="1360"/>
      <c r="U210" s="1360"/>
      <c r="V210" s="1360"/>
      <c r="W210" s="1360"/>
      <c r="X210" s="1360"/>
      <c r="Y210" s="1360"/>
      <c r="Z210" s="1360"/>
      <c r="AA210" s="1360"/>
      <c r="AB210" s="1360"/>
      <c r="AC210" s="1360"/>
      <c r="AD210" s="1360"/>
      <c r="AE210" s="1360"/>
      <c r="AF210" s="1360"/>
      <c r="AG210" s="1360"/>
      <c r="AH210" s="1360"/>
      <c r="AI210" s="1360"/>
      <c r="AJ210" s="1360"/>
      <c r="AK210" s="1689"/>
      <c r="AL210" s="76"/>
      <c r="AM210" s="76"/>
      <c r="AN210" s="76"/>
      <c r="AO210" s="36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s="76"/>
      <c r="CD210" s="76"/>
      <c r="CE210" s="76"/>
      <c r="CF210" s="76"/>
      <c r="CG210" s="76"/>
      <c r="CH210" s="76"/>
    </row>
    <row r="211" spans="2:86">
      <c r="B211" s="1689"/>
      <c r="C211" s="190" t="str">
        <f>Grant_1</f>
        <v>HOME Grant</v>
      </c>
      <c r="D211" s="191" t="str">
        <f>'12. Funding Sources'!D29</f>
        <v>N/A for Home</v>
      </c>
      <c r="E211" s="236">
        <f>Grant_Amount_1</f>
        <v>0</v>
      </c>
      <c r="F211" s="236">
        <f t="shared" ref="F211:F217" si="69">+E211-SUM(G211:AJ211)</f>
        <v>0</v>
      </c>
      <c r="G211" s="241"/>
      <c r="H211" s="241"/>
      <c r="I211" s="241"/>
      <c r="J211" s="241"/>
      <c r="K211" s="241"/>
      <c r="L211" s="241"/>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1"/>
      <c r="AI211" s="241"/>
      <c r="AJ211" s="241"/>
      <c r="AK211" s="1689"/>
      <c r="AL211" s="76"/>
      <c r="AM211" s="76"/>
      <c r="AN211" s="76"/>
      <c r="AO211" s="36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s="76"/>
      <c r="CD211" s="76"/>
      <c r="CE211" s="76"/>
      <c r="CF211" s="76"/>
      <c r="CG211" s="76"/>
      <c r="CH211" s="76"/>
    </row>
    <row r="212" spans="2:86">
      <c r="B212" s="1689"/>
      <c r="C212" s="190" t="str">
        <f>Grant_2</f>
        <v>CDBG Grant</v>
      </c>
      <c r="D212" s="191" t="str">
        <f>'12. Funding Sources'!D30</f>
        <v>Specify Grantor</v>
      </c>
      <c r="E212" s="236">
        <f>Grant_Amount_2</f>
        <v>0</v>
      </c>
      <c r="F212" s="236">
        <f t="shared" si="69"/>
        <v>0</v>
      </c>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1689"/>
      <c r="AL212" s="76"/>
      <c r="AM212" s="76"/>
      <c r="AN212" s="76"/>
      <c r="AO212" s="36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s="76"/>
      <c r="CD212" s="76"/>
      <c r="CE212" s="76"/>
      <c r="CF212" s="76"/>
      <c r="CG212" s="76"/>
      <c r="CH212" s="76"/>
    </row>
    <row r="213" spans="2:86">
      <c r="B213" s="1689"/>
      <c r="C213" s="190" t="str">
        <f>Grant_3</f>
        <v>Other</v>
      </c>
      <c r="D213" s="191" t="str">
        <f>'12. Funding Sources'!D31</f>
        <v>Specify Grantor</v>
      </c>
      <c r="E213" s="236">
        <f>Grant_Amount_3</f>
        <v>0</v>
      </c>
      <c r="F213" s="236">
        <f t="shared" si="69"/>
        <v>0</v>
      </c>
      <c r="G213" s="241"/>
      <c r="H213" s="241"/>
      <c r="I213" s="241"/>
      <c r="J213" s="241"/>
      <c r="K213" s="241"/>
      <c r="L213" s="241"/>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1689"/>
      <c r="AL213" s="76"/>
      <c r="AM213" s="76"/>
      <c r="AN213" s="76"/>
      <c r="AO213" s="36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6"/>
      <c r="CH213" s="76"/>
    </row>
    <row r="214" spans="2:86">
      <c r="B214" s="1689"/>
      <c r="C214" s="190" t="str">
        <f>Grant_4</f>
        <v>Other</v>
      </c>
      <c r="D214" s="191" t="str">
        <f>'12. Funding Sources'!D32</f>
        <v>Specify Grantor</v>
      </c>
      <c r="E214" s="236">
        <f>Grant_Amount_4</f>
        <v>0</v>
      </c>
      <c r="F214" s="236">
        <f t="shared" si="69"/>
        <v>0</v>
      </c>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1689"/>
      <c r="AL214" s="76"/>
      <c r="AM214" s="76"/>
      <c r="AN214" s="76"/>
      <c r="AO214" s="36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s="76"/>
      <c r="CD214" s="76"/>
      <c r="CE214" s="76"/>
      <c r="CF214" s="76"/>
      <c r="CG214" s="76"/>
      <c r="CH214" s="76"/>
    </row>
    <row r="215" spans="2:86">
      <c r="B215" s="1689"/>
      <c r="C215" s="190" t="str">
        <f>Grant_5</f>
        <v>Other</v>
      </c>
      <c r="D215" s="191" t="str">
        <f>'12. Funding Sources'!D33</f>
        <v>Specify Grantor</v>
      </c>
      <c r="E215" s="236">
        <f>Grant_Amount_5</f>
        <v>0</v>
      </c>
      <c r="F215" s="236">
        <f t="shared" si="69"/>
        <v>0</v>
      </c>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1689"/>
      <c r="AL215" s="76"/>
      <c r="AM215" s="76"/>
      <c r="AN215" s="76"/>
      <c r="AO215" s="36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c r="CH215" s="76"/>
    </row>
    <row r="216" spans="2:86">
      <c r="B216" s="1689"/>
      <c r="C216" s="190" t="str">
        <f>Grant_6</f>
        <v>Other</v>
      </c>
      <c r="D216" s="191" t="str">
        <f>'12. Funding Sources'!D34</f>
        <v>Specify Grantor</v>
      </c>
      <c r="E216" s="236">
        <f>Grant_Amount_6</f>
        <v>0</v>
      </c>
      <c r="F216" s="236">
        <f t="shared" si="69"/>
        <v>0</v>
      </c>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1689"/>
      <c r="AL216" s="76"/>
      <c r="AM216" s="76"/>
      <c r="AN216" s="76"/>
      <c r="AO216" s="36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c r="CD216" s="76"/>
      <c r="CE216" s="76"/>
      <c r="CF216" s="76"/>
      <c r="CG216" s="76"/>
      <c r="CH216" s="76"/>
    </row>
    <row r="217" spans="2:86">
      <c r="B217" s="1689"/>
      <c r="C217" s="190" t="str">
        <f>Grant_7</f>
        <v>Other</v>
      </c>
      <c r="D217" s="191" t="str">
        <f>'12. Funding Sources'!D35</f>
        <v>Specify Grantor</v>
      </c>
      <c r="E217" s="236">
        <f>Grant_Amount_7</f>
        <v>0</v>
      </c>
      <c r="F217" s="236">
        <f t="shared" si="69"/>
        <v>0</v>
      </c>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c r="AF217" s="241"/>
      <c r="AG217" s="241"/>
      <c r="AH217" s="241"/>
      <c r="AI217" s="241"/>
      <c r="AJ217" s="241"/>
      <c r="AK217" s="1689"/>
      <c r="AL217" s="76"/>
      <c r="AM217" s="76"/>
      <c r="AN217" s="76"/>
      <c r="AO217" s="36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c r="CD217" s="76"/>
      <c r="CE217" s="76"/>
      <c r="CF217" s="76"/>
      <c r="CG217" s="76"/>
      <c r="CH217" s="76"/>
    </row>
    <row r="218" spans="2:86">
      <c r="B218" s="1689"/>
      <c r="C218" s="1261" t="s">
        <v>4673</v>
      </c>
      <c r="D218" s="1261"/>
      <c r="E218" s="1359"/>
      <c r="F218" s="1359"/>
      <c r="G218" s="1359"/>
      <c r="H218" s="1359"/>
      <c r="I218" s="1359"/>
      <c r="J218" s="1359"/>
      <c r="K218" s="1359"/>
      <c r="L218" s="1359"/>
      <c r="M218" s="1359"/>
      <c r="N218" s="1359"/>
      <c r="O218" s="1359"/>
      <c r="P218" s="1359"/>
      <c r="Q218" s="1359"/>
      <c r="R218" s="1359"/>
      <c r="S218" s="1359"/>
      <c r="T218" s="1359"/>
      <c r="U218" s="1359"/>
      <c r="V218" s="1359"/>
      <c r="W218" s="1359"/>
      <c r="X218" s="1359"/>
      <c r="Y218" s="1359"/>
      <c r="Z218" s="1359"/>
      <c r="AA218" s="1359"/>
      <c r="AB218" s="1359"/>
      <c r="AC218" s="1359"/>
      <c r="AD218" s="1359"/>
      <c r="AE218" s="1359"/>
      <c r="AF218" s="1359"/>
      <c r="AG218" s="1359"/>
      <c r="AH218" s="1359"/>
      <c r="AI218" s="1359"/>
      <c r="AJ218" s="1359"/>
      <c r="AK218" s="1689"/>
      <c r="AL218" s="76"/>
      <c r="AM218" s="76"/>
      <c r="AN218" s="76"/>
      <c r="AO218" s="36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row>
    <row r="219" spans="2:86" ht="16">
      <c r="B219" s="1689"/>
      <c r="C219" s="159" t="s">
        <v>3855</v>
      </c>
      <c r="D219" s="159"/>
      <c r="E219" s="188" t="s">
        <v>4658</v>
      </c>
      <c r="F219" s="188" t="s">
        <v>4651</v>
      </c>
      <c r="G219" s="188" t="str">
        <f t="shared" ref="G219:AJ219" si="70">G198</f>
        <v>Draw #1</v>
      </c>
      <c r="H219" s="188" t="str">
        <f t="shared" si="70"/>
        <v>Draw #2</v>
      </c>
      <c r="I219" s="188" t="str">
        <f t="shared" si="70"/>
        <v>Draw #3</v>
      </c>
      <c r="J219" s="188" t="str">
        <f t="shared" si="70"/>
        <v>Draw #4</v>
      </c>
      <c r="K219" s="188" t="str">
        <f t="shared" si="70"/>
        <v>Draw #5</v>
      </c>
      <c r="L219" s="188" t="str">
        <f t="shared" si="70"/>
        <v>Draw #6</v>
      </c>
      <c r="M219" s="188" t="str">
        <f t="shared" si="70"/>
        <v>Draw #7</v>
      </c>
      <c r="N219" s="188" t="str">
        <f t="shared" si="70"/>
        <v>Draw #8</v>
      </c>
      <c r="O219" s="188" t="str">
        <f t="shared" si="70"/>
        <v>Draw #9</v>
      </c>
      <c r="P219" s="188" t="str">
        <f t="shared" si="70"/>
        <v>Draw #10</v>
      </c>
      <c r="Q219" s="188" t="str">
        <f t="shared" si="70"/>
        <v>Draw #11</v>
      </c>
      <c r="R219" s="188" t="str">
        <f t="shared" si="70"/>
        <v>Draw #12</v>
      </c>
      <c r="S219" s="188" t="str">
        <f t="shared" si="70"/>
        <v>Draw #13</v>
      </c>
      <c r="T219" s="188" t="str">
        <f t="shared" si="70"/>
        <v>Draw #14</v>
      </c>
      <c r="U219" s="188" t="str">
        <f t="shared" si="70"/>
        <v>Draw #15</v>
      </c>
      <c r="V219" s="188" t="str">
        <f t="shared" si="70"/>
        <v>Draw #16</v>
      </c>
      <c r="W219" s="188" t="str">
        <f t="shared" si="70"/>
        <v>Draw #17</v>
      </c>
      <c r="X219" s="188" t="str">
        <f t="shared" si="70"/>
        <v>Draw #18</v>
      </c>
      <c r="Y219" s="188" t="str">
        <f t="shared" si="70"/>
        <v>Draw $19</v>
      </c>
      <c r="Z219" s="188" t="str">
        <f t="shared" si="70"/>
        <v>Draw #20</v>
      </c>
      <c r="AA219" s="188" t="str">
        <f t="shared" si="70"/>
        <v>Draw #21</v>
      </c>
      <c r="AB219" s="188" t="str">
        <f t="shared" si="70"/>
        <v>Draw #22</v>
      </c>
      <c r="AC219" s="188" t="str">
        <f t="shared" si="70"/>
        <v>Draw #23</v>
      </c>
      <c r="AD219" s="188" t="str">
        <f t="shared" si="70"/>
        <v>Draw #24</v>
      </c>
      <c r="AE219" s="188" t="str">
        <f t="shared" si="70"/>
        <v>Draw #25</v>
      </c>
      <c r="AF219" s="188" t="str">
        <f t="shared" si="70"/>
        <v>Draw #26</v>
      </c>
      <c r="AG219" s="188" t="str">
        <f t="shared" si="70"/>
        <v>Draw #26</v>
      </c>
      <c r="AH219" s="188" t="str">
        <f t="shared" si="70"/>
        <v>Draw #28</v>
      </c>
      <c r="AI219" s="188" t="str">
        <f t="shared" si="70"/>
        <v>Draw #29</v>
      </c>
      <c r="AJ219" s="188" t="str">
        <f t="shared" si="70"/>
        <v>Draw #30</v>
      </c>
      <c r="AK219" s="1689"/>
      <c r="AL219" s="76"/>
      <c r="AM219" s="76"/>
      <c r="AN219" s="76"/>
      <c r="AO219" s="36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c r="CH219" s="76"/>
    </row>
    <row r="220" spans="2:86">
      <c r="B220" s="1689"/>
      <c r="C220" s="190" t="str">
        <f>'12. Funding Sources'!C44</f>
        <v>Federal Housing Tax Credit Equity</v>
      </c>
      <c r="D220" s="191" t="str">
        <f>'12. Funding Sources'!D44</f>
        <v>Specify Investor</v>
      </c>
      <c r="E220" s="236">
        <f>'12. Funding Sources'!E44</f>
        <v>0</v>
      </c>
      <c r="F220" s="236">
        <f>+E220-SUM(G220:AJ220)</f>
        <v>0</v>
      </c>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1689"/>
      <c r="AL220" s="76"/>
      <c r="AM220" s="76"/>
      <c r="AN220" s="76"/>
      <c r="AO220" s="36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s="76"/>
      <c r="CD220" s="76"/>
      <c r="CE220" s="76"/>
      <c r="CF220" s="76"/>
      <c r="CG220" s="76"/>
      <c r="CH220" s="76"/>
    </row>
    <row r="221" spans="2:86">
      <c r="B221" s="1689"/>
      <c r="C221" s="190" t="str">
        <f>'12. Funding Sources'!C45</f>
        <v>Federal Historic Tax Credit Equity</v>
      </c>
      <c r="D221" s="191" t="str">
        <f>'12. Funding Sources'!D45</f>
        <v>Specify Investor</v>
      </c>
      <c r="E221" s="236">
        <f>'12. Funding Sources'!E45</f>
        <v>0</v>
      </c>
      <c r="F221" s="236">
        <f t="shared" ref="F221:F226" si="71">+E221-SUM(G221:AJ221)</f>
        <v>0</v>
      </c>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1689"/>
      <c r="AL221" s="76"/>
      <c r="AM221" s="76"/>
      <c r="AN221" s="76"/>
      <c r="AO221" s="36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s="76"/>
      <c r="CD221" s="76"/>
      <c r="CE221" s="76"/>
      <c r="CF221" s="76"/>
      <c r="CG221" s="76"/>
      <c r="CH221" s="76"/>
    </row>
    <row r="222" spans="2:86">
      <c r="B222" s="1689"/>
      <c r="C222" s="190" t="str">
        <f>'12. Funding Sources'!C46</f>
        <v>State Housing Tax Credit Equity</v>
      </c>
      <c r="D222" s="191" t="str">
        <f>'12. Funding Sources'!D46</f>
        <v>Specify Investor</v>
      </c>
      <c r="E222" s="236">
        <f>'12. Funding Sources'!E46</f>
        <v>0</v>
      </c>
      <c r="F222" s="236">
        <f t="shared" si="71"/>
        <v>0</v>
      </c>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1689"/>
      <c r="AL222" s="76"/>
      <c r="AM222" s="76"/>
      <c r="AN222" s="76"/>
      <c r="AO222" s="36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c r="CH222" s="76"/>
    </row>
    <row r="223" spans="2:86">
      <c r="B223" s="1689"/>
      <c r="C223" s="190" t="str">
        <f>'12. Funding Sources'!C47</f>
        <v>State Historic Tax Credit Equity</v>
      </c>
      <c r="D223" s="191" t="str">
        <f>'12. Funding Sources'!D47</f>
        <v>Specify Investor</v>
      </c>
      <c r="E223" s="236">
        <f>'12. Funding Sources'!E47</f>
        <v>0</v>
      </c>
      <c r="F223" s="236">
        <f t="shared" si="71"/>
        <v>0</v>
      </c>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1689"/>
      <c r="AL223" s="76"/>
      <c r="AM223" s="76"/>
      <c r="AN223" s="76"/>
      <c r="AO223" s="36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c r="CD223" s="76"/>
      <c r="CE223" s="76"/>
      <c r="CF223" s="76"/>
      <c r="CG223" s="76"/>
      <c r="CH223" s="76"/>
    </row>
    <row r="224" spans="2:86">
      <c r="B224" s="1689"/>
      <c r="C224" s="190" t="str">
        <f>'12. Funding Sources'!C48</f>
        <v>Deferred Developer Fees</v>
      </c>
      <c r="D224" s="191" t="str">
        <f>'12. Funding Sources'!D48</f>
        <v>Specify Investor</v>
      </c>
      <c r="E224" s="236">
        <f>'12. Funding Sources'!E48</f>
        <v>0</v>
      </c>
      <c r="F224" s="236">
        <f t="shared" si="71"/>
        <v>0</v>
      </c>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241"/>
      <c r="AF224" s="241"/>
      <c r="AG224" s="241"/>
      <c r="AH224" s="241"/>
      <c r="AI224" s="241"/>
      <c r="AJ224" s="241"/>
      <c r="AK224" s="1689"/>
      <c r="AL224" s="76"/>
      <c r="AM224" s="76"/>
      <c r="AN224" s="76"/>
      <c r="AO224" s="36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s="76"/>
      <c r="CD224" s="76"/>
      <c r="CE224" s="76"/>
      <c r="CF224" s="76"/>
      <c r="CG224" s="76"/>
      <c r="CH224" s="76"/>
    </row>
    <row r="225" spans="2:86">
      <c r="B225" s="1689"/>
      <c r="C225" s="190" t="str">
        <f>'12. Funding Sources'!C49</f>
        <v>Owner Investment</v>
      </c>
      <c r="D225" s="191" t="str">
        <f>'12. Funding Sources'!D49</f>
        <v>Specify Investor</v>
      </c>
      <c r="E225" s="236">
        <f>'12. Funding Sources'!E49</f>
        <v>0</v>
      </c>
      <c r="F225" s="236">
        <f t="shared" si="71"/>
        <v>0</v>
      </c>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1689"/>
      <c r="AL225" s="76"/>
      <c r="AM225" s="76"/>
      <c r="AN225" s="76"/>
      <c r="AO225" s="36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s="76"/>
      <c r="CD225" s="76"/>
      <c r="CE225" s="76"/>
      <c r="CF225" s="76"/>
      <c r="CG225" s="76"/>
      <c r="CH225" s="76"/>
    </row>
    <row r="226" spans="2:86">
      <c r="B226" s="1689"/>
      <c r="C226" s="190" t="str">
        <f>'12. Funding Sources'!C50</f>
        <v>Other</v>
      </c>
      <c r="D226" s="191" t="str">
        <f>'12. Funding Sources'!D50</f>
        <v>Specify Investor</v>
      </c>
      <c r="E226" s="236">
        <f>'12. Funding Sources'!E50</f>
        <v>0</v>
      </c>
      <c r="F226" s="236">
        <f t="shared" si="71"/>
        <v>0</v>
      </c>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c r="AC226" s="241"/>
      <c r="AD226" s="241"/>
      <c r="AE226" s="241"/>
      <c r="AF226" s="241"/>
      <c r="AG226" s="241"/>
      <c r="AH226" s="241"/>
      <c r="AI226" s="241"/>
      <c r="AJ226" s="241"/>
      <c r="AK226" s="1689"/>
      <c r="AL226" s="76"/>
      <c r="AM226" s="76"/>
      <c r="AN226" s="76"/>
      <c r="AO226" s="36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c r="CD226" s="76"/>
      <c r="CE226" s="76"/>
      <c r="CF226" s="76"/>
      <c r="CG226" s="76"/>
      <c r="CH226" s="76"/>
    </row>
    <row r="227" spans="2:86">
      <c r="B227" s="1689"/>
      <c r="C227" s="771"/>
      <c r="D227" s="771"/>
      <c r="E227" s="786"/>
      <c r="F227" s="786"/>
      <c r="G227" s="786"/>
      <c r="H227" s="786"/>
      <c r="I227" s="786"/>
      <c r="J227" s="786"/>
      <c r="K227" s="786"/>
      <c r="L227" s="786"/>
      <c r="M227" s="786"/>
      <c r="N227" s="786"/>
      <c r="O227" s="786"/>
      <c r="P227" s="786"/>
      <c r="Q227" s="786"/>
      <c r="R227" s="786"/>
      <c r="S227" s="786"/>
      <c r="T227" s="786"/>
      <c r="U227" s="786"/>
      <c r="V227" s="786"/>
      <c r="W227" s="786"/>
      <c r="X227" s="786"/>
      <c r="Y227" s="786"/>
      <c r="Z227" s="786"/>
      <c r="AA227" s="786"/>
      <c r="AB227" s="786"/>
      <c r="AC227" s="786"/>
      <c r="AD227" s="786"/>
      <c r="AE227" s="786"/>
      <c r="AF227" s="786"/>
      <c r="AG227" s="786"/>
      <c r="AH227" s="786"/>
      <c r="AI227" s="786"/>
      <c r="AJ227" s="786"/>
      <c r="AK227" s="1689"/>
      <c r="AL227" s="76"/>
      <c r="AM227" s="76"/>
      <c r="AN227" s="76"/>
      <c r="AO227" s="36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c r="CD227" s="76"/>
      <c r="CE227" s="76"/>
      <c r="CF227" s="76"/>
      <c r="CG227" s="76"/>
      <c r="CH227" s="76"/>
    </row>
    <row r="228" spans="2:86" ht="19">
      <c r="B228" s="1689"/>
      <c r="C228" s="785" t="s">
        <v>4674</v>
      </c>
      <c r="D228" s="785"/>
      <c r="E228" s="166">
        <f>SUM(E220:E226)+SUM(E211:E217)+SUM(E200:E209)+E186</f>
        <v>0</v>
      </c>
      <c r="F228" s="181">
        <f t="shared" ref="F228:F229" si="72">+E228-SUM(G228:AJ228)</f>
        <v>0</v>
      </c>
      <c r="G228" s="166">
        <f>SUM(G220:G226)+SUM(G211:G217)+SUM(G200:G209)+G186</f>
        <v>0</v>
      </c>
      <c r="H228" s="166">
        <f t="shared" ref="H228:AJ228" si="73">SUM(H220:H226)+SUM(H211:H217)+SUM(H200:H209)+H186</f>
        <v>0</v>
      </c>
      <c r="I228" s="166">
        <f t="shared" si="73"/>
        <v>0</v>
      </c>
      <c r="J228" s="166">
        <f t="shared" si="73"/>
        <v>0</v>
      </c>
      <c r="K228" s="166">
        <f t="shared" si="73"/>
        <v>0</v>
      </c>
      <c r="L228" s="166">
        <f t="shared" si="73"/>
        <v>0</v>
      </c>
      <c r="M228" s="166">
        <f t="shared" si="73"/>
        <v>0</v>
      </c>
      <c r="N228" s="166">
        <f t="shared" si="73"/>
        <v>0</v>
      </c>
      <c r="O228" s="166">
        <f t="shared" si="73"/>
        <v>0</v>
      </c>
      <c r="P228" s="166">
        <f t="shared" si="73"/>
        <v>0</v>
      </c>
      <c r="Q228" s="166">
        <f t="shared" si="73"/>
        <v>0</v>
      </c>
      <c r="R228" s="166">
        <f t="shared" si="73"/>
        <v>0</v>
      </c>
      <c r="S228" s="166">
        <f t="shared" si="73"/>
        <v>0</v>
      </c>
      <c r="T228" s="166">
        <f t="shared" si="73"/>
        <v>0</v>
      </c>
      <c r="U228" s="166">
        <f t="shared" si="73"/>
        <v>0</v>
      </c>
      <c r="V228" s="166">
        <f t="shared" si="73"/>
        <v>0</v>
      </c>
      <c r="W228" s="166">
        <f t="shared" si="73"/>
        <v>0</v>
      </c>
      <c r="X228" s="166">
        <f t="shared" si="73"/>
        <v>0</v>
      </c>
      <c r="Y228" s="166">
        <f t="shared" si="73"/>
        <v>0</v>
      </c>
      <c r="Z228" s="166">
        <f t="shared" si="73"/>
        <v>0</v>
      </c>
      <c r="AA228" s="166">
        <f t="shared" si="73"/>
        <v>0</v>
      </c>
      <c r="AB228" s="166">
        <f t="shared" si="73"/>
        <v>0</v>
      </c>
      <c r="AC228" s="166">
        <f t="shared" si="73"/>
        <v>0</v>
      </c>
      <c r="AD228" s="166">
        <f t="shared" si="73"/>
        <v>0</v>
      </c>
      <c r="AE228" s="166">
        <f t="shared" si="73"/>
        <v>0</v>
      </c>
      <c r="AF228" s="166">
        <f t="shared" si="73"/>
        <v>0</v>
      </c>
      <c r="AG228" s="166">
        <f t="shared" si="73"/>
        <v>0</v>
      </c>
      <c r="AH228" s="166">
        <f t="shared" si="73"/>
        <v>0</v>
      </c>
      <c r="AI228" s="166">
        <f t="shared" si="73"/>
        <v>0</v>
      </c>
      <c r="AJ228" s="166">
        <f t="shared" si="73"/>
        <v>0</v>
      </c>
      <c r="AK228" s="1689"/>
      <c r="AL228" s="76"/>
      <c r="AM228" s="76"/>
      <c r="AN228" s="76"/>
      <c r="AO228" s="36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row>
    <row r="229" spans="2:86" ht="19" hidden="1">
      <c r="B229" s="1689"/>
      <c r="C229" s="785" t="s">
        <v>4675</v>
      </c>
      <c r="D229" s="785"/>
      <c r="E229" s="166">
        <f>SUM(E200:E226)</f>
        <v>0</v>
      </c>
      <c r="F229" s="181">
        <f t="shared" si="72"/>
        <v>0</v>
      </c>
      <c r="G229" s="166">
        <f>SUM(G200:G226)</f>
        <v>0</v>
      </c>
      <c r="H229" s="166">
        <f t="shared" ref="H229:AJ229" si="74">SUM(H200:H226)</f>
        <v>0</v>
      </c>
      <c r="I229" s="166">
        <f t="shared" si="74"/>
        <v>0</v>
      </c>
      <c r="J229" s="166">
        <f t="shared" si="74"/>
        <v>0</v>
      </c>
      <c r="K229" s="166">
        <f t="shared" si="74"/>
        <v>0</v>
      </c>
      <c r="L229" s="166">
        <f t="shared" si="74"/>
        <v>0</v>
      </c>
      <c r="M229" s="166">
        <f t="shared" si="74"/>
        <v>0</v>
      </c>
      <c r="N229" s="166">
        <f t="shared" si="74"/>
        <v>0</v>
      </c>
      <c r="O229" s="166">
        <f t="shared" si="74"/>
        <v>0</v>
      </c>
      <c r="P229" s="166">
        <f t="shared" si="74"/>
        <v>0</v>
      </c>
      <c r="Q229" s="166">
        <f t="shared" si="74"/>
        <v>0</v>
      </c>
      <c r="R229" s="166">
        <f t="shared" si="74"/>
        <v>0</v>
      </c>
      <c r="S229" s="166">
        <f t="shared" si="74"/>
        <v>0</v>
      </c>
      <c r="T229" s="166">
        <f t="shared" si="74"/>
        <v>0</v>
      </c>
      <c r="U229" s="166">
        <f t="shared" si="74"/>
        <v>0</v>
      </c>
      <c r="V229" s="166">
        <f t="shared" si="74"/>
        <v>0</v>
      </c>
      <c r="W229" s="166">
        <f t="shared" si="74"/>
        <v>0</v>
      </c>
      <c r="X229" s="166">
        <f t="shared" si="74"/>
        <v>0</v>
      </c>
      <c r="Y229" s="166">
        <f t="shared" si="74"/>
        <v>0</v>
      </c>
      <c r="Z229" s="166">
        <f t="shared" si="74"/>
        <v>0</v>
      </c>
      <c r="AA229" s="166">
        <f t="shared" si="74"/>
        <v>0</v>
      </c>
      <c r="AB229" s="166">
        <f t="shared" si="74"/>
        <v>0</v>
      </c>
      <c r="AC229" s="166">
        <f t="shared" si="74"/>
        <v>0</v>
      </c>
      <c r="AD229" s="166">
        <f t="shared" si="74"/>
        <v>0</v>
      </c>
      <c r="AE229" s="166">
        <f t="shared" si="74"/>
        <v>0</v>
      </c>
      <c r="AF229" s="166">
        <f t="shared" si="74"/>
        <v>0</v>
      </c>
      <c r="AG229" s="166">
        <f t="shared" si="74"/>
        <v>0</v>
      </c>
      <c r="AH229" s="166">
        <f t="shared" si="74"/>
        <v>0</v>
      </c>
      <c r="AI229" s="166">
        <f t="shared" si="74"/>
        <v>0</v>
      </c>
      <c r="AJ229" s="166">
        <f t="shared" si="74"/>
        <v>0</v>
      </c>
      <c r="AK229" s="1689"/>
      <c r="AL229" s="76"/>
      <c r="AM229" s="76"/>
      <c r="AN229" s="76"/>
      <c r="AO229" s="36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c r="CD229" s="76"/>
      <c r="CE229" s="76"/>
      <c r="CF229" s="76"/>
      <c r="CG229" s="76"/>
      <c r="CH229" s="76"/>
    </row>
    <row r="230" spans="2:86" ht="19">
      <c r="B230" s="1689"/>
      <c r="C230" s="785"/>
      <c r="D230" s="787" t="s">
        <v>4676</v>
      </c>
      <c r="E230" s="193">
        <f>+E171-E229</f>
        <v>0</v>
      </c>
      <c r="F230" s="787"/>
      <c r="G230" s="193">
        <f>G171-G228</f>
        <v>0</v>
      </c>
      <c r="H230" s="193">
        <f t="shared" ref="H230:AJ230" si="75">+H171-H228</f>
        <v>0</v>
      </c>
      <c r="I230" s="193">
        <f t="shared" si="75"/>
        <v>0</v>
      </c>
      <c r="J230" s="193">
        <f t="shared" si="75"/>
        <v>0</v>
      </c>
      <c r="K230" s="193">
        <f t="shared" si="75"/>
        <v>0</v>
      </c>
      <c r="L230" s="193">
        <f t="shared" si="75"/>
        <v>0</v>
      </c>
      <c r="M230" s="193">
        <f t="shared" si="75"/>
        <v>0</v>
      </c>
      <c r="N230" s="193">
        <f t="shared" si="75"/>
        <v>0</v>
      </c>
      <c r="O230" s="193">
        <f t="shared" si="75"/>
        <v>0</v>
      </c>
      <c r="P230" s="193">
        <f t="shared" si="75"/>
        <v>0</v>
      </c>
      <c r="Q230" s="193">
        <f t="shared" si="75"/>
        <v>0</v>
      </c>
      <c r="R230" s="193">
        <f t="shared" si="75"/>
        <v>0</v>
      </c>
      <c r="S230" s="193">
        <f t="shared" si="75"/>
        <v>0</v>
      </c>
      <c r="T230" s="193">
        <f t="shared" si="75"/>
        <v>0</v>
      </c>
      <c r="U230" s="193">
        <f t="shared" si="75"/>
        <v>0</v>
      </c>
      <c r="V230" s="193">
        <f t="shared" si="75"/>
        <v>0</v>
      </c>
      <c r="W230" s="193">
        <f t="shared" si="75"/>
        <v>0</v>
      </c>
      <c r="X230" s="193">
        <f t="shared" si="75"/>
        <v>0</v>
      </c>
      <c r="Y230" s="193">
        <f t="shared" si="75"/>
        <v>0</v>
      </c>
      <c r="Z230" s="193">
        <f t="shared" si="75"/>
        <v>0</v>
      </c>
      <c r="AA230" s="193">
        <f t="shared" si="75"/>
        <v>0</v>
      </c>
      <c r="AB230" s="193">
        <f t="shared" si="75"/>
        <v>0</v>
      </c>
      <c r="AC230" s="193">
        <f t="shared" si="75"/>
        <v>0</v>
      </c>
      <c r="AD230" s="193">
        <f t="shared" si="75"/>
        <v>0</v>
      </c>
      <c r="AE230" s="193">
        <f t="shared" si="75"/>
        <v>0</v>
      </c>
      <c r="AF230" s="193">
        <f t="shared" si="75"/>
        <v>0</v>
      </c>
      <c r="AG230" s="193">
        <f t="shared" si="75"/>
        <v>0</v>
      </c>
      <c r="AH230" s="193">
        <f t="shared" si="75"/>
        <v>0</v>
      </c>
      <c r="AI230" s="193">
        <f t="shared" si="75"/>
        <v>0</v>
      </c>
      <c r="AJ230" s="193">
        <f t="shared" si="75"/>
        <v>0</v>
      </c>
      <c r="AK230" s="1689"/>
      <c r="AL230" s="76"/>
      <c r="AM230" s="76"/>
      <c r="AN230" s="76"/>
      <c r="AO230" s="36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c r="CH230" s="76"/>
    </row>
    <row r="231" spans="2:86">
      <c r="B231" s="1689"/>
      <c r="C231" s="771"/>
      <c r="D231" s="182" t="s">
        <v>4677</v>
      </c>
      <c r="E231" s="183"/>
      <c r="F231" s="184"/>
      <c r="G231" s="184">
        <f>F231+G228</f>
        <v>0</v>
      </c>
      <c r="H231" s="184">
        <f t="shared" ref="H231:AJ231" si="76">G231+H228</f>
        <v>0</v>
      </c>
      <c r="I231" s="184">
        <f t="shared" si="76"/>
        <v>0</v>
      </c>
      <c r="J231" s="184">
        <f t="shared" si="76"/>
        <v>0</v>
      </c>
      <c r="K231" s="184">
        <f t="shared" si="76"/>
        <v>0</v>
      </c>
      <c r="L231" s="184">
        <f t="shared" si="76"/>
        <v>0</v>
      </c>
      <c r="M231" s="184">
        <f t="shared" si="76"/>
        <v>0</v>
      </c>
      <c r="N231" s="184">
        <f t="shared" si="76"/>
        <v>0</v>
      </c>
      <c r="O231" s="184">
        <f t="shared" si="76"/>
        <v>0</v>
      </c>
      <c r="P231" s="184">
        <f t="shared" si="76"/>
        <v>0</v>
      </c>
      <c r="Q231" s="184">
        <f t="shared" si="76"/>
        <v>0</v>
      </c>
      <c r="R231" s="184">
        <f t="shared" si="76"/>
        <v>0</v>
      </c>
      <c r="S231" s="184">
        <f t="shared" si="76"/>
        <v>0</v>
      </c>
      <c r="T231" s="184">
        <f t="shared" si="76"/>
        <v>0</v>
      </c>
      <c r="U231" s="184">
        <f t="shared" si="76"/>
        <v>0</v>
      </c>
      <c r="V231" s="184">
        <f t="shared" si="76"/>
        <v>0</v>
      </c>
      <c r="W231" s="184">
        <f t="shared" si="76"/>
        <v>0</v>
      </c>
      <c r="X231" s="184">
        <f t="shared" si="76"/>
        <v>0</v>
      </c>
      <c r="Y231" s="184">
        <f t="shared" si="76"/>
        <v>0</v>
      </c>
      <c r="Z231" s="184">
        <f t="shared" si="76"/>
        <v>0</v>
      </c>
      <c r="AA231" s="184">
        <f t="shared" si="76"/>
        <v>0</v>
      </c>
      <c r="AB231" s="184">
        <f t="shared" si="76"/>
        <v>0</v>
      </c>
      <c r="AC231" s="184">
        <f t="shared" si="76"/>
        <v>0</v>
      </c>
      <c r="AD231" s="184">
        <f t="shared" si="76"/>
        <v>0</v>
      </c>
      <c r="AE231" s="184">
        <f t="shared" si="76"/>
        <v>0</v>
      </c>
      <c r="AF231" s="184">
        <f t="shared" si="76"/>
        <v>0</v>
      </c>
      <c r="AG231" s="184">
        <f t="shared" si="76"/>
        <v>0</v>
      </c>
      <c r="AH231" s="184">
        <f t="shared" si="76"/>
        <v>0</v>
      </c>
      <c r="AI231" s="184">
        <f t="shared" si="76"/>
        <v>0</v>
      </c>
      <c r="AJ231" s="184">
        <f t="shared" si="76"/>
        <v>0</v>
      </c>
      <c r="AK231" s="1689"/>
      <c r="AL231" s="76"/>
      <c r="AM231" s="76"/>
      <c r="AN231" s="76"/>
      <c r="AO231" s="36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c r="CH231" s="76"/>
    </row>
    <row r="232" spans="2:86">
      <c r="B232" s="1689"/>
      <c r="C232" s="1689"/>
      <c r="D232" s="1689"/>
      <c r="E232" s="1350"/>
      <c r="F232" s="1350"/>
      <c r="G232" s="1350"/>
      <c r="H232" s="1350"/>
      <c r="I232" s="1350"/>
      <c r="J232" s="1350"/>
      <c r="K232" s="1350"/>
      <c r="L232" s="1350"/>
      <c r="M232" s="1350"/>
      <c r="N232" s="1350"/>
      <c r="O232" s="1350"/>
      <c r="P232" s="1350"/>
      <c r="Q232" s="1350"/>
      <c r="R232" s="1350"/>
      <c r="S232" s="1350"/>
      <c r="T232" s="1350"/>
      <c r="U232" s="1350"/>
      <c r="V232" s="1350"/>
      <c r="W232" s="1350"/>
      <c r="X232" s="1350"/>
      <c r="Y232" s="1350"/>
      <c r="Z232" s="1350"/>
      <c r="AA232" s="1350"/>
      <c r="AB232" s="1350"/>
      <c r="AC232" s="1350"/>
      <c r="AD232" s="1350"/>
      <c r="AE232" s="1350"/>
      <c r="AF232" s="1350"/>
      <c r="AG232" s="1350"/>
      <c r="AH232" s="1350"/>
      <c r="AI232" s="1350"/>
      <c r="AJ232" s="1350"/>
      <c r="AK232" s="1689"/>
      <c r="AL232" s="76"/>
      <c r="AM232" s="76"/>
      <c r="AN232" s="76"/>
      <c r="AO232" s="36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s="76"/>
      <c r="CD232" s="76"/>
      <c r="CE232" s="76"/>
      <c r="CF232" s="76"/>
      <c r="CG232" s="76"/>
      <c r="CH232" s="76"/>
    </row>
    <row r="233" spans="2:86" hidden="1">
      <c r="B233" s="1689"/>
      <c r="C233" s="1353" t="s">
        <v>4678</v>
      </c>
      <c r="D233" s="1354" t="s">
        <v>2605</v>
      </c>
      <c r="E233" s="1355">
        <f>Construction_Rate_1</f>
        <v>0</v>
      </c>
      <c r="F233" s="1356"/>
      <c r="G233" s="1356"/>
      <c r="H233" s="1357">
        <v>0</v>
      </c>
      <c r="I233" s="1357">
        <f>SUM($G178:H178)*$E233/12</f>
        <v>0</v>
      </c>
      <c r="J233" s="1357">
        <f>SUM($G178:I178)*$E233/12</f>
        <v>0</v>
      </c>
      <c r="K233" s="1357">
        <f>SUM($G178:J178)*$E233/12</f>
        <v>0</v>
      </c>
      <c r="L233" s="1357">
        <f>SUM($G178:K178)*$E233/12</f>
        <v>0</v>
      </c>
      <c r="M233" s="1357">
        <f>SUM($G178:L178)*$E233/12</f>
        <v>0</v>
      </c>
      <c r="N233" s="1357">
        <f>SUM($G178:M178)*$E233/12</f>
        <v>0</v>
      </c>
      <c r="O233" s="1357">
        <f>SUM($G178:N178)*$E233/12</f>
        <v>0</v>
      </c>
      <c r="P233" s="1357">
        <f>SUM($G178:O178)*$E233/12</f>
        <v>0</v>
      </c>
      <c r="Q233" s="1357">
        <f>SUM($G178:P178)*$E233/12</f>
        <v>0</v>
      </c>
      <c r="R233" s="1357">
        <f>SUM($G178:Q178)*$E233/12</f>
        <v>0</v>
      </c>
      <c r="S233" s="1357">
        <f>SUM($G178:R178)*$E233/12</f>
        <v>0</v>
      </c>
      <c r="T233" s="1357">
        <f>SUM($G178:S178)*$E233/12</f>
        <v>0</v>
      </c>
      <c r="U233" s="1357">
        <f>SUM($G178:T178)*$E233/12</f>
        <v>0</v>
      </c>
      <c r="V233" s="1357">
        <f>SUM($G178:U178)*$E233/12</f>
        <v>0</v>
      </c>
      <c r="W233" s="1357">
        <f>SUM($G178:V178)*$E233/12</f>
        <v>0</v>
      </c>
      <c r="X233" s="1357">
        <f>SUM($G178:W178)*$E233/12</f>
        <v>0</v>
      </c>
      <c r="Y233" s="1357">
        <f>SUM($G178:X178)*$E233/12</f>
        <v>0</v>
      </c>
      <c r="Z233" s="1357">
        <f>SUM($G178:Y178)*$E233/12</f>
        <v>0</v>
      </c>
      <c r="AA233" s="1357">
        <f>SUM($G178:Z178)*$E233/12</f>
        <v>0</v>
      </c>
      <c r="AB233" s="1357">
        <f>SUM($G178:AA178)*$E233/12</f>
        <v>0</v>
      </c>
      <c r="AC233" s="1357">
        <f>SUM($G178:AB178)*$E233/12</f>
        <v>0</v>
      </c>
      <c r="AD233" s="1357">
        <f>SUM($G178:AC178)*$E233/12</f>
        <v>0</v>
      </c>
      <c r="AE233" s="1357">
        <f>SUM($G178:AD178)*$E233/12</f>
        <v>0</v>
      </c>
      <c r="AF233" s="1357">
        <f>SUM($G178:AE178)*$E233/12</f>
        <v>0</v>
      </c>
      <c r="AG233" s="1357">
        <f>SUM($G178:AF178)*$E233/12</f>
        <v>0</v>
      </c>
      <c r="AH233" s="1357">
        <f>SUM($G178:AG178)*$E233/12</f>
        <v>0</v>
      </c>
      <c r="AI233" s="1357">
        <f>SUM($G178:AH178)*$E233/12</f>
        <v>0</v>
      </c>
      <c r="AJ233" s="1357">
        <f>SUM($G178:AI178)*$E233/12</f>
        <v>0</v>
      </c>
      <c r="AK233" s="1689"/>
      <c r="AL233" s="76"/>
      <c r="AM233" s="76"/>
      <c r="AN233" s="76"/>
      <c r="AO233" s="36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s="76"/>
      <c r="CD233" s="76"/>
      <c r="CE233" s="76"/>
      <c r="CF233" s="76"/>
      <c r="CG233" s="76"/>
      <c r="CH233" s="76"/>
    </row>
    <row r="234" spans="2:86" hidden="1">
      <c r="B234" s="1689"/>
      <c r="C234" s="1353" t="s">
        <v>4679</v>
      </c>
      <c r="D234" s="1354" t="s">
        <v>2605</v>
      </c>
      <c r="E234" s="1355">
        <f>Construction_Rate_2</f>
        <v>0</v>
      </c>
      <c r="F234" s="1356"/>
      <c r="G234" s="1356"/>
      <c r="H234" s="1357">
        <f>SUM($G179:G179)*$E234/12</f>
        <v>0</v>
      </c>
      <c r="I234" s="1357">
        <f>SUM($G179:H179)*$E234/12</f>
        <v>0</v>
      </c>
      <c r="J234" s="1357">
        <f>SUM($G179:I179)*$E234/12</f>
        <v>0</v>
      </c>
      <c r="K234" s="1357">
        <f>SUM($G179:J179)*$E234/12</f>
        <v>0</v>
      </c>
      <c r="L234" s="1357">
        <f>SUM($G179:K179)*$E234/12</f>
        <v>0</v>
      </c>
      <c r="M234" s="1357">
        <f>SUM($G179:L179)*$E234/12</f>
        <v>0</v>
      </c>
      <c r="N234" s="1357">
        <f>SUM($G179:M179)*$E234/12</f>
        <v>0</v>
      </c>
      <c r="O234" s="1357">
        <f>SUM($G179:N179)*$E234/12</f>
        <v>0</v>
      </c>
      <c r="P234" s="1357">
        <f>SUM($G179:O179)*$E234/12</f>
        <v>0</v>
      </c>
      <c r="Q234" s="1357">
        <f>SUM($G179:P179)*$E234/12</f>
        <v>0</v>
      </c>
      <c r="R234" s="1357">
        <f>SUM($G179:Q179)*$E234/12</f>
        <v>0</v>
      </c>
      <c r="S234" s="1357">
        <f>SUM($G179:R179)*$E234/12</f>
        <v>0</v>
      </c>
      <c r="T234" s="1357">
        <f>SUM($G179:S179)*$E234/12</f>
        <v>0</v>
      </c>
      <c r="U234" s="1357">
        <f>SUM($G179:T179)*$E234/12</f>
        <v>0</v>
      </c>
      <c r="V234" s="1357">
        <f>SUM($G179:U179)*$E234/12</f>
        <v>0</v>
      </c>
      <c r="W234" s="1357">
        <f>SUM($G179:V179)*$E234/12</f>
        <v>0</v>
      </c>
      <c r="X234" s="1357">
        <f>SUM($G179:W179)*$E234/12</f>
        <v>0</v>
      </c>
      <c r="Y234" s="1357">
        <f>SUM($G179:X179)*$E234/12</f>
        <v>0</v>
      </c>
      <c r="Z234" s="1357">
        <f>SUM($G179:Y179)*$E234/12</f>
        <v>0</v>
      </c>
      <c r="AA234" s="1357">
        <f>SUM($G179:Z179)*$E234/12</f>
        <v>0</v>
      </c>
      <c r="AB234" s="1357">
        <f>SUM($G179:AA179)*$E234/12</f>
        <v>0</v>
      </c>
      <c r="AC234" s="1357">
        <f>SUM($G179:AB179)*$E234/12</f>
        <v>0</v>
      </c>
      <c r="AD234" s="1357">
        <f>SUM($G179:AC179)*$E234/12</f>
        <v>0</v>
      </c>
      <c r="AE234" s="1357">
        <f>SUM($G179:AD179)*$E234/12</f>
        <v>0</v>
      </c>
      <c r="AF234" s="1357">
        <f>SUM($G179:AE179)*$E234/12</f>
        <v>0</v>
      </c>
      <c r="AG234" s="1357">
        <f>SUM($G179:AF179)*$E234/12</f>
        <v>0</v>
      </c>
      <c r="AH234" s="1357">
        <f>SUM($G179:AG179)*$E234/12</f>
        <v>0</v>
      </c>
      <c r="AI234" s="1357">
        <f>SUM($G179:AH179)*$E234/12</f>
        <v>0</v>
      </c>
      <c r="AJ234" s="1357">
        <f>SUM($G179:AI179)*$E234/12</f>
        <v>0</v>
      </c>
      <c r="AK234" s="1689"/>
      <c r="AL234" s="76"/>
      <c r="AM234" s="76"/>
      <c r="AN234" s="76"/>
      <c r="AO234" s="36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s="76"/>
      <c r="CD234" s="76"/>
      <c r="CE234" s="76"/>
      <c r="CF234" s="76"/>
      <c r="CG234" s="76"/>
      <c r="CH234" s="76"/>
    </row>
    <row r="235" spans="2:86" hidden="1">
      <c r="B235" s="1689"/>
      <c r="C235" s="1353" t="s">
        <v>4680</v>
      </c>
      <c r="D235" s="1354" t="s">
        <v>2605</v>
      </c>
      <c r="E235" s="1355">
        <f>Construction_Rate_3</f>
        <v>0</v>
      </c>
      <c r="F235" s="1356"/>
      <c r="G235" s="1356"/>
      <c r="H235" s="1357">
        <f>SUM($G180:G180)*$E235/12</f>
        <v>0</v>
      </c>
      <c r="I235" s="1357">
        <f>SUM($G180:H180)*$E235/12</f>
        <v>0</v>
      </c>
      <c r="J235" s="1357">
        <f>SUM($G180:I180)*$E235/12</f>
        <v>0</v>
      </c>
      <c r="K235" s="1357">
        <f>SUM($G180:J180)*$E235/12</f>
        <v>0</v>
      </c>
      <c r="L235" s="1357">
        <f>SUM($G180:K180)*$E235/12</f>
        <v>0</v>
      </c>
      <c r="M235" s="1357">
        <f>SUM($G180:L180)*$E235/12</f>
        <v>0</v>
      </c>
      <c r="N235" s="1357">
        <f>SUM($G180:M180)*$E235/12</f>
        <v>0</v>
      </c>
      <c r="O235" s="1357">
        <f>SUM($G180:N180)*$E235/12</f>
        <v>0</v>
      </c>
      <c r="P235" s="1357">
        <f>SUM($G180:O180)*$E235/12</f>
        <v>0</v>
      </c>
      <c r="Q235" s="1357">
        <f>SUM($G180:P180)*$E235/12</f>
        <v>0</v>
      </c>
      <c r="R235" s="1357">
        <f>SUM($G180:Q180)*$E235/12</f>
        <v>0</v>
      </c>
      <c r="S235" s="1357">
        <f>SUM($G180:R180)*$E235/12</f>
        <v>0</v>
      </c>
      <c r="T235" s="1357">
        <f>SUM($G180:S180)*$E235/12</f>
        <v>0</v>
      </c>
      <c r="U235" s="1357">
        <f>SUM($G180:T180)*$E235/12</f>
        <v>0</v>
      </c>
      <c r="V235" s="1357">
        <f>SUM($G180:U180)*$E235/12</f>
        <v>0</v>
      </c>
      <c r="W235" s="1357">
        <f>SUM($G180:V180)*$E235/12</f>
        <v>0</v>
      </c>
      <c r="X235" s="1357">
        <f>SUM($G180:W180)*$E235/12</f>
        <v>0</v>
      </c>
      <c r="Y235" s="1357">
        <f>SUM($G180:X180)*$E235/12</f>
        <v>0</v>
      </c>
      <c r="Z235" s="1357">
        <f>SUM($G180:Y180)*$E235/12</f>
        <v>0</v>
      </c>
      <c r="AA235" s="1357">
        <f>SUM($G180:Z180)*$E235/12</f>
        <v>0</v>
      </c>
      <c r="AB235" s="1357">
        <f>SUM($G180:AA180)*$E235/12</f>
        <v>0</v>
      </c>
      <c r="AC235" s="1357">
        <f>SUM($G180:AB180)*$E235/12</f>
        <v>0</v>
      </c>
      <c r="AD235" s="1357">
        <f>SUM($G180:AC180)*$E235/12</f>
        <v>0</v>
      </c>
      <c r="AE235" s="1357">
        <f>SUM($G180:AD180)*$E235/12</f>
        <v>0</v>
      </c>
      <c r="AF235" s="1357">
        <f>SUM($G180:AE180)*$E235/12</f>
        <v>0</v>
      </c>
      <c r="AG235" s="1357">
        <f>SUM($G180:AF180)*$E235/12</f>
        <v>0</v>
      </c>
      <c r="AH235" s="1357">
        <f>SUM($G180:AG180)*$E235/12</f>
        <v>0</v>
      </c>
      <c r="AI235" s="1357">
        <f>SUM($G180:AH180)*$E235/12</f>
        <v>0</v>
      </c>
      <c r="AJ235" s="1357">
        <f>SUM($G180:AI180)*$E235/12</f>
        <v>0</v>
      </c>
      <c r="AK235" s="1689"/>
      <c r="AL235" s="76"/>
      <c r="AM235" s="76"/>
      <c r="AN235" s="76"/>
      <c r="AO235" s="36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s="76"/>
      <c r="CD235" s="76"/>
      <c r="CE235" s="76"/>
      <c r="CF235" s="76"/>
      <c r="CG235" s="76"/>
      <c r="CH235" s="76"/>
    </row>
    <row r="236" spans="2:86" hidden="1">
      <c r="B236" s="1689"/>
      <c r="C236" s="1353" t="s">
        <v>4681</v>
      </c>
      <c r="D236" s="1354" t="s">
        <v>2605</v>
      </c>
      <c r="E236" s="1355">
        <f>Construction_Rate_4</f>
        <v>0</v>
      </c>
      <c r="F236" s="1356"/>
      <c r="G236" s="1356"/>
      <c r="H236" s="1357">
        <f>SUM($G181:G181)*$E236/12</f>
        <v>0</v>
      </c>
      <c r="I236" s="1357">
        <f>SUM($G181:H181)*$E236/12</f>
        <v>0</v>
      </c>
      <c r="J236" s="1357">
        <f>SUM($G181:I181)*$E236/12</f>
        <v>0</v>
      </c>
      <c r="K236" s="1357">
        <f>SUM($G181:J181)*$E236/12</f>
        <v>0</v>
      </c>
      <c r="L236" s="1357">
        <f>SUM($G181:K181)*$E236/12</f>
        <v>0</v>
      </c>
      <c r="M236" s="1357">
        <f>SUM($G181:L181)*$E236/12</f>
        <v>0</v>
      </c>
      <c r="N236" s="1357">
        <f>SUM($G181:M181)*$E236/12</f>
        <v>0</v>
      </c>
      <c r="O236" s="1357">
        <f>SUM($G181:N181)*$E236/12</f>
        <v>0</v>
      </c>
      <c r="P236" s="1357">
        <f>SUM($G181:O181)*$E236/12</f>
        <v>0</v>
      </c>
      <c r="Q236" s="1357">
        <f>SUM($G181:P181)*$E236/12</f>
        <v>0</v>
      </c>
      <c r="R236" s="1357">
        <f>SUM($G181:Q181)*$E236/12</f>
        <v>0</v>
      </c>
      <c r="S236" s="1357">
        <f>SUM($G181:R181)*$E236/12</f>
        <v>0</v>
      </c>
      <c r="T236" s="1357">
        <f>SUM($G181:S181)*$E236/12</f>
        <v>0</v>
      </c>
      <c r="U236" s="1357">
        <f>SUM($G181:T181)*$E236/12</f>
        <v>0</v>
      </c>
      <c r="V236" s="1357">
        <f>SUM($G181:U181)*$E236/12</f>
        <v>0</v>
      </c>
      <c r="W236" s="1357">
        <f>SUM($G181:V181)*$E236/12</f>
        <v>0</v>
      </c>
      <c r="X236" s="1357">
        <f>SUM($G181:W181)*$E236/12</f>
        <v>0</v>
      </c>
      <c r="Y236" s="1357">
        <f>SUM($G181:X181)*$E236/12</f>
        <v>0</v>
      </c>
      <c r="Z236" s="1357">
        <f>SUM($G181:Y181)*$E236/12</f>
        <v>0</v>
      </c>
      <c r="AA236" s="1357">
        <f>SUM($G181:Z181)*$E236/12</f>
        <v>0</v>
      </c>
      <c r="AB236" s="1357">
        <f>SUM($G181:AA181)*$E236/12</f>
        <v>0</v>
      </c>
      <c r="AC236" s="1357">
        <f>SUM($G181:AB181)*$E236/12</f>
        <v>0</v>
      </c>
      <c r="AD236" s="1357">
        <f>SUM($G181:AC181)*$E236/12</f>
        <v>0</v>
      </c>
      <c r="AE236" s="1357">
        <f>SUM($G181:AD181)*$E236/12</f>
        <v>0</v>
      </c>
      <c r="AF236" s="1357">
        <f>SUM($G181:AE181)*$E236/12</f>
        <v>0</v>
      </c>
      <c r="AG236" s="1357">
        <f>SUM($G181:AF181)*$E236/12</f>
        <v>0</v>
      </c>
      <c r="AH236" s="1357">
        <f>SUM($G181:AG181)*$E236/12</f>
        <v>0</v>
      </c>
      <c r="AI236" s="1357">
        <f>SUM($G181:AH181)*$E236/12</f>
        <v>0</v>
      </c>
      <c r="AJ236" s="1357">
        <f>SUM($G181:AI181)*$E236/12</f>
        <v>0</v>
      </c>
      <c r="AK236" s="1689"/>
      <c r="AL236" s="76"/>
      <c r="AM236" s="76"/>
      <c r="AN236" s="76"/>
      <c r="AO236" s="36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s="76"/>
      <c r="CD236" s="76"/>
      <c r="CE236" s="76"/>
      <c r="CF236" s="76"/>
      <c r="CG236" s="76"/>
      <c r="CH236" s="76"/>
    </row>
    <row r="237" spans="2:86" hidden="1">
      <c r="B237" s="1689"/>
      <c r="C237" s="1353" t="s">
        <v>4682</v>
      </c>
      <c r="D237" s="1354" t="s">
        <v>2605</v>
      </c>
      <c r="E237" s="1355">
        <f>Construction_Rate_5</f>
        <v>0</v>
      </c>
      <c r="F237" s="1356"/>
      <c r="G237" s="1356"/>
      <c r="H237" s="1357">
        <f>SUM($G182:G182)*$E237/12</f>
        <v>0</v>
      </c>
      <c r="I237" s="1357">
        <f>SUM($G182:H182)*$E237/12</f>
        <v>0</v>
      </c>
      <c r="J237" s="1357">
        <f>SUM($G182:I182)*$E237/12</f>
        <v>0</v>
      </c>
      <c r="K237" s="1357">
        <f>SUM($G182:J182)*$E237/12</f>
        <v>0</v>
      </c>
      <c r="L237" s="1357">
        <f>SUM($G182:K182)*$E237/12</f>
        <v>0</v>
      </c>
      <c r="M237" s="1357">
        <f>SUM($G182:L182)*$E237/12</f>
        <v>0</v>
      </c>
      <c r="N237" s="1357">
        <f>SUM($G182:M182)*$E237/12</f>
        <v>0</v>
      </c>
      <c r="O237" s="1357">
        <f>SUM($G182:N182)*$E237/12</f>
        <v>0</v>
      </c>
      <c r="P237" s="1357">
        <f>SUM($G182:O182)*$E237/12</f>
        <v>0</v>
      </c>
      <c r="Q237" s="1357">
        <f>SUM($G182:P182)*$E237/12</f>
        <v>0</v>
      </c>
      <c r="R237" s="1357">
        <f>SUM($G182:Q182)*$E237/12</f>
        <v>0</v>
      </c>
      <c r="S237" s="1357">
        <f>SUM($G182:R182)*$E237/12</f>
        <v>0</v>
      </c>
      <c r="T237" s="1357">
        <f>SUM($G182:S182)*$E237/12</f>
        <v>0</v>
      </c>
      <c r="U237" s="1357">
        <f>SUM($G182:T182)*$E237/12</f>
        <v>0</v>
      </c>
      <c r="V237" s="1357">
        <f>SUM($G182:U182)*$E237/12</f>
        <v>0</v>
      </c>
      <c r="W237" s="1357">
        <f>SUM($G182:V182)*$E237/12</f>
        <v>0</v>
      </c>
      <c r="X237" s="1357">
        <f>SUM($G182:W182)*$E237/12</f>
        <v>0</v>
      </c>
      <c r="Y237" s="1357">
        <f>SUM($G182:X182)*$E237/12</f>
        <v>0</v>
      </c>
      <c r="Z237" s="1357">
        <f>SUM($G182:Y182)*$E237/12</f>
        <v>0</v>
      </c>
      <c r="AA237" s="1357">
        <f>SUM($G182:Z182)*$E237/12</f>
        <v>0</v>
      </c>
      <c r="AB237" s="1357">
        <f>SUM($G182:AA182)*$E237/12</f>
        <v>0</v>
      </c>
      <c r="AC237" s="1357">
        <f>SUM($G182:AB182)*$E237/12</f>
        <v>0</v>
      </c>
      <c r="AD237" s="1357">
        <f>SUM($G182:AC182)*$E237/12</f>
        <v>0</v>
      </c>
      <c r="AE237" s="1357">
        <f>SUM($G182:AD182)*$E237/12</f>
        <v>0</v>
      </c>
      <c r="AF237" s="1357">
        <f>SUM($G182:AE182)*$E237/12</f>
        <v>0</v>
      </c>
      <c r="AG237" s="1357">
        <f>SUM($G182:AF182)*$E237/12</f>
        <v>0</v>
      </c>
      <c r="AH237" s="1357">
        <f>SUM($G182:AG182)*$E237/12</f>
        <v>0</v>
      </c>
      <c r="AI237" s="1357">
        <f>SUM($G182:AH182)*$E237/12</f>
        <v>0</v>
      </c>
      <c r="AJ237" s="1357">
        <f>SUM($G182:AI182)*$E237/12</f>
        <v>0</v>
      </c>
      <c r="AK237" s="1689"/>
      <c r="AL237" s="76"/>
      <c r="AM237" s="76"/>
      <c r="AN237" s="76"/>
      <c r="AO237" s="36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c r="CH237" s="76"/>
    </row>
    <row r="238" spans="2:86" hidden="1">
      <c r="B238" s="1689"/>
      <c r="C238" s="1353" t="s">
        <v>4683</v>
      </c>
      <c r="D238" s="1358">
        <v>1</v>
      </c>
      <c r="E238" s="1356"/>
      <c r="F238" s="1356"/>
      <c r="G238" s="1356"/>
      <c r="H238" s="1356"/>
      <c r="I238" s="1356"/>
      <c r="J238" s="1356"/>
      <c r="K238" s="1356"/>
      <c r="L238" s="1356"/>
      <c r="M238" s="1356"/>
      <c r="N238" s="1356"/>
      <c r="O238" s="1356"/>
      <c r="P238" s="1356"/>
      <c r="Q238" s="1356"/>
      <c r="R238" s="1356"/>
      <c r="S238" s="1356"/>
      <c r="T238" s="1356"/>
      <c r="U238" s="1356"/>
      <c r="V238" s="1356"/>
      <c r="W238" s="1356"/>
      <c r="X238" s="1356"/>
      <c r="Y238" s="1356"/>
      <c r="Z238" s="1356"/>
      <c r="AA238" s="1356"/>
      <c r="AB238" s="1356"/>
      <c r="AC238" s="1356"/>
      <c r="AD238" s="1356"/>
      <c r="AE238" s="1356"/>
      <c r="AF238" s="1356"/>
      <c r="AG238" s="1356"/>
      <c r="AH238" s="1356"/>
      <c r="AI238" s="1356"/>
      <c r="AJ238" s="1356"/>
      <c r="AK238" s="1689"/>
      <c r="AL238" s="76"/>
      <c r="AM238" s="76"/>
      <c r="AN238" s="76"/>
      <c r="AO238" s="36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s="76"/>
      <c r="CD238" s="76"/>
      <c r="CE238" s="76"/>
      <c r="CF238" s="76"/>
      <c r="CG238" s="76"/>
      <c r="CH238" s="76"/>
    </row>
    <row r="239" spans="2:86" hidden="1">
      <c r="B239" s="1689"/>
      <c r="C239" s="1353" t="s">
        <v>4684</v>
      </c>
      <c r="D239" s="1358">
        <v>1</v>
      </c>
      <c r="E239" s="1356"/>
      <c r="F239" s="1356"/>
      <c r="G239" s="1356"/>
      <c r="H239" s="1356"/>
      <c r="I239" s="1356"/>
      <c r="J239" s="1356"/>
      <c r="K239" s="1356"/>
      <c r="L239" s="1356"/>
      <c r="M239" s="1356"/>
      <c r="N239" s="1356"/>
      <c r="O239" s="1356"/>
      <c r="P239" s="1356"/>
      <c r="Q239" s="1356"/>
      <c r="R239" s="1356"/>
      <c r="S239" s="1356"/>
      <c r="T239" s="1356"/>
      <c r="U239" s="1356"/>
      <c r="V239" s="1356"/>
      <c r="W239" s="1356"/>
      <c r="X239" s="1356"/>
      <c r="Y239" s="1356"/>
      <c r="Z239" s="1356"/>
      <c r="AA239" s="1356"/>
      <c r="AB239" s="1356"/>
      <c r="AC239" s="1356"/>
      <c r="AD239" s="1356"/>
      <c r="AE239" s="1356"/>
      <c r="AF239" s="1356"/>
      <c r="AG239" s="1356"/>
      <c r="AH239" s="1356"/>
      <c r="AI239" s="1356"/>
      <c r="AJ239" s="1356"/>
      <c r="AK239" s="1689"/>
      <c r="AL239" s="76"/>
      <c r="AM239" s="76"/>
      <c r="AN239" s="76"/>
      <c r="AO239" s="36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row>
    <row r="240" spans="2:86" hidden="1">
      <c r="B240" s="1689"/>
      <c r="C240" s="1353" t="s">
        <v>4685</v>
      </c>
      <c r="D240" s="1358">
        <v>1</v>
      </c>
      <c r="E240" s="1356"/>
      <c r="F240" s="1356"/>
      <c r="G240" s="1356"/>
      <c r="H240" s="1356"/>
      <c r="I240" s="1356"/>
      <c r="J240" s="1356"/>
      <c r="K240" s="1356"/>
      <c r="L240" s="1356"/>
      <c r="M240" s="1356"/>
      <c r="N240" s="1356"/>
      <c r="O240" s="1356"/>
      <c r="P240" s="1356"/>
      <c r="Q240" s="1356"/>
      <c r="R240" s="1356"/>
      <c r="S240" s="1356"/>
      <c r="T240" s="1356"/>
      <c r="U240" s="1356"/>
      <c r="V240" s="1356"/>
      <c r="W240" s="1356"/>
      <c r="X240" s="1356"/>
      <c r="Y240" s="1356"/>
      <c r="Z240" s="1356"/>
      <c r="AA240" s="1356"/>
      <c r="AB240" s="1356"/>
      <c r="AC240" s="1356"/>
      <c r="AD240" s="1356"/>
      <c r="AE240" s="1356"/>
      <c r="AF240" s="1356"/>
      <c r="AG240" s="1356"/>
      <c r="AH240" s="1356"/>
      <c r="AI240" s="1356"/>
      <c r="AJ240" s="1356"/>
      <c r="AK240" s="1689"/>
      <c r="AL240" s="76"/>
      <c r="AM240" s="76"/>
      <c r="AN240" s="76"/>
      <c r="AO240" s="36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s="76"/>
      <c r="CD240" s="76"/>
      <c r="CE240" s="76"/>
      <c r="CF240" s="76"/>
      <c r="CG240" s="76"/>
      <c r="CH240" s="76"/>
    </row>
    <row r="241" spans="2:86" hidden="1">
      <c r="B241" s="1689"/>
      <c r="C241" s="1353" t="s">
        <v>4686</v>
      </c>
      <c r="D241" s="1358">
        <v>1</v>
      </c>
      <c r="E241" s="1356"/>
      <c r="F241" s="1356"/>
      <c r="G241" s="1356"/>
      <c r="H241" s="1356"/>
      <c r="I241" s="1356"/>
      <c r="J241" s="1356"/>
      <c r="K241" s="1356"/>
      <c r="L241" s="1356"/>
      <c r="M241" s="1356"/>
      <c r="N241" s="1356"/>
      <c r="O241" s="1356"/>
      <c r="P241" s="1356"/>
      <c r="Q241" s="1356"/>
      <c r="R241" s="1356"/>
      <c r="S241" s="1356"/>
      <c r="T241" s="1356"/>
      <c r="U241" s="1356"/>
      <c r="V241" s="1356"/>
      <c r="W241" s="1356"/>
      <c r="X241" s="1356"/>
      <c r="Y241" s="1356"/>
      <c r="Z241" s="1356"/>
      <c r="AA241" s="1356"/>
      <c r="AB241" s="1356"/>
      <c r="AC241" s="1356"/>
      <c r="AD241" s="1356"/>
      <c r="AE241" s="1356"/>
      <c r="AF241" s="1356"/>
      <c r="AG241" s="1356"/>
      <c r="AH241" s="1356"/>
      <c r="AI241" s="1356"/>
      <c r="AJ241" s="1356"/>
      <c r="AK241" s="1689"/>
      <c r="AL241" s="76"/>
      <c r="AM241" s="76"/>
      <c r="AN241" s="76"/>
      <c r="AO241" s="36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s="76"/>
      <c r="CD241" s="76"/>
      <c r="CE241" s="76"/>
      <c r="CF241" s="76"/>
      <c r="CG241" s="76"/>
      <c r="CH241" s="76"/>
    </row>
    <row r="242" spans="2:86" hidden="1">
      <c r="B242" s="1689"/>
      <c r="C242" s="1353" t="s">
        <v>4687</v>
      </c>
      <c r="D242" s="1358">
        <v>1</v>
      </c>
      <c r="E242" s="1356"/>
      <c r="F242" s="1356"/>
      <c r="G242" s="1356"/>
      <c r="H242" s="1356"/>
      <c r="I242" s="1356"/>
      <c r="J242" s="1356"/>
      <c r="K242" s="1356"/>
      <c r="L242" s="1356"/>
      <c r="M242" s="1356"/>
      <c r="N242" s="1356"/>
      <c r="O242" s="1356"/>
      <c r="P242" s="1356"/>
      <c r="Q242" s="1356"/>
      <c r="R242" s="1356"/>
      <c r="S242" s="1356"/>
      <c r="T242" s="1356"/>
      <c r="U242" s="1356"/>
      <c r="V242" s="1356"/>
      <c r="W242" s="1356"/>
      <c r="X242" s="1356"/>
      <c r="Y242" s="1356"/>
      <c r="Z242" s="1356"/>
      <c r="AA242" s="1356"/>
      <c r="AB242" s="1356"/>
      <c r="AC242" s="1356"/>
      <c r="AD242" s="1356"/>
      <c r="AE242" s="1356"/>
      <c r="AF242" s="1356"/>
      <c r="AG242" s="1356"/>
      <c r="AH242" s="1356"/>
      <c r="AI242" s="1356"/>
      <c r="AJ242" s="1356"/>
      <c r="AK242" s="1689"/>
      <c r="AL242" s="76"/>
      <c r="AM242" s="76"/>
      <c r="AN242" s="76"/>
      <c r="AO242" s="36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s="76"/>
      <c r="CD242" s="76"/>
      <c r="CE242" s="76"/>
      <c r="CF242" s="76"/>
      <c r="CG242" s="76"/>
      <c r="CH242" s="76"/>
    </row>
    <row r="243" spans="2:86" hidden="1">
      <c r="B243" s="1689"/>
      <c r="C243" s="1353" t="s">
        <v>4688</v>
      </c>
      <c r="D243" s="1358"/>
      <c r="E243" s="1356"/>
      <c r="F243" s="1356"/>
      <c r="G243" s="1356"/>
      <c r="H243" s="1356"/>
      <c r="I243" s="1356"/>
      <c r="J243" s="1356"/>
      <c r="K243" s="1356"/>
      <c r="L243" s="1356"/>
      <c r="M243" s="1356"/>
      <c r="N243" s="1356"/>
      <c r="O243" s="1356"/>
      <c r="P243" s="1356"/>
      <c r="Q243" s="1356"/>
      <c r="R243" s="1356"/>
      <c r="S243" s="1356"/>
      <c r="T243" s="1356"/>
      <c r="U243" s="1356"/>
      <c r="V243" s="1356"/>
      <c r="W243" s="1356"/>
      <c r="X243" s="1356"/>
      <c r="Y243" s="1356"/>
      <c r="Z243" s="1356"/>
      <c r="AA243" s="1356"/>
      <c r="AB243" s="1356"/>
      <c r="AC243" s="1356"/>
      <c r="AD243" s="1356"/>
      <c r="AE243" s="1356"/>
      <c r="AF243" s="1356"/>
      <c r="AG243" s="1356"/>
      <c r="AH243" s="1356"/>
      <c r="AI243" s="1356"/>
      <c r="AJ243" s="1356"/>
      <c r="AK243" s="1689"/>
      <c r="AL243" s="76"/>
      <c r="AM243" s="76"/>
      <c r="AN243" s="76"/>
      <c r="AO243" s="36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row>
    <row r="244" spans="2:86">
      <c r="B244" s="1689"/>
      <c r="C244" s="1689"/>
      <c r="D244" s="1689"/>
      <c r="E244" s="1350"/>
      <c r="F244" s="1350"/>
      <c r="G244" s="1350"/>
      <c r="H244" s="1350"/>
      <c r="I244" s="1350"/>
      <c r="J244" s="1350"/>
      <c r="K244" s="1350"/>
      <c r="L244" s="1350"/>
      <c r="M244" s="1350"/>
      <c r="N244" s="1350"/>
      <c r="O244" s="1350"/>
      <c r="P244" s="1350"/>
      <c r="Q244" s="1350"/>
      <c r="R244" s="1350"/>
      <c r="S244" s="1350"/>
      <c r="T244" s="1350"/>
      <c r="U244" s="1350"/>
      <c r="V244" s="1350"/>
      <c r="W244" s="1350"/>
      <c r="X244" s="1350"/>
      <c r="Y244" s="1350"/>
      <c r="Z244" s="1350"/>
      <c r="AA244" s="1350"/>
      <c r="AB244" s="1350"/>
      <c r="AC244" s="1350"/>
      <c r="AD244" s="1350"/>
      <c r="AE244" s="1350"/>
      <c r="AF244" s="1350"/>
      <c r="AG244" s="1350"/>
      <c r="AH244" s="1350"/>
      <c r="AI244" s="1350"/>
      <c r="AJ244" s="1350"/>
      <c r="AK244" s="1689"/>
      <c r="AL244" s="76"/>
      <c r="AM244" s="76"/>
      <c r="AN244" s="76"/>
      <c r="AO244" s="36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s="76"/>
      <c r="CD244" s="76"/>
      <c r="CE244" s="76"/>
      <c r="CF244" s="76"/>
      <c r="CG244" s="76"/>
      <c r="CH244" s="76"/>
    </row>
    <row r="245" spans="2:86" ht="16">
      <c r="B245" s="1689"/>
      <c r="C245" s="195" t="s">
        <v>4689</v>
      </c>
      <c r="D245" s="196"/>
      <c r="E245" s="196"/>
      <c r="F245" s="196"/>
      <c r="G245" s="188" t="str">
        <f t="shared" ref="G245:AJ245" si="77">+G13</f>
        <v>Draw #1</v>
      </c>
      <c r="H245" s="188" t="str">
        <f t="shared" si="77"/>
        <v>Draw #2</v>
      </c>
      <c r="I245" s="188" t="str">
        <f t="shared" si="77"/>
        <v>Draw #3</v>
      </c>
      <c r="J245" s="188" t="str">
        <f t="shared" si="77"/>
        <v>Draw #4</v>
      </c>
      <c r="K245" s="188" t="str">
        <f t="shared" si="77"/>
        <v>Draw #5</v>
      </c>
      <c r="L245" s="188" t="str">
        <f t="shared" si="77"/>
        <v>Draw #6</v>
      </c>
      <c r="M245" s="188" t="str">
        <f t="shared" si="77"/>
        <v>Draw #7</v>
      </c>
      <c r="N245" s="188" t="str">
        <f t="shared" si="77"/>
        <v>Draw #8</v>
      </c>
      <c r="O245" s="188" t="str">
        <f t="shared" si="77"/>
        <v>Draw #9</v>
      </c>
      <c r="P245" s="188" t="str">
        <f t="shared" si="77"/>
        <v>Draw #10</v>
      </c>
      <c r="Q245" s="188" t="str">
        <f t="shared" si="77"/>
        <v>Draw #11</v>
      </c>
      <c r="R245" s="188" t="str">
        <f t="shared" si="77"/>
        <v>Draw #12</v>
      </c>
      <c r="S245" s="188" t="str">
        <f t="shared" si="77"/>
        <v>Draw #13</v>
      </c>
      <c r="T245" s="188" t="str">
        <f t="shared" si="77"/>
        <v>Draw #14</v>
      </c>
      <c r="U245" s="188" t="str">
        <f t="shared" si="77"/>
        <v>Draw #15</v>
      </c>
      <c r="V245" s="188" t="str">
        <f t="shared" si="77"/>
        <v>Draw #16</v>
      </c>
      <c r="W245" s="188" t="str">
        <f t="shared" si="77"/>
        <v>Draw #17</v>
      </c>
      <c r="X245" s="188" t="str">
        <f t="shared" si="77"/>
        <v>Draw #18</v>
      </c>
      <c r="Y245" s="188" t="str">
        <f t="shared" si="77"/>
        <v>Draw $19</v>
      </c>
      <c r="Z245" s="188" t="str">
        <f t="shared" si="77"/>
        <v>Draw #20</v>
      </c>
      <c r="AA245" s="188" t="str">
        <f t="shared" si="77"/>
        <v>Draw #21</v>
      </c>
      <c r="AB245" s="188" t="str">
        <f t="shared" si="77"/>
        <v>Draw #22</v>
      </c>
      <c r="AC245" s="188" t="str">
        <f t="shared" si="77"/>
        <v>Draw #23</v>
      </c>
      <c r="AD245" s="188" t="str">
        <f t="shared" si="77"/>
        <v>Draw #24</v>
      </c>
      <c r="AE245" s="188" t="str">
        <f t="shared" si="77"/>
        <v>Draw #25</v>
      </c>
      <c r="AF245" s="188" t="str">
        <f t="shared" si="77"/>
        <v>Draw #26</v>
      </c>
      <c r="AG245" s="188" t="str">
        <f t="shared" si="77"/>
        <v>Draw #26</v>
      </c>
      <c r="AH245" s="188" t="str">
        <f t="shared" si="77"/>
        <v>Draw #28</v>
      </c>
      <c r="AI245" s="188" t="str">
        <f t="shared" si="77"/>
        <v>Draw #29</v>
      </c>
      <c r="AJ245" s="188" t="str">
        <f t="shared" si="77"/>
        <v>Draw #30</v>
      </c>
      <c r="AK245" s="1689"/>
      <c r="AL245" s="76"/>
      <c r="AM245" s="76"/>
      <c r="AN245" s="76"/>
      <c r="AO245" s="36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s="76"/>
      <c r="CD245" s="76"/>
      <c r="CE245" s="76"/>
      <c r="CF245" s="76"/>
      <c r="CG245" s="76"/>
      <c r="CH245" s="76"/>
    </row>
    <row r="246" spans="2:86">
      <c r="B246" s="1689"/>
      <c r="C246" s="771" t="s">
        <v>4690</v>
      </c>
      <c r="D246" s="772"/>
      <c r="E246" s="197">
        <f>SUM(G246:AC246)</f>
        <v>0</v>
      </c>
      <c r="F246" s="772"/>
      <c r="G246" s="198">
        <f>+G171-SUM(G200:G226)</f>
        <v>0</v>
      </c>
      <c r="H246" s="198">
        <f t="shared" ref="H246:AJ246" si="78">+H171-SUM(H200:H226)</f>
        <v>0</v>
      </c>
      <c r="I246" s="198">
        <f t="shared" si="78"/>
        <v>0</v>
      </c>
      <c r="J246" s="198">
        <f t="shared" si="78"/>
        <v>0</v>
      </c>
      <c r="K246" s="198">
        <f t="shared" si="78"/>
        <v>0</v>
      </c>
      <c r="L246" s="198">
        <f t="shared" si="78"/>
        <v>0</v>
      </c>
      <c r="M246" s="198">
        <f t="shared" si="78"/>
        <v>0</v>
      </c>
      <c r="N246" s="198">
        <f t="shared" si="78"/>
        <v>0</v>
      </c>
      <c r="O246" s="198">
        <f t="shared" si="78"/>
        <v>0</v>
      </c>
      <c r="P246" s="198">
        <f t="shared" si="78"/>
        <v>0</v>
      </c>
      <c r="Q246" s="198">
        <f t="shared" si="78"/>
        <v>0</v>
      </c>
      <c r="R246" s="198">
        <f t="shared" si="78"/>
        <v>0</v>
      </c>
      <c r="S246" s="198">
        <f t="shared" si="78"/>
        <v>0</v>
      </c>
      <c r="T246" s="198">
        <f t="shared" si="78"/>
        <v>0</v>
      </c>
      <c r="U246" s="198">
        <f t="shared" si="78"/>
        <v>0</v>
      </c>
      <c r="V246" s="198">
        <f t="shared" si="78"/>
        <v>0</v>
      </c>
      <c r="W246" s="198">
        <f t="shared" si="78"/>
        <v>0</v>
      </c>
      <c r="X246" s="198">
        <f t="shared" si="78"/>
        <v>0</v>
      </c>
      <c r="Y246" s="198">
        <f t="shared" si="78"/>
        <v>0</v>
      </c>
      <c r="Z246" s="198">
        <f t="shared" si="78"/>
        <v>0</v>
      </c>
      <c r="AA246" s="198">
        <f t="shared" si="78"/>
        <v>0</v>
      </c>
      <c r="AB246" s="198">
        <f t="shared" si="78"/>
        <v>0</v>
      </c>
      <c r="AC246" s="198">
        <f t="shared" si="78"/>
        <v>0</v>
      </c>
      <c r="AD246" s="198">
        <f t="shared" si="78"/>
        <v>0</v>
      </c>
      <c r="AE246" s="198">
        <f t="shared" si="78"/>
        <v>0</v>
      </c>
      <c r="AF246" s="198">
        <f t="shared" si="78"/>
        <v>0</v>
      </c>
      <c r="AG246" s="198">
        <f t="shared" si="78"/>
        <v>0</v>
      </c>
      <c r="AH246" s="198">
        <f t="shared" si="78"/>
        <v>0</v>
      </c>
      <c r="AI246" s="198">
        <f t="shared" si="78"/>
        <v>0</v>
      </c>
      <c r="AJ246" s="198">
        <f t="shared" si="78"/>
        <v>0</v>
      </c>
      <c r="AK246" s="1689"/>
      <c r="AL246" s="76"/>
      <c r="AM246" s="76"/>
      <c r="AN246" s="76"/>
      <c r="AO246" s="36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s="76"/>
      <c r="CD246" s="76"/>
      <c r="CE246" s="76"/>
      <c r="CF246" s="76"/>
      <c r="CG246" s="76"/>
      <c r="CH246" s="76"/>
    </row>
    <row r="247" spans="2:86">
      <c r="B247" s="1689"/>
      <c r="C247" s="771" t="s">
        <v>4691</v>
      </c>
      <c r="D247" s="772"/>
      <c r="E247" s="198">
        <f>SUM(E178:E182)</f>
        <v>0</v>
      </c>
      <c r="F247" s="772"/>
      <c r="G247" s="772"/>
      <c r="H247" s="772"/>
      <c r="I247" s="786"/>
      <c r="J247" s="786"/>
      <c r="K247" s="786"/>
      <c r="L247" s="786"/>
      <c r="M247" s="786"/>
      <c r="N247" s="786"/>
      <c r="O247" s="786"/>
      <c r="P247" s="786"/>
      <c r="Q247" s="786"/>
      <c r="R247" s="786"/>
      <c r="S247" s="786"/>
      <c r="T247" s="786"/>
      <c r="U247" s="786"/>
      <c r="V247" s="786"/>
      <c r="W247" s="786"/>
      <c r="X247" s="786"/>
      <c r="Y247" s="786"/>
      <c r="Z247" s="786"/>
      <c r="AA247" s="786"/>
      <c r="AB247" s="786"/>
      <c r="AC247" s="786"/>
      <c r="AD247" s="786"/>
      <c r="AE247" s="786"/>
      <c r="AF247" s="786"/>
      <c r="AG247" s="786"/>
      <c r="AH247" s="786"/>
      <c r="AI247" s="786"/>
      <c r="AJ247" s="786"/>
      <c r="AK247" s="1689"/>
      <c r="AL247" s="76"/>
      <c r="AM247" s="76"/>
      <c r="AN247" s="76"/>
      <c r="AO247" s="36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s="76"/>
      <c r="CD247" s="76"/>
      <c r="CE247" s="76"/>
      <c r="CF247" s="76"/>
      <c r="CG247" s="76"/>
      <c r="CH247" s="76"/>
    </row>
    <row r="248" spans="2:86">
      <c r="B248" s="1689"/>
      <c r="C248" s="771" t="s">
        <v>4676</v>
      </c>
      <c r="D248" s="772"/>
      <c r="E248" s="198">
        <f>+E246-E247</f>
        <v>0</v>
      </c>
      <c r="F248" s="772"/>
      <c r="G248" s="772"/>
      <c r="H248" s="772"/>
      <c r="I248" s="772"/>
      <c r="J248" s="772"/>
      <c r="K248" s="772"/>
      <c r="L248" s="772"/>
      <c r="M248" s="772"/>
      <c r="N248" s="772"/>
      <c r="O248" s="772"/>
      <c r="P248" s="772"/>
      <c r="Q248" s="772"/>
      <c r="R248" s="772"/>
      <c r="S248" s="772"/>
      <c r="T248" s="772"/>
      <c r="U248" s="772"/>
      <c r="V248" s="772"/>
      <c r="W248" s="772"/>
      <c r="X248" s="772"/>
      <c r="Y248" s="772"/>
      <c r="Z248" s="772"/>
      <c r="AA248" s="772"/>
      <c r="AB248" s="772"/>
      <c r="AC248" s="772"/>
      <c r="AD248" s="772"/>
      <c r="AE248" s="772"/>
      <c r="AF248" s="772"/>
      <c r="AG248" s="772"/>
      <c r="AH248" s="772"/>
      <c r="AI248" s="772"/>
      <c r="AJ248" s="772"/>
      <c r="AK248" s="1689"/>
      <c r="AL248" s="76"/>
      <c r="AM248" s="76"/>
      <c r="AN248" s="76"/>
      <c r="AO248" s="36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s="76"/>
      <c r="CD248" s="76"/>
      <c r="CE248" s="76"/>
      <c r="CF248" s="76"/>
      <c r="CG248" s="76"/>
      <c r="CH248" s="76"/>
    </row>
    <row r="249" spans="2:86">
      <c r="B249" s="1689"/>
      <c r="C249" s="1689"/>
      <c r="D249" s="1689"/>
      <c r="E249" s="1350"/>
      <c r="F249" s="1350"/>
      <c r="G249" s="1350"/>
      <c r="H249" s="1350"/>
      <c r="I249" s="1350"/>
      <c r="J249" s="1350"/>
      <c r="K249" s="1350"/>
      <c r="L249" s="1350"/>
      <c r="M249" s="1350"/>
      <c r="N249" s="1350"/>
      <c r="O249" s="1350"/>
      <c r="P249" s="1350"/>
      <c r="Q249" s="1350"/>
      <c r="R249" s="1350"/>
      <c r="S249" s="1350"/>
      <c r="T249" s="1350"/>
      <c r="U249" s="1350"/>
      <c r="V249" s="1350"/>
      <c r="W249" s="1350"/>
      <c r="X249" s="1350"/>
      <c r="Y249" s="1350"/>
      <c r="Z249" s="1350"/>
      <c r="AA249" s="1350"/>
      <c r="AB249" s="1350"/>
      <c r="AC249" s="1350"/>
      <c r="AD249" s="1350"/>
      <c r="AE249" s="1350"/>
      <c r="AF249" s="1350"/>
      <c r="AG249" s="1350"/>
      <c r="AH249" s="1350"/>
      <c r="AI249" s="1350"/>
      <c r="AJ249" s="1350"/>
      <c r="AK249" s="1689"/>
      <c r="AL249" s="76"/>
      <c r="AM249" s="76"/>
      <c r="AN249" s="76"/>
      <c r="AO249" s="36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c r="CH249" s="76"/>
    </row>
    <row r="250" spans="2:86">
      <c r="B250" s="76"/>
      <c r="C250" s="76"/>
      <c r="D250" s="76"/>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76"/>
      <c r="AL250" s="76"/>
      <c r="AM250" s="76"/>
      <c r="AN250" s="76"/>
      <c r="AO250" s="36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s="76"/>
      <c r="CD250" s="76"/>
      <c r="CE250" s="76"/>
      <c r="CF250" s="76"/>
      <c r="CG250" s="76"/>
      <c r="CH250" s="76"/>
    </row>
    <row r="251" spans="2:86" ht="19">
      <c r="B251" s="76"/>
      <c r="C251" s="102" t="s">
        <v>3364</v>
      </c>
      <c r="D251" s="154"/>
      <c r="E251" s="97"/>
      <c r="F251" s="118"/>
      <c r="G251" s="118"/>
      <c r="H251" s="118"/>
      <c r="I251" s="97"/>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36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s="76"/>
      <c r="CD251" s="76"/>
      <c r="CE251" s="76"/>
      <c r="CF251" s="76"/>
      <c r="CG251" s="76"/>
      <c r="CH251" s="76"/>
    </row>
    <row r="252" spans="2:86">
      <c r="B252" s="1689"/>
      <c r="C252" s="1689"/>
      <c r="D252" s="1688" t="s">
        <v>4538</v>
      </c>
      <c r="E252" s="1689"/>
      <c r="F252" s="1689"/>
      <c r="G252" s="1689"/>
      <c r="H252" s="1689"/>
      <c r="I252" s="1689"/>
      <c r="J252" s="1689"/>
      <c r="K252" s="1689"/>
      <c r="L252" s="1689"/>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36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row>
    <row r="253" spans="2:86">
      <c r="B253" s="1689"/>
      <c r="C253" s="1689"/>
      <c r="D253" s="2395"/>
      <c r="E253" s="2396"/>
      <c r="F253" s="2396"/>
      <c r="G253" s="2396"/>
      <c r="H253" s="2396"/>
      <c r="I253" s="2396"/>
      <c r="J253" s="2396"/>
      <c r="K253" s="2397"/>
      <c r="L253" s="1689"/>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36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s="76"/>
      <c r="CD253" s="76"/>
      <c r="CE253" s="76"/>
      <c r="CF253" s="76"/>
      <c r="CG253" s="76"/>
      <c r="CH253" s="76"/>
    </row>
    <row r="254" spans="2:86">
      <c r="B254" s="1689"/>
      <c r="C254" s="1689"/>
      <c r="D254" s="2398"/>
      <c r="E254" s="2239"/>
      <c r="F254" s="2239"/>
      <c r="G254" s="2239"/>
      <c r="H254" s="2239"/>
      <c r="I254" s="2239"/>
      <c r="J254" s="2239"/>
      <c r="K254" s="2399"/>
      <c r="L254" s="1689"/>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36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row>
    <row r="255" spans="2:86">
      <c r="B255" s="1689"/>
      <c r="C255" s="1689"/>
      <c r="D255" s="2398"/>
      <c r="E255" s="2239"/>
      <c r="F255" s="2239"/>
      <c r="G255" s="2239"/>
      <c r="H255" s="2239"/>
      <c r="I255" s="2239"/>
      <c r="J255" s="2239"/>
      <c r="K255" s="2399"/>
      <c r="L255" s="1689"/>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36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row>
    <row r="256" spans="2:86">
      <c r="B256" s="1689"/>
      <c r="C256" s="1689"/>
      <c r="D256" s="2398"/>
      <c r="E256" s="2239"/>
      <c r="F256" s="2239"/>
      <c r="G256" s="2239"/>
      <c r="H256" s="2239"/>
      <c r="I256" s="2239"/>
      <c r="J256" s="2239"/>
      <c r="K256" s="2399"/>
      <c r="L256" s="1689"/>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36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row>
    <row r="257" spans="2:86">
      <c r="B257" s="1689"/>
      <c r="C257" s="1689"/>
      <c r="D257" s="2398"/>
      <c r="E257" s="2239"/>
      <c r="F257" s="2239"/>
      <c r="G257" s="2239"/>
      <c r="H257" s="2239"/>
      <c r="I257" s="2239"/>
      <c r="J257" s="2239"/>
      <c r="K257" s="2399"/>
      <c r="L257" s="1689"/>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36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row>
    <row r="258" spans="2:86">
      <c r="B258" s="1689"/>
      <c r="C258" s="1689"/>
      <c r="D258" s="2398"/>
      <c r="E258" s="2239"/>
      <c r="F258" s="2239"/>
      <c r="G258" s="2239"/>
      <c r="H258" s="2239"/>
      <c r="I258" s="2239"/>
      <c r="J258" s="2239"/>
      <c r="K258" s="2399"/>
      <c r="L258" s="1689"/>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36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row>
    <row r="259" spans="2:86">
      <c r="B259" s="1689"/>
      <c r="C259" s="1689"/>
      <c r="D259" s="2398"/>
      <c r="E259" s="2239"/>
      <c r="F259" s="2239"/>
      <c r="G259" s="2239"/>
      <c r="H259" s="2239"/>
      <c r="I259" s="2239"/>
      <c r="J259" s="2239"/>
      <c r="K259" s="2399"/>
      <c r="L259" s="1689"/>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36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row>
    <row r="260" spans="2:86">
      <c r="B260" s="1689"/>
      <c r="C260" s="1689"/>
      <c r="D260" s="2400"/>
      <c r="E260" s="2401"/>
      <c r="F260" s="2401"/>
      <c r="G260" s="2401"/>
      <c r="H260" s="2401"/>
      <c r="I260" s="2401"/>
      <c r="J260" s="2401"/>
      <c r="K260" s="2402"/>
      <c r="L260" s="1689"/>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36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row>
    <row r="261" spans="2:86">
      <c r="B261" s="1689"/>
      <c r="C261" s="1689"/>
      <c r="D261" s="1689"/>
      <c r="E261" s="1689"/>
      <c r="F261" s="1689"/>
      <c r="G261" s="1689"/>
      <c r="H261" s="1689"/>
      <c r="I261" s="1689"/>
      <c r="J261" s="1689"/>
      <c r="K261" s="1689"/>
      <c r="L261" s="1689"/>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36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76"/>
      <c r="CC261" s="76"/>
      <c r="CD261" s="76"/>
      <c r="CE261" s="76"/>
      <c r="CF261" s="76"/>
      <c r="CG261" s="76"/>
      <c r="CH261" s="76"/>
    </row>
    <row r="262" spans="2:86" ht="16">
      <c r="B262" s="76"/>
      <c r="C262" s="97"/>
      <c r="D262" s="97"/>
      <c r="E262" s="97"/>
      <c r="F262" s="200"/>
      <c r="G262" s="97"/>
      <c r="H262" s="97"/>
      <c r="I262" s="97"/>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36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c r="CA262" s="76"/>
      <c r="CB262" s="76"/>
      <c r="CC262" s="76"/>
      <c r="CD262" s="76"/>
      <c r="CE262" s="76"/>
      <c r="CF262" s="76"/>
      <c r="CG262" s="76"/>
      <c r="CH262" s="76"/>
    </row>
    <row r="263" spans="2:86">
      <c r="B263" s="100"/>
      <c r="C263" s="117" t="s">
        <v>3371</v>
      </c>
      <c r="D263" s="99"/>
      <c r="E263" s="99"/>
      <c r="F263" s="99"/>
      <c r="G263" s="99"/>
      <c r="H263" s="99"/>
      <c r="I263" s="99"/>
      <c r="J263" s="100"/>
      <c r="K263" s="100"/>
      <c r="L263" s="100"/>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36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6"/>
      <c r="CB263" s="76"/>
      <c r="CC263" s="76"/>
      <c r="CD263" s="76"/>
      <c r="CE263" s="76"/>
      <c r="CF263" s="76"/>
      <c r="CG263" s="76"/>
      <c r="CH263" s="76"/>
    </row>
    <row r="264" spans="2:86" ht="19">
      <c r="B264" s="76"/>
      <c r="C264" s="102" t="s">
        <v>3372</v>
      </c>
      <c r="D264" s="97"/>
      <c r="E264" s="97"/>
      <c r="F264" s="118"/>
      <c r="G264" s="118"/>
      <c r="H264" s="118"/>
      <c r="I264" s="97"/>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36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c r="CA264" s="76"/>
      <c r="CB264" s="76"/>
      <c r="CC264" s="76"/>
      <c r="CD264" s="76"/>
      <c r="CE264" s="76"/>
      <c r="CF264" s="76"/>
      <c r="CG264" s="76"/>
      <c r="CH264" s="76"/>
    </row>
    <row r="265" spans="2:86">
      <c r="B265" s="1689"/>
      <c r="C265" s="1689"/>
      <c r="D265" s="1688"/>
      <c r="E265" s="1689"/>
      <c r="F265" s="1689"/>
      <c r="G265" s="1689"/>
      <c r="H265" s="1689"/>
      <c r="I265" s="1689"/>
      <c r="J265" s="1689"/>
      <c r="K265" s="1689"/>
      <c r="L265" s="1689"/>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36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row>
    <row r="266" spans="2:86">
      <c r="B266" s="1689"/>
      <c r="C266" s="1689"/>
      <c r="D266" s="2395"/>
      <c r="E266" s="2396"/>
      <c r="F266" s="2396"/>
      <c r="G266" s="2396"/>
      <c r="H266" s="2396"/>
      <c r="I266" s="2396"/>
      <c r="J266" s="2396"/>
      <c r="K266" s="2397"/>
      <c r="L266" s="1689"/>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36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c r="CA266" s="76"/>
      <c r="CB266" s="76"/>
      <c r="CC266" s="76"/>
      <c r="CD266" s="76"/>
      <c r="CE266" s="76"/>
      <c r="CF266" s="76"/>
      <c r="CG266" s="76"/>
      <c r="CH266" s="76"/>
    </row>
    <row r="267" spans="2:86">
      <c r="B267" s="1689"/>
      <c r="C267" s="1689"/>
      <c r="D267" s="2398"/>
      <c r="E267" s="2239"/>
      <c r="F267" s="2239"/>
      <c r="G267" s="2239"/>
      <c r="H267" s="2239"/>
      <c r="I267" s="2239"/>
      <c r="J267" s="2239"/>
      <c r="K267" s="2399"/>
      <c r="L267" s="1689"/>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36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c r="CA267" s="76"/>
      <c r="CB267" s="76"/>
      <c r="CC267" s="76"/>
      <c r="CD267" s="76"/>
      <c r="CE267" s="76"/>
      <c r="CF267" s="76"/>
      <c r="CG267" s="76"/>
      <c r="CH267" s="76"/>
    </row>
    <row r="268" spans="2:86">
      <c r="B268" s="1689"/>
      <c r="C268" s="1689"/>
      <c r="D268" s="2398"/>
      <c r="E268" s="2239"/>
      <c r="F268" s="2239"/>
      <c r="G268" s="2239"/>
      <c r="H268" s="2239"/>
      <c r="I268" s="2239"/>
      <c r="J268" s="2239"/>
      <c r="K268" s="2399"/>
      <c r="L268" s="1689"/>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36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s="76"/>
      <c r="CD268" s="76"/>
      <c r="CE268" s="76"/>
      <c r="CF268" s="76"/>
      <c r="CG268" s="76"/>
      <c r="CH268" s="76"/>
    </row>
    <row r="269" spans="2:86">
      <c r="B269" s="1689"/>
      <c r="C269" s="1689"/>
      <c r="D269" s="2400"/>
      <c r="E269" s="2401"/>
      <c r="F269" s="2401"/>
      <c r="G269" s="2401"/>
      <c r="H269" s="2401"/>
      <c r="I269" s="2401"/>
      <c r="J269" s="2401"/>
      <c r="K269" s="2402"/>
      <c r="L269" s="1689"/>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36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s="76"/>
      <c r="CD269" s="76"/>
      <c r="CE269" s="76"/>
      <c r="CF269" s="76"/>
      <c r="CG269" s="76"/>
      <c r="CH269" s="76"/>
    </row>
    <row r="270" spans="2:86">
      <c r="B270" s="1689"/>
      <c r="C270" s="1689"/>
      <c r="D270" s="1689"/>
      <c r="E270" s="1689"/>
      <c r="F270" s="1689"/>
      <c r="G270" s="1689"/>
      <c r="H270" s="1689"/>
      <c r="I270" s="1689"/>
      <c r="J270" s="1689"/>
      <c r="K270" s="1689"/>
      <c r="L270" s="1689"/>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36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6"/>
      <c r="CH270" s="76"/>
    </row>
    <row r="271" spans="2:8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36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row>
    <row r="272" spans="2:8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36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s="76"/>
      <c r="CD272" s="76"/>
      <c r="CE272" s="76"/>
      <c r="CF272" s="76"/>
      <c r="CG272" s="76"/>
      <c r="CH272" s="76"/>
    </row>
    <row r="273" spans="2:8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36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s="76"/>
      <c r="CD273" s="76"/>
      <c r="CE273" s="76"/>
      <c r="CF273" s="76"/>
      <c r="CG273" s="76"/>
      <c r="CH273" s="76"/>
    </row>
    <row r="274" spans="2:8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36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c r="CA274" s="76"/>
      <c r="CB274" s="76"/>
      <c r="CC274" s="76"/>
      <c r="CD274" s="76"/>
      <c r="CE274" s="76"/>
      <c r="CF274" s="76"/>
      <c r="CG274" s="76"/>
      <c r="CH274" s="76"/>
    </row>
    <row r="275" spans="2:8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36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row>
    <row r="276" spans="2:8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36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76"/>
      <c r="CD276" s="76"/>
      <c r="CE276" s="76"/>
      <c r="CF276" s="76"/>
      <c r="CG276" s="76"/>
      <c r="CH276" s="76"/>
    </row>
    <row r="277" spans="2:8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36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76"/>
      <c r="CD277" s="76"/>
      <c r="CE277" s="76"/>
      <c r="CF277" s="76"/>
      <c r="CG277" s="76"/>
      <c r="CH277" s="76"/>
    </row>
    <row r="278" spans="2:8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36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76"/>
      <c r="CD278" s="76"/>
      <c r="CE278" s="76"/>
      <c r="CF278" s="76"/>
      <c r="CG278" s="76"/>
      <c r="CH278" s="76"/>
    </row>
    <row r="279" spans="2:8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36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s="76"/>
      <c r="CD279" s="76"/>
      <c r="CE279" s="76"/>
      <c r="CF279" s="76"/>
      <c r="CG279" s="76"/>
      <c r="CH279" s="76"/>
    </row>
    <row r="280" spans="2:8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36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row>
    <row r="281" spans="2:8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36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row>
    <row r="282" spans="2:8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36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row>
    <row r="283" spans="2:8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36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row>
    <row r="284" spans="2:8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36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row>
    <row r="285" spans="2:8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36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row>
    <row r="286" spans="2:8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36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row>
    <row r="287" spans="2:8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36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row>
    <row r="288" spans="2:8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36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row>
    <row r="289" spans="2:8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36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row>
    <row r="290" spans="2:8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36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row>
    <row r="291" spans="2:8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36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c r="CD291" s="76"/>
      <c r="CE291" s="76"/>
      <c r="CF291" s="76"/>
      <c r="CG291" s="76"/>
      <c r="CH291" s="76"/>
    </row>
    <row r="292" spans="2:8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36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row>
    <row r="293" spans="2:8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36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row>
    <row r="294" spans="2:8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36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row>
    <row r="295" spans="2:8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36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row>
    <row r="296" spans="2:8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36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row>
    <row r="297" spans="2:8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36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c r="CA297" s="76"/>
      <c r="CB297" s="76"/>
      <c r="CC297" s="76"/>
      <c r="CD297" s="76"/>
      <c r="CE297" s="76"/>
      <c r="CF297" s="76"/>
      <c r="CG297" s="76"/>
      <c r="CH297" s="76"/>
    </row>
    <row r="298" spans="2:8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36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row>
    <row r="299" spans="2:8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36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row>
    <row r="300" spans="2:8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36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row>
    <row r="301" spans="2:8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36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row>
    <row r="302" spans="2:8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36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row>
    <row r="303" spans="2:8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36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row>
    <row r="304" spans="2:8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36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row>
    <row r="305" spans="2:8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36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row>
    <row r="306" spans="2:8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36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row>
    <row r="307" spans="2:8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36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row>
    <row r="308" spans="2:8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36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row>
    <row r="309" spans="2:8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36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c r="CA309" s="76"/>
      <c r="CB309" s="76"/>
      <c r="CC309" s="76"/>
      <c r="CD309" s="76"/>
      <c r="CE309" s="76"/>
      <c r="CF309" s="76"/>
      <c r="CG309" s="76"/>
      <c r="CH309" s="76"/>
    </row>
    <row r="310" spans="2:8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36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row>
    <row r="311" spans="2:8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36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row>
    <row r="312" spans="2:8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36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c r="CD312" s="76"/>
      <c r="CE312" s="76"/>
      <c r="CF312" s="76"/>
      <c r="CG312" s="76"/>
      <c r="CH312" s="76"/>
    </row>
    <row r="313" spans="2:8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36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c r="CD313" s="76"/>
      <c r="CE313" s="76"/>
      <c r="CF313" s="76"/>
      <c r="CG313" s="76"/>
      <c r="CH313" s="76"/>
    </row>
    <row r="314" spans="2:8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36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row>
    <row r="315" spans="2:8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36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row>
    <row r="316" spans="2:8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36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c r="CA316" s="76"/>
      <c r="CB316" s="76"/>
      <c r="CC316" s="76"/>
      <c r="CD316" s="76"/>
      <c r="CE316" s="76"/>
      <c r="CF316" s="76"/>
      <c r="CG316" s="76"/>
      <c r="CH316" s="76"/>
    </row>
    <row r="317" spans="2:8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36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c r="CD317" s="76"/>
      <c r="CE317" s="76"/>
      <c r="CF317" s="76"/>
      <c r="CG317" s="76"/>
      <c r="CH317" s="76"/>
    </row>
    <row r="318" spans="2:8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36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row>
    <row r="319" spans="2:8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36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row>
    <row r="320" spans="2:8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36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row>
    <row r="321" spans="2:8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36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row>
    <row r="322" spans="2:8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36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row>
    <row r="323" spans="2:8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36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row>
    <row r="324" spans="2:8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36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row>
    <row r="325" spans="2:8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36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row>
    <row r="326" spans="2:8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36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row>
    <row r="327" spans="2:8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36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row>
    <row r="328" spans="2:8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36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row>
    <row r="329" spans="2:8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36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row>
    <row r="330" spans="2:8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36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row>
    <row r="331" spans="2:8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36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c r="CA331" s="76"/>
      <c r="CB331" s="76"/>
      <c r="CC331" s="76"/>
      <c r="CD331" s="76"/>
      <c r="CE331" s="76"/>
      <c r="CF331" s="76"/>
      <c r="CG331" s="76"/>
      <c r="CH331" s="76"/>
    </row>
    <row r="332" spans="2:8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36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c r="CA332" s="76"/>
      <c r="CB332" s="76"/>
      <c r="CC332" s="76"/>
      <c r="CD332" s="76"/>
      <c r="CE332" s="76"/>
      <c r="CF332" s="76"/>
      <c r="CG332" s="76"/>
      <c r="CH332" s="76"/>
    </row>
    <row r="333" spans="2:8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36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row>
    <row r="334" spans="2:8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36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row>
    <row r="335" spans="2:8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36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row>
    <row r="336" spans="2:8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36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row>
    <row r="337" spans="2:8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36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row>
    <row r="338" spans="2:8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36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row>
    <row r="339" spans="2:8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36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row>
    <row r="340" spans="2:8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36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row>
    <row r="341" spans="2:8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36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c r="CA341" s="76"/>
      <c r="CB341" s="76"/>
      <c r="CC341" s="76"/>
      <c r="CD341" s="76"/>
      <c r="CE341" s="76"/>
      <c r="CF341" s="76"/>
      <c r="CG341" s="76"/>
      <c r="CH341" s="76"/>
    </row>
    <row r="342" spans="2:8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36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row>
    <row r="343" spans="2:8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36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c r="CA343" s="76"/>
      <c r="CB343" s="76"/>
      <c r="CC343" s="76"/>
      <c r="CD343" s="76"/>
      <c r="CE343" s="76"/>
      <c r="CF343" s="76"/>
      <c r="CG343" s="76"/>
      <c r="CH343" s="76"/>
    </row>
    <row r="344" spans="2:8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36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c r="CA344" s="76"/>
      <c r="CB344" s="76"/>
      <c r="CC344" s="76"/>
      <c r="CD344" s="76"/>
      <c r="CE344" s="76"/>
      <c r="CF344" s="76"/>
      <c r="CG344" s="76"/>
      <c r="CH344" s="76"/>
    </row>
    <row r="345" spans="2:8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36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row>
    <row r="346" spans="2:8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36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c r="CA346" s="76"/>
      <c r="CB346" s="76"/>
      <c r="CC346" s="76"/>
      <c r="CD346" s="76"/>
      <c r="CE346" s="76"/>
      <c r="CF346" s="76"/>
      <c r="CG346" s="76"/>
      <c r="CH346" s="76"/>
    </row>
    <row r="347" spans="2:8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36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c r="CA347" s="76"/>
      <c r="CB347" s="76"/>
      <c r="CC347" s="76"/>
      <c r="CD347" s="76"/>
      <c r="CE347" s="76"/>
      <c r="CF347" s="76"/>
      <c r="CG347" s="76"/>
      <c r="CH347" s="76"/>
    </row>
    <row r="348" spans="2:8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36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c r="CA348" s="76"/>
      <c r="CB348" s="76"/>
      <c r="CC348" s="76"/>
      <c r="CD348" s="76"/>
      <c r="CE348" s="76"/>
      <c r="CF348" s="76"/>
      <c r="CG348" s="76"/>
      <c r="CH348" s="76"/>
    </row>
    <row r="349" spans="2:8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36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c r="CA349" s="76"/>
      <c r="CB349" s="76"/>
      <c r="CC349" s="76"/>
      <c r="CD349" s="76"/>
      <c r="CE349" s="76"/>
      <c r="CF349" s="76"/>
      <c r="CG349" s="76"/>
      <c r="CH349" s="76"/>
    </row>
    <row r="350" spans="2:8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36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row>
    <row r="351" spans="2:8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36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c r="CA351" s="76"/>
      <c r="CB351" s="76"/>
      <c r="CC351" s="76"/>
      <c r="CD351" s="76"/>
      <c r="CE351" s="76"/>
      <c r="CF351" s="76"/>
      <c r="CG351" s="76"/>
      <c r="CH351" s="76"/>
    </row>
    <row r="352" spans="2:8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36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c r="CE352" s="76"/>
      <c r="CF352" s="76"/>
      <c r="CG352" s="76"/>
      <c r="CH352" s="76"/>
    </row>
    <row r="353" spans="2:8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36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c r="CE353" s="76"/>
      <c r="CF353" s="76"/>
      <c r="CG353" s="76"/>
      <c r="CH353" s="76"/>
    </row>
    <row r="354" spans="2:8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36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s="76"/>
      <c r="CE354" s="76"/>
      <c r="CF354" s="76"/>
      <c r="CG354" s="76"/>
      <c r="CH354" s="76"/>
    </row>
    <row r="355" spans="2:8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36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s="76"/>
      <c r="CE355" s="76"/>
      <c r="CF355" s="76"/>
      <c r="CG355" s="76"/>
      <c r="CH355" s="76"/>
    </row>
    <row r="356" spans="2:8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36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s="76"/>
      <c r="CE356" s="76"/>
      <c r="CF356" s="76"/>
      <c r="CG356" s="76"/>
      <c r="CH356" s="76"/>
    </row>
    <row r="357" spans="2:8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36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s="76"/>
      <c r="CE357" s="76"/>
      <c r="CF357" s="76"/>
      <c r="CG357" s="76"/>
      <c r="CH357" s="76"/>
    </row>
    <row r="358" spans="2:8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36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s="76"/>
      <c r="CE358" s="76"/>
      <c r="CF358" s="76"/>
      <c r="CG358" s="76"/>
      <c r="CH358" s="76"/>
    </row>
    <row r="359" spans="2:8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36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s="76"/>
      <c r="CE359" s="76"/>
      <c r="CF359" s="76"/>
      <c r="CG359" s="76"/>
      <c r="CH359" s="76"/>
    </row>
    <row r="360" spans="2:8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36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s="76"/>
      <c r="CE360" s="76"/>
      <c r="CF360" s="76"/>
      <c r="CG360" s="76"/>
      <c r="CH360" s="76"/>
    </row>
    <row r="361" spans="2:8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36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s="76"/>
      <c r="CE361" s="76"/>
      <c r="CF361" s="76"/>
      <c r="CG361" s="76"/>
      <c r="CH361" s="76"/>
    </row>
    <row r="362" spans="2:8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36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row>
    <row r="363" spans="2:8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36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row>
    <row r="364" spans="2:8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36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s="76"/>
      <c r="CE364" s="76"/>
      <c r="CF364" s="76"/>
      <c r="CG364" s="76"/>
      <c r="CH364" s="76"/>
    </row>
    <row r="365" spans="2:8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36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row>
    <row r="366" spans="2:8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36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row>
    <row r="367" spans="2:8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36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row>
    <row r="368" spans="2:8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36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c r="CE368" s="76"/>
      <c r="CF368" s="76"/>
      <c r="CG368" s="76"/>
      <c r="CH368" s="76"/>
    </row>
    <row r="369" spans="2:8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36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row>
    <row r="370" spans="2:8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36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c r="CE370" s="76"/>
      <c r="CF370" s="76"/>
      <c r="CG370" s="76"/>
      <c r="CH370" s="76"/>
    </row>
    <row r="371" spans="2:8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36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c r="CE371" s="76"/>
      <c r="CF371" s="76"/>
      <c r="CG371" s="76"/>
      <c r="CH371" s="76"/>
    </row>
    <row r="372" spans="2:8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36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c r="CE372" s="76"/>
      <c r="CF372" s="76"/>
      <c r="CG372" s="76"/>
      <c r="CH372" s="76"/>
    </row>
    <row r="373" spans="2:8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36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row>
    <row r="374" spans="2:8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36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c r="CE374" s="76"/>
      <c r="CF374" s="76"/>
      <c r="CG374" s="76"/>
      <c r="CH374" s="76"/>
    </row>
    <row r="375" spans="2:8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36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c r="CE375" s="76"/>
      <c r="CF375" s="76"/>
      <c r="CG375" s="76"/>
      <c r="CH375" s="76"/>
    </row>
    <row r="376" spans="2:8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36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c r="CE376" s="76"/>
      <c r="CF376" s="76"/>
      <c r="CG376" s="76"/>
      <c r="CH376" s="76"/>
    </row>
    <row r="377" spans="2:8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36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row>
    <row r="378" spans="2:8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36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c r="CE378" s="76"/>
      <c r="CF378" s="76"/>
      <c r="CG378" s="76"/>
      <c r="CH378" s="76"/>
    </row>
    <row r="379" spans="2:8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36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c r="CE379" s="76"/>
      <c r="CF379" s="76"/>
      <c r="CG379" s="76"/>
      <c r="CH379" s="76"/>
    </row>
    <row r="380" spans="2:8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36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c r="CE380" s="76"/>
      <c r="CF380" s="76"/>
      <c r="CG380" s="76"/>
      <c r="CH380" s="76"/>
    </row>
    <row r="381" spans="2:8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36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row>
    <row r="382" spans="2:8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36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s="76"/>
      <c r="CE382" s="76"/>
      <c r="CF382" s="76"/>
      <c r="CG382" s="76"/>
      <c r="CH382" s="76"/>
    </row>
    <row r="383" spans="2:8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36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s="76"/>
      <c r="CE383" s="76"/>
      <c r="CF383" s="76"/>
      <c r="CG383" s="76"/>
      <c r="CH383" s="76"/>
    </row>
    <row r="384" spans="2:8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36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6"/>
      <c r="CH384" s="76"/>
    </row>
    <row r="385" spans="2:8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36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s="76"/>
      <c r="CE385" s="76"/>
      <c r="CF385" s="76"/>
      <c r="CG385" s="76"/>
      <c r="CH385" s="76"/>
    </row>
    <row r="386" spans="2:8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36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s="76"/>
      <c r="CE386" s="76"/>
      <c r="CF386" s="76"/>
      <c r="CG386" s="76"/>
      <c r="CH386" s="76"/>
    </row>
    <row r="387" spans="2:8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36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s="76"/>
      <c r="CE387" s="76"/>
      <c r="CF387" s="76"/>
      <c r="CG387" s="76"/>
      <c r="CH387" s="76"/>
    </row>
    <row r="388" spans="2:8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36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s="76"/>
      <c r="CE388" s="76"/>
      <c r="CF388" s="76"/>
      <c r="CG388" s="76"/>
      <c r="CH388" s="76"/>
    </row>
    <row r="389" spans="2:8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36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s="76"/>
      <c r="CE389" s="76"/>
      <c r="CF389" s="76"/>
      <c r="CG389" s="76"/>
      <c r="CH389" s="76"/>
    </row>
    <row r="390" spans="2:8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36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row>
    <row r="391" spans="2:8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36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s="76"/>
      <c r="CE391" s="76"/>
      <c r="CF391" s="76"/>
      <c r="CG391" s="76"/>
      <c r="CH391" s="76"/>
    </row>
    <row r="392" spans="2:8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36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s="76"/>
      <c r="CE392" s="76"/>
      <c r="CF392" s="76"/>
      <c r="CG392" s="76"/>
      <c r="CH392" s="76"/>
    </row>
    <row r="393" spans="2:8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36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s="76"/>
      <c r="CE393" s="76"/>
      <c r="CF393" s="76"/>
      <c r="CG393" s="76"/>
      <c r="CH393" s="76"/>
    </row>
    <row r="394" spans="2:8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36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s="76"/>
      <c r="CE394" s="76"/>
      <c r="CF394" s="76"/>
      <c r="CG394" s="76"/>
      <c r="CH394" s="76"/>
    </row>
    <row r="395" spans="2:8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36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s="76"/>
      <c r="CE395" s="76"/>
      <c r="CF395" s="76"/>
      <c r="CG395" s="76"/>
      <c r="CH395" s="76"/>
    </row>
    <row r="396" spans="2:8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36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s="76"/>
      <c r="CE396" s="76"/>
      <c r="CF396" s="76"/>
      <c r="CG396" s="76"/>
      <c r="CH396" s="76"/>
    </row>
    <row r="397" spans="2:8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36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row>
    <row r="398" spans="2:8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36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row>
    <row r="399" spans="2:8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36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row>
    <row r="400" spans="2:8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36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c r="CH400" s="76"/>
    </row>
    <row r="401" spans="2:8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36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c r="CE401" s="76"/>
      <c r="CF401" s="76"/>
      <c r="CG401" s="76"/>
      <c r="CH401" s="76"/>
    </row>
    <row r="402" spans="2:8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36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c r="CE402" s="76"/>
      <c r="CF402" s="76"/>
      <c r="CG402" s="76"/>
      <c r="CH402" s="76"/>
    </row>
    <row r="403" spans="2:8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36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row>
    <row r="404" spans="2:8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36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s="76"/>
      <c r="CE404" s="76"/>
      <c r="CF404" s="76"/>
      <c r="CG404" s="76"/>
      <c r="CH404" s="76"/>
    </row>
    <row r="405" spans="2:8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36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row>
    <row r="406" spans="2:8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36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c r="CE406" s="76"/>
      <c r="CF406" s="76"/>
      <c r="CG406" s="76"/>
      <c r="CH406" s="76"/>
    </row>
    <row r="407" spans="2:8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36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s="76"/>
      <c r="CE407" s="76"/>
      <c r="CF407" s="76"/>
      <c r="CG407" s="76"/>
      <c r="CH407" s="76"/>
    </row>
    <row r="408" spans="2:8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36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s="76"/>
      <c r="CE408" s="76"/>
      <c r="CF408" s="76"/>
      <c r="CG408" s="76"/>
      <c r="CH408" s="76"/>
    </row>
    <row r="409" spans="2:8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36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s="76"/>
      <c r="CE409" s="76"/>
      <c r="CF409" s="76"/>
      <c r="CG409" s="76"/>
      <c r="CH409" s="76"/>
    </row>
    <row r="410" spans="2:8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36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row>
    <row r="411" spans="2:8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36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c r="CE411" s="76"/>
      <c r="CF411" s="76"/>
      <c r="CG411" s="76"/>
      <c r="CH411" s="76"/>
    </row>
    <row r="412" spans="2:8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36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s="76"/>
      <c r="CE412" s="76"/>
      <c r="CF412" s="76"/>
      <c r="CG412" s="76"/>
      <c r="CH412" s="76"/>
    </row>
    <row r="413" spans="2:8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36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row>
    <row r="414" spans="2:8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36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c r="CE414" s="76"/>
      <c r="CF414" s="76"/>
      <c r="CG414" s="76"/>
      <c r="CH414" s="76"/>
    </row>
    <row r="415" spans="2:8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36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row>
    <row r="416" spans="2:8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36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row>
    <row r="417" spans="2:8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36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s="76"/>
      <c r="CE417" s="76"/>
      <c r="CF417" s="76"/>
      <c r="CG417" s="76"/>
      <c r="CH417" s="76"/>
    </row>
    <row r="418" spans="2:8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36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s="76"/>
      <c r="CE418" s="76"/>
      <c r="CF418" s="76"/>
      <c r="CG418" s="76"/>
      <c r="CH418" s="76"/>
    </row>
    <row r="419" spans="2:8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36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c r="BQ419" s="76"/>
      <c r="BR419" s="76"/>
      <c r="BS419" s="76"/>
      <c r="BT419" s="76"/>
      <c r="BU419" s="76"/>
      <c r="BV419" s="76"/>
      <c r="BW419" s="76"/>
      <c r="BX419" s="76"/>
      <c r="BY419" s="76"/>
      <c r="BZ419" s="76"/>
      <c r="CA419" s="76"/>
      <c r="CB419" s="76"/>
      <c r="CC419" s="76"/>
      <c r="CD419" s="76"/>
      <c r="CE419" s="76"/>
      <c r="CF419" s="76"/>
      <c r="CG419" s="76"/>
      <c r="CH419" s="76"/>
    </row>
    <row r="420" spans="2:8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36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row>
    <row r="421" spans="2:8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36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c r="BQ421" s="76"/>
      <c r="BR421" s="76"/>
      <c r="BS421" s="76"/>
      <c r="BT421" s="76"/>
      <c r="BU421" s="76"/>
      <c r="BV421" s="76"/>
      <c r="BW421" s="76"/>
      <c r="BX421" s="76"/>
      <c r="BY421" s="76"/>
      <c r="BZ421" s="76"/>
      <c r="CA421" s="76"/>
      <c r="CB421" s="76"/>
      <c r="CC421" s="76"/>
      <c r="CD421" s="76"/>
      <c r="CE421" s="76"/>
      <c r="CF421" s="76"/>
      <c r="CG421" s="76"/>
      <c r="CH421" s="76"/>
    </row>
    <row r="422" spans="2:8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36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s="76"/>
      <c r="CE422" s="76"/>
      <c r="CF422" s="76"/>
      <c r="CG422" s="76"/>
      <c r="CH422" s="76"/>
    </row>
    <row r="423" spans="2:8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36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c r="BQ423" s="76"/>
      <c r="BR423" s="76"/>
      <c r="BS423" s="76"/>
      <c r="BT423" s="76"/>
      <c r="BU423" s="76"/>
      <c r="BV423" s="76"/>
      <c r="BW423" s="76"/>
      <c r="BX423" s="76"/>
      <c r="BY423" s="76"/>
      <c r="BZ423" s="76"/>
      <c r="CA423" s="76"/>
      <c r="CB423" s="76"/>
      <c r="CC423" s="76"/>
      <c r="CD423" s="76"/>
      <c r="CE423" s="76"/>
      <c r="CF423" s="76"/>
      <c r="CG423" s="76"/>
      <c r="CH423" s="76"/>
    </row>
    <row r="424" spans="2:8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36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c r="BQ424" s="76"/>
      <c r="BR424" s="76"/>
      <c r="BS424" s="76"/>
      <c r="BT424" s="76"/>
      <c r="BU424" s="76"/>
      <c r="BV424" s="76"/>
      <c r="BW424" s="76"/>
      <c r="BX424" s="76"/>
      <c r="BY424" s="76"/>
      <c r="BZ424" s="76"/>
      <c r="CA424" s="76"/>
      <c r="CB424" s="76"/>
      <c r="CC424" s="76"/>
      <c r="CD424" s="76"/>
      <c r="CE424" s="76"/>
      <c r="CF424" s="76"/>
      <c r="CG424" s="76"/>
      <c r="CH424" s="76"/>
    </row>
    <row r="425" spans="2:8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36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c r="BQ425" s="76"/>
      <c r="BR425" s="76"/>
      <c r="BS425" s="76"/>
      <c r="BT425" s="76"/>
      <c r="BU425" s="76"/>
      <c r="BV425" s="76"/>
      <c r="BW425" s="76"/>
      <c r="BX425" s="76"/>
      <c r="BY425" s="76"/>
      <c r="BZ425" s="76"/>
      <c r="CA425" s="76"/>
      <c r="CB425" s="76"/>
      <c r="CC425" s="76"/>
      <c r="CD425" s="76"/>
      <c r="CE425" s="76"/>
      <c r="CF425" s="76"/>
      <c r="CG425" s="76"/>
      <c r="CH425" s="76"/>
    </row>
    <row r="426" spans="2:8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36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row>
    <row r="427" spans="2:8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36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row>
    <row r="428" spans="2:8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36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row>
    <row r="429" spans="2:8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36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row>
    <row r="430" spans="2:8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36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row>
    <row r="431" spans="2:8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36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row>
    <row r="432" spans="2:8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36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row>
    <row r="433" spans="2:8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36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row>
    <row r="434" spans="2:8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36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row>
    <row r="435" spans="2:8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36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row>
    <row r="436" spans="2:8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36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row>
    <row r="437" spans="2:8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36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row>
    <row r="438" spans="2:8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36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s="76"/>
      <c r="CE438" s="76"/>
      <c r="CF438" s="76"/>
      <c r="CG438" s="76"/>
      <c r="CH438" s="76"/>
    </row>
    <row r="439" spans="2:8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36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s="76"/>
      <c r="CE439" s="76"/>
      <c r="CF439" s="76"/>
      <c r="CG439" s="76"/>
      <c r="CH439" s="76"/>
    </row>
    <row r="440" spans="2:8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36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row>
    <row r="441" spans="2:8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36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row>
    <row r="442" spans="2:8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36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s="76"/>
      <c r="CE442" s="76"/>
      <c r="CF442" s="76"/>
      <c r="CG442" s="76"/>
      <c r="CH442" s="76"/>
    </row>
    <row r="443" spans="2:8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36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row>
    <row r="444" spans="2:8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36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row>
    <row r="445" spans="2:8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36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row>
    <row r="446" spans="2:8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36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row>
    <row r="447" spans="2:8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36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row>
    <row r="448" spans="2:8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36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row>
    <row r="449" spans="2:8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36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s="76"/>
      <c r="CE449" s="76"/>
      <c r="CF449" s="76"/>
      <c r="CG449" s="76"/>
      <c r="CH449" s="76"/>
    </row>
    <row r="450" spans="2:8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36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row>
    <row r="451" spans="2:8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36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row>
    <row r="452" spans="2:8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366"/>
      <c r="AP452" s="76"/>
      <c r="AQ452" s="76"/>
      <c r="AR452" s="76"/>
      <c r="AS452" s="76"/>
      <c r="AT452" s="76"/>
      <c r="AU452" s="76"/>
      <c r="AV452" s="76"/>
      <c r="AW452" s="76"/>
      <c r="AX452" s="76"/>
      <c r="AY452" s="76"/>
      <c r="AZ452" s="76"/>
      <c r="BA452" s="76"/>
      <c r="BB452" s="76"/>
      <c r="BC452" s="76"/>
      <c r="BD452" s="76"/>
      <c r="BE452" s="76"/>
      <c r="BF452" s="76"/>
      <c r="BG452" s="76"/>
      <c r="BH452" s="76"/>
      <c r="BI452" s="76"/>
      <c r="BJ452" s="76"/>
      <c r="BK452" s="76"/>
      <c r="BL452" s="76"/>
      <c r="BM452" s="76"/>
      <c r="BN452" s="76"/>
      <c r="BO452" s="76"/>
      <c r="BP452" s="76"/>
      <c r="BQ452" s="76"/>
      <c r="BR452" s="76"/>
      <c r="BS452" s="76"/>
      <c r="BT452" s="76"/>
      <c r="BU452" s="76"/>
      <c r="BV452" s="76"/>
      <c r="BW452" s="76"/>
      <c r="BX452" s="76"/>
      <c r="BY452" s="76"/>
      <c r="BZ452" s="76"/>
      <c r="CA452" s="76"/>
      <c r="CB452" s="76"/>
      <c r="CC452" s="76"/>
      <c r="CD452" s="76"/>
      <c r="CE452" s="76"/>
      <c r="CF452" s="76"/>
      <c r="CG452" s="76"/>
      <c r="CH452" s="76"/>
    </row>
    <row r="453" spans="2:8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36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s="76"/>
      <c r="CE453" s="76"/>
      <c r="CF453" s="76"/>
      <c r="CG453" s="76"/>
      <c r="CH453" s="76"/>
    </row>
    <row r="454" spans="2:8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366"/>
      <c r="AP454" s="76"/>
      <c r="AQ454" s="76"/>
      <c r="AR454" s="76"/>
      <c r="AS454" s="76"/>
      <c r="AT454" s="76"/>
      <c r="AU454" s="76"/>
      <c r="AV454" s="76"/>
      <c r="AW454" s="76"/>
      <c r="AX454" s="76"/>
      <c r="AY454" s="76"/>
      <c r="AZ454" s="76"/>
      <c r="BA454" s="76"/>
      <c r="BB454" s="76"/>
      <c r="BC454" s="76"/>
      <c r="BD454" s="76"/>
      <c r="BE454" s="76"/>
      <c r="BF454" s="76"/>
      <c r="BG454" s="76"/>
      <c r="BH454" s="76"/>
      <c r="BI454" s="76"/>
      <c r="BJ454" s="76"/>
      <c r="BK454" s="76"/>
      <c r="BL454" s="76"/>
      <c r="BM454" s="76"/>
      <c r="BN454" s="76"/>
      <c r="BO454" s="76"/>
      <c r="BP454" s="76"/>
      <c r="BQ454" s="76"/>
      <c r="BR454" s="76"/>
      <c r="BS454" s="76"/>
      <c r="BT454" s="76"/>
      <c r="BU454" s="76"/>
      <c r="BV454" s="76"/>
      <c r="BW454" s="76"/>
      <c r="BX454" s="76"/>
      <c r="BY454" s="76"/>
      <c r="BZ454" s="76"/>
      <c r="CA454" s="76"/>
      <c r="CB454" s="76"/>
      <c r="CC454" s="76"/>
      <c r="CD454" s="76"/>
      <c r="CE454" s="76"/>
      <c r="CF454" s="76"/>
      <c r="CG454" s="76"/>
      <c r="CH454" s="76"/>
    </row>
    <row r="455" spans="2:8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366"/>
      <c r="AP455" s="76"/>
      <c r="AQ455" s="76"/>
      <c r="AR455" s="76"/>
      <c r="AS455" s="76"/>
      <c r="AT455" s="76"/>
      <c r="AU455" s="76"/>
      <c r="AV455" s="76"/>
      <c r="AW455" s="76"/>
      <c r="AX455" s="76"/>
      <c r="AY455" s="76"/>
      <c r="AZ455" s="76"/>
      <c r="BA455" s="76"/>
      <c r="BB455" s="76"/>
      <c r="BC455" s="76"/>
      <c r="BD455" s="76"/>
      <c r="BE455" s="76"/>
      <c r="BF455" s="76"/>
      <c r="BG455" s="76"/>
      <c r="BH455" s="76"/>
      <c r="BI455" s="76"/>
      <c r="BJ455" s="76"/>
      <c r="BK455" s="76"/>
      <c r="BL455" s="76"/>
      <c r="BM455" s="76"/>
      <c r="BN455" s="76"/>
      <c r="BO455" s="76"/>
      <c r="BP455" s="76"/>
      <c r="BQ455" s="76"/>
      <c r="BR455" s="76"/>
      <c r="BS455" s="76"/>
      <c r="BT455" s="76"/>
      <c r="BU455" s="76"/>
      <c r="BV455" s="76"/>
      <c r="BW455" s="76"/>
      <c r="BX455" s="76"/>
      <c r="BY455" s="76"/>
      <c r="BZ455" s="76"/>
      <c r="CA455" s="76"/>
      <c r="CB455" s="76"/>
      <c r="CC455" s="76"/>
      <c r="CD455" s="76"/>
      <c r="CE455" s="76"/>
      <c r="CF455" s="76"/>
      <c r="CG455" s="76"/>
      <c r="CH455" s="76"/>
    </row>
    <row r="456" spans="2:8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366"/>
      <c r="AP456" s="76"/>
      <c r="AQ456" s="76"/>
      <c r="AR456" s="76"/>
      <c r="AS456" s="76"/>
      <c r="AT456" s="76"/>
      <c r="AU456" s="76"/>
      <c r="AV456" s="76"/>
      <c r="AW456" s="76"/>
      <c r="AX456" s="76"/>
      <c r="AY456" s="76"/>
      <c r="AZ456" s="76"/>
      <c r="BA456" s="76"/>
      <c r="BB456" s="76"/>
      <c r="BC456" s="76"/>
      <c r="BD456" s="76"/>
      <c r="BE456" s="76"/>
      <c r="BF456" s="76"/>
      <c r="BG456" s="76"/>
      <c r="BH456" s="76"/>
      <c r="BI456" s="76"/>
      <c r="BJ456" s="76"/>
      <c r="BK456" s="76"/>
      <c r="BL456" s="76"/>
      <c r="BM456" s="76"/>
      <c r="BN456" s="76"/>
      <c r="BO456" s="76"/>
      <c r="BP456" s="76"/>
      <c r="BQ456" s="76"/>
      <c r="BR456" s="76"/>
      <c r="BS456" s="76"/>
      <c r="BT456" s="76"/>
      <c r="BU456" s="76"/>
      <c r="BV456" s="76"/>
      <c r="BW456" s="76"/>
      <c r="BX456" s="76"/>
      <c r="BY456" s="76"/>
      <c r="BZ456" s="76"/>
      <c r="CA456" s="76"/>
      <c r="CB456" s="76"/>
      <c r="CC456" s="76"/>
      <c r="CD456" s="76"/>
      <c r="CE456" s="76"/>
      <c r="CF456" s="76"/>
      <c r="CG456" s="76"/>
      <c r="CH456" s="76"/>
    </row>
    <row r="457" spans="2:8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366"/>
      <c r="AP457" s="76"/>
      <c r="AQ457" s="76"/>
      <c r="AR457" s="76"/>
      <c r="AS457" s="76"/>
      <c r="AT457" s="76"/>
      <c r="AU457" s="76"/>
      <c r="AV457" s="76"/>
      <c r="AW457" s="76"/>
      <c r="AX457" s="76"/>
      <c r="AY457" s="76"/>
      <c r="AZ457" s="76"/>
      <c r="BA457" s="76"/>
      <c r="BB457" s="76"/>
      <c r="BC457" s="76"/>
      <c r="BD457" s="76"/>
      <c r="BE457" s="76"/>
      <c r="BF457" s="76"/>
      <c r="BG457" s="76"/>
      <c r="BH457" s="76"/>
      <c r="BI457" s="76"/>
      <c r="BJ457" s="76"/>
      <c r="BK457" s="76"/>
      <c r="BL457" s="76"/>
      <c r="BM457" s="76"/>
      <c r="BN457" s="76"/>
      <c r="BO457" s="76"/>
      <c r="BP457" s="76"/>
      <c r="BQ457" s="76"/>
      <c r="BR457" s="76"/>
      <c r="BS457" s="76"/>
      <c r="BT457" s="76"/>
      <c r="BU457" s="76"/>
      <c r="BV457" s="76"/>
      <c r="BW457" s="76"/>
      <c r="BX457" s="76"/>
      <c r="BY457" s="76"/>
      <c r="BZ457" s="76"/>
      <c r="CA457" s="76"/>
      <c r="CB457" s="76"/>
      <c r="CC457" s="76"/>
      <c r="CD457" s="76"/>
      <c r="CE457" s="76"/>
      <c r="CF457" s="76"/>
      <c r="CG457" s="76"/>
      <c r="CH457" s="76"/>
    </row>
    <row r="458" spans="2:8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366"/>
      <c r="AP458" s="76"/>
      <c r="AQ458" s="76"/>
      <c r="AR458" s="76"/>
      <c r="AS458" s="76"/>
      <c r="AT458" s="76"/>
      <c r="AU458" s="76"/>
      <c r="AV458" s="76"/>
      <c r="AW458" s="76"/>
      <c r="AX458" s="76"/>
      <c r="AY458" s="76"/>
      <c r="AZ458" s="76"/>
      <c r="BA458" s="76"/>
      <c r="BB458" s="76"/>
      <c r="BC458" s="76"/>
      <c r="BD458" s="76"/>
      <c r="BE458" s="76"/>
      <c r="BF458" s="76"/>
      <c r="BG458" s="76"/>
      <c r="BH458" s="76"/>
      <c r="BI458" s="76"/>
      <c r="BJ458" s="76"/>
      <c r="BK458" s="76"/>
      <c r="BL458" s="76"/>
      <c r="BM458" s="76"/>
      <c r="BN458" s="76"/>
      <c r="BO458" s="76"/>
      <c r="BP458" s="76"/>
      <c r="BQ458" s="76"/>
      <c r="BR458" s="76"/>
      <c r="BS458" s="76"/>
      <c r="BT458" s="76"/>
      <c r="BU458" s="76"/>
      <c r="BV458" s="76"/>
      <c r="BW458" s="76"/>
      <c r="BX458" s="76"/>
      <c r="BY458" s="76"/>
      <c r="BZ458" s="76"/>
      <c r="CA458" s="76"/>
      <c r="CB458" s="76"/>
      <c r="CC458" s="76"/>
      <c r="CD458" s="76"/>
      <c r="CE458" s="76"/>
      <c r="CF458" s="76"/>
      <c r="CG458" s="76"/>
      <c r="CH458" s="76"/>
    </row>
    <row r="459" spans="2:8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366"/>
      <c r="AP459" s="76"/>
      <c r="AQ459" s="76"/>
      <c r="AR459" s="76"/>
      <c r="AS459" s="76"/>
      <c r="AT459" s="76"/>
      <c r="AU459" s="76"/>
      <c r="AV459" s="76"/>
      <c r="AW459" s="76"/>
      <c r="AX459" s="76"/>
      <c r="AY459" s="76"/>
      <c r="AZ459" s="76"/>
      <c r="BA459" s="76"/>
      <c r="BB459" s="76"/>
      <c r="BC459" s="76"/>
      <c r="BD459" s="76"/>
      <c r="BE459" s="76"/>
      <c r="BF459" s="76"/>
      <c r="BG459" s="76"/>
      <c r="BH459" s="76"/>
      <c r="BI459" s="76"/>
      <c r="BJ459" s="76"/>
      <c r="BK459" s="76"/>
      <c r="BL459" s="76"/>
      <c r="BM459" s="76"/>
      <c r="BN459" s="76"/>
      <c r="BO459" s="76"/>
      <c r="BP459" s="76"/>
      <c r="BQ459" s="76"/>
      <c r="BR459" s="76"/>
      <c r="BS459" s="76"/>
      <c r="BT459" s="76"/>
      <c r="BU459" s="76"/>
      <c r="BV459" s="76"/>
      <c r="BW459" s="76"/>
      <c r="BX459" s="76"/>
      <c r="BY459" s="76"/>
      <c r="BZ459" s="76"/>
      <c r="CA459" s="76"/>
      <c r="CB459" s="76"/>
      <c r="CC459" s="76"/>
      <c r="CD459" s="76"/>
      <c r="CE459" s="76"/>
      <c r="CF459" s="76"/>
      <c r="CG459" s="76"/>
      <c r="CH459" s="76"/>
    </row>
    <row r="460" spans="2:8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366"/>
      <c r="AP460" s="76"/>
      <c r="AQ460" s="76"/>
      <c r="AR460" s="76"/>
      <c r="AS460" s="76"/>
      <c r="AT460" s="76"/>
      <c r="AU460" s="76"/>
      <c r="AV460" s="76"/>
      <c r="AW460" s="76"/>
      <c r="AX460" s="76"/>
      <c r="AY460" s="76"/>
      <c r="AZ460" s="76"/>
      <c r="BA460" s="76"/>
      <c r="BB460" s="76"/>
      <c r="BC460" s="76"/>
      <c r="BD460" s="76"/>
      <c r="BE460" s="76"/>
      <c r="BF460" s="76"/>
      <c r="BG460" s="76"/>
      <c r="BH460" s="76"/>
      <c r="BI460" s="76"/>
      <c r="BJ460" s="76"/>
      <c r="BK460" s="76"/>
      <c r="BL460" s="76"/>
      <c r="BM460" s="76"/>
      <c r="BN460" s="76"/>
      <c r="BO460" s="76"/>
      <c r="BP460" s="76"/>
      <c r="BQ460" s="76"/>
      <c r="BR460" s="76"/>
      <c r="BS460" s="76"/>
      <c r="BT460" s="76"/>
      <c r="BU460" s="76"/>
      <c r="BV460" s="76"/>
      <c r="BW460" s="76"/>
      <c r="BX460" s="76"/>
      <c r="BY460" s="76"/>
      <c r="BZ460" s="76"/>
      <c r="CA460" s="76"/>
      <c r="CB460" s="76"/>
      <c r="CC460" s="76"/>
      <c r="CD460" s="76"/>
      <c r="CE460" s="76"/>
      <c r="CF460" s="76"/>
      <c r="CG460" s="76"/>
      <c r="CH460" s="76"/>
    </row>
    <row r="461" spans="2:8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36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6"/>
      <c r="BQ461" s="76"/>
      <c r="BR461" s="76"/>
      <c r="BS461" s="76"/>
      <c r="BT461" s="76"/>
      <c r="BU461" s="76"/>
      <c r="BV461" s="76"/>
      <c r="BW461" s="76"/>
      <c r="BX461" s="76"/>
      <c r="BY461" s="76"/>
      <c r="BZ461" s="76"/>
      <c r="CA461" s="76"/>
      <c r="CB461" s="76"/>
      <c r="CC461" s="76"/>
      <c r="CD461" s="76"/>
      <c r="CE461" s="76"/>
      <c r="CF461" s="76"/>
      <c r="CG461" s="76"/>
      <c r="CH461" s="76"/>
    </row>
    <row r="462" spans="2:8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36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6"/>
      <c r="CB462" s="76"/>
      <c r="CC462" s="76"/>
      <c r="CD462" s="76"/>
      <c r="CE462" s="76"/>
      <c r="CF462" s="76"/>
      <c r="CG462" s="76"/>
      <c r="CH462" s="76"/>
    </row>
    <row r="463" spans="2:8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366"/>
      <c r="AP463" s="76"/>
      <c r="AQ463" s="76"/>
      <c r="AR463" s="76"/>
      <c r="AS463" s="76"/>
      <c r="AT463" s="76"/>
      <c r="AU463" s="76"/>
      <c r="AV463" s="76"/>
      <c r="AW463" s="76"/>
      <c r="AX463" s="76"/>
      <c r="AY463" s="76"/>
      <c r="AZ463" s="76"/>
      <c r="BA463" s="76"/>
      <c r="BB463" s="76"/>
      <c r="BC463" s="76"/>
      <c r="BD463" s="76"/>
      <c r="BE463" s="76"/>
      <c r="BF463" s="76"/>
      <c r="BG463" s="76"/>
      <c r="BH463" s="76"/>
      <c r="BI463" s="76"/>
      <c r="BJ463" s="76"/>
      <c r="BK463" s="76"/>
      <c r="BL463" s="76"/>
      <c r="BM463" s="76"/>
      <c r="BN463" s="76"/>
      <c r="BO463" s="76"/>
      <c r="BP463" s="76"/>
      <c r="BQ463" s="76"/>
      <c r="BR463" s="76"/>
      <c r="BS463" s="76"/>
      <c r="BT463" s="76"/>
      <c r="BU463" s="76"/>
      <c r="BV463" s="76"/>
      <c r="BW463" s="76"/>
      <c r="BX463" s="76"/>
      <c r="BY463" s="76"/>
      <c r="BZ463" s="76"/>
      <c r="CA463" s="76"/>
      <c r="CB463" s="76"/>
      <c r="CC463" s="76"/>
      <c r="CD463" s="76"/>
      <c r="CE463" s="76"/>
      <c r="CF463" s="76"/>
      <c r="CG463" s="76"/>
      <c r="CH463" s="76"/>
    </row>
    <row r="464" spans="2:8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366"/>
      <c r="AP464" s="76"/>
      <c r="AQ464" s="76"/>
      <c r="AR464" s="76"/>
      <c r="AS464" s="76"/>
      <c r="AT464" s="76"/>
      <c r="AU464" s="76"/>
      <c r="AV464" s="76"/>
      <c r="AW464" s="76"/>
      <c r="AX464" s="76"/>
      <c r="AY464" s="76"/>
      <c r="AZ464" s="76"/>
      <c r="BA464" s="76"/>
      <c r="BB464" s="76"/>
      <c r="BC464" s="76"/>
      <c r="BD464" s="76"/>
      <c r="BE464" s="76"/>
      <c r="BF464" s="76"/>
      <c r="BG464" s="76"/>
      <c r="BH464" s="76"/>
      <c r="BI464" s="76"/>
      <c r="BJ464" s="76"/>
      <c r="BK464" s="76"/>
      <c r="BL464" s="76"/>
      <c r="BM464" s="76"/>
      <c r="BN464" s="76"/>
      <c r="BO464" s="76"/>
      <c r="BP464" s="76"/>
      <c r="BQ464" s="76"/>
      <c r="BR464" s="76"/>
      <c r="BS464" s="76"/>
      <c r="BT464" s="76"/>
      <c r="BU464" s="76"/>
      <c r="BV464" s="76"/>
      <c r="BW464" s="76"/>
      <c r="BX464" s="76"/>
      <c r="BY464" s="76"/>
      <c r="BZ464" s="76"/>
      <c r="CA464" s="76"/>
      <c r="CB464" s="76"/>
      <c r="CC464" s="76"/>
      <c r="CD464" s="76"/>
      <c r="CE464" s="76"/>
      <c r="CF464" s="76"/>
      <c r="CG464" s="76"/>
      <c r="CH464" s="76"/>
    </row>
    <row r="465" spans="2:8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366"/>
      <c r="AP465" s="76"/>
      <c r="AQ465" s="76"/>
      <c r="AR465" s="76"/>
      <c r="AS465" s="76"/>
      <c r="AT465" s="76"/>
      <c r="AU465" s="76"/>
      <c r="AV465" s="76"/>
      <c r="AW465" s="76"/>
      <c r="AX465" s="76"/>
      <c r="AY465" s="76"/>
      <c r="AZ465" s="76"/>
      <c r="BA465" s="76"/>
      <c r="BB465" s="76"/>
      <c r="BC465" s="76"/>
      <c r="BD465" s="76"/>
      <c r="BE465" s="76"/>
      <c r="BF465" s="76"/>
      <c r="BG465" s="76"/>
      <c r="BH465" s="76"/>
      <c r="BI465" s="76"/>
      <c r="BJ465" s="76"/>
      <c r="BK465" s="76"/>
      <c r="BL465" s="76"/>
      <c r="BM465" s="76"/>
      <c r="BN465" s="76"/>
      <c r="BO465" s="76"/>
      <c r="BP465" s="76"/>
      <c r="BQ465" s="76"/>
      <c r="BR465" s="76"/>
      <c r="BS465" s="76"/>
      <c r="BT465" s="76"/>
      <c r="BU465" s="76"/>
      <c r="BV465" s="76"/>
      <c r="BW465" s="76"/>
      <c r="BX465" s="76"/>
      <c r="BY465" s="76"/>
      <c r="BZ465" s="76"/>
      <c r="CA465" s="76"/>
      <c r="CB465" s="76"/>
      <c r="CC465" s="76"/>
      <c r="CD465" s="76"/>
      <c r="CE465" s="76"/>
      <c r="CF465" s="76"/>
      <c r="CG465" s="76"/>
      <c r="CH465" s="76"/>
    </row>
    <row r="466" spans="2:8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366"/>
      <c r="AP466" s="76"/>
      <c r="AQ466" s="76"/>
      <c r="AR466" s="76"/>
      <c r="AS466" s="76"/>
      <c r="AT466" s="76"/>
      <c r="AU466" s="76"/>
      <c r="AV466" s="76"/>
      <c r="AW466" s="76"/>
      <c r="AX466" s="76"/>
      <c r="AY466" s="76"/>
      <c r="AZ466" s="76"/>
      <c r="BA466" s="76"/>
      <c r="BB466" s="76"/>
      <c r="BC466" s="76"/>
      <c r="BD466" s="76"/>
      <c r="BE466" s="76"/>
      <c r="BF466" s="76"/>
      <c r="BG466" s="76"/>
      <c r="BH466" s="76"/>
      <c r="BI466" s="76"/>
      <c r="BJ466" s="76"/>
      <c r="BK466" s="76"/>
      <c r="BL466" s="76"/>
      <c r="BM466" s="76"/>
      <c r="BN466" s="76"/>
      <c r="BO466" s="76"/>
      <c r="BP466" s="76"/>
      <c r="BQ466" s="76"/>
      <c r="BR466" s="76"/>
      <c r="BS466" s="76"/>
      <c r="BT466" s="76"/>
      <c r="BU466" s="76"/>
      <c r="BV466" s="76"/>
      <c r="BW466" s="76"/>
      <c r="BX466" s="76"/>
      <c r="BY466" s="76"/>
      <c r="BZ466" s="76"/>
      <c r="CA466" s="76"/>
      <c r="CB466" s="76"/>
      <c r="CC466" s="76"/>
      <c r="CD466" s="76"/>
      <c r="CE466" s="76"/>
      <c r="CF466" s="76"/>
      <c r="CG466" s="76"/>
      <c r="CH466" s="76"/>
    </row>
    <row r="467" spans="2:8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366"/>
      <c r="AP467" s="76"/>
      <c r="AQ467" s="76"/>
      <c r="AR467" s="76"/>
      <c r="AS467" s="76"/>
      <c r="AT467" s="76"/>
      <c r="AU467" s="76"/>
      <c r="AV467" s="76"/>
      <c r="AW467" s="76"/>
      <c r="AX467" s="76"/>
      <c r="AY467" s="76"/>
      <c r="AZ467" s="76"/>
      <c r="BA467" s="76"/>
      <c r="BB467" s="76"/>
      <c r="BC467" s="76"/>
      <c r="BD467" s="76"/>
      <c r="BE467" s="76"/>
      <c r="BF467" s="76"/>
      <c r="BG467" s="76"/>
      <c r="BH467" s="76"/>
      <c r="BI467" s="76"/>
      <c r="BJ467" s="76"/>
      <c r="BK467" s="76"/>
      <c r="BL467" s="76"/>
      <c r="BM467" s="76"/>
      <c r="BN467" s="76"/>
      <c r="BO467" s="76"/>
      <c r="BP467" s="76"/>
      <c r="BQ467" s="76"/>
      <c r="BR467" s="76"/>
      <c r="BS467" s="76"/>
      <c r="BT467" s="76"/>
      <c r="BU467" s="76"/>
      <c r="BV467" s="76"/>
      <c r="BW467" s="76"/>
      <c r="BX467" s="76"/>
      <c r="BY467" s="76"/>
      <c r="BZ467" s="76"/>
      <c r="CA467" s="76"/>
      <c r="CB467" s="76"/>
      <c r="CC467" s="76"/>
      <c r="CD467" s="76"/>
      <c r="CE467" s="76"/>
      <c r="CF467" s="76"/>
      <c r="CG467" s="76"/>
      <c r="CH467" s="76"/>
    </row>
    <row r="468" spans="2:8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366"/>
      <c r="AP468" s="76"/>
      <c r="AQ468" s="76"/>
      <c r="AR468" s="76"/>
      <c r="AS468" s="76"/>
      <c r="AT468" s="76"/>
      <c r="AU468" s="76"/>
      <c r="AV468" s="76"/>
      <c r="AW468" s="76"/>
      <c r="AX468" s="76"/>
      <c r="AY468" s="76"/>
      <c r="AZ468" s="76"/>
      <c r="BA468" s="76"/>
      <c r="BB468" s="76"/>
      <c r="BC468" s="76"/>
      <c r="BD468" s="76"/>
      <c r="BE468" s="76"/>
      <c r="BF468" s="76"/>
      <c r="BG468" s="76"/>
      <c r="BH468" s="76"/>
      <c r="BI468" s="76"/>
      <c r="BJ468" s="76"/>
      <c r="BK468" s="76"/>
      <c r="BL468" s="76"/>
      <c r="BM468" s="76"/>
      <c r="BN468" s="76"/>
      <c r="BO468" s="76"/>
      <c r="BP468" s="76"/>
      <c r="BQ468" s="76"/>
      <c r="BR468" s="76"/>
      <c r="BS468" s="76"/>
      <c r="BT468" s="76"/>
      <c r="BU468" s="76"/>
      <c r="BV468" s="76"/>
      <c r="BW468" s="76"/>
      <c r="BX468" s="76"/>
      <c r="BY468" s="76"/>
      <c r="BZ468" s="76"/>
      <c r="CA468" s="76"/>
      <c r="CB468" s="76"/>
      <c r="CC468" s="76"/>
      <c r="CD468" s="76"/>
      <c r="CE468" s="76"/>
      <c r="CF468" s="76"/>
      <c r="CG468" s="76"/>
      <c r="CH468" s="76"/>
    </row>
    <row r="469" spans="2:8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366"/>
      <c r="AP469" s="76"/>
      <c r="AQ469" s="76"/>
      <c r="AR469" s="76"/>
      <c r="AS469" s="76"/>
      <c r="AT469" s="76"/>
      <c r="AU469" s="76"/>
      <c r="AV469" s="76"/>
      <c r="AW469" s="76"/>
      <c r="AX469" s="76"/>
      <c r="AY469" s="76"/>
      <c r="AZ469" s="76"/>
      <c r="BA469" s="76"/>
      <c r="BB469" s="76"/>
      <c r="BC469" s="76"/>
      <c r="BD469" s="76"/>
      <c r="BE469" s="76"/>
      <c r="BF469" s="76"/>
      <c r="BG469" s="76"/>
      <c r="BH469" s="76"/>
      <c r="BI469" s="76"/>
      <c r="BJ469" s="76"/>
      <c r="BK469" s="76"/>
      <c r="BL469" s="76"/>
      <c r="BM469" s="76"/>
      <c r="BN469" s="76"/>
      <c r="BO469" s="76"/>
      <c r="BP469" s="76"/>
      <c r="BQ469" s="76"/>
      <c r="BR469" s="76"/>
      <c r="BS469" s="76"/>
      <c r="BT469" s="76"/>
      <c r="BU469" s="76"/>
      <c r="BV469" s="76"/>
      <c r="BW469" s="76"/>
      <c r="BX469" s="76"/>
      <c r="BY469" s="76"/>
      <c r="BZ469" s="76"/>
      <c r="CA469" s="76"/>
      <c r="CB469" s="76"/>
      <c r="CC469" s="76"/>
      <c r="CD469" s="76"/>
      <c r="CE469" s="76"/>
      <c r="CF469" s="76"/>
      <c r="CG469" s="76"/>
      <c r="CH469" s="76"/>
    </row>
    <row r="470" spans="2:8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36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s="76"/>
      <c r="CE470" s="76"/>
      <c r="CF470" s="76"/>
      <c r="CG470" s="76"/>
      <c r="CH470" s="76"/>
    </row>
    <row r="471" spans="2:8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366"/>
      <c r="AP471" s="76"/>
      <c r="AQ471" s="76"/>
      <c r="AR471" s="76"/>
      <c r="AS471" s="76"/>
      <c r="AT471" s="76"/>
      <c r="AU471" s="76"/>
      <c r="AV471" s="76"/>
      <c r="AW471" s="76"/>
      <c r="AX471" s="76"/>
      <c r="AY471" s="76"/>
      <c r="AZ471" s="76"/>
      <c r="BA471" s="76"/>
      <c r="BB471" s="76"/>
      <c r="BC471" s="76"/>
      <c r="BD471" s="76"/>
      <c r="BE471" s="76"/>
      <c r="BF471" s="76"/>
      <c r="BG471" s="76"/>
      <c r="BH471" s="76"/>
      <c r="BI471" s="76"/>
      <c r="BJ471" s="76"/>
      <c r="BK471" s="76"/>
      <c r="BL471" s="76"/>
      <c r="BM471" s="76"/>
      <c r="BN471" s="76"/>
      <c r="BO471" s="76"/>
      <c r="BP471" s="76"/>
      <c r="BQ471" s="76"/>
      <c r="BR471" s="76"/>
      <c r="BS471" s="76"/>
      <c r="BT471" s="76"/>
      <c r="BU471" s="76"/>
      <c r="BV471" s="76"/>
      <c r="BW471" s="76"/>
      <c r="BX471" s="76"/>
      <c r="BY471" s="76"/>
      <c r="BZ471" s="76"/>
      <c r="CA471" s="76"/>
      <c r="CB471" s="76"/>
      <c r="CC471" s="76"/>
      <c r="CD471" s="76"/>
      <c r="CE471" s="76"/>
      <c r="CF471" s="76"/>
      <c r="CG471" s="76"/>
      <c r="CH471" s="76"/>
    </row>
    <row r="472" spans="2:8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366"/>
      <c r="AP472" s="76"/>
      <c r="AQ472" s="76"/>
      <c r="AR472" s="76"/>
      <c r="AS472" s="76"/>
      <c r="AT472" s="76"/>
      <c r="AU472" s="76"/>
      <c r="AV472" s="76"/>
      <c r="AW472" s="76"/>
      <c r="AX472" s="76"/>
      <c r="AY472" s="76"/>
      <c r="AZ472" s="76"/>
      <c r="BA472" s="76"/>
      <c r="BB472" s="76"/>
      <c r="BC472" s="76"/>
      <c r="BD472" s="76"/>
      <c r="BE472" s="76"/>
      <c r="BF472" s="76"/>
      <c r="BG472" s="76"/>
      <c r="BH472" s="76"/>
      <c r="BI472" s="76"/>
      <c r="BJ472" s="76"/>
      <c r="BK472" s="76"/>
      <c r="BL472" s="76"/>
      <c r="BM472" s="76"/>
      <c r="BN472" s="76"/>
      <c r="BO472" s="76"/>
      <c r="BP472" s="76"/>
      <c r="BQ472" s="76"/>
      <c r="BR472" s="76"/>
      <c r="BS472" s="76"/>
      <c r="BT472" s="76"/>
      <c r="BU472" s="76"/>
      <c r="BV472" s="76"/>
      <c r="BW472" s="76"/>
      <c r="BX472" s="76"/>
      <c r="BY472" s="76"/>
      <c r="BZ472" s="76"/>
      <c r="CA472" s="76"/>
      <c r="CB472" s="76"/>
      <c r="CC472" s="76"/>
      <c r="CD472" s="76"/>
      <c r="CE472" s="76"/>
      <c r="CF472" s="76"/>
      <c r="CG472" s="76"/>
      <c r="CH472" s="76"/>
    </row>
    <row r="473" spans="2:8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366"/>
      <c r="AP473" s="76"/>
      <c r="AQ473" s="76"/>
      <c r="AR473" s="76"/>
      <c r="AS473" s="76"/>
      <c r="AT473" s="76"/>
      <c r="AU473" s="76"/>
      <c r="AV473" s="76"/>
      <c r="AW473" s="76"/>
      <c r="AX473" s="76"/>
      <c r="AY473" s="76"/>
      <c r="AZ473" s="76"/>
      <c r="BA473" s="76"/>
      <c r="BB473" s="76"/>
      <c r="BC473" s="76"/>
      <c r="BD473" s="76"/>
      <c r="BE473" s="76"/>
      <c r="BF473" s="76"/>
      <c r="BG473" s="76"/>
      <c r="BH473" s="76"/>
      <c r="BI473" s="76"/>
      <c r="BJ473" s="76"/>
      <c r="BK473" s="76"/>
      <c r="BL473" s="76"/>
      <c r="BM473" s="76"/>
      <c r="BN473" s="76"/>
      <c r="BO473" s="76"/>
      <c r="BP473" s="76"/>
      <c r="BQ473" s="76"/>
      <c r="BR473" s="76"/>
      <c r="BS473" s="76"/>
      <c r="BT473" s="76"/>
      <c r="BU473" s="76"/>
      <c r="BV473" s="76"/>
      <c r="BW473" s="76"/>
      <c r="BX473" s="76"/>
      <c r="BY473" s="76"/>
      <c r="BZ473" s="76"/>
      <c r="CA473" s="76"/>
      <c r="CB473" s="76"/>
      <c r="CC473" s="76"/>
      <c r="CD473" s="76"/>
      <c r="CE473" s="76"/>
      <c r="CF473" s="76"/>
      <c r="CG473" s="76"/>
      <c r="CH473" s="76"/>
    </row>
    <row r="474" spans="2:8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366"/>
      <c r="AP474" s="76"/>
      <c r="AQ474" s="76"/>
      <c r="AR474" s="76"/>
      <c r="AS474" s="76"/>
      <c r="AT474" s="76"/>
      <c r="AU474" s="76"/>
      <c r="AV474" s="76"/>
      <c r="AW474" s="76"/>
      <c r="AX474" s="76"/>
      <c r="AY474" s="76"/>
      <c r="AZ474" s="76"/>
      <c r="BA474" s="76"/>
      <c r="BB474" s="76"/>
      <c r="BC474" s="76"/>
      <c r="BD474" s="76"/>
      <c r="BE474" s="76"/>
      <c r="BF474" s="76"/>
      <c r="BG474" s="76"/>
      <c r="BH474" s="76"/>
      <c r="BI474" s="76"/>
      <c r="BJ474" s="76"/>
      <c r="BK474" s="76"/>
      <c r="BL474" s="76"/>
      <c r="BM474" s="76"/>
      <c r="BN474" s="76"/>
      <c r="BO474" s="76"/>
      <c r="BP474" s="76"/>
      <c r="BQ474" s="76"/>
      <c r="BR474" s="76"/>
      <c r="BS474" s="76"/>
      <c r="BT474" s="76"/>
      <c r="BU474" s="76"/>
      <c r="BV474" s="76"/>
      <c r="BW474" s="76"/>
      <c r="BX474" s="76"/>
      <c r="BY474" s="76"/>
      <c r="BZ474" s="76"/>
      <c r="CA474" s="76"/>
      <c r="CB474" s="76"/>
      <c r="CC474" s="76"/>
      <c r="CD474" s="76"/>
      <c r="CE474" s="76"/>
      <c r="CF474" s="76"/>
      <c r="CG474" s="76"/>
      <c r="CH474" s="76"/>
    </row>
    <row r="475" spans="2:8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366"/>
      <c r="AP475" s="76"/>
      <c r="AQ475" s="76"/>
      <c r="AR475" s="76"/>
      <c r="AS475" s="76"/>
      <c r="AT475" s="76"/>
      <c r="AU475" s="76"/>
      <c r="AV475" s="76"/>
      <c r="AW475" s="76"/>
      <c r="AX475" s="76"/>
      <c r="AY475" s="76"/>
      <c r="AZ475" s="76"/>
      <c r="BA475" s="76"/>
      <c r="BB475" s="76"/>
      <c r="BC475" s="76"/>
      <c r="BD475" s="76"/>
      <c r="BE475" s="76"/>
      <c r="BF475" s="76"/>
      <c r="BG475" s="76"/>
      <c r="BH475" s="76"/>
      <c r="BI475" s="76"/>
      <c r="BJ475" s="76"/>
      <c r="BK475" s="76"/>
      <c r="BL475" s="76"/>
      <c r="BM475" s="76"/>
      <c r="BN475" s="76"/>
      <c r="BO475" s="76"/>
      <c r="BP475" s="76"/>
      <c r="BQ475" s="76"/>
      <c r="BR475" s="76"/>
      <c r="BS475" s="76"/>
      <c r="BT475" s="76"/>
      <c r="BU475" s="76"/>
      <c r="BV475" s="76"/>
      <c r="BW475" s="76"/>
      <c r="BX475" s="76"/>
      <c r="BY475" s="76"/>
      <c r="BZ475" s="76"/>
      <c r="CA475" s="76"/>
      <c r="CB475" s="76"/>
      <c r="CC475" s="76"/>
      <c r="CD475" s="76"/>
      <c r="CE475" s="76"/>
      <c r="CF475" s="76"/>
      <c r="CG475" s="76"/>
      <c r="CH475" s="76"/>
    </row>
    <row r="476" spans="2:8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36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s="76"/>
      <c r="CE476" s="76"/>
      <c r="CF476" s="76"/>
      <c r="CG476" s="76"/>
      <c r="CH476" s="76"/>
    </row>
    <row r="477" spans="2:8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366"/>
      <c r="AP477" s="76"/>
      <c r="AQ477" s="76"/>
      <c r="AR477" s="76"/>
      <c r="AS477" s="76"/>
      <c r="AT477" s="76"/>
      <c r="AU477" s="76"/>
      <c r="AV477" s="76"/>
      <c r="AW477" s="76"/>
      <c r="AX477" s="76"/>
      <c r="AY477" s="76"/>
      <c r="AZ477" s="76"/>
      <c r="BA477" s="76"/>
      <c r="BB477" s="76"/>
      <c r="BC477" s="76"/>
      <c r="BD477" s="76"/>
      <c r="BE477" s="76"/>
      <c r="BF477" s="76"/>
      <c r="BG477" s="76"/>
      <c r="BH477" s="76"/>
      <c r="BI477" s="76"/>
      <c r="BJ477" s="76"/>
      <c r="BK477" s="76"/>
      <c r="BL477" s="76"/>
      <c r="BM477" s="76"/>
      <c r="BN477" s="76"/>
      <c r="BO477" s="76"/>
      <c r="BP477" s="76"/>
      <c r="BQ477" s="76"/>
      <c r="BR477" s="76"/>
      <c r="BS477" s="76"/>
      <c r="BT477" s="76"/>
      <c r="BU477" s="76"/>
      <c r="BV477" s="76"/>
      <c r="BW477" s="76"/>
      <c r="BX477" s="76"/>
      <c r="BY477" s="76"/>
      <c r="BZ477" s="76"/>
      <c r="CA477" s="76"/>
      <c r="CB477" s="76"/>
      <c r="CC477" s="76"/>
      <c r="CD477" s="76"/>
      <c r="CE477" s="76"/>
      <c r="CF477" s="76"/>
      <c r="CG477" s="76"/>
      <c r="CH477" s="76"/>
    </row>
    <row r="478" spans="2:8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366"/>
      <c r="AP478" s="76"/>
      <c r="AQ478" s="76"/>
      <c r="AR478" s="76"/>
      <c r="AS478" s="76"/>
      <c r="AT478" s="76"/>
      <c r="AU478" s="76"/>
      <c r="AV478" s="76"/>
      <c r="AW478" s="76"/>
      <c r="AX478" s="76"/>
      <c r="AY478" s="76"/>
      <c r="AZ478" s="76"/>
      <c r="BA478" s="76"/>
      <c r="BB478" s="76"/>
      <c r="BC478" s="76"/>
      <c r="BD478" s="76"/>
      <c r="BE478" s="76"/>
      <c r="BF478" s="76"/>
      <c r="BG478" s="76"/>
      <c r="BH478" s="76"/>
      <c r="BI478" s="76"/>
      <c r="BJ478" s="76"/>
      <c r="BK478" s="76"/>
      <c r="BL478" s="76"/>
      <c r="BM478" s="76"/>
      <c r="BN478" s="76"/>
      <c r="BO478" s="76"/>
      <c r="BP478" s="76"/>
      <c r="BQ478" s="76"/>
      <c r="BR478" s="76"/>
      <c r="BS478" s="76"/>
      <c r="BT478" s="76"/>
      <c r="BU478" s="76"/>
      <c r="BV478" s="76"/>
      <c r="BW478" s="76"/>
      <c r="BX478" s="76"/>
      <c r="BY478" s="76"/>
      <c r="BZ478" s="76"/>
      <c r="CA478" s="76"/>
      <c r="CB478" s="76"/>
      <c r="CC478" s="76"/>
      <c r="CD478" s="76"/>
      <c r="CE478" s="76"/>
      <c r="CF478" s="76"/>
      <c r="CG478" s="76"/>
      <c r="CH478" s="76"/>
    </row>
    <row r="479" spans="2:8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366"/>
      <c r="AP479" s="76"/>
      <c r="AQ479" s="76"/>
      <c r="AR479" s="76"/>
      <c r="AS479" s="76"/>
      <c r="AT479" s="76"/>
      <c r="AU479" s="76"/>
      <c r="AV479" s="76"/>
      <c r="AW479" s="76"/>
      <c r="AX479" s="76"/>
      <c r="AY479" s="76"/>
      <c r="AZ479" s="76"/>
      <c r="BA479" s="76"/>
      <c r="BB479" s="76"/>
      <c r="BC479" s="76"/>
      <c r="BD479" s="76"/>
      <c r="BE479" s="76"/>
      <c r="BF479" s="76"/>
      <c r="BG479" s="76"/>
      <c r="BH479" s="76"/>
      <c r="BI479" s="76"/>
      <c r="BJ479" s="76"/>
      <c r="BK479" s="76"/>
      <c r="BL479" s="76"/>
      <c r="BM479" s="76"/>
      <c r="BN479" s="76"/>
      <c r="BO479" s="76"/>
      <c r="BP479" s="76"/>
      <c r="BQ479" s="76"/>
      <c r="BR479" s="76"/>
      <c r="BS479" s="76"/>
      <c r="BT479" s="76"/>
      <c r="BU479" s="76"/>
      <c r="BV479" s="76"/>
      <c r="BW479" s="76"/>
      <c r="BX479" s="76"/>
      <c r="BY479" s="76"/>
      <c r="BZ479" s="76"/>
      <c r="CA479" s="76"/>
      <c r="CB479" s="76"/>
      <c r="CC479" s="76"/>
      <c r="CD479" s="76"/>
      <c r="CE479" s="76"/>
      <c r="CF479" s="76"/>
      <c r="CG479" s="76"/>
      <c r="CH479" s="76"/>
    </row>
    <row r="480" spans="2:8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36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6"/>
      <c r="BN480" s="76"/>
      <c r="BO480" s="76"/>
      <c r="BP480" s="76"/>
      <c r="BQ480" s="76"/>
      <c r="BR480" s="76"/>
      <c r="BS480" s="76"/>
      <c r="BT480" s="76"/>
      <c r="BU480" s="76"/>
      <c r="BV480" s="76"/>
      <c r="BW480" s="76"/>
      <c r="BX480" s="76"/>
      <c r="BY480" s="76"/>
      <c r="BZ480" s="76"/>
      <c r="CA480" s="76"/>
      <c r="CB480" s="76"/>
      <c r="CC480" s="76"/>
      <c r="CD480" s="76"/>
      <c r="CE480" s="76"/>
      <c r="CF480" s="76"/>
      <c r="CG480" s="76"/>
      <c r="CH480" s="76"/>
    </row>
    <row r="481" spans="2:8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36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6"/>
      <c r="BN481" s="76"/>
      <c r="BO481" s="76"/>
      <c r="BP481" s="76"/>
      <c r="BQ481" s="76"/>
      <c r="BR481" s="76"/>
      <c r="BS481" s="76"/>
      <c r="BT481" s="76"/>
      <c r="BU481" s="76"/>
      <c r="BV481" s="76"/>
      <c r="BW481" s="76"/>
      <c r="BX481" s="76"/>
      <c r="BY481" s="76"/>
      <c r="BZ481" s="76"/>
      <c r="CA481" s="76"/>
      <c r="CB481" s="76"/>
      <c r="CC481" s="76"/>
      <c r="CD481" s="76"/>
      <c r="CE481" s="76"/>
      <c r="CF481" s="76"/>
      <c r="CG481" s="76"/>
      <c r="CH481" s="76"/>
    </row>
    <row r="482" spans="2:8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366"/>
      <c r="AP482" s="76"/>
      <c r="AQ482" s="76"/>
      <c r="AR482" s="76"/>
      <c r="AS482" s="76"/>
      <c r="AT482" s="76"/>
      <c r="AU482" s="76"/>
      <c r="AV482" s="76"/>
      <c r="AW482" s="76"/>
      <c r="AX482" s="76"/>
      <c r="AY482" s="76"/>
      <c r="AZ482" s="76"/>
      <c r="BA482" s="76"/>
      <c r="BB482" s="76"/>
      <c r="BC482" s="76"/>
      <c r="BD482" s="76"/>
      <c r="BE482" s="76"/>
      <c r="BF482" s="76"/>
      <c r="BG482" s="76"/>
      <c r="BH482" s="76"/>
      <c r="BI482" s="76"/>
      <c r="BJ482" s="76"/>
      <c r="BK482" s="76"/>
      <c r="BL482" s="76"/>
      <c r="BM482" s="76"/>
      <c r="BN482" s="76"/>
      <c r="BO482" s="76"/>
      <c r="BP482" s="76"/>
      <c r="BQ482" s="76"/>
      <c r="BR482" s="76"/>
      <c r="BS482" s="76"/>
      <c r="BT482" s="76"/>
      <c r="BU482" s="76"/>
      <c r="BV482" s="76"/>
      <c r="BW482" s="76"/>
      <c r="BX482" s="76"/>
      <c r="BY482" s="76"/>
      <c r="BZ482" s="76"/>
      <c r="CA482" s="76"/>
      <c r="CB482" s="76"/>
      <c r="CC482" s="76"/>
      <c r="CD482" s="76"/>
      <c r="CE482" s="76"/>
      <c r="CF482" s="76"/>
      <c r="CG482" s="76"/>
      <c r="CH482" s="76"/>
    </row>
    <row r="483" spans="2:8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366"/>
      <c r="AP483" s="76"/>
      <c r="AQ483" s="76"/>
      <c r="AR483" s="76"/>
      <c r="AS483" s="76"/>
      <c r="AT483" s="76"/>
      <c r="AU483" s="76"/>
      <c r="AV483" s="76"/>
      <c r="AW483" s="76"/>
      <c r="AX483" s="76"/>
      <c r="AY483" s="76"/>
      <c r="AZ483" s="76"/>
      <c r="BA483" s="76"/>
      <c r="BB483" s="76"/>
      <c r="BC483" s="76"/>
      <c r="BD483" s="76"/>
      <c r="BE483" s="76"/>
      <c r="BF483" s="76"/>
      <c r="BG483" s="76"/>
      <c r="BH483" s="76"/>
      <c r="BI483" s="76"/>
      <c r="BJ483" s="76"/>
      <c r="BK483" s="76"/>
      <c r="BL483" s="76"/>
      <c r="BM483" s="76"/>
      <c r="BN483" s="76"/>
      <c r="BO483" s="76"/>
      <c r="BP483" s="76"/>
      <c r="BQ483" s="76"/>
      <c r="BR483" s="76"/>
      <c r="BS483" s="76"/>
      <c r="BT483" s="76"/>
      <c r="BU483" s="76"/>
      <c r="BV483" s="76"/>
      <c r="BW483" s="76"/>
      <c r="BX483" s="76"/>
      <c r="BY483" s="76"/>
      <c r="BZ483" s="76"/>
      <c r="CA483" s="76"/>
      <c r="CB483" s="76"/>
      <c r="CC483" s="76"/>
      <c r="CD483" s="76"/>
      <c r="CE483" s="76"/>
      <c r="CF483" s="76"/>
      <c r="CG483" s="76"/>
      <c r="CH483" s="76"/>
    </row>
    <row r="484" spans="2:8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366"/>
      <c r="AP484" s="76"/>
      <c r="AQ484" s="76"/>
      <c r="AR484" s="76"/>
      <c r="AS484" s="76"/>
      <c r="AT484" s="76"/>
      <c r="AU484" s="76"/>
      <c r="AV484" s="76"/>
      <c r="AW484" s="76"/>
      <c r="AX484" s="76"/>
      <c r="AY484" s="76"/>
      <c r="AZ484" s="76"/>
      <c r="BA484" s="76"/>
      <c r="BB484" s="76"/>
      <c r="BC484" s="76"/>
      <c r="BD484" s="76"/>
      <c r="BE484" s="76"/>
      <c r="BF484" s="76"/>
      <c r="BG484" s="76"/>
      <c r="BH484" s="76"/>
      <c r="BI484" s="76"/>
      <c r="BJ484" s="76"/>
      <c r="BK484" s="76"/>
      <c r="BL484" s="76"/>
      <c r="BM484" s="76"/>
      <c r="BN484" s="76"/>
      <c r="BO484" s="76"/>
      <c r="BP484" s="76"/>
      <c r="BQ484" s="76"/>
      <c r="BR484" s="76"/>
      <c r="BS484" s="76"/>
      <c r="BT484" s="76"/>
      <c r="BU484" s="76"/>
      <c r="BV484" s="76"/>
      <c r="BW484" s="76"/>
      <c r="BX484" s="76"/>
      <c r="BY484" s="76"/>
      <c r="BZ484" s="76"/>
      <c r="CA484" s="76"/>
      <c r="CB484" s="76"/>
      <c r="CC484" s="76"/>
      <c r="CD484" s="76"/>
      <c r="CE484" s="76"/>
      <c r="CF484" s="76"/>
      <c r="CG484" s="76"/>
      <c r="CH484" s="76"/>
    </row>
    <row r="485" spans="2:8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366"/>
      <c r="AP485" s="76"/>
      <c r="AQ485" s="76"/>
      <c r="AR485" s="76"/>
      <c r="AS485" s="76"/>
      <c r="AT485" s="76"/>
      <c r="AU485" s="76"/>
      <c r="AV485" s="76"/>
      <c r="AW485" s="76"/>
      <c r="AX485" s="76"/>
      <c r="AY485" s="76"/>
      <c r="AZ485" s="76"/>
      <c r="BA485" s="76"/>
      <c r="BB485" s="76"/>
      <c r="BC485" s="76"/>
      <c r="BD485" s="76"/>
      <c r="BE485" s="76"/>
      <c r="BF485" s="76"/>
      <c r="BG485" s="76"/>
      <c r="BH485" s="76"/>
      <c r="BI485" s="76"/>
      <c r="BJ485" s="76"/>
      <c r="BK485" s="76"/>
      <c r="BL485" s="76"/>
      <c r="BM485" s="76"/>
      <c r="BN485" s="76"/>
      <c r="BO485" s="76"/>
      <c r="BP485" s="76"/>
      <c r="BQ485" s="76"/>
      <c r="BR485" s="76"/>
      <c r="BS485" s="76"/>
      <c r="BT485" s="76"/>
      <c r="BU485" s="76"/>
      <c r="BV485" s="76"/>
      <c r="BW485" s="76"/>
      <c r="BX485" s="76"/>
      <c r="BY485" s="76"/>
      <c r="BZ485" s="76"/>
      <c r="CA485" s="76"/>
      <c r="CB485" s="76"/>
      <c r="CC485" s="76"/>
      <c r="CD485" s="76"/>
      <c r="CE485" s="76"/>
      <c r="CF485" s="76"/>
      <c r="CG485" s="76"/>
      <c r="CH485" s="76"/>
    </row>
    <row r="486" spans="2:8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366"/>
      <c r="AP486" s="76"/>
      <c r="AQ486" s="76"/>
      <c r="AR486" s="76"/>
      <c r="AS486" s="76"/>
      <c r="AT486" s="76"/>
      <c r="AU486" s="76"/>
      <c r="AV486" s="76"/>
      <c r="AW486" s="76"/>
      <c r="AX486" s="76"/>
      <c r="AY486" s="76"/>
      <c r="AZ486" s="76"/>
      <c r="BA486" s="76"/>
      <c r="BB486" s="76"/>
      <c r="BC486" s="76"/>
      <c r="BD486" s="76"/>
      <c r="BE486" s="76"/>
      <c r="BF486" s="76"/>
      <c r="BG486" s="76"/>
      <c r="BH486" s="76"/>
      <c r="BI486" s="76"/>
      <c r="BJ486" s="76"/>
      <c r="BK486" s="76"/>
      <c r="BL486" s="76"/>
      <c r="BM486" s="76"/>
      <c r="BN486" s="76"/>
      <c r="BO486" s="76"/>
      <c r="BP486" s="76"/>
      <c r="BQ486" s="76"/>
      <c r="BR486" s="76"/>
      <c r="BS486" s="76"/>
      <c r="BT486" s="76"/>
      <c r="BU486" s="76"/>
      <c r="BV486" s="76"/>
      <c r="BW486" s="76"/>
      <c r="BX486" s="76"/>
      <c r="BY486" s="76"/>
      <c r="BZ486" s="76"/>
      <c r="CA486" s="76"/>
      <c r="CB486" s="76"/>
      <c r="CC486" s="76"/>
      <c r="CD486" s="76"/>
      <c r="CE486" s="76"/>
      <c r="CF486" s="76"/>
      <c r="CG486" s="76"/>
      <c r="CH486" s="76"/>
    </row>
    <row r="487" spans="2:8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366"/>
      <c r="AP487" s="76"/>
      <c r="AQ487" s="76"/>
      <c r="AR487" s="76"/>
      <c r="AS487" s="76"/>
      <c r="AT487" s="76"/>
      <c r="AU487" s="76"/>
      <c r="AV487" s="76"/>
      <c r="AW487" s="76"/>
      <c r="AX487" s="76"/>
      <c r="AY487" s="76"/>
      <c r="AZ487" s="76"/>
      <c r="BA487" s="76"/>
      <c r="BB487" s="76"/>
      <c r="BC487" s="76"/>
      <c r="BD487" s="76"/>
      <c r="BE487" s="76"/>
      <c r="BF487" s="76"/>
      <c r="BG487" s="76"/>
      <c r="BH487" s="76"/>
      <c r="BI487" s="76"/>
      <c r="BJ487" s="76"/>
      <c r="BK487" s="76"/>
      <c r="BL487" s="76"/>
      <c r="BM487" s="76"/>
      <c r="BN487" s="76"/>
      <c r="BO487" s="76"/>
      <c r="BP487" s="76"/>
      <c r="BQ487" s="76"/>
      <c r="BR487" s="76"/>
      <c r="BS487" s="76"/>
      <c r="BT487" s="76"/>
      <c r="BU487" s="76"/>
      <c r="BV487" s="76"/>
      <c r="BW487" s="76"/>
      <c r="BX487" s="76"/>
      <c r="BY487" s="76"/>
      <c r="BZ487" s="76"/>
      <c r="CA487" s="76"/>
      <c r="CB487" s="76"/>
      <c r="CC487" s="76"/>
      <c r="CD487" s="76"/>
      <c r="CE487" s="76"/>
      <c r="CF487" s="76"/>
      <c r="CG487" s="76"/>
      <c r="CH487" s="76"/>
    </row>
    <row r="488" spans="2:8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366"/>
      <c r="AP488" s="76"/>
      <c r="AQ488" s="76"/>
      <c r="AR488" s="76"/>
      <c r="AS488" s="76"/>
      <c r="AT488" s="76"/>
      <c r="AU488" s="76"/>
      <c r="AV488" s="76"/>
      <c r="AW488" s="76"/>
      <c r="AX488" s="76"/>
      <c r="AY488" s="76"/>
      <c r="AZ488" s="76"/>
      <c r="BA488" s="76"/>
      <c r="BB488" s="76"/>
      <c r="BC488" s="76"/>
      <c r="BD488" s="76"/>
      <c r="BE488" s="76"/>
      <c r="BF488" s="76"/>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76"/>
      <c r="CC488" s="76"/>
      <c r="CD488" s="76"/>
      <c r="CE488" s="76"/>
      <c r="CF488" s="76"/>
      <c r="CG488" s="76"/>
      <c r="CH488" s="76"/>
    </row>
    <row r="489" spans="2:8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366"/>
      <c r="AP489" s="76"/>
      <c r="AQ489" s="76"/>
      <c r="AR489" s="76"/>
      <c r="AS489" s="76"/>
      <c r="AT489" s="76"/>
      <c r="AU489" s="76"/>
      <c r="AV489" s="76"/>
      <c r="AW489" s="76"/>
      <c r="AX489" s="76"/>
      <c r="AY489" s="76"/>
      <c r="AZ489" s="76"/>
      <c r="BA489" s="76"/>
      <c r="BB489" s="76"/>
      <c r="BC489" s="76"/>
      <c r="BD489" s="76"/>
      <c r="BE489" s="76"/>
      <c r="BF489" s="76"/>
      <c r="BG489" s="76"/>
      <c r="BH489" s="76"/>
      <c r="BI489" s="76"/>
      <c r="BJ489" s="76"/>
      <c r="BK489" s="76"/>
      <c r="BL489" s="76"/>
      <c r="BM489" s="76"/>
      <c r="BN489" s="76"/>
      <c r="BO489" s="76"/>
      <c r="BP489" s="76"/>
      <c r="BQ489" s="76"/>
      <c r="BR489" s="76"/>
      <c r="BS489" s="76"/>
      <c r="BT489" s="76"/>
      <c r="BU489" s="76"/>
      <c r="BV489" s="76"/>
      <c r="BW489" s="76"/>
      <c r="BX489" s="76"/>
      <c r="BY489" s="76"/>
      <c r="BZ489" s="76"/>
      <c r="CA489" s="76"/>
      <c r="CB489" s="76"/>
      <c r="CC489" s="76"/>
      <c r="CD489" s="76"/>
      <c r="CE489" s="76"/>
      <c r="CF489" s="76"/>
      <c r="CG489" s="76"/>
      <c r="CH489" s="76"/>
    </row>
    <row r="490" spans="2:8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366"/>
      <c r="AP490" s="76"/>
      <c r="AQ490" s="76"/>
      <c r="AR490" s="76"/>
      <c r="AS490" s="76"/>
      <c r="AT490" s="76"/>
      <c r="AU490" s="76"/>
      <c r="AV490" s="76"/>
      <c r="AW490" s="76"/>
      <c r="AX490" s="76"/>
      <c r="AY490" s="76"/>
      <c r="AZ490" s="76"/>
      <c r="BA490" s="76"/>
      <c r="BB490" s="76"/>
      <c r="BC490" s="76"/>
      <c r="BD490" s="76"/>
      <c r="BE490" s="76"/>
      <c r="BF490" s="76"/>
      <c r="BG490" s="76"/>
      <c r="BH490" s="76"/>
      <c r="BI490" s="76"/>
      <c r="BJ490" s="76"/>
      <c r="BK490" s="76"/>
      <c r="BL490" s="76"/>
      <c r="BM490" s="76"/>
      <c r="BN490" s="76"/>
      <c r="BO490" s="76"/>
      <c r="BP490" s="76"/>
      <c r="BQ490" s="76"/>
      <c r="BR490" s="76"/>
      <c r="BS490" s="76"/>
      <c r="BT490" s="76"/>
      <c r="BU490" s="76"/>
      <c r="BV490" s="76"/>
      <c r="BW490" s="76"/>
      <c r="BX490" s="76"/>
      <c r="BY490" s="76"/>
      <c r="BZ490" s="76"/>
      <c r="CA490" s="76"/>
      <c r="CB490" s="76"/>
      <c r="CC490" s="76"/>
      <c r="CD490" s="76"/>
      <c r="CE490" s="76"/>
      <c r="CF490" s="76"/>
      <c r="CG490" s="76"/>
      <c r="CH490" s="76"/>
    </row>
    <row r="491" spans="2:8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366"/>
      <c r="AP491" s="76"/>
      <c r="AQ491" s="76"/>
      <c r="AR491" s="76"/>
      <c r="AS491" s="76"/>
      <c r="AT491" s="76"/>
      <c r="AU491" s="76"/>
      <c r="AV491" s="76"/>
      <c r="AW491" s="76"/>
      <c r="AX491" s="76"/>
      <c r="AY491" s="76"/>
      <c r="AZ491" s="76"/>
      <c r="BA491" s="76"/>
      <c r="BB491" s="76"/>
      <c r="BC491" s="76"/>
      <c r="BD491" s="76"/>
      <c r="BE491" s="76"/>
      <c r="BF491" s="76"/>
      <c r="BG491" s="76"/>
      <c r="BH491" s="76"/>
      <c r="BI491" s="76"/>
      <c r="BJ491" s="76"/>
      <c r="BK491" s="76"/>
      <c r="BL491" s="76"/>
      <c r="BM491" s="76"/>
      <c r="BN491" s="76"/>
      <c r="BO491" s="76"/>
      <c r="BP491" s="76"/>
      <c r="BQ491" s="76"/>
      <c r="BR491" s="76"/>
      <c r="BS491" s="76"/>
      <c r="BT491" s="76"/>
      <c r="BU491" s="76"/>
      <c r="BV491" s="76"/>
      <c r="BW491" s="76"/>
      <c r="BX491" s="76"/>
      <c r="BY491" s="76"/>
      <c r="BZ491" s="76"/>
      <c r="CA491" s="76"/>
      <c r="CB491" s="76"/>
      <c r="CC491" s="76"/>
      <c r="CD491" s="76"/>
      <c r="CE491" s="76"/>
      <c r="CF491" s="76"/>
      <c r="CG491" s="76"/>
      <c r="CH491" s="76"/>
    </row>
    <row r="492" spans="2:8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366"/>
      <c r="AP492" s="76"/>
      <c r="AQ492" s="76"/>
      <c r="AR492" s="76"/>
      <c r="AS492" s="76"/>
      <c r="AT492" s="76"/>
      <c r="AU492" s="76"/>
      <c r="AV492" s="76"/>
      <c r="AW492" s="76"/>
      <c r="AX492" s="76"/>
      <c r="AY492" s="76"/>
      <c r="AZ492" s="76"/>
      <c r="BA492" s="76"/>
      <c r="BB492" s="76"/>
      <c r="BC492" s="76"/>
      <c r="BD492" s="76"/>
      <c r="BE492" s="76"/>
      <c r="BF492" s="76"/>
      <c r="BG492" s="76"/>
      <c r="BH492" s="76"/>
      <c r="BI492" s="76"/>
      <c r="BJ492" s="76"/>
      <c r="BK492" s="76"/>
      <c r="BL492" s="76"/>
      <c r="BM492" s="76"/>
      <c r="BN492" s="76"/>
      <c r="BO492" s="76"/>
      <c r="BP492" s="76"/>
      <c r="BQ492" s="76"/>
      <c r="BR492" s="76"/>
      <c r="BS492" s="76"/>
      <c r="BT492" s="76"/>
      <c r="BU492" s="76"/>
      <c r="BV492" s="76"/>
      <c r="BW492" s="76"/>
      <c r="BX492" s="76"/>
      <c r="BY492" s="76"/>
      <c r="BZ492" s="76"/>
      <c r="CA492" s="76"/>
      <c r="CB492" s="76"/>
      <c r="CC492" s="76"/>
      <c r="CD492" s="76"/>
      <c r="CE492" s="76"/>
      <c r="CF492" s="76"/>
      <c r="CG492" s="76"/>
      <c r="CH492" s="76"/>
    </row>
    <row r="493" spans="2:8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366"/>
      <c r="AP493" s="76"/>
      <c r="AQ493" s="76"/>
      <c r="AR493" s="76"/>
      <c r="AS493" s="76"/>
      <c r="AT493" s="76"/>
      <c r="AU493" s="76"/>
      <c r="AV493" s="76"/>
      <c r="AW493" s="76"/>
      <c r="AX493" s="76"/>
      <c r="AY493" s="76"/>
      <c r="AZ493" s="76"/>
      <c r="BA493" s="76"/>
      <c r="BB493" s="76"/>
      <c r="BC493" s="76"/>
      <c r="BD493" s="76"/>
      <c r="BE493" s="76"/>
      <c r="BF493" s="76"/>
      <c r="BG493" s="76"/>
      <c r="BH493" s="76"/>
      <c r="BI493" s="76"/>
      <c r="BJ493" s="76"/>
      <c r="BK493" s="76"/>
      <c r="BL493" s="76"/>
      <c r="BM493" s="76"/>
      <c r="BN493" s="76"/>
      <c r="BO493" s="76"/>
      <c r="BP493" s="76"/>
      <c r="BQ493" s="76"/>
      <c r="BR493" s="76"/>
      <c r="BS493" s="76"/>
      <c r="BT493" s="76"/>
      <c r="BU493" s="76"/>
      <c r="BV493" s="76"/>
      <c r="BW493" s="76"/>
      <c r="BX493" s="76"/>
      <c r="BY493" s="76"/>
      <c r="BZ493" s="76"/>
      <c r="CA493" s="76"/>
      <c r="CB493" s="76"/>
      <c r="CC493" s="76"/>
      <c r="CD493" s="76"/>
      <c r="CE493" s="76"/>
      <c r="CF493" s="76"/>
      <c r="CG493" s="76"/>
      <c r="CH493" s="76"/>
    </row>
    <row r="494" spans="2:8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366"/>
      <c r="AP494" s="76"/>
      <c r="AQ494" s="76"/>
      <c r="AR494" s="76"/>
      <c r="AS494" s="76"/>
      <c r="AT494" s="76"/>
      <c r="AU494" s="76"/>
      <c r="AV494" s="76"/>
      <c r="AW494" s="76"/>
      <c r="AX494" s="76"/>
      <c r="AY494" s="76"/>
      <c r="AZ494" s="76"/>
      <c r="BA494" s="76"/>
      <c r="BB494" s="76"/>
      <c r="BC494" s="76"/>
      <c r="BD494" s="76"/>
      <c r="BE494" s="76"/>
      <c r="BF494" s="76"/>
      <c r="BG494" s="76"/>
      <c r="BH494" s="76"/>
      <c r="BI494" s="76"/>
      <c r="BJ494" s="76"/>
      <c r="BK494" s="76"/>
      <c r="BL494" s="76"/>
      <c r="BM494" s="76"/>
      <c r="BN494" s="76"/>
      <c r="BO494" s="76"/>
      <c r="BP494" s="76"/>
      <c r="BQ494" s="76"/>
      <c r="BR494" s="76"/>
      <c r="BS494" s="76"/>
      <c r="BT494" s="76"/>
      <c r="BU494" s="76"/>
      <c r="BV494" s="76"/>
      <c r="BW494" s="76"/>
      <c r="BX494" s="76"/>
      <c r="BY494" s="76"/>
      <c r="BZ494" s="76"/>
      <c r="CA494" s="76"/>
      <c r="CB494" s="76"/>
      <c r="CC494" s="76"/>
      <c r="CD494" s="76"/>
      <c r="CE494" s="76"/>
      <c r="CF494" s="76"/>
      <c r="CG494" s="76"/>
      <c r="CH494" s="76"/>
    </row>
    <row r="495" spans="2:8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366"/>
      <c r="AP495" s="76"/>
      <c r="AQ495" s="76"/>
      <c r="AR495" s="76"/>
      <c r="AS495" s="76"/>
      <c r="AT495" s="76"/>
      <c r="AU495" s="76"/>
      <c r="AV495" s="76"/>
      <c r="AW495" s="76"/>
      <c r="AX495" s="76"/>
      <c r="AY495" s="76"/>
      <c r="AZ495" s="76"/>
      <c r="BA495" s="76"/>
      <c r="BB495" s="76"/>
      <c r="BC495" s="76"/>
      <c r="BD495" s="76"/>
      <c r="BE495" s="76"/>
      <c r="BF495" s="76"/>
      <c r="BG495" s="76"/>
      <c r="BH495" s="76"/>
      <c r="BI495" s="76"/>
      <c r="BJ495" s="76"/>
      <c r="BK495" s="76"/>
      <c r="BL495" s="76"/>
      <c r="BM495" s="76"/>
      <c r="BN495" s="76"/>
      <c r="BO495" s="76"/>
      <c r="BP495" s="76"/>
      <c r="BQ495" s="76"/>
      <c r="BR495" s="76"/>
      <c r="BS495" s="76"/>
      <c r="BT495" s="76"/>
      <c r="BU495" s="76"/>
      <c r="BV495" s="76"/>
      <c r="BW495" s="76"/>
      <c r="BX495" s="76"/>
      <c r="BY495" s="76"/>
      <c r="BZ495" s="76"/>
      <c r="CA495" s="76"/>
      <c r="CB495" s="76"/>
      <c r="CC495" s="76"/>
      <c r="CD495" s="76"/>
      <c r="CE495" s="76"/>
      <c r="CF495" s="76"/>
      <c r="CG495" s="76"/>
      <c r="CH495" s="76"/>
    </row>
    <row r="496" spans="2:8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366"/>
      <c r="AP496" s="76"/>
      <c r="AQ496" s="76"/>
      <c r="AR496" s="76"/>
      <c r="AS496" s="76"/>
      <c r="AT496" s="76"/>
      <c r="AU496" s="76"/>
      <c r="AV496" s="76"/>
      <c r="AW496" s="76"/>
      <c r="AX496" s="76"/>
      <c r="AY496" s="76"/>
      <c r="AZ496" s="76"/>
      <c r="BA496" s="76"/>
      <c r="BB496" s="76"/>
      <c r="BC496" s="76"/>
      <c r="BD496" s="76"/>
      <c r="BE496" s="76"/>
      <c r="BF496" s="76"/>
      <c r="BG496" s="76"/>
      <c r="BH496" s="76"/>
      <c r="BI496" s="76"/>
      <c r="BJ496" s="76"/>
      <c r="BK496" s="76"/>
      <c r="BL496" s="76"/>
      <c r="BM496" s="76"/>
      <c r="BN496" s="76"/>
      <c r="BO496" s="76"/>
      <c r="BP496" s="76"/>
      <c r="BQ496" s="76"/>
      <c r="BR496" s="76"/>
      <c r="BS496" s="76"/>
      <c r="BT496" s="76"/>
      <c r="BU496" s="76"/>
      <c r="BV496" s="76"/>
      <c r="BW496" s="76"/>
      <c r="BX496" s="76"/>
      <c r="BY496" s="76"/>
      <c r="BZ496" s="76"/>
      <c r="CA496" s="76"/>
      <c r="CB496" s="76"/>
      <c r="CC496" s="76"/>
      <c r="CD496" s="76"/>
      <c r="CE496" s="76"/>
      <c r="CF496" s="76"/>
      <c r="CG496" s="76"/>
      <c r="CH496" s="76"/>
    </row>
    <row r="497" spans="2:8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366"/>
      <c r="AP497" s="76"/>
      <c r="AQ497" s="76"/>
      <c r="AR497" s="76"/>
      <c r="AS497" s="76"/>
      <c r="AT497" s="76"/>
      <c r="AU497" s="76"/>
      <c r="AV497" s="76"/>
      <c r="AW497" s="76"/>
      <c r="AX497" s="76"/>
      <c r="AY497" s="76"/>
      <c r="AZ497" s="76"/>
      <c r="BA497" s="76"/>
      <c r="BB497" s="76"/>
      <c r="BC497" s="76"/>
      <c r="BD497" s="76"/>
      <c r="BE497" s="76"/>
      <c r="BF497" s="76"/>
      <c r="BG497" s="76"/>
      <c r="BH497" s="76"/>
      <c r="BI497" s="76"/>
      <c r="BJ497" s="76"/>
      <c r="BK497" s="76"/>
      <c r="BL497" s="76"/>
      <c r="BM497" s="76"/>
      <c r="BN497" s="76"/>
      <c r="BO497" s="76"/>
      <c r="BP497" s="76"/>
      <c r="BQ497" s="76"/>
      <c r="BR497" s="76"/>
      <c r="BS497" s="76"/>
      <c r="BT497" s="76"/>
      <c r="BU497" s="76"/>
      <c r="BV497" s="76"/>
      <c r="BW497" s="76"/>
      <c r="BX497" s="76"/>
      <c r="BY497" s="76"/>
      <c r="BZ497" s="76"/>
      <c r="CA497" s="76"/>
      <c r="CB497" s="76"/>
      <c r="CC497" s="76"/>
      <c r="CD497" s="76"/>
      <c r="CE497" s="76"/>
      <c r="CF497" s="76"/>
      <c r="CG497" s="76"/>
      <c r="CH497" s="76"/>
    </row>
    <row r="498" spans="2:8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366"/>
      <c r="AP498" s="76"/>
      <c r="AQ498" s="76"/>
      <c r="AR498" s="76"/>
      <c r="AS498" s="76"/>
      <c r="AT498" s="76"/>
      <c r="AU498" s="76"/>
      <c r="AV498" s="76"/>
      <c r="AW498" s="76"/>
      <c r="AX498" s="76"/>
      <c r="AY498" s="76"/>
      <c r="AZ498" s="76"/>
      <c r="BA498" s="76"/>
      <c r="BB498" s="76"/>
      <c r="BC498" s="76"/>
      <c r="BD498" s="76"/>
      <c r="BE498" s="76"/>
      <c r="BF498" s="76"/>
      <c r="BG498" s="76"/>
      <c r="BH498" s="76"/>
      <c r="BI498" s="76"/>
      <c r="BJ498" s="76"/>
      <c r="BK498" s="76"/>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6"/>
      <c r="CH498" s="76"/>
    </row>
    <row r="499" spans="2:8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366"/>
      <c r="AP499" s="76"/>
      <c r="AQ499" s="76"/>
      <c r="AR499" s="76"/>
      <c r="AS499" s="76"/>
      <c r="AT499" s="76"/>
      <c r="AU499" s="76"/>
      <c r="AV499" s="76"/>
      <c r="AW499" s="76"/>
      <c r="AX499" s="76"/>
      <c r="AY499" s="76"/>
      <c r="AZ499" s="76"/>
      <c r="BA499" s="76"/>
      <c r="BB499" s="76"/>
      <c r="BC499" s="76"/>
      <c r="BD499" s="76"/>
      <c r="BE499" s="76"/>
      <c r="BF499" s="76"/>
      <c r="BG499" s="76"/>
      <c r="BH499" s="76"/>
      <c r="BI499" s="76"/>
      <c r="BJ499" s="76"/>
      <c r="BK499" s="76"/>
      <c r="BL499" s="76"/>
      <c r="BM499" s="76"/>
      <c r="BN499" s="76"/>
      <c r="BO499" s="76"/>
      <c r="BP499" s="76"/>
      <c r="BQ499" s="76"/>
      <c r="BR499" s="76"/>
      <c r="BS499" s="76"/>
      <c r="BT499" s="76"/>
      <c r="BU499" s="76"/>
      <c r="BV499" s="76"/>
      <c r="BW499" s="76"/>
      <c r="BX499" s="76"/>
      <c r="BY499" s="76"/>
      <c r="BZ499" s="76"/>
      <c r="CA499" s="76"/>
      <c r="CB499" s="76"/>
      <c r="CC499" s="76"/>
      <c r="CD499" s="76"/>
      <c r="CE499" s="76"/>
      <c r="CF499" s="76"/>
      <c r="CG499" s="76"/>
      <c r="CH499" s="76"/>
    </row>
    <row r="500" spans="2:8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366"/>
      <c r="AP500" s="76"/>
      <c r="AQ500" s="76"/>
      <c r="AR500" s="76"/>
      <c r="AS500" s="76"/>
      <c r="AT500" s="76"/>
      <c r="AU500" s="76"/>
      <c r="AV500" s="76"/>
      <c r="AW500" s="76"/>
      <c r="AX500" s="76"/>
      <c r="AY500" s="76"/>
      <c r="AZ500" s="76"/>
      <c r="BA500" s="76"/>
      <c r="BB500" s="76"/>
      <c r="BC500" s="76"/>
      <c r="BD500" s="76"/>
      <c r="BE500" s="76"/>
      <c r="BF500" s="76"/>
      <c r="BG500" s="76"/>
      <c r="BH500" s="76"/>
      <c r="BI500" s="76"/>
      <c r="BJ500" s="76"/>
      <c r="BK500" s="76"/>
      <c r="BL500" s="76"/>
      <c r="BM500" s="76"/>
      <c r="BN500" s="76"/>
      <c r="BO500" s="76"/>
      <c r="BP500" s="76"/>
      <c r="BQ500" s="76"/>
      <c r="BR500" s="76"/>
      <c r="BS500" s="76"/>
      <c r="BT500" s="76"/>
      <c r="BU500" s="76"/>
      <c r="BV500" s="76"/>
      <c r="BW500" s="76"/>
      <c r="BX500" s="76"/>
      <c r="BY500" s="76"/>
      <c r="BZ500" s="76"/>
      <c r="CA500" s="76"/>
      <c r="CB500" s="76"/>
      <c r="CC500" s="76"/>
      <c r="CD500" s="76"/>
      <c r="CE500" s="76"/>
      <c r="CF500" s="76"/>
      <c r="CG500" s="76"/>
      <c r="CH500" s="76"/>
    </row>
    <row r="501" spans="2:8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366"/>
      <c r="AP501" s="76"/>
      <c r="AQ501" s="76"/>
      <c r="AR501" s="76"/>
      <c r="AS501" s="76"/>
      <c r="AT501" s="76"/>
      <c r="AU501" s="76"/>
      <c r="AV501" s="76"/>
      <c r="AW501" s="76"/>
      <c r="AX501" s="76"/>
      <c r="AY501" s="76"/>
      <c r="AZ501" s="76"/>
      <c r="BA501" s="76"/>
      <c r="BB501" s="76"/>
      <c r="BC501" s="76"/>
      <c r="BD501" s="76"/>
      <c r="BE501" s="76"/>
      <c r="BF501" s="76"/>
      <c r="BG501" s="76"/>
      <c r="BH501" s="76"/>
      <c r="BI501" s="76"/>
      <c r="BJ501" s="76"/>
      <c r="BK501" s="76"/>
      <c r="BL501" s="76"/>
      <c r="BM501" s="76"/>
      <c r="BN501" s="76"/>
      <c r="BO501" s="76"/>
      <c r="BP501" s="76"/>
      <c r="BQ501" s="76"/>
      <c r="BR501" s="76"/>
      <c r="BS501" s="76"/>
      <c r="BT501" s="76"/>
      <c r="BU501" s="76"/>
      <c r="BV501" s="76"/>
      <c r="BW501" s="76"/>
      <c r="BX501" s="76"/>
      <c r="BY501" s="76"/>
      <c r="BZ501" s="76"/>
      <c r="CA501" s="76"/>
      <c r="CB501" s="76"/>
      <c r="CC501" s="76"/>
      <c r="CD501" s="76"/>
      <c r="CE501" s="76"/>
      <c r="CF501" s="76"/>
      <c r="CG501" s="76"/>
      <c r="CH501" s="76"/>
    </row>
    <row r="502" spans="2:8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366"/>
      <c r="AP502" s="76"/>
      <c r="AQ502" s="76"/>
      <c r="AR502" s="76"/>
      <c r="AS502" s="76"/>
      <c r="AT502" s="76"/>
      <c r="AU502" s="76"/>
      <c r="AV502" s="76"/>
      <c r="AW502" s="76"/>
      <c r="AX502" s="76"/>
      <c r="AY502" s="76"/>
      <c r="AZ502" s="76"/>
      <c r="BA502" s="76"/>
      <c r="BB502" s="76"/>
      <c r="BC502" s="76"/>
      <c r="BD502" s="76"/>
      <c r="BE502" s="76"/>
      <c r="BF502" s="76"/>
      <c r="BG502" s="76"/>
      <c r="BH502" s="76"/>
      <c r="BI502" s="76"/>
      <c r="BJ502" s="76"/>
      <c r="BK502" s="76"/>
      <c r="BL502" s="76"/>
      <c r="BM502" s="76"/>
      <c r="BN502" s="76"/>
      <c r="BO502" s="76"/>
      <c r="BP502" s="76"/>
      <c r="BQ502" s="76"/>
      <c r="BR502" s="76"/>
      <c r="BS502" s="76"/>
      <c r="BT502" s="76"/>
      <c r="BU502" s="76"/>
      <c r="BV502" s="76"/>
      <c r="BW502" s="76"/>
      <c r="BX502" s="76"/>
      <c r="BY502" s="76"/>
      <c r="BZ502" s="76"/>
      <c r="CA502" s="76"/>
      <c r="CB502" s="76"/>
      <c r="CC502" s="76"/>
      <c r="CD502" s="76"/>
      <c r="CE502" s="76"/>
      <c r="CF502" s="76"/>
      <c r="CG502" s="76"/>
      <c r="CH502" s="76"/>
    </row>
    <row r="503" spans="2:8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366"/>
      <c r="AP503" s="76"/>
      <c r="AQ503" s="76"/>
      <c r="AR503" s="76"/>
      <c r="AS503" s="76"/>
      <c r="AT503" s="76"/>
      <c r="AU503" s="76"/>
      <c r="AV503" s="76"/>
      <c r="AW503" s="76"/>
      <c r="AX503" s="76"/>
      <c r="AY503" s="76"/>
      <c r="AZ503" s="76"/>
      <c r="BA503" s="76"/>
      <c r="BB503" s="76"/>
      <c r="BC503" s="76"/>
      <c r="BD503" s="76"/>
      <c r="BE503" s="76"/>
      <c r="BF503" s="76"/>
      <c r="BG503" s="76"/>
      <c r="BH503" s="76"/>
      <c r="BI503" s="76"/>
      <c r="BJ503" s="76"/>
      <c r="BK503" s="76"/>
      <c r="BL503" s="76"/>
      <c r="BM503" s="76"/>
      <c r="BN503" s="76"/>
      <c r="BO503" s="76"/>
      <c r="BP503" s="76"/>
      <c r="BQ503" s="76"/>
      <c r="BR503" s="76"/>
      <c r="BS503" s="76"/>
      <c r="BT503" s="76"/>
      <c r="BU503" s="76"/>
      <c r="BV503" s="76"/>
      <c r="BW503" s="76"/>
      <c r="BX503" s="76"/>
      <c r="BY503" s="76"/>
      <c r="BZ503" s="76"/>
      <c r="CA503" s="76"/>
      <c r="CB503" s="76"/>
      <c r="CC503" s="76"/>
      <c r="CD503" s="76"/>
      <c r="CE503" s="76"/>
      <c r="CF503" s="76"/>
      <c r="CG503" s="76"/>
      <c r="CH503" s="76"/>
    </row>
    <row r="504" spans="2:8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366"/>
      <c r="AP504" s="76"/>
      <c r="AQ504" s="76"/>
      <c r="AR504" s="76"/>
      <c r="AS504" s="76"/>
      <c r="AT504" s="76"/>
      <c r="AU504" s="76"/>
      <c r="AV504" s="76"/>
      <c r="AW504" s="76"/>
      <c r="AX504" s="76"/>
      <c r="AY504" s="76"/>
      <c r="AZ504" s="76"/>
      <c r="BA504" s="76"/>
      <c r="BB504" s="76"/>
      <c r="BC504" s="76"/>
      <c r="BD504" s="76"/>
      <c r="BE504" s="76"/>
      <c r="BF504" s="76"/>
      <c r="BG504" s="76"/>
      <c r="BH504" s="76"/>
      <c r="BI504" s="76"/>
      <c r="BJ504" s="76"/>
      <c r="BK504" s="76"/>
      <c r="BL504" s="76"/>
      <c r="BM504" s="76"/>
      <c r="BN504" s="76"/>
      <c r="BO504" s="76"/>
      <c r="BP504" s="76"/>
      <c r="BQ504" s="76"/>
      <c r="BR504" s="76"/>
      <c r="BS504" s="76"/>
      <c r="BT504" s="76"/>
      <c r="BU504" s="76"/>
      <c r="BV504" s="76"/>
      <c r="BW504" s="76"/>
      <c r="BX504" s="76"/>
      <c r="BY504" s="76"/>
      <c r="BZ504" s="76"/>
      <c r="CA504" s="76"/>
      <c r="CB504" s="76"/>
      <c r="CC504" s="76"/>
      <c r="CD504" s="76"/>
      <c r="CE504" s="76"/>
      <c r="CF504" s="76"/>
      <c r="CG504" s="76"/>
      <c r="CH504" s="76"/>
    </row>
    <row r="505" spans="2:8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366"/>
      <c r="AP505" s="76"/>
      <c r="AQ505" s="76"/>
      <c r="AR505" s="76"/>
      <c r="AS505" s="76"/>
      <c r="AT505" s="76"/>
      <c r="AU505" s="76"/>
      <c r="AV505" s="76"/>
      <c r="AW505" s="76"/>
      <c r="AX505" s="76"/>
      <c r="AY505" s="76"/>
      <c r="AZ505" s="76"/>
      <c r="BA505" s="76"/>
      <c r="BB505" s="76"/>
      <c r="BC505" s="76"/>
      <c r="BD505" s="76"/>
      <c r="BE505" s="76"/>
      <c r="BF505" s="76"/>
      <c r="BG505" s="76"/>
      <c r="BH505" s="76"/>
      <c r="BI505" s="76"/>
      <c r="BJ505" s="76"/>
      <c r="BK505" s="76"/>
      <c r="BL505" s="76"/>
      <c r="BM505" s="76"/>
      <c r="BN505" s="76"/>
      <c r="BO505" s="76"/>
      <c r="BP505" s="76"/>
      <c r="BQ505" s="76"/>
      <c r="BR505" s="76"/>
      <c r="BS505" s="76"/>
      <c r="BT505" s="76"/>
      <c r="BU505" s="76"/>
      <c r="BV505" s="76"/>
      <c r="BW505" s="76"/>
      <c r="BX505" s="76"/>
      <c r="BY505" s="76"/>
      <c r="BZ505" s="76"/>
      <c r="CA505" s="76"/>
      <c r="CB505" s="76"/>
      <c r="CC505" s="76"/>
      <c r="CD505" s="76"/>
      <c r="CE505" s="76"/>
      <c r="CF505" s="76"/>
      <c r="CG505" s="76"/>
      <c r="CH505" s="76"/>
    </row>
    <row r="506" spans="2:8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366"/>
      <c r="AP506" s="76"/>
      <c r="AQ506" s="76"/>
      <c r="AR506" s="76"/>
      <c r="AS506" s="76"/>
      <c r="AT506" s="76"/>
      <c r="AU506" s="76"/>
      <c r="AV506" s="76"/>
      <c r="AW506" s="76"/>
      <c r="AX506" s="76"/>
      <c r="AY506" s="76"/>
      <c r="AZ506" s="76"/>
      <c r="BA506" s="76"/>
      <c r="BB506" s="76"/>
      <c r="BC506" s="76"/>
      <c r="BD506" s="76"/>
      <c r="BE506" s="76"/>
      <c r="BF506" s="76"/>
      <c r="BG506" s="76"/>
      <c r="BH506" s="76"/>
      <c r="BI506" s="76"/>
      <c r="BJ506" s="76"/>
      <c r="BK506" s="76"/>
      <c r="BL506" s="76"/>
      <c r="BM506" s="76"/>
      <c r="BN506" s="76"/>
      <c r="BO506" s="76"/>
      <c r="BP506" s="76"/>
      <c r="BQ506" s="76"/>
      <c r="BR506" s="76"/>
      <c r="BS506" s="76"/>
      <c r="BT506" s="76"/>
      <c r="BU506" s="76"/>
      <c r="BV506" s="76"/>
      <c r="BW506" s="76"/>
      <c r="BX506" s="76"/>
      <c r="BY506" s="76"/>
      <c r="BZ506" s="76"/>
      <c r="CA506" s="76"/>
      <c r="CB506" s="76"/>
      <c r="CC506" s="76"/>
      <c r="CD506" s="76"/>
      <c r="CE506" s="76"/>
      <c r="CF506" s="76"/>
      <c r="CG506" s="76"/>
      <c r="CH506" s="76"/>
    </row>
    <row r="507" spans="2:8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366"/>
      <c r="AP507" s="76"/>
      <c r="AQ507" s="76"/>
      <c r="AR507" s="76"/>
      <c r="AS507" s="76"/>
      <c r="AT507" s="76"/>
      <c r="AU507" s="76"/>
      <c r="AV507" s="76"/>
      <c r="AW507" s="76"/>
      <c r="AX507" s="76"/>
      <c r="AY507" s="76"/>
      <c r="AZ507" s="76"/>
      <c r="BA507" s="76"/>
      <c r="BB507" s="76"/>
      <c r="BC507" s="76"/>
      <c r="BD507" s="76"/>
      <c r="BE507" s="76"/>
      <c r="BF507" s="76"/>
      <c r="BG507" s="76"/>
      <c r="BH507" s="76"/>
      <c r="BI507" s="76"/>
      <c r="BJ507" s="76"/>
      <c r="BK507" s="76"/>
      <c r="BL507" s="76"/>
      <c r="BM507" s="76"/>
      <c r="BN507" s="76"/>
      <c r="BO507" s="76"/>
      <c r="BP507" s="76"/>
      <c r="BQ507" s="76"/>
      <c r="BR507" s="76"/>
      <c r="BS507" s="76"/>
      <c r="BT507" s="76"/>
      <c r="BU507" s="76"/>
      <c r="BV507" s="76"/>
      <c r="BW507" s="76"/>
      <c r="BX507" s="76"/>
      <c r="BY507" s="76"/>
      <c r="BZ507" s="76"/>
      <c r="CA507" s="76"/>
      <c r="CB507" s="76"/>
      <c r="CC507" s="76"/>
      <c r="CD507" s="76"/>
      <c r="CE507" s="76"/>
      <c r="CF507" s="76"/>
      <c r="CG507" s="76"/>
      <c r="CH507" s="76"/>
    </row>
    <row r="508" spans="2:8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366"/>
      <c r="AP508" s="76"/>
      <c r="AQ508" s="76"/>
      <c r="AR508" s="76"/>
      <c r="AS508" s="76"/>
      <c r="AT508" s="76"/>
      <c r="AU508" s="76"/>
      <c r="AV508" s="76"/>
      <c r="AW508" s="76"/>
      <c r="AX508" s="76"/>
      <c r="AY508" s="76"/>
      <c r="AZ508" s="76"/>
      <c r="BA508" s="76"/>
      <c r="BB508" s="76"/>
      <c r="BC508" s="76"/>
      <c r="BD508" s="76"/>
      <c r="BE508" s="76"/>
      <c r="BF508" s="76"/>
      <c r="BG508" s="76"/>
      <c r="BH508" s="76"/>
      <c r="BI508" s="76"/>
      <c r="BJ508" s="76"/>
      <c r="BK508" s="76"/>
      <c r="BL508" s="76"/>
      <c r="BM508" s="76"/>
      <c r="BN508" s="76"/>
      <c r="BO508" s="76"/>
      <c r="BP508" s="76"/>
      <c r="BQ508" s="76"/>
      <c r="BR508" s="76"/>
      <c r="BS508" s="76"/>
      <c r="BT508" s="76"/>
      <c r="BU508" s="76"/>
      <c r="BV508" s="76"/>
      <c r="BW508" s="76"/>
      <c r="BX508" s="76"/>
      <c r="BY508" s="76"/>
      <c r="BZ508" s="76"/>
      <c r="CA508" s="76"/>
      <c r="CB508" s="76"/>
      <c r="CC508" s="76"/>
      <c r="CD508" s="76"/>
      <c r="CE508" s="76"/>
      <c r="CF508" s="76"/>
      <c r="CG508" s="76"/>
      <c r="CH508" s="76"/>
    </row>
    <row r="509" spans="2:8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366"/>
      <c r="AP509" s="76"/>
      <c r="AQ509" s="76"/>
      <c r="AR509" s="76"/>
      <c r="AS509" s="76"/>
      <c r="AT509" s="76"/>
      <c r="AU509" s="76"/>
      <c r="AV509" s="76"/>
      <c r="AW509" s="76"/>
      <c r="AX509" s="76"/>
      <c r="AY509" s="76"/>
      <c r="AZ509" s="76"/>
      <c r="BA509" s="76"/>
      <c r="BB509" s="76"/>
      <c r="BC509" s="76"/>
      <c r="BD509" s="76"/>
      <c r="BE509" s="76"/>
      <c r="BF509" s="76"/>
      <c r="BG509" s="76"/>
      <c r="BH509" s="76"/>
      <c r="BI509" s="76"/>
      <c r="BJ509" s="76"/>
      <c r="BK509" s="76"/>
      <c r="BL509" s="76"/>
      <c r="BM509" s="76"/>
      <c r="BN509" s="76"/>
      <c r="BO509" s="76"/>
      <c r="BP509" s="76"/>
      <c r="BQ509" s="76"/>
      <c r="BR509" s="76"/>
      <c r="BS509" s="76"/>
      <c r="BT509" s="76"/>
      <c r="BU509" s="76"/>
      <c r="BV509" s="76"/>
      <c r="BW509" s="76"/>
      <c r="BX509" s="76"/>
      <c r="BY509" s="76"/>
      <c r="BZ509" s="76"/>
      <c r="CA509" s="76"/>
      <c r="CB509" s="76"/>
      <c r="CC509" s="76"/>
      <c r="CD509" s="76"/>
      <c r="CE509" s="76"/>
      <c r="CF509" s="76"/>
      <c r="CG509" s="76"/>
      <c r="CH509" s="76"/>
    </row>
    <row r="510" spans="2:8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366"/>
      <c r="AP510" s="76"/>
      <c r="AQ510" s="76"/>
      <c r="AR510" s="76"/>
      <c r="AS510" s="76"/>
      <c r="AT510" s="76"/>
      <c r="AU510" s="76"/>
      <c r="AV510" s="76"/>
      <c r="AW510" s="76"/>
      <c r="AX510" s="76"/>
      <c r="AY510" s="76"/>
      <c r="AZ510" s="76"/>
      <c r="BA510" s="76"/>
      <c r="BB510" s="76"/>
      <c r="BC510" s="76"/>
      <c r="BD510" s="76"/>
      <c r="BE510" s="76"/>
      <c r="BF510" s="76"/>
      <c r="BG510" s="76"/>
      <c r="BH510" s="76"/>
      <c r="BI510" s="76"/>
      <c r="BJ510" s="76"/>
      <c r="BK510" s="76"/>
      <c r="BL510" s="76"/>
      <c r="BM510" s="76"/>
      <c r="BN510" s="76"/>
      <c r="BO510" s="76"/>
      <c r="BP510" s="76"/>
      <c r="BQ510" s="76"/>
      <c r="BR510" s="76"/>
      <c r="BS510" s="76"/>
      <c r="BT510" s="76"/>
      <c r="BU510" s="76"/>
      <c r="BV510" s="76"/>
      <c r="BW510" s="76"/>
      <c r="BX510" s="76"/>
      <c r="BY510" s="76"/>
      <c r="BZ510" s="76"/>
      <c r="CA510" s="76"/>
      <c r="CB510" s="76"/>
      <c r="CC510" s="76"/>
      <c r="CD510" s="76"/>
      <c r="CE510" s="76"/>
      <c r="CF510" s="76"/>
      <c r="CG510" s="76"/>
      <c r="CH510" s="76"/>
    </row>
    <row r="511" spans="2:8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366"/>
      <c r="AP511" s="76"/>
      <c r="AQ511" s="76"/>
      <c r="AR511" s="76"/>
      <c r="AS511" s="76"/>
      <c r="AT511" s="76"/>
      <c r="AU511" s="76"/>
      <c r="AV511" s="76"/>
      <c r="AW511" s="76"/>
      <c r="AX511" s="76"/>
      <c r="AY511" s="76"/>
      <c r="AZ511" s="76"/>
      <c r="BA511" s="76"/>
      <c r="BB511" s="76"/>
      <c r="BC511" s="76"/>
      <c r="BD511" s="76"/>
      <c r="BE511" s="76"/>
      <c r="BF511" s="76"/>
      <c r="BG511" s="76"/>
      <c r="BH511" s="76"/>
      <c r="BI511" s="76"/>
      <c r="BJ511" s="76"/>
      <c r="BK511" s="76"/>
      <c r="BL511" s="76"/>
      <c r="BM511" s="76"/>
      <c r="BN511" s="76"/>
      <c r="BO511" s="76"/>
      <c r="BP511" s="76"/>
      <c r="BQ511" s="76"/>
      <c r="BR511" s="76"/>
      <c r="BS511" s="76"/>
      <c r="BT511" s="76"/>
      <c r="BU511" s="76"/>
      <c r="BV511" s="76"/>
      <c r="BW511" s="76"/>
      <c r="BX511" s="76"/>
      <c r="BY511" s="76"/>
      <c r="BZ511" s="76"/>
      <c r="CA511" s="76"/>
      <c r="CB511" s="76"/>
      <c r="CC511" s="76"/>
      <c r="CD511" s="76"/>
      <c r="CE511" s="76"/>
      <c r="CF511" s="76"/>
      <c r="CG511" s="76"/>
      <c r="CH511" s="76"/>
    </row>
    <row r="512" spans="2:8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366"/>
      <c r="AP512" s="76"/>
      <c r="AQ512" s="76"/>
      <c r="AR512" s="76"/>
      <c r="AS512" s="76"/>
      <c r="AT512" s="76"/>
      <c r="AU512" s="76"/>
      <c r="AV512" s="76"/>
      <c r="AW512" s="76"/>
      <c r="AX512" s="76"/>
      <c r="AY512" s="76"/>
      <c r="AZ512" s="76"/>
      <c r="BA512" s="76"/>
      <c r="BB512" s="76"/>
      <c r="BC512" s="76"/>
      <c r="BD512" s="76"/>
      <c r="BE512" s="76"/>
      <c r="BF512" s="76"/>
      <c r="BG512" s="76"/>
      <c r="BH512" s="76"/>
      <c r="BI512" s="76"/>
      <c r="BJ512" s="76"/>
      <c r="BK512" s="76"/>
      <c r="BL512" s="76"/>
      <c r="BM512" s="76"/>
      <c r="BN512" s="76"/>
      <c r="BO512" s="76"/>
      <c r="BP512" s="76"/>
      <c r="BQ512" s="76"/>
      <c r="BR512" s="76"/>
      <c r="BS512" s="76"/>
      <c r="BT512" s="76"/>
      <c r="BU512" s="76"/>
      <c r="BV512" s="76"/>
      <c r="BW512" s="76"/>
      <c r="BX512" s="76"/>
      <c r="BY512" s="76"/>
      <c r="BZ512" s="76"/>
      <c r="CA512" s="76"/>
      <c r="CB512" s="76"/>
      <c r="CC512" s="76"/>
      <c r="CD512" s="76"/>
      <c r="CE512" s="76"/>
      <c r="CF512" s="76"/>
      <c r="CG512" s="76"/>
      <c r="CH512" s="76"/>
    </row>
    <row r="513" spans="2:8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366"/>
      <c r="AP513" s="76"/>
      <c r="AQ513" s="76"/>
      <c r="AR513" s="76"/>
      <c r="AS513" s="76"/>
      <c r="AT513" s="76"/>
      <c r="AU513" s="76"/>
      <c r="AV513" s="76"/>
      <c r="AW513" s="76"/>
      <c r="AX513" s="76"/>
      <c r="AY513" s="76"/>
      <c r="AZ513" s="76"/>
      <c r="BA513" s="76"/>
      <c r="BB513" s="76"/>
      <c r="BC513" s="76"/>
      <c r="BD513" s="76"/>
      <c r="BE513" s="76"/>
      <c r="BF513" s="76"/>
      <c r="BG513" s="76"/>
      <c r="BH513" s="76"/>
      <c r="BI513" s="76"/>
      <c r="BJ513" s="76"/>
      <c r="BK513" s="76"/>
      <c r="BL513" s="76"/>
      <c r="BM513" s="76"/>
      <c r="BN513" s="76"/>
      <c r="BO513" s="76"/>
      <c r="BP513" s="76"/>
      <c r="BQ513" s="76"/>
      <c r="BR513" s="76"/>
      <c r="BS513" s="76"/>
      <c r="BT513" s="76"/>
      <c r="BU513" s="76"/>
      <c r="BV513" s="76"/>
      <c r="BW513" s="76"/>
      <c r="BX513" s="76"/>
      <c r="BY513" s="76"/>
      <c r="BZ513" s="76"/>
      <c r="CA513" s="76"/>
      <c r="CB513" s="76"/>
      <c r="CC513" s="76"/>
      <c r="CD513" s="76"/>
      <c r="CE513" s="76"/>
      <c r="CF513" s="76"/>
      <c r="CG513" s="76"/>
      <c r="CH513" s="76"/>
    </row>
    <row r="514" spans="2:8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366"/>
      <c r="AP514" s="76"/>
      <c r="AQ514" s="76"/>
      <c r="AR514" s="76"/>
      <c r="AS514" s="76"/>
      <c r="AT514" s="76"/>
      <c r="AU514" s="76"/>
      <c r="AV514" s="76"/>
      <c r="AW514" s="76"/>
      <c r="AX514" s="76"/>
      <c r="AY514" s="76"/>
      <c r="AZ514" s="76"/>
      <c r="BA514" s="76"/>
      <c r="BB514" s="76"/>
      <c r="BC514" s="76"/>
      <c r="BD514" s="76"/>
      <c r="BE514" s="76"/>
      <c r="BF514" s="76"/>
      <c r="BG514" s="76"/>
      <c r="BH514" s="76"/>
      <c r="BI514" s="76"/>
      <c r="BJ514" s="76"/>
      <c r="BK514" s="76"/>
      <c r="BL514" s="76"/>
      <c r="BM514" s="76"/>
      <c r="BN514" s="76"/>
      <c r="BO514" s="76"/>
      <c r="BP514" s="76"/>
      <c r="BQ514" s="76"/>
      <c r="BR514" s="76"/>
      <c r="BS514" s="76"/>
      <c r="BT514" s="76"/>
      <c r="BU514" s="76"/>
      <c r="BV514" s="76"/>
      <c r="BW514" s="76"/>
      <c r="BX514" s="76"/>
      <c r="BY514" s="76"/>
      <c r="BZ514" s="76"/>
      <c r="CA514" s="76"/>
      <c r="CB514" s="76"/>
      <c r="CC514" s="76"/>
      <c r="CD514" s="76"/>
      <c r="CE514" s="76"/>
      <c r="CF514" s="76"/>
      <c r="CG514" s="76"/>
      <c r="CH514" s="76"/>
    </row>
    <row r="515" spans="2:8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366"/>
      <c r="AP515" s="76"/>
      <c r="AQ515" s="76"/>
      <c r="AR515" s="76"/>
      <c r="AS515" s="76"/>
      <c r="AT515" s="76"/>
      <c r="AU515" s="76"/>
      <c r="AV515" s="76"/>
      <c r="AW515" s="76"/>
      <c r="AX515" s="76"/>
      <c r="AY515" s="76"/>
      <c r="AZ515" s="76"/>
      <c r="BA515" s="76"/>
      <c r="BB515" s="76"/>
      <c r="BC515" s="76"/>
      <c r="BD515" s="76"/>
      <c r="BE515" s="76"/>
      <c r="BF515" s="76"/>
      <c r="BG515" s="76"/>
      <c r="BH515" s="76"/>
      <c r="BI515" s="76"/>
      <c r="BJ515" s="76"/>
      <c r="BK515" s="76"/>
      <c r="BL515" s="76"/>
      <c r="BM515" s="76"/>
      <c r="BN515" s="76"/>
      <c r="BO515" s="76"/>
      <c r="BP515" s="76"/>
      <c r="BQ515" s="76"/>
      <c r="BR515" s="76"/>
      <c r="BS515" s="76"/>
      <c r="BT515" s="76"/>
      <c r="BU515" s="76"/>
      <c r="BV515" s="76"/>
      <c r="BW515" s="76"/>
      <c r="BX515" s="76"/>
      <c r="BY515" s="76"/>
      <c r="BZ515" s="76"/>
      <c r="CA515" s="76"/>
      <c r="CB515" s="76"/>
      <c r="CC515" s="76"/>
      <c r="CD515" s="76"/>
      <c r="CE515" s="76"/>
      <c r="CF515" s="76"/>
      <c r="CG515" s="76"/>
      <c r="CH515" s="76"/>
    </row>
    <row r="516" spans="2:8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366"/>
      <c r="AP516" s="76"/>
      <c r="AQ516" s="76"/>
      <c r="AR516" s="76"/>
      <c r="AS516" s="76"/>
      <c r="AT516" s="76"/>
      <c r="AU516" s="76"/>
      <c r="AV516" s="76"/>
      <c r="AW516" s="76"/>
      <c r="AX516" s="76"/>
      <c r="AY516" s="76"/>
      <c r="AZ516" s="76"/>
      <c r="BA516" s="76"/>
      <c r="BB516" s="76"/>
      <c r="BC516" s="76"/>
      <c r="BD516" s="76"/>
      <c r="BE516" s="76"/>
      <c r="BF516" s="76"/>
      <c r="BG516" s="76"/>
      <c r="BH516" s="76"/>
      <c r="BI516" s="76"/>
      <c r="BJ516" s="76"/>
      <c r="BK516" s="76"/>
      <c r="BL516" s="76"/>
      <c r="BM516" s="76"/>
      <c r="BN516" s="76"/>
      <c r="BO516" s="76"/>
      <c r="BP516" s="76"/>
      <c r="BQ516" s="76"/>
      <c r="BR516" s="76"/>
      <c r="BS516" s="76"/>
      <c r="BT516" s="76"/>
      <c r="BU516" s="76"/>
      <c r="BV516" s="76"/>
      <c r="BW516" s="76"/>
      <c r="BX516" s="76"/>
      <c r="BY516" s="76"/>
      <c r="BZ516" s="76"/>
      <c r="CA516" s="76"/>
      <c r="CB516" s="76"/>
      <c r="CC516" s="76"/>
      <c r="CD516" s="76"/>
      <c r="CE516" s="76"/>
      <c r="CF516" s="76"/>
      <c r="CG516" s="76"/>
      <c r="CH516" s="76"/>
    </row>
    <row r="517" spans="2:8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366"/>
      <c r="AP517" s="76"/>
      <c r="AQ517" s="76"/>
      <c r="AR517" s="76"/>
      <c r="AS517" s="76"/>
      <c r="AT517" s="76"/>
      <c r="AU517" s="76"/>
      <c r="AV517" s="76"/>
      <c r="AW517" s="76"/>
      <c r="AX517" s="76"/>
      <c r="AY517" s="76"/>
      <c r="AZ517" s="76"/>
      <c r="BA517" s="76"/>
      <c r="BB517" s="76"/>
      <c r="BC517" s="76"/>
      <c r="BD517" s="76"/>
      <c r="BE517" s="76"/>
      <c r="BF517" s="76"/>
      <c r="BG517" s="76"/>
      <c r="BH517" s="76"/>
      <c r="BI517" s="76"/>
      <c r="BJ517" s="76"/>
      <c r="BK517" s="76"/>
      <c r="BL517" s="76"/>
      <c r="BM517" s="76"/>
      <c r="BN517" s="76"/>
      <c r="BO517" s="76"/>
      <c r="BP517" s="76"/>
      <c r="BQ517" s="76"/>
      <c r="BR517" s="76"/>
      <c r="BS517" s="76"/>
      <c r="BT517" s="76"/>
      <c r="BU517" s="76"/>
      <c r="BV517" s="76"/>
      <c r="BW517" s="76"/>
      <c r="BX517" s="76"/>
      <c r="BY517" s="76"/>
      <c r="BZ517" s="76"/>
      <c r="CA517" s="76"/>
      <c r="CB517" s="76"/>
      <c r="CC517" s="76"/>
      <c r="CD517" s="76"/>
      <c r="CE517" s="76"/>
      <c r="CF517" s="76"/>
      <c r="CG517" s="76"/>
      <c r="CH517" s="76"/>
    </row>
    <row r="518" spans="2:8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366"/>
      <c r="AP518" s="76"/>
      <c r="AQ518" s="76"/>
      <c r="AR518" s="76"/>
      <c r="AS518" s="76"/>
      <c r="AT518" s="76"/>
      <c r="AU518" s="76"/>
      <c r="AV518" s="76"/>
      <c r="AW518" s="76"/>
      <c r="AX518" s="76"/>
      <c r="AY518" s="76"/>
      <c r="AZ518" s="76"/>
      <c r="BA518" s="76"/>
      <c r="BB518" s="76"/>
      <c r="BC518" s="76"/>
      <c r="BD518" s="76"/>
      <c r="BE518" s="76"/>
      <c r="BF518" s="76"/>
      <c r="BG518" s="76"/>
      <c r="BH518" s="76"/>
      <c r="BI518" s="76"/>
      <c r="BJ518" s="76"/>
      <c r="BK518" s="76"/>
      <c r="BL518" s="76"/>
      <c r="BM518" s="76"/>
      <c r="BN518" s="76"/>
      <c r="BO518" s="76"/>
      <c r="BP518" s="76"/>
      <c r="BQ518" s="76"/>
      <c r="BR518" s="76"/>
      <c r="BS518" s="76"/>
      <c r="BT518" s="76"/>
      <c r="BU518" s="76"/>
      <c r="BV518" s="76"/>
      <c r="BW518" s="76"/>
      <c r="BX518" s="76"/>
      <c r="BY518" s="76"/>
      <c r="BZ518" s="76"/>
      <c r="CA518" s="76"/>
      <c r="CB518" s="76"/>
      <c r="CC518" s="76"/>
      <c r="CD518" s="76"/>
      <c r="CE518" s="76"/>
      <c r="CF518" s="76"/>
      <c r="CG518" s="76"/>
      <c r="CH518" s="76"/>
    </row>
    <row r="519" spans="2:8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366"/>
      <c r="AP519" s="76"/>
      <c r="AQ519" s="76"/>
      <c r="AR519" s="76"/>
      <c r="AS519" s="76"/>
      <c r="AT519" s="76"/>
      <c r="AU519" s="76"/>
      <c r="AV519" s="76"/>
      <c r="AW519" s="76"/>
      <c r="AX519" s="76"/>
      <c r="AY519" s="76"/>
      <c r="AZ519" s="76"/>
      <c r="BA519" s="76"/>
      <c r="BB519" s="76"/>
      <c r="BC519" s="76"/>
      <c r="BD519" s="76"/>
      <c r="BE519" s="76"/>
      <c r="BF519" s="76"/>
      <c r="BG519" s="76"/>
      <c r="BH519" s="76"/>
      <c r="BI519" s="76"/>
      <c r="BJ519" s="76"/>
      <c r="BK519" s="76"/>
      <c r="BL519" s="76"/>
      <c r="BM519" s="76"/>
      <c r="BN519" s="76"/>
      <c r="BO519" s="76"/>
      <c r="BP519" s="76"/>
      <c r="BQ519" s="76"/>
      <c r="BR519" s="76"/>
      <c r="BS519" s="76"/>
      <c r="BT519" s="76"/>
      <c r="BU519" s="76"/>
      <c r="BV519" s="76"/>
      <c r="BW519" s="76"/>
      <c r="BX519" s="76"/>
      <c r="BY519" s="76"/>
      <c r="BZ519" s="76"/>
      <c r="CA519" s="76"/>
      <c r="CB519" s="76"/>
      <c r="CC519" s="76"/>
      <c r="CD519" s="76"/>
      <c r="CE519" s="76"/>
      <c r="CF519" s="76"/>
      <c r="CG519" s="76"/>
      <c r="CH519" s="76"/>
    </row>
    <row r="520" spans="2:8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366"/>
      <c r="AP520" s="76"/>
      <c r="AQ520" s="76"/>
      <c r="AR520" s="76"/>
      <c r="AS520" s="76"/>
      <c r="AT520" s="76"/>
      <c r="AU520" s="76"/>
      <c r="AV520" s="76"/>
      <c r="AW520" s="76"/>
      <c r="AX520" s="76"/>
      <c r="AY520" s="76"/>
      <c r="AZ520" s="76"/>
      <c r="BA520" s="76"/>
      <c r="BB520" s="76"/>
      <c r="BC520" s="76"/>
      <c r="BD520" s="76"/>
      <c r="BE520" s="76"/>
      <c r="BF520" s="76"/>
      <c r="BG520" s="76"/>
      <c r="BH520" s="76"/>
      <c r="BI520" s="76"/>
      <c r="BJ520" s="76"/>
      <c r="BK520" s="76"/>
      <c r="BL520" s="76"/>
      <c r="BM520" s="76"/>
      <c r="BN520" s="76"/>
      <c r="BO520" s="76"/>
      <c r="BP520" s="76"/>
      <c r="BQ520" s="76"/>
      <c r="BR520" s="76"/>
      <c r="BS520" s="76"/>
      <c r="BT520" s="76"/>
      <c r="BU520" s="76"/>
      <c r="BV520" s="76"/>
      <c r="BW520" s="76"/>
      <c r="BX520" s="76"/>
      <c r="BY520" s="76"/>
      <c r="BZ520" s="76"/>
      <c r="CA520" s="76"/>
      <c r="CB520" s="76"/>
      <c r="CC520" s="76"/>
      <c r="CD520" s="76"/>
      <c r="CE520" s="76"/>
      <c r="CF520" s="76"/>
      <c r="CG520" s="76"/>
      <c r="CH520" s="76"/>
    </row>
    <row r="521" spans="2:8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366"/>
      <c r="AP521" s="76"/>
      <c r="AQ521" s="76"/>
      <c r="AR521" s="76"/>
      <c r="AS521" s="76"/>
      <c r="AT521" s="76"/>
      <c r="AU521" s="76"/>
      <c r="AV521" s="76"/>
      <c r="AW521" s="76"/>
      <c r="AX521" s="76"/>
      <c r="AY521" s="76"/>
      <c r="AZ521" s="76"/>
      <c r="BA521" s="76"/>
      <c r="BB521" s="76"/>
      <c r="BC521" s="76"/>
      <c r="BD521" s="76"/>
      <c r="BE521" s="76"/>
      <c r="BF521" s="76"/>
      <c r="BG521" s="76"/>
      <c r="BH521" s="76"/>
      <c r="BI521" s="76"/>
      <c r="BJ521" s="76"/>
      <c r="BK521" s="76"/>
      <c r="BL521" s="76"/>
      <c r="BM521" s="76"/>
      <c r="BN521" s="76"/>
      <c r="BO521" s="76"/>
      <c r="BP521" s="76"/>
      <c r="BQ521" s="76"/>
      <c r="BR521" s="76"/>
      <c r="BS521" s="76"/>
      <c r="BT521" s="76"/>
      <c r="BU521" s="76"/>
      <c r="BV521" s="76"/>
      <c r="BW521" s="76"/>
      <c r="BX521" s="76"/>
      <c r="BY521" s="76"/>
      <c r="BZ521" s="76"/>
      <c r="CA521" s="76"/>
      <c r="CB521" s="76"/>
      <c r="CC521" s="76"/>
      <c r="CD521" s="76"/>
      <c r="CE521" s="76"/>
      <c r="CF521" s="76"/>
      <c r="CG521" s="76"/>
      <c r="CH521" s="76"/>
    </row>
    <row r="522" spans="2:8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366"/>
      <c r="AP522" s="76"/>
      <c r="AQ522" s="76"/>
      <c r="AR522" s="76"/>
      <c r="AS522" s="76"/>
      <c r="AT522" s="76"/>
      <c r="AU522" s="76"/>
      <c r="AV522" s="76"/>
      <c r="AW522" s="76"/>
      <c r="AX522" s="76"/>
      <c r="AY522" s="76"/>
      <c r="AZ522" s="76"/>
      <c r="BA522" s="76"/>
      <c r="BB522" s="76"/>
      <c r="BC522" s="76"/>
      <c r="BD522" s="76"/>
      <c r="BE522" s="76"/>
      <c r="BF522" s="76"/>
      <c r="BG522" s="76"/>
      <c r="BH522" s="76"/>
      <c r="BI522" s="76"/>
      <c r="BJ522" s="76"/>
      <c r="BK522" s="76"/>
      <c r="BL522" s="76"/>
      <c r="BM522" s="76"/>
      <c r="BN522" s="76"/>
      <c r="BO522" s="76"/>
      <c r="BP522" s="76"/>
      <c r="BQ522" s="76"/>
      <c r="BR522" s="76"/>
      <c r="BS522" s="76"/>
      <c r="BT522" s="76"/>
      <c r="BU522" s="76"/>
      <c r="BV522" s="76"/>
      <c r="BW522" s="76"/>
      <c r="BX522" s="76"/>
      <c r="BY522" s="76"/>
      <c r="BZ522" s="76"/>
      <c r="CA522" s="76"/>
      <c r="CB522" s="76"/>
      <c r="CC522" s="76"/>
      <c r="CD522" s="76"/>
      <c r="CE522" s="76"/>
      <c r="CF522" s="76"/>
      <c r="CG522" s="76"/>
      <c r="CH522" s="76"/>
    </row>
    <row r="523" spans="2:8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366"/>
      <c r="AP523" s="76"/>
      <c r="AQ523" s="76"/>
      <c r="AR523" s="76"/>
      <c r="AS523" s="76"/>
      <c r="AT523" s="76"/>
      <c r="AU523" s="76"/>
      <c r="AV523" s="76"/>
      <c r="AW523" s="76"/>
      <c r="AX523" s="76"/>
      <c r="AY523" s="76"/>
      <c r="AZ523" s="76"/>
      <c r="BA523" s="76"/>
      <c r="BB523" s="76"/>
      <c r="BC523" s="76"/>
      <c r="BD523" s="76"/>
      <c r="BE523" s="76"/>
      <c r="BF523" s="76"/>
      <c r="BG523" s="76"/>
      <c r="BH523" s="76"/>
      <c r="BI523" s="76"/>
      <c r="BJ523" s="76"/>
      <c r="BK523" s="76"/>
      <c r="BL523" s="76"/>
      <c r="BM523" s="76"/>
      <c r="BN523" s="76"/>
      <c r="BO523" s="76"/>
      <c r="BP523" s="76"/>
      <c r="BQ523" s="76"/>
      <c r="BR523" s="76"/>
      <c r="BS523" s="76"/>
      <c r="BT523" s="76"/>
      <c r="BU523" s="76"/>
      <c r="BV523" s="76"/>
      <c r="BW523" s="76"/>
      <c r="BX523" s="76"/>
      <c r="BY523" s="76"/>
      <c r="BZ523" s="76"/>
      <c r="CA523" s="76"/>
      <c r="CB523" s="76"/>
      <c r="CC523" s="76"/>
      <c r="CD523" s="76"/>
      <c r="CE523" s="76"/>
      <c r="CF523" s="76"/>
      <c r="CG523" s="76"/>
      <c r="CH523" s="76"/>
    </row>
    <row r="524" spans="2:8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366"/>
      <c r="AP524" s="76"/>
      <c r="AQ524" s="76"/>
      <c r="AR524" s="76"/>
      <c r="AS524" s="76"/>
      <c r="AT524" s="76"/>
      <c r="AU524" s="76"/>
      <c r="AV524" s="76"/>
      <c r="AW524" s="76"/>
      <c r="AX524" s="76"/>
      <c r="AY524" s="76"/>
      <c r="AZ524" s="76"/>
      <c r="BA524" s="76"/>
      <c r="BB524" s="76"/>
      <c r="BC524" s="76"/>
      <c r="BD524" s="76"/>
      <c r="BE524" s="76"/>
      <c r="BF524" s="76"/>
      <c r="BG524" s="76"/>
      <c r="BH524" s="76"/>
      <c r="BI524" s="76"/>
      <c r="BJ524" s="76"/>
      <c r="BK524" s="76"/>
      <c r="BL524" s="76"/>
      <c r="BM524" s="76"/>
      <c r="BN524" s="76"/>
      <c r="BO524" s="76"/>
      <c r="BP524" s="76"/>
      <c r="BQ524" s="76"/>
      <c r="BR524" s="76"/>
      <c r="BS524" s="76"/>
      <c r="BT524" s="76"/>
      <c r="BU524" s="76"/>
      <c r="BV524" s="76"/>
      <c r="BW524" s="76"/>
      <c r="BX524" s="76"/>
      <c r="BY524" s="76"/>
      <c r="BZ524" s="76"/>
      <c r="CA524" s="76"/>
      <c r="CB524" s="76"/>
      <c r="CC524" s="76"/>
      <c r="CD524" s="76"/>
      <c r="CE524" s="76"/>
      <c r="CF524" s="76"/>
      <c r="CG524" s="76"/>
      <c r="CH524" s="76"/>
    </row>
    <row r="525" spans="2:8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366"/>
      <c r="AP525" s="76"/>
      <c r="AQ525" s="76"/>
      <c r="AR525" s="76"/>
      <c r="AS525" s="76"/>
      <c r="AT525" s="76"/>
      <c r="AU525" s="76"/>
      <c r="AV525" s="76"/>
      <c r="AW525" s="76"/>
      <c r="AX525" s="76"/>
      <c r="AY525" s="76"/>
      <c r="AZ525" s="76"/>
      <c r="BA525" s="76"/>
      <c r="BB525" s="76"/>
      <c r="BC525" s="76"/>
      <c r="BD525" s="76"/>
      <c r="BE525" s="76"/>
      <c r="BF525" s="76"/>
      <c r="BG525" s="76"/>
      <c r="BH525" s="76"/>
      <c r="BI525" s="76"/>
      <c r="BJ525" s="76"/>
      <c r="BK525" s="76"/>
      <c r="BL525" s="76"/>
      <c r="BM525" s="76"/>
      <c r="BN525" s="76"/>
      <c r="BO525" s="76"/>
      <c r="BP525" s="76"/>
      <c r="BQ525" s="76"/>
      <c r="BR525" s="76"/>
      <c r="BS525" s="76"/>
      <c r="BT525" s="76"/>
      <c r="BU525" s="76"/>
      <c r="BV525" s="76"/>
      <c r="BW525" s="76"/>
      <c r="BX525" s="76"/>
      <c r="BY525" s="76"/>
      <c r="BZ525" s="76"/>
      <c r="CA525" s="76"/>
      <c r="CB525" s="76"/>
      <c r="CC525" s="76"/>
      <c r="CD525" s="76"/>
      <c r="CE525" s="76"/>
      <c r="CF525" s="76"/>
      <c r="CG525" s="76"/>
      <c r="CH525" s="76"/>
    </row>
    <row r="526" spans="2:8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366"/>
      <c r="AP526" s="76"/>
      <c r="AQ526" s="76"/>
      <c r="AR526" s="76"/>
      <c r="AS526" s="76"/>
      <c r="AT526" s="76"/>
      <c r="AU526" s="76"/>
      <c r="AV526" s="76"/>
      <c r="AW526" s="76"/>
      <c r="AX526" s="76"/>
      <c r="AY526" s="76"/>
      <c r="AZ526" s="76"/>
      <c r="BA526" s="76"/>
      <c r="BB526" s="76"/>
      <c r="BC526" s="76"/>
      <c r="BD526" s="76"/>
      <c r="BE526" s="76"/>
      <c r="BF526" s="76"/>
      <c r="BG526" s="76"/>
      <c r="BH526" s="76"/>
      <c r="BI526" s="76"/>
      <c r="BJ526" s="76"/>
      <c r="BK526" s="76"/>
      <c r="BL526" s="76"/>
      <c r="BM526" s="76"/>
      <c r="BN526" s="76"/>
      <c r="BO526" s="76"/>
      <c r="BP526" s="76"/>
      <c r="BQ526" s="76"/>
      <c r="BR526" s="76"/>
      <c r="BS526" s="76"/>
      <c r="BT526" s="76"/>
      <c r="BU526" s="76"/>
      <c r="BV526" s="76"/>
      <c r="BW526" s="76"/>
      <c r="BX526" s="76"/>
      <c r="BY526" s="76"/>
      <c r="BZ526" s="76"/>
      <c r="CA526" s="76"/>
      <c r="CB526" s="76"/>
      <c r="CC526" s="76"/>
      <c r="CD526" s="76"/>
      <c r="CE526" s="76"/>
      <c r="CF526" s="76"/>
      <c r="CG526" s="76"/>
      <c r="CH526" s="76"/>
    </row>
    <row r="527" spans="2:8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366"/>
      <c r="AP527" s="76"/>
      <c r="AQ527" s="76"/>
      <c r="AR527" s="76"/>
      <c r="AS527" s="76"/>
      <c r="AT527" s="76"/>
      <c r="AU527" s="76"/>
      <c r="AV527" s="76"/>
      <c r="AW527" s="76"/>
      <c r="AX527" s="76"/>
      <c r="AY527" s="76"/>
      <c r="AZ527" s="76"/>
      <c r="BA527" s="76"/>
      <c r="BB527" s="76"/>
      <c r="BC527" s="76"/>
      <c r="BD527" s="76"/>
      <c r="BE527" s="76"/>
      <c r="BF527" s="76"/>
      <c r="BG527" s="76"/>
      <c r="BH527" s="76"/>
      <c r="BI527" s="76"/>
      <c r="BJ527" s="76"/>
      <c r="BK527" s="76"/>
      <c r="BL527" s="76"/>
      <c r="BM527" s="76"/>
      <c r="BN527" s="76"/>
      <c r="BO527" s="76"/>
      <c r="BP527" s="76"/>
      <c r="BQ527" s="76"/>
      <c r="BR527" s="76"/>
      <c r="BS527" s="76"/>
      <c r="BT527" s="76"/>
      <c r="BU527" s="76"/>
      <c r="BV527" s="76"/>
      <c r="BW527" s="76"/>
      <c r="BX527" s="76"/>
      <c r="BY527" s="76"/>
      <c r="BZ527" s="76"/>
      <c r="CA527" s="76"/>
      <c r="CB527" s="76"/>
      <c r="CC527" s="76"/>
      <c r="CD527" s="76"/>
      <c r="CE527" s="76"/>
      <c r="CF527" s="76"/>
      <c r="CG527" s="76"/>
      <c r="CH527" s="76"/>
    </row>
    <row r="528" spans="2:8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366"/>
      <c r="AP528" s="76"/>
      <c r="AQ528" s="76"/>
      <c r="AR528" s="76"/>
      <c r="AS528" s="76"/>
      <c r="AT528" s="76"/>
      <c r="AU528" s="76"/>
      <c r="AV528" s="76"/>
      <c r="AW528" s="76"/>
      <c r="AX528" s="76"/>
      <c r="AY528" s="76"/>
      <c r="AZ528" s="76"/>
      <c r="BA528" s="76"/>
      <c r="BB528" s="76"/>
      <c r="BC528" s="76"/>
      <c r="BD528" s="76"/>
      <c r="BE528" s="76"/>
      <c r="BF528" s="76"/>
      <c r="BG528" s="76"/>
      <c r="BH528" s="76"/>
      <c r="BI528" s="76"/>
      <c r="BJ528" s="76"/>
      <c r="BK528" s="76"/>
      <c r="BL528" s="76"/>
      <c r="BM528" s="76"/>
      <c r="BN528" s="76"/>
      <c r="BO528" s="76"/>
      <c r="BP528" s="76"/>
      <c r="BQ528" s="76"/>
      <c r="BR528" s="76"/>
      <c r="BS528" s="76"/>
      <c r="BT528" s="76"/>
      <c r="BU528" s="76"/>
      <c r="BV528" s="76"/>
      <c r="BW528" s="76"/>
      <c r="BX528" s="76"/>
      <c r="BY528" s="76"/>
      <c r="BZ528" s="76"/>
      <c r="CA528" s="76"/>
      <c r="CB528" s="76"/>
      <c r="CC528" s="76"/>
      <c r="CD528" s="76"/>
      <c r="CE528" s="76"/>
      <c r="CF528" s="76"/>
      <c r="CG528" s="76"/>
      <c r="CH528" s="76"/>
    </row>
    <row r="529" spans="2:8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366"/>
      <c r="AP529" s="76"/>
      <c r="AQ529" s="76"/>
      <c r="AR529" s="76"/>
      <c r="AS529" s="76"/>
      <c r="AT529" s="76"/>
      <c r="AU529" s="76"/>
      <c r="AV529" s="76"/>
      <c r="AW529" s="76"/>
      <c r="AX529" s="76"/>
      <c r="AY529" s="76"/>
      <c r="AZ529" s="76"/>
      <c r="BA529" s="76"/>
      <c r="BB529" s="76"/>
      <c r="BC529" s="76"/>
      <c r="BD529" s="76"/>
      <c r="BE529" s="76"/>
      <c r="BF529" s="76"/>
      <c r="BG529" s="76"/>
      <c r="BH529" s="76"/>
      <c r="BI529" s="76"/>
      <c r="BJ529" s="76"/>
      <c r="BK529" s="76"/>
      <c r="BL529" s="76"/>
      <c r="BM529" s="76"/>
      <c r="BN529" s="76"/>
      <c r="BO529" s="76"/>
      <c r="BP529" s="76"/>
      <c r="BQ529" s="76"/>
      <c r="BR529" s="76"/>
      <c r="BS529" s="76"/>
      <c r="BT529" s="76"/>
      <c r="BU529" s="76"/>
      <c r="BV529" s="76"/>
      <c r="BW529" s="76"/>
      <c r="BX529" s="76"/>
      <c r="BY529" s="76"/>
      <c r="BZ529" s="76"/>
      <c r="CA529" s="76"/>
      <c r="CB529" s="76"/>
      <c r="CC529" s="76"/>
      <c r="CD529" s="76"/>
      <c r="CE529" s="76"/>
      <c r="CF529" s="76"/>
      <c r="CG529" s="76"/>
      <c r="CH529" s="76"/>
    </row>
    <row r="530" spans="2:8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366"/>
      <c r="AP530" s="76"/>
      <c r="AQ530" s="76"/>
      <c r="AR530" s="76"/>
      <c r="AS530" s="76"/>
      <c r="AT530" s="76"/>
      <c r="AU530" s="76"/>
      <c r="AV530" s="76"/>
      <c r="AW530" s="76"/>
      <c r="AX530" s="76"/>
      <c r="AY530" s="76"/>
      <c r="AZ530" s="76"/>
      <c r="BA530" s="76"/>
      <c r="BB530" s="76"/>
      <c r="BC530" s="76"/>
      <c r="BD530" s="76"/>
      <c r="BE530" s="76"/>
      <c r="BF530" s="76"/>
      <c r="BG530" s="76"/>
      <c r="BH530" s="76"/>
      <c r="BI530" s="76"/>
      <c r="BJ530" s="76"/>
      <c r="BK530" s="76"/>
      <c r="BL530" s="76"/>
      <c r="BM530" s="76"/>
      <c r="BN530" s="76"/>
      <c r="BO530" s="76"/>
      <c r="BP530" s="76"/>
      <c r="BQ530" s="76"/>
      <c r="BR530" s="76"/>
      <c r="BS530" s="76"/>
      <c r="BT530" s="76"/>
      <c r="BU530" s="76"/>
      <c r="BV530" s="76"/>
      <c r="BW530" s="76"/>
      <c r="BX530" s="76"/>
      <c r="BY530" s="76"/>
      <c r="BZ530" s="76"/>
      <c r="CA530" s="76"/>
      <c r="CB530" s="76"/>
      <c r="CC530" s="76"/>
      <c r="CD530" s="76"/>
      <c r="CE530" s="76"/>
      <c r="CF530" s="76"/>
      <c r="CG530" s="76"/>
      <c r="CH530" s="76"/>
    </row>
    <row r="531" spans="2:8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366"/>
      <c r="AP531" s="76"/>
      <c r="AQ531" s="76"/>
      <c r="AR531" s="76"/>
      <c r="AS531" s="76"/>
      <c r="AT531" s="76"/>
      <c r="AU531" s="76"/>
      <c r="AV531" s="76"/>
      <c r="AW531" s="76"/>
      <c r="AX531" s="76"/>
      <c r="AY531" s="76"/>
      <c r="AZ531" s="76"/>
      <c r="BA531" s="76"/>
      <c r="BB531" s="76"/>
      <c r="BC531" s="76"/>
      <c r="BD531" s="76"/>
      <c r="BE531" s="76"/>
      <c r="BF531" s="76"/>
      <c r="BG531" s="76"/>
      <c r="BH531" s="76"/>
      <c r="BI531" s="76"/>
      <c r="BJ531" s="76"/>
      <c r="BK531" s="76"/>
      <c r="BL531" s="76"/>
      <c r="BM531" s="76"/>
      <c r="BN531" s="76"/>
      <c r="BO531" s="76"/>
      <c r="BP531" s="76"/>
      <c r="BQ531" s="76"/>
      <c r="BR531" s="76"/>
      <c r="BS531" s="76"/>
      <c r="BT531" s="76"/>
      <c r="BU531" s="76"/>
      <c r="BV531" s="76"/>
      <c r="BW531" s="76"/>
      <c r="BX531" s="76"/>
      <c r="BY531" s="76"/>
      <c r="BZ531" s="76"/>
      <c r="CA531" s="76"/>
      <c r="CB531" s="76"/>
      <c r="CC531" s="76"/>
      <c r="CD531" s="76"/>
      <c r="CE531" s="76"/>
      <c r="CF531" s="76"/>
      <c r="CG531" s="76"/>
      <c r="CH531" s="76"/>
    </row>
    <row r="532" spans="2:8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366"/>
      <c r="AP532" s="76"/>
      <c r="AQ532" s="76"/>
      <c r="AR532" s="76"/>
      <c r="AS532" s="76"/>
      <c r="AT532" s="76"/>
      <c r="AU532" s="76"/>
      <c r="AV532" s="76"/>
      <c r="AW532" s="76"/>
      <c r="AX532" s="76"/>
      <c r="AY532" s="76"/>
      <c r="AZ532" s="76"/>
      <c r="BA532" s="76"/>
      <c r="BB532" s="76"/>
      <c r="BC532" s="76"/>
      <c r="BD532" s="76"/>
      <c r="BE532" s="76"/>
      <c r="BF532" s="76"/>
      <c r="BG532" s="76"/>
      <c r="BH532" s="76"/>
      <c r="BI532" s="76"/>
      <c r="BJ532" s="76"/>
      <c r="BK532" s="76"/>
      <c r="BL532" s="76"/>
      <c r="BM532" s="76"/>
      <c r="BN532" s="76"/>
      <c r="BO532" s="76"/>
      <c r="BP532" s="76"/>
      <c r="BQ532" s="76"/>
      <c r="BR532" s="76"/>
      <c r="BS532" s="76"/>
      <c r="BT532" s="76"/>
      <c r="BU532" s="76"/>
      <c r="BV532" s="76"/>
      <c r="BW532" s="76"/>
      <c r="BX532" s="76"/>
      <c r="BY532" s="76"/>
      <c r="BZ532" s="76"/>
      <c r="CA532" s="76"/>
      <c r="CB532" s="76"/>
      <c r="CC532" s="76"/>
      <c r="CD532" s="76"/>
      <c r="CE532" s="76"/>
      <c r="CF532" s="76"/>
      <c r="CG532" s="76"/>
      <c r="CH532" s="76"/>
    </row>
    <row r="533" spans="2:8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366"/>
      <c r="AP533" s="76"/>
      <c r="AQ533" s="76"/>
      <c r="AR533" s="76"/>
      <c r="AS533" s="76"/>
      <c r="AT533" s="76"/>
      <c r="AU533" s="76"/>
      <c r="AV533" s="76"/>
      <c r="AW533" s="76"/>
      <c r="AX533" s="76"/>
      <c r="AY533" s="76"/>
      <c r="AZ533" s="76"/>
      <c r="BA533" s="76"/>
      <c r="BB533" s="76"/>
      <c r="BC533" s="76"/>
      <c r="BD533" s="76"/>
      <c r="BE533" s="76"/>
      <c r="BF533" s="76"/>
      <c r="BG533" s="76"/>
      <c r="BH533" s="76"/>
      <c r="BI533" s="76"/>
      <c r="BJ533" s="76"/>
      <c r="BK533" s="76"/>
      <c r="BL533" s="76"/>
      <c r="BM533" s="76"/>
      <c r="BN533" s="76"/>
      <c r="BO533" s="76"/>
      <c r="BP533" s="76"/>
      <c r="BQ533" s="76"/>
      <c r="BR533" s="76"/>
      <c r="BS533" s="76"/>
      <c r="BT533" s="76"/>
      <c r="BU533" s="76"/>
      <c r="BV533" s="76"/>
      <c r="BW533" s="76"/>
      <c r="BX533" s="76"/>
      <c r="BY533" s="76"/>
      <c r="BZ533" s="76"/>
      <c r="CA533" s="76"/>
      <c r="CB533" s="76"/>
      <c r="CC533" s="76"/>
      <c r="CD533" s="76"/>
      <c r="CE533" s="76"/>
      <c r="CF533" s="76"/>
      <c r="CG533" s="76"/>
      <c r="CH533" s="76"/>
    </row>
    <row r="534" spans="2:8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366"/>
      <c r="AP534" s="76"/>
      <c r="AQ534" s="76"/>
      <c r="AR534" s="76"/>
      <c r="AS534" s="76"/>
      <c r="AT534" s="76"/>
      <c r="AU534" s="76"/>
      <c r="AV534" s="76"/>
      <c r="AW534" s="76"/>
      <c r="AX534" s="76"/>
      <c r="AY534" s="76"/>
      <c r="AZ534" s="76"/>
      <c r="BA534" s="76"/>
      <c r="BB534" s="76"/>
      <c r="BC534" s="76"/>
      <c r="BD534" s="76"/>
      <c r="BE534" s="76"/>
      <c r="BF534" s="76"/>
      <c r="BG534" s="76"/>
      <c r="BH534" s="76"/>
      <c r="BI534" s="76"/>
      <c r="BJ534" s="76"/>
      <c r="BK534" s="76"/>
      <c r="BL534" s="76"/>
      <c r="BM534" s="76"/>
      <c r="BN534" s="76"/>
      <c r="BO534" s="76"/>
      <c r="BP534" s="76"/>
      <c r="BQ534" s="76"/>
      <c r="BR534" s="76"/>
      <c r="BS534" s="76"/>
      <c r="BT534" s="76"/>
      <c r="BU534" s="76"/>
      <c r="BV534" s="76"/>
      <c r="BW534" s="76"/>
      <c r="BX534" s="76"/>
      <c r="BY534" s="76"/>
      <c r="BZ534" s="76"/>
      <c r="CA534" s="76"/>
      <c r="CB534" s="76"/>
      <c r="CC534" s="76"/>
      <c r="CD534" s="76"/>
      <c r="CE534" s="76"/>
      <c r="CF534" s="76"/>
      <c r="CG534" s="76"/>
      <c r="CH534" s="76"/>
    </row>
    <row r="535" spans="2:8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366"/>
      <c r="AP535" s="76"/>
      <c r="AQ535" s="76"/>
      <c r="AR535" s="76"/>
      <c r="AS535" s="76"/>
      <c r="AT535" s="76"/>
      <c r="AU535" s="76"/>
      <c r="AV535" s="76"/>
      <c r="AW535" s="76"/>
      <c r="AX535" s="76"/>
      <c r="AY535" s="76"/>
      <c r="AZ535" s="76"/>
      <c r="BA535" s="76"/>
      <c r="BB535" s="76"/>
      <c r="BC535" s="76"/>
      <c r="BD535" s="76"/>
      <c r="BE535" s="76"/>
      <c r="BF535" s="76"/>
      <c r="BG535" s="76"/>
      <c r="BH535" s="76"/>
      <c r="BI535" s="76"/>
      <c r="BJ535" s="76"/>
      <c r="BK535" s="76"/>
      <c r="BL535" s="76"/>
      <c r="BM535" s="76"/>
      <c r="BN535" s="76"/>
      <c r="BO535" s="76"/>
      <c r="BP535" s="76"/>
      <c r="BQ535" s="76"/>
      <c r="BR535" s="76"/>
      <c r="BS535" s="76"/>
      <c r="BT535" s="76"/>
      <c r="BU535" s="76"/>
      <c r="BV535" s="76"/>
      <c r="BW535" s="76"/>
      <c r="BX535" s="76"/>
      <c r="BY535" s="76"/>
      <c r="BZ535" s="76"/>
      <c r="CA535" s="76"/>
      <c r="CB535" s="76"/>
      <c r="CC535" s="76"/>
      <c r="CD535" s="76"/>
      <c r="CE535" s="76"/>
      <c r="CF535" s="76"/>
      <c r="CG535" s="76"/>
      <c r="CH535" s="76"/>
    </row>
    <row r="536" spans="2:8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366"/>
      <c r="AP536" s="76"/>
      <c r="AQ536" s="76"/>
      <c r="AR536" s="76"/>
      <c r="AS536" s="76"/>
      <c r="AT536" s="76"/>
      <c r="AU536" s="76"/>
      <c r="AV536" s="76"/>
      <c r="AW536" s="76"/>
      <c r="AX536" s="76"/>
      <c r="AY536" s="76"/>
      <c r="AZ536" s="76"/>
      <c r="BA536" s="76"/>
      <c r="BB536" s="76"/>
      <c r="BC536" s="76"/>
      <c r="BD536" s="76"/>
      <c r="BE536" s="76"/>
      <c r="BF536" s="76"/>
      <c r="BG536" s="76"/>
      <c r="BH536" s="76"/>
      <c r="BI536" s="76"/>
      <c r="BJ536" s="76"/>
      <c r="BK536" s="76"/>
      <c r="BL536" s="76"/>
      <c r="BM536" s="76"/>
      <c r="BN536" s="76"/>
      <c r="BO536" s="76"/>
      <c r="BP536" s="76"/>
      <c r="BQ536" s="76"/>
      <c r="BR536" s="76"/>
      <c r="BS536" s="76"/>
      <c r="BT536" s="76"/>
      <c r="BU536" s="76"/>
      <c r="BV536" s="76"/>
      <c r="BW536" s="76"/>
      <c r="BX536" s="76"/>
      <c r="BY536" s="76"/>
      <c r="BZ536" s="76"/>
      <c r="CA536" s="76"/>
      <c r="CB536" s="76"/>
      <c r="CC536" s="76"/>
      <c r="CD536" s="76"/>
      <c r="CE536" s="76"/>
      <c r="CF536" s="76"/>
      <c r="CG536" s="76"/>
      <c r="CH536" s="76"/>
    </row>
    <row r="537" spans="2:8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366"/>
      <c r="AP537" s="76"/>
      <c r="AQ537" s="76"/>
      <c r="AR537" s="76"/>
      <c r="AS537" s="76"/>
      <c r="AT537" s="76"/>
      <c r="AU537" s="76"/>
      <c r="AV537" s="76"/>
      <c r="AW537" s="76"/>
      <c r="AX537" s="76"/>
      <c r="AY537" s="76"/>
      <c r="AZ537" s="76"/>
      <c r="BA537" s="76"/>
      <c r="BB537" s="76"/>
      <c r="BC537" s="76"/>
      <c r="BD537" s="76"/>
      <c r="BE537" s="76"/>
      <c r="BF537" s="76"/>
      <c r="BG537" s="76"/>
      <c r="BH537" s="76"/>
      <c r="BI537" s="76"/>
      <c r="BJ537" s="76"/>
      <c r="BK537" s="76"/>
      <c r="BL537" s="76"/>
      <c r="BM537" s="76"/>
      <c r="BN537" s="76"/>
      <c r="BO537" s="76"/>
      <c r="BP537" s="76"/>
      <c r="BQ537" s="76"/>
      <c r="BR537" s="76"/>
      <c r="BS537" s="76"/>
      <c r="BT537" s="76"/>
      <c r="BU537" s="76"/>
      <c r="BV537" s="76"/>
      <c r="BW537" s="76"/>
      <c r="BX537" s="76"/>
      <c r="BY537" s="76"/>
      <c r="BZ537" s="76"/>
      <c r="CA537" s="76"/>
      <c r="CB537" s="76"/>
      <c r="CC537" s="76"/>
      <c r="CD537" s="76"/>
      <c r="CE537" s="76"/>
      <c r="CF537" s="76"/>
      <c r="CG537" s="76"/>
      <c r="CH537" s="76"/>
    </row>
    <row r="538" spans="2:8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366"/>
      <c r="AP538" s="76"/>
      <c r="AQ538" s="76"/>
      <c r="AR538" s="76"/>
      <c r="AS538" s="76"/>
      <c r="AT538" s="76"/>
      <c r="AU538" s="76"/>
      <c r="AV538" s="76"/>
      <c r="AW538" s="76"/>
      <c r="AX538" s="76"/>
      <c r="AY538" s="76"/>
      <c r="AZ538" s="76"/>
      <c r="BA538" s="76"/>
      <c r="BB538" s="76"/>
      <c r="BC538" s="76"/>
      <c r="BD538" s="76"/>
      <c r="BE538" s="76"/>
      <c r="BF538" s="76"/>
      <c r="BG538" s="76"/>
      <c r="BH538" s="76"/>
      <c r="BI538" s="76"/>
      <c r="BJ538" s="76"/>
      <c r="BK538" s="76"/>
      <c r="BL538" s="76"/>
      <c r="BM538" s="76"/>
      <c r="BN538" s="76"/>
      <c r="BO538" s="76"/>
      <c r="BP538" s="76"/>
      <c r="BQ538" s="76"/>
      <c r="BR538" s="76"/>
      <c r="BS538" s="76"/>
      <c r="BT538" s="76"/>
      <c r="BU538" s="76"/>
      <c r="BV538" s="76"/>
      <c r="BW538" s="76"/>
      <c r="BX538" s="76"/>
      <c r="BY538" s="76"/>
      <c r="BZ538" s="76"/>
      <c r="CA538" s="76"/>
      <c r="CB538" s="76"/>
      <c r="CC538" s="76"/>
      <c r="CD538" s="76"/>
      <c r="CE538" s="76"/>
      <c r="CF538" s="76"/>
      <c r="CG538" s="76"/>
      <c r="CH538" s="76"/>
    </row>
    <row r="539" spans="2:8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366"/>
      <c r="AP539" s="76"/>
      <c r="AQ539" s="76"/>
      <c r="AR539" s="76"/>
      <c r="AS539" s="76"/>
      <c r="AT539" s="76"/>
      <c r="AU539" s="76"/>
      <c r="AV539" s="76"/>
      <c r="AW539" s="76"/>
      <c r="AX539" s="76"/>
      <c r="AY539" s="76"/>
      <c r="AZ539" s="76"/>
      <c r="BA539" s="76"/>
      <c r="BB539" s="76"/>
      <c r="BC539" s="76"/>
      <c r="BD539" s="76"/>
      <c r="BE539" s="76"/>
      <c r="BF539" s="76"/>
      <c r="BG539" s="76"/>
      <c r="BH539" s="76"/>
      <c r="BI539" s="76"/>
      <c r="BJ539" s="76"/>
      <c r="BK539" s="76"/>
      <c r="BL539" s="76"/>
      <c r="BM539" s="76"/>
      <c r="BN539" s="76"/>
      <c r="BO539" s="76"/>
      <c r="BP539" s="76"/>
      <c r="BQ539" s="76"/>
      <c r="BR539" s="76"/>
      <c r="BS539" s="76"/>
      <c r="BT539" s="76"/>
      <c r="BU539" s="76"/>
      <c r="BV539" s="76"/>
      <c r="BW539" s="76"/>
      <c r="BX539" s="76"/>
      <c r="BY539" s="76"/>
      <c r="BZ539" s="76"/>
      <c r="CA539" s="76"/>
      <c r="CB539" s="76"/>
      <c r="CC539" s="76"/>
      <c r="CD539" s="76"/>
      <c r="CE539" s="76"/>
      <c r="CF539" s="76"/>
      <c r="CG539" s="76"/>
      <c r="CH539" s="76"/>
    </row>
    <row r="540" spans="2:8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366"/>
      <c r="AP540" s="76"/>
      <c r="AQ540" s="76"/>
      <c r="AR540" s="76"/>
      <c r="AS540" s="76"/>
      <c r="AT540" s="76"/>
      <c r="AU540" s="76"/>
      <c r="AV540" s="76"/>
      <c r="AW540" s="76"/>
      <c r="AX540" s="76"/>
      <c r="AY540" s="76"/>
      <c r="AZ540" s="76"/>
      <c r="BA540" s="76"/>
      <c r="BB540" s="76"/>
      <c r="BC540" s="76"/>
      <c r="BD540" s="76"/>
      <c r="BE540" s="76"/>
      <c r="BF540" s="76"/>
      <c r="BG540" s="76"/>
      <c r="BH540" s="76"/>
      <c r="BI540" s="76"/>
      <c r="BJ540" s="76"/>
      <c r="BK540" s="76"/>
      <c r="BL540" s="76"/>
      <c r="BM540" s="76"/>
      <c r="BN540" s="76"/>
      <c r="BO540" s="76"/>
      <c r="BP540" s="76"/>
      <c r="BQ540" s="76"/>
      <c r="BR540" s="76"/>
      <c r="BS540" s="76"/>
      <c r="BT540" s="76"/>
      <c r="BU540" s="76"/>
      <c r="BV540" s="76"/>
      <c r="BW540" s="76"/>
      <c r="BX540" s="76"/>
      <c r="BY540" s="76"/>
      <c r="BZ540" s="76"/>
      <c r="CA540" s="76"/>
      <c r="CB540" s="76"/>
      <c r="CC540" s="76"/>
      <c r="CD540" s="76"/>
      <c r="CE540" s="76"/>
      <c r="CF540" s="76"/>
      <c r="CG540" s="76"/>
      <c r="CH540" s="76"/>
    </row>
    <row r="541" spans="2:8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366"/>
      <c r="AP541" s="76"/>
      <c r="AQ541" s="76"/>
      <c r="AR541" s="76"/>
      <c r="AS541" s="76"/>
      <c r="AT541" s="76"/>
      <c r="AU541" s="76"/>
      <c r="AV541" s="76"/>
      <c r="AW541" s="76"/>
      <c r="AX541" s="76"/>
      <c r="AY541" s="76"/>
      <c r="AZ541" s="76"/>
      <c r="BA541" s="76"/>
      <c r="BB541" s="76"/>
      <c r="BC541" s="76"/>
      <c r="BD541" s="76"/>
      <c r="BE541" s="76"/>
      <c r="BF541" s="76"/>
      <c r="BG541" s="76"/>
      <c r="BH541" s="76"/>
      <c r="BI541" s="76"/>
      <c r="BJ541" s="76"/>
      <c r="BK541" s="76"/>
      <c r="BL541" s="76"/>
      <c r="BM541" s="76"/>
      <c r="BN541" s="76"/>
      <c r="BO541" s="76"/>
      <c r="BP541" s="76"/>
      <c r="BQ541" s="76"/>
      <c r="BR541" s="76"/>
      <c r="BS541" s="76"/>
      <c r="BT541" s="76"/>
      <c r="BU541" s="76"/>
      <c r="BV541" s="76"/>
      <c r="BW541" s="76"/>
      <c r="BX541" s="76"/>
      <c r="BY541" s="76"/>
      <c r="BZ541" s="76"/>
      <c r="CA541" s="76"/>
      <c r="CB541" s="76"/>
      <c r="CC541" s="76"/>
      <c r="CD541" s="76"/>
      <c r="CE541" s="76"/>
      <c r="CF541" s="76"/>
      <c r="CG541" s="76"/>
      <c r="CH541" s="76"/>
    </row>
    <row r="542" spans="2:8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366"/>
      <c r="AP542" s="76"/>
      <c r="AQ542" s="76"/>
      <c r="AR542" s="76"/>
      <c r="AS542" s="76"/>
      <c r="AT542" s="76"/>
      <c r="AU542" s="76"/>
      <c r="AV542" s="76"/>
      <c r="AW542" s="76"/>
      <c r="AX542" s="76"/>
      <c r="AY542" s="76"/>
      <c r="AZ542" s="76"/>
      <c r="BA542" s="76"/>
      <c r="BB542" s="76"/>
      <c r="BC542" s="76"/>
      <c r="BD542" s="76"/>
      <c r="BE542" s="76"/>
      <c r="BF542" s="76"/>
      <c r="BG542" s="76"/>
      <c r="BH542" s="76"/>
      <c r="BI542" s="76"/>
      <c r="BJ542" s="76"/>
      <c r="BK542" s="76"/>
      <c r="BL542" s="76"/>
      <c r="BM542" s="76"/>
      <c r="BN542" s="76"/>
      <c r="BO542" s="76"/>
      <c r="BP542" s="76"/>
      <c r="BQ542" s="76"/>
      <c r="BR542" s="76"/>
      <c r="BS542" s="76"/>
      <c r="BT542" s="76"/>
      <c r="BU542" s="76"/>
      <c r="BV542" s="76"/>
      <c r="BW542" s="76"/>
      <c r="BX542" s="76"/>
      <c r="BY542" s="76"/>
      <c r="BZ542" s="76"/>
      <c r="CA542" s="76"/>
      <c r="CB542" s="76"/>
      <c r="CC542" s="76"/>
      <c r="CD542" s="76"/>
      <c r="CE542" s="76"/>
      <c r="CF542" s="76"/>
      <c r="CG542" s="76"/>
      <c r="CH542" s="76"/>
    </row>
    <row r="543" spans="2:8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366"/>
      <c r="AP543" s="76"/>
      <c r="AQ543" s="76"/>
      <c r="AR543" s="76"/>
      <c r="AS543" s="76"/>
      <c r="AT543" s="76"/>
      <c r="AU543" s="76"/>
      <c r="AV543" s="76"/>
      <c r="AW543" s="76"/>
      <c r="AX543" s="76"/>
      <c r="AY543" s="76"/>
      <c r="AZ543" s="76"/>
      <c r="BA543" s="76"/>
      <c r="BB543" s="76"/>
      <c r="BC543" s="76"/>
      <c r="BD543" s="76"/>
      <c r="BE543" s="76"/>
      <c r="BF543" s="76"/>
      <c r="BG543" s="76"/>
      <c r="BH543" s="76"/>
      <c r="BI543" s="76"/>
      <c r="BJ543" s="76"/>
      <c r="BK543" s="76"/>
      <c r="BL543" s="76"/>
      <c r="BM543" s="76"/>
      <c r="BN543" s="76"/>
      <c r="BO543" s="76"/>
      <c r="BP543" s="76"/>
      <c r="BQ543" s="76"/>
      <c r="BR543" s="76"/>
      <c r="BS543" s="76"/>
      <c r="BT543" s="76"/>
      <c r="BU543" s="76"/>
      <c r="BV543" s="76"/>
      <c r="BW543" s="76"/>
      <c r="BX543" s="76"/>
      <c r="BY543" s="76"/>
      <c r="BZ543" s="76"/>
      <c r="CA543" s="76"/>
      <c r="CB543" s="76"/>
      <c r="CC543" s="76"/>
      <c r="CD543" s="76"/>
      <c r="CE543" s="76"/>
      <c r="CF543" s="76"/>
      <c r="CG543" s="76"/>
      <c r="CH543" s="76"/>
    </row>
    <row r="544" spans="2:8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366"/>
      <c r="AP544" s="76"/>
      <c r="AQ544" s="76"/>
      <c r="AR544" s="76"/>
      <c r="AS544" s="76"/>
      <c r="AT544" s="76"/>
      <c r="AU544" s="76"/>
      <c r="AV544" s="76"/>
      <c r="AW544" s="76"/>
      <c r="AX544" s="76"/>
      <c r="AY544" s="76"/>
      <c r="AZ544" s="76"/>
      <c r="BA544" s="76"/>
      <c r="BB544" s="76"/>
      <c r="BC544" s="76"/>
      <c r="BD544" s="76"/>
      <c r="BE544" s="76"/>
      <c r="BF544" s="76"/>
      <c r="BG544" s="76"/>
      <c r="BH544" s="76"/>
      <c r="BI544" s="76"/>
      <c r="BJ544" s="76"/>
      <c r="BK544" s="76"/>
      <c r="BL544" s="76"/>
      <c r="BM544" s="76"/>
      <c r="BN544" s="76"/>
      <c r="BO544" s="76"/>
      <c r="BP544" s="76"/>
      <c r="BQ544" s="76"/>
      <c r="BR544" s="76"/>
      <c r="BS544" s="76"/>
      <c r="BT544" s="76"/>
      <c r="BU544" s="76"/>
      <c r="BV544" s="76"/>
      <c r="BW544" s="76"/>
      <c r="BX544" s="76"/>
      <c r="BY544" s="76"/>
      <c r="BZ544" s="76"/>
      <c r="CA544" s="76"/>
      <c r="CB544" s="76"/>
      <c r="CC544" s="76"/>
      <c r="CD544" s="76"/>
      <c r="CE544" s="76"/>
      <c r="CF544" s="76"/>
      <c r="CG544" s="76"/>
      <c r="CH544" s="76"/>
    </row>
    <row r="545" spans="2:8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366"/>
      <c r="AP545" s="76"/>
      <c r="AQ545" s="76"/>
      <c r="AR545" s="76"/>
      <c r="AS545" s="76"/>
      <c r="AT545" s="76"/>
      <c r="AU545" s="76"/>
      <c r="AV545" s="76"/>
      <c r="AW545" s="76"/>
      <c r="AX545" s="76"/>
      <c r="AY545" s="76"/>
      <c r="AZ545" s="76"/>
      <c r="BA545" s="76"/>
      <c r="BB545" s="76"/>
      <c r="BC545" s="76"/>
      <c r="BD545" s="76"/>
      <c r="BE545" s="76"/>
      <c r="BF545" s="76"/>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76"/>
      <c r="CC545" s="76"/>
      <c r="CD545" s="76"/>
      <c r="CE545" s="76"/>
      <c r="CF545" s="76"/>
      <c r="CG545" s="76"/>
      <c r="CH545" s="76"/>
    </row>
    <row r="546" spans="2:8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366"/>
      <c r="AP546" s="76"/>
      <c r="AQ546" s="76"/>
      <c r="AR546" s="76"/>
      <c r="AS546" s="76"/>
      <c r="AT546" s="76"/>
      <c r="AU546" s="76"/>
      <c r="AV546" s="76"/>
      <c r="AW546" s="76"/>
      <c r="AX546" s="76"/>
      <c r="AY546" s="76"/>
      <c r="AZ546" s="76"/>
      <c r="BA546" s="76"/>
      <c r="BB546" s="76"/>
      <c r="BC546" s="76"/>
      <c r="BD546" s="76"/>
      <c r="BE546" s="76"/>
      <c r="BF546" s="76"/>
      <c r="BG546" s="76"/>
      <c r="BH546" s="76"/>
      <c r="BI546" s="76"/>
      <c r="BJ546" s="76"/>
      <c r="BK546" s="76"/>
      <c r="BL546" s="76"/>
      <c r="BM546" s="76"/>
      <c r="BN546" s="76"/>
      <c r="BO546" s="76"/>
      <c r="BP546" s="76"/>
      <c r="BQ546" s="76"/>
      <c r="BR546" s="76"/>
      <c r="BS546" s="76"/>
      <c r="BT546" s="76"/>
      <c r="BU546" s="76"/>
      <c r="BV546" s="76"/>
      <c r="BW546" s="76"/>
      <c r="BX546" s="76"/>
      <c r="BY546" s="76"/>
      <c r="BZ546" s="76"/>
      <c r="CA546" s="76"/>
      <c r="CB546" s="76"/>
      <c r="CC546" s="76"/>
      <c r="CD546" s="76"/>
      <c r="CE546" s="76"/>
      <c r="CF546" s="76"/>
      <c r="CG546" s="76"/>
      <c r="CH546" s="76"/>
    </row>
    <row r="547" spans="2:8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366"/>
      <c r="AP547" s="76"/>
      <c r="AQ547" s="76"/>
      <c r="AR547" s="76"/>
      <c r="AS547" s="76"/>
      <c r="AT547" s="76"/>
      <c r="AU547" s="76"/>
      <c r="AV547" s="76"/>
      <c r="AW547" s="76"/>
      <c r="AX547" s="76"/>
      <c r="AY547" s="76"/>
      <c r="AZ547" s="76"/>
      <c r="BA547" s="76"/>
      <c r="BB547" s="76"/>
      <c r="BC547" s="76"/>
      <c r="BD547" s="76"/>
      <c r="BE547" s="76"/>
      <c r="BF547" s="76"/>
      <c r="BG547" s="76"/>
      <c r="BH547" s="76"/>
      <c r="BI547" s="76"/>
      <c r="BJ547" s="76"/>
      <c r="BK547" s="76"/>
      <c r="BL547" s="76"/>
      <c r="BM547" s="76"/>
      <c r="BN547" s="76"/>
      <c r="BO547" s="76"/>
      <c r="BP547" s="76"/>
      <c r="BQ547" s="76"/>
      <c r="BR547" s="76"/>
      <c r="BS547" s="76"/>
      <c r="BT547" s="76"/>
      <c r="BU547" s="76"/>
      <c r="BV547" s="76"/>
      <c r="BW547" s="76"/>
      <c r="BX547" s="76"/>
      <c r="BY547" s="76"/>
      <c r="BZ547" s="76"/>
      <c r="CA547" s="76"/>
      <c r="CB547" s="76"/>
      <c r="CC547" s="76"/>
      <c r="CD547" s="76"/>
      <c r="CE547" s="76"/>
      <c r="CF547" s="76"/>
      <c r="CG547" s="76"/>
      <c r="CH547" s="76"/>
    </row>
    <row r="548" spans="2:8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366"/>
      <c r="AP548" s="76"/>
      <c r="AQ548" s="76"/>
      <c r="AR548" s="76"/>
      <c r="AS548" s="76"/>
      <c r="AT548" s="76"/>
      <c r="AU548" s="76"/>
      <c r="AV548" s="76"/>
      <c r="AW548" s="76"/>
      <c r="AX548" s="76"/>
      <c r="AY548" s="76"/>
      <c r="AZ548" s="76"/>
      <c r="BA548" s="76"/>
      <c r="BB548" s="76"/>
      <c r="BC548" s="76"/>
      <c r="BD548" s="76"/>
      <c r="BE548" s="76"/>
      <c r="BF548" s="76"/>
      <c r="BG548" s="76"/>
      <c r="BH548" s="76"/>
      <c r="BI548" s="76"/>
      <c r="BJ548" s="76"/>
      <c r="BK548" s="76"/>
      <c r="BL548" s="76"/>
      <c r="BM548" s="76"/>
      <c r="BN548" s="76"/>
      <c r="BO548" s="76"/>
      <c r="BP548" s="76"/>
      <c r="BQ548" s="76"/>
      <c r="BR548" s="76"/>
      <c r="BS548" s="76"/>
      <c r="BT548" s="76"/>
      <c r="BU548" s="76"/>
      <c r="BV548" s="76"/>
      <c r="BW548" s="76"/>
      <c r="BX548" s="76"/>
      <c r="BY548" s="76"/>
      <c r="BZ548" s="76"/>
      <c r="CA548" s="76"/>
      <c r="CB548" s="76"/>
      <c r="CC548" s="76"/>
      <c r="CD548" s="76"/>
      <c r="CE548" s="76"/>
      <c r="CF548" s="76"/>
      <c r="CG548" s="76"/>
      <c r="CH548" s="76"/>
    </row>
    <row r="549" spans="2:8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36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76"/>
      <c r="CA549" s="76"/>
      <c r="CB549" s="76"/>
      <c r="CC549" s="76"/>
      <c r="CD549" s="76"/>
      <c r="CE549" s="76"/>
      <c r="CF549" s="76"/>
      <c r="CG549" s="76"/>
      <c r="CH549" s="76"/>
    </row>
    <row r="550" spans="2:8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36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6"/>
      <c r="BN550" s="76"/>
      <c r="BO550" s="76"/>
      <c r="BP550" s="76"/>
      <c r="BQ550" s="76"/>
      <c r="BR550" s="76"/>
      <c r="BS550" s="76"/>
      <c r="BT550" s="76"/>
      <c r="BU550" s="76"/>
      <c r="BV550" s="76"/>
      <c r="BW550" s="76"/>
      <c r="BX550" s="76"/>
      <c r="BY550" s="76"/>
      <c r="BZ550" s="76"/>
      <c r="CA550" s="76"/>
      <c r="CB550" s="76"/>
      <c r="CC550" s="76"/>
      <c r="CD550" s="76"/>
      <c r="CE550" s="76"/>
      <c r="CF550" s="76"/>
      <c r="CG550" s="76"/>
      <c r="CH550" s="76"/>
    </row>
    <row r="551" spans="2:8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366"/>
      <c r="AP551" s="76"/>
      <c r="AQ551" s="76"/>
      <c r="AR551" s="76"/>
      <c r="AS551" s="76"/>
      <c r="AT551" s="76"/>
      <c r="AU551" s="76"/>
      <c r="AV551" s="76"/>
      <c r="AW551" s="76"/>
      <c r="AX551" s="76"/>
      <c r="AY551" s="76"/>
      <c r="AZ551" s="76"/>
      <c r="BA551" s="76"/>
      <c r="BB551" s="76"/>
      <c r="BC551" s="76"/>
      <c r="BD551" s="76"/>
      <c r="BE551" s="76"/>
      <c r="BF551" s="76"/>
      <c r="BG551" s="76"/>
      <c r="BH551" s="76"/>
      <c r="BI551" s="76"/>
      <c r="BJ551" s="76"/>
      <c r="BK551" s="76"/>
      <c r="BL551" s="76"/>
      <c r="BM551" s="76"/>
      <c r="BN551" s="76"/>
      <c r="BO551" s="76"/>
      <c r="BP551" s="76"/>
      <c r="BQ551" s="76"/>
      <c r="BR551" s="76"/>
      <c r="BS551" s="76"/>
      <c r="BT551" s="76"/>
      <c r="BU551" s="76"/>
      <c r="BV551" s="76"/>
      <c r="BW551" s="76"/>
      <c r="BX551" s="76"/>
      <c r="BY551" s="76"/>
      <c r="BZ551" s="76"/>
      <c r="CA551" s="76"/>
      <c r="CB551" s="76"/>
      <c r="CC551" s="76"/>
      <c r="CD551" s="76"/>
      <c r="CE551" s="76"/>
      <c r="CF551" s="76"/>
      <c r="CG551" s="76"/>
      <c r="CH551" s="76"/>
    </row>
    <row r="552" spans="2:8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366"/>
      <c r="AP552" s="76"/>
      <c r="AQ552" s="76"/>
      <c r="AR552" s="76"/>
      <c r="AS552" s="76"/>
      <c r="AT552" s="76"/>
      <c r="AU552" s="76"/>
      <c r="AV552" s="76"/>
      <c r="AW552" s="76"/>
      <c r="AX552" s="76"/>
      <c r="AY552" s="76"/>
      <c r="AZ552" s="76"/>
      <c r="BA552" s="76"/>
      <c r="BB552" s="76"/>
      <c r="BC552" s="76"/>
      <c r="BD552" s="76"/>
      <c r="BE552" s="76"/>
      <c r="BF552" s="76"/>
      <c r="BG552" s="76"/>
      <c r="BH552" s="76"/>
      <c r="BI552" s="76"/>
      <c r="BJ552" s="76"/>
      <c r="BK552" s="76"/>
      <c r="BL552" s="76"/>
      <c r="BM552" s="76"/>
      <c r="BN552" s="76"/>
      <c r="BO552" s="76"/>
      <c r="BP552" s="76"/>
      <c r="BQ552" s="76"/>
      <c r="BR552" s="76"/>
      <c r="BS552" s="76"/>
      <c r="BT552" s="76"/>
      <c r="BU552" s="76"/>
      <c r="BV552" s="76"/>
      <c r="BW552" s="76"/>
      <c r="BX552" s="76"/>
      <c r="BY552" s="76"/>
      <c r="BZ552" s="76"/>
      <c r="CA552" s="76"/>
      <c r="CB552" s="76"/>
      <c r="CC552" s="76"/>
      <c r="CD552" s="76"/>
      <c r="CE552" s="76"/>
      <c r="CF552" s="76"/>
      <c r="CG552" s="76"/>
      <c r="CH552" s="76"/>
    </row>
    <row r="553" spans="2:8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366"/>
      <c r="AP553" s="76"/>
      <c r="AQ553" s="76"/>
      <c r="AR553" s="76"/>
      <c r="AS553" s="76"/>
      <c r="AT553" s="76"/>
      <c r="AU553" s="76"/>
      <c r="AV553" s="76"/>
      <c r="AW553" s="76"/>
      <c r="AX553" s="76"/>
      <c r="AY553" s="76"/>
      <c r="AZ553" s="76"/>
      <c r="BA553" s="76"/>
      <c r="BB553" s="76"/>
      <c r="BC553" s="76"/>
      <c r="BD553" s="76"/>
      <c r="BE553" s="76"/>
      <c r="BF553" s="76"/>
      <c r="BG553" s="76"/>
      <c r="BH553" s="76"/>
      <c r="BI553" s="76"/>
      <c r="BJ553" s="76"/>
      <c r="BK553" s="76"/>
      <c r="BL553" s="76"/>
      <c r="BM553" s="76"/>
      <c r="BN553" s="76"/>
      <c r="BO553" s="76"/>
      <c r="BP553" s="76"/>
      <c r="BQ553" s="76"/>
      <c r="BR553" s="76"/>
      <c r="BS553" s="76"/>
      <c r="BT553" s="76"/>
      <c r="BU553" s="76"/>
      <c r="BV553" s="76"/>
      <c r="BW553" s="76"/>
      <c r="BX553" s="76"/>
      <c r="BY553" s="76"/>
      <c r="BZ553" s="76"/>
      <c r="CA553" s="76"/>
      <c r="CB553" s="76"/>
      <c r="CC553" s="76"/>
      <c r="CD553" s="76"/>
      <c r="CE553" s="76"/>
      <c r="CF553" s="76"/>
      <c r="CG553" s="76"/>
      <c r="CH553" s="76"/>
    </row>
    <row r="554" spans="2:8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366"/>
      <c r="AP554" s="76"/>
      <c r="AQ554" s="76"/>
      <c r="AR554" s="76"/>
      <c r="AS554" s="76"/>
      <c r="AT554" s="76"/>
      <c r="AU554" s="76"/>
      <c r="AV554" s="76"/>
      <c r="AW554" s="76"/>
      <c r="AX554" s="76"/>
      <c r="AY554" s="76"/>
      <c r="AZ554" s="76"/>
      <c r="BA554" s="76"/>
      <c r="BB554" s="76"/>
      <c r="BC554" s="76"/>
      <c r="BD554" s="76"/>
      <c r="BE554" s="76"/>
      <c r="BF554" s="76"/>
      <c r="BG554" s="76"/>
      <c r="BH554" s="76"/>
      <c r="BI554" s="76"/>
      <c r="BJ554" s="76"/>
      <c r="BK554" s="76"/>
      <c r="BL554" s="76"/>
      <c r="BM554" s="76"/>
      <c r="BN554" s="76"/>
      <c r="BO554" s="76"/>
      <c r="BP554" s="76"/>
      <c r="BQ554" s="76"/>
      <c r="BR554" s="76"/>
      <c r="BS554" s="76"/>
      <c r="BT554" s="76"/>
      <c r="BU554" s="76"/>
      <c r="BV554" s="76"/>
      <c r="BW554" s="76"/>
      <c r="BX554" s="76"/>
      <c r="BY554" s="76"/>
      <c r="BZ554" s="76"/>
      <c r="CA554" s="76"/>
      <c r="CB554" s="76"/>
      <c r="CC554" s="76"/>
      <c r="CD554" s="76"/>
      <c r="CE554" s="76"/>
      <c r="CF554" s="76"/>
      <c r="CG554" s="76"/>
      <c r="CH554" s="76"/>
    </row>
    <row r="555" spans="2:8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366"/>
      <c r="AP555" s="76"/>
      <c r="AQ555" s="76"/>
      <c r="AR555" s="76"/>
      <c r="AS555" s="76"/>
      <c r="AT555" s="76"/>
      <c r="AU555" s="76"/>
      <c r="AV555" s="76"/>
      <c r="AW555" s="76"/>
      <c r="AX555" s="76"/>
      <c r="AY555" s="76"/>
      <c r="AZ555" s="76"/>
      <c r="BA555" s="76"/>
      <c r="BB555" s="76"/>
      <c r="BC555" s="76"/>
      <c r="BD555" s="76"/>
      <c r="BE555" s="76"/>
      <c r="BF555" s="76"/>
      <c r="BG555" s="76"/>
      <c r="BH555" s="76"/>
      <c r="BI555" s="76"/>
      <c r="BJ555" s="76"/>
      <c r="BK555" s="76"/>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6"/>
      <c r="CH555" s="76"/>
    </row>
    <row r="556" spans="2:8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366"/>
      <c r="AP556" s="76"/>
      <c r="AQ556" s="76"/>
      <c r="AR556" s="76"/>
      <c r="AS556" s="76"/>
      <c r="AT556" s="76"/>
      <c r="AU556" s="76"/>
      <c r="AV556" s="76"/>
      <c r="AW556" s="76"/>
      <c r="AX556" s="76"/>
      <c r="AY556" s="76"/>
      <c r="AZ556" s="76"/>
      <c r="BA556" s="76"/>
      <c r="BB556" s="76"/>
      <c r="BC556" s="76"/>
      <c r="BD556" s="76"/>
      <c r="BE556" s="76"/>
      <c r="BF556" s="76"/>
      <c r="BG556" s="76"/>
      <c r="BH556" s="76"/>
      <c r="BI556" s="76"/>
      <c r="BJ556" s="76"/>
      <c r="BK556" s="76"/>
      <c r="BL556" s="76"/>
      <c r="BM556" s="76"/>
      <c r="BN556" s="76"/>
      <c r="BO556" s="76"/>
      <c r="BP556" s="76"/>
      <c r="BQ556" s="76"/>
      <c r="BR556" s="76"/>
      <c r="BS556" s="76"/>
      <c r="BT556" s="76"/>
      <c r="BU556" s="76"/>
      <c r="BV556" s="76"/>
      <c r="BW556" s="76"/>
      <c r="BX556" s="76"/>
      <c r="BY556" s="76"/>
      <c r="BZ556" s="76"/>
      <c r="CA556" s="76"/>
      <c r="CB556" s="76"/>
      <c r="CC556" s="76"/>
      <c r="CD556" s="76"/>
      <c r="CE556" s="76"/>
      <c r="CF556" s="76"/>
      <c r="CG556" s="76"/>
      <c r="CH556" s="76"/>
    </row>
    <row r="557" spans="2:8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36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6"/>
      <c r="BN557" s="76"/>
      <c r="BO557" s="76"/>
      <c r="BP557" s="76"/>
      <c r="BQ557" s="76"/>
      <c r="BR557" s="76"/>
      <c r="BS557" s="76"/>
      <c r="BT557" s="76"/>
      <c r="BU557" s="76"/>
      <c r="BV557" s="76"/>
      <c r="BW557" s="76"/>
      <c r="BX557" s="76"/>
      <c r="BY557" s="76"/>
      <c r="BZ557" s="76"/>
      <c r="CA557" s="76"/>
      <c r="CB557" s="76"/>
      <c r="CC557" s="76"/>
      <c r="CD557" s="76"/>
      <c r="CE557" s="76"/>
      <c r="CF557" s="76"/>
      <c r="CG557" s="76"/>
      <c r="CH557" s="76"/>
    </row>
    <row r="558" spans="2:8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36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6"/>
      <c r="BN558" s="76"/>
      <c r="BO558" s="76"/>
      <c r="BP558" s="76"/>
      <c r="BQ558" s="76"/>
      <c r="BR558" s="76"/>
      <c r="BS558" s="76"/>
      <c r="BT558" s="76"/>
      <c r="BU558" s="76"/>
      <c r="BV558" s="76"/>
      <c r="BW558" s="76"/>
      <c r="BX558" s="76"/>
      <c r="BY558" s="76"/>
      <c r="BZ558" s="76"/>
      <c r="CA558" s="76"/>
      <c r="CB558" s="76"/>
      <c r="CC558" s="76"/>
      <c r="CD558" s="76"/>
      <c r="CE558" s="76"/>
      <c r="CF558" s="76"/>
      <c r="CG558" s="76"/>
      <c r="CH558" s="76"/>
    </row>
    <row r="559" spans="2:8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366"/>
      <c r="AP559" s="76"/>
      <c r="AQ559" s="76"/>
      <c r="AR559" s="76"/>
      <c r="AS559" s="76"/>
      <c r="AT559" s="76"/>
      <c r="AU559" s="76"/>
      <c r="AV559" s="76"/>
      <c r="AW559" s="76"/>
      <c r="AX559" s="76"/>
      <c r="AY559" s="76"/>
      <c r="AZ559" s="76"/>
      <c r="BA559" s="76"/>
      <c r="BB559" s="76"/>
      <c r="BC559" s="76"/>
      <c r="BD559" s="76"/>
      <c r="BE559" s="76"/>
      <c r="BF559" s="76"/>
      <c r="BG559" s="76"/>
      <c r="BH559" s="76"/>
      <c r="BI559" s="76"/>
      <c r="BJ559" s="76"/>
      <c r="BK559" s="76"/>
      <c r="BL559" s="76"/>
      <c r="BM559" s="76"/>
      <c r="BN559" s="76"/>
      <c r="BO559" s="76"/>
      <c r="BP559" s="76"/>
      <c r="BQ559" s="76"/>
      <c r="BR559" s="76"/>
      <c r="BS559" s="76"/>
      <c r="BT559" s="76"/>
      <c r="BU559" s="76"/>
      <c r="BV559" s="76"/>
      <c r="BW559" s="76"/>
      <c r="BX559" s="76"/>
      <c r="BY559" s="76"/>
      <c r="BZ559" s="76"/>
      <c r="CA559" s="76"/>
      <c r="CB559" s="76"/>
      <c r="CC559" s="76"/>
      <c r="CD559" s="76"/>
      <c r="CE559" s="76"/>
      <c r="CF559" s="76"/>
      <c r="CG559" s="76"/>
      <c r="CH559" s="76"/>
    </row>
    <row r="560" spans="2:8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366"/>
      <c r="AP560" s="76"/>
      <c r="AQ560" s="76"/>
      <c r="AR560" s="76"/>
      <c r="AS560" s="76"/>
      <c r="AT560" s="76"/>
      <c r="AU560" s="76"/>
      <c r="AV560" s="76"/>
      <c r="AW560" s="76"/>
      <c r="AX560" s="76"/>
      <c r="AY560" s="76"/>
      <c r="AZ560" s="76"/>
      <c r="BA560" s="76"/>
      <c r="BB560" s="76"/>
      <c r="BC560" s="76"/>
      <c r="BD560" s="76"/>
      <c r="BE560" s="76"/>
      <c r="BF560" s="76"/>
      <c r="BG560" s="76"/>
      <c r="BH560" s="76"/>
      <c r="BI560" s="76"/>
      <c r="BJ560" s="76"/>
      <c r="BK560" s="76"/>
      <c r="BL560" s="76"/>
      <c r="BM560" s="76"/>
      <c r="BN560" s="76"/>
      <c r="BO560" s="76"/>
      <c r="BP560" s="76"/>
      <c r="BQ560" s="76"/>
      <c r="BR560" s="76"/>
      <c r="BS560" s="76"/>
      <c r="BT560" s="76"/>
      <c r="BU560" s="76"/>
      <c r="BV560" s="76"/>
      <c r="BW560" s="76"/>
      <c r="BX560" s="76"/>
      <c r="BY560" s="76"/>
      <c r="BZ560" s="76"/>
      <c r="CA560" s="76"/>
      <c r="CB560" s="76"/>
      <c r="CC560" s="76"/>
      <c r="CD560" s="76"/>
      <c r="CE560" s="76"/>
      <c r="CF560" s="76"/>
      <c r="CG560" s="76"/>
      <c r="CH560" s="76"/>
    </row>
    <row r="561" spans="2:8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366"/>
      <c r="AP561" s="76"/>
      <c r="AQ561" s="76"/>
      <c r="AR561" s="76"/>
      <c r="AS561" s="76"/>
      <c r="AT561" s="76"/>
      <c r="AU561" s="76"/>
      <c r="AV561" s="76"/>
      <c r="AW561" s="76"/>
      <c r="AX561" s="76"/>
      <c r="AY561" s="76"/>
      <c r="AZ561" s="76"/>
      <c r="BA561" s="76"/>
      <c r="BB561" s="76"/>
      <c r="BC561" s="76"/>
      <c r="BD561" s="76"/>
      <c r="BE561" s="76"/>
      <c r="BF561" s="76"/>
      <c r="BG561" s="76"/>
      <c r="BH561" s="76"/>
      <c r="BI561" s="76"/>
      <c r="BJ561" s="76"/>
      <c r="BK561" s="76"/>
      <c r="BL561" s="76"/>
      <c r="BM561" s="76"/>
      <c r="BN561" s="76"/>
      <c r="BO561" s="76"/>
      <c r="BP561" s="76"/>
      <c r="BQ561" s="76"/>
      <c r="BR561" s="76"/>
      <c r="BS561" s="76"/>
      <c r="BT561" s="76"/>
      <c r="BU561" s="76"/>
      <c r="BV561" s="76"/>
      <c r="BW561" s="76"/>
      <c r="BX561" s="76"/>
      <c r="BY561" s="76"/>
      <c r="BZ561" s="76"/>
      <c r="CA561" s="76"/>
      <c r="CB561" s="76"/>
      <c r="CC561" s="76"/>
      <c r="CD561" s="76"/>
      <c r="CE561" s="76"/>
      <c r="CF561" s="76"/>
      <c r="CG561" s="76"/>
      <c r="CH561" s="76"/>
    </row>
    <row r="562" spans="2:8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366"/>
      <c r="AP562" s="76"/>
      <c r="AQ562" s="76"/>
      <c r="AR562" s="76"/>
      <c r="AS562" s="76"/>
      <c r="AT562" s="76"/>
      <c r="AU562" s="76"/>
      <c r="AV562" s="76"/>
      <c r="AW562" s="76"/>
      <c r="AX562" s="76"/>
      <c r="AY562" s="76"/>
      <c r="AZ562" s="76"/>
      <c r="BA562" s="76"/>
      <c r="BB562" s="76"/>
      <c r="BC562" s="76"/>
      <c r="BD562" s="76"/>
      <c r="BE562" s="76"/>
      <c r="BF562" s="76"/>
      <c r="BG562" s="76"/>
      <c r="BH562" s="76"/>
      <c r="BI562" s="76"/>
      <c r="BJ562" s="76"/>
      <c r="BK562" s="76"/>
      <c r="BL562" s="76"/>
      <c r="BM562" s="76"/>
      <c r="BN562" s="76"/>
      <c r="BO562" s="76"/>
      <c r="BP562" s="76"/>
      <c r="BQ562" s="76"/>
      <c r="BR562" s="76"/>
      <c r="BS562" s="76"/>
      <c r="BT562" s="76"/>
      <c r="BU562" s="76"/>
      <c r="BV562" s="76"/>
      <c r="BW562" s="76"/>
      <c r="BX562" s="76"/>
      <c r="BY562" s="76"/>
      <c r="BZ562" s="76"/>
      <c r="CA562" s="76"/>
      <c r="CB562" s="76"/>
      <c r="CC562" s="76"/>
      <c r="CD562" s="76"/>
      <c r="CE562" s="76"/>
      <c r="CF562" s="76"/>
      <c r="CG562" s="76"/>
      <c r="CH562" s="76"/>
    </row>
    <row r="563" spans="2:8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366"/>
      <c r="AP563" s="76"/>
      <c r="AQ563" s="76"/>
      <c r="AR563" s="76"/>
      <c r="AS563" s="76"/>
      <c r="AT563" s="76"/>
      <c r="AU563" s="76"/>
      <c r="AV563" s="76"/>
      <c r="AW563" s="76"/>
      <c r="AX563" s="76"/>
      <c r="AY563" s="76"/>
      <c r="AZ563" s="76"/>
      <c r="BA563" s="76"/>
      <c r="BB563" s="76"/>
      <c r="BC563" s="76"/>
      <c r="BD563" s="76"/>
      <c r="BE563" s="76"/>
      <c r="BF563" s="76"/>
      <c r="BG563" s="76"/>
      <c r="BH563" s="76"/>
      <c r="BI563" s="76"/>
      <c r="BJ563" s="76"/>
      <c r="BK563" s="76"/>
      <c r="BL563" s="76"/>
      <c r="BM563" s="76"/>
      <c r="BN563" s="76"/>
      <c r="BO563" s="76"/>
      <c r="BP563" s="76"/>
      <c r="BQ563" s="76"/>
      <c r="BR563" s="76"/>
      <c r="BS563" s="76"/>
      <c r="BT563" s="76"/>
      <c r="BU563" s="76"/>
      <c r="BV563" s="76"/>
      <c r="BW563" s="76"/>
      <c r="BX563" s="76"/>
      <c r="BY563" s="76"/>
      <c r="BZ563" s="76"/>
      <c r="CA563" s="76"/>
      <c r="CB563" s="76"/>
      <c r="CC563" s="76"/>
      <c r="CD563" s="76"/>
      <c r="CE563" s="76"/>
      <c r="CF563" s="76"/>
      <c r="CG563" s="76"/>
      <c r="CH563" s="76"/>
    </row>
    <row r="564" spans="2:8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366"/>
      <c r="AP564" s="76"/>
      <c r="AQ564" s="76"/>
      <c r="AR564" s="76"/>
      <c r="AS564" s="76"/>
      <c r="AT564" s="76"/>
      <c r="AU564" s="76"/>
      <c r="AV564" s="76"/>
      <c r="AW564" s="76"/>
      <c r="AX564" s="76"/>
      <c r="AY564" s="76"/>
      <c r="AZ564" s="76"/>
      <c r="BA564" s="76"/>
      <c r="BB564" s="76"/>
      <c r="BC564" s="76"/>
      <c r="BD564" s="76"/>
      <c r="BE564" s="76"/>
      <c r="BF564" s="76"/>
      <c r="BG564" s="76"/>
      <c r="BH564" s="76"/>
      <c r="BI564" s="76"/>
      <c r="BJ564" s="76"/>
      <c r="BK564" s="76"/>
      <c r="BL564" s="76"/>
      <c r="BM564" s="76"/>
      <c r="BN564" s="76"/>
      <c r="BO564" s="76"/>
      <c r="BP564" s="76"/>
      <c r="BQ564" s="76"/>
      <c r="BR564" s="76"/>
      <c r="BS564" s="76"/>
      <c r="BT564" s="76"/>
      <c r="BU564" s="76"/>
      <c r="BV564" s="76"/>
      <c r="BW564" s="76"/>
      <c r="BX564" s="76"/>
      <c r="BY564" s="76"/>
      <c r="BZ564" s="76"/>
      <c r="CA564" s="76"/>
      <c r="CB564" s="76"/>
      <c r="CC564" s="76"/>
      <c r="CD564" s="76"/>
      <c r="CE564" s="76"/>
      <c r="CF564" s="76"/>
      <c r="CG564" s="76"/>
      <c r="CH564" s="76"/>
    </row>
    <row r="565" spans="2:8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366"/>
      <c r="AP565" s="76"/>
      <c r="AQ565" s="76"/>
      <c r="AR565" s="76"/>
      <c r="AS565" s="76"/>
      <c r="AT565" s="76"/>
      <c r="AU565" s="76"/>
      <c r="AV565" s="76"/>
      <c r="AW565" s="76"/>
      <c r="AX565" s="76"/>
      <c r="AY565" s="76"/>
      <c r="AZ565" s="76"/>
      <c r="BA565" s="76"/>
      <c r="BB565" s="76"/>
      <c r="BC565" s="76"/>
      <c r="BD565" s="76"/>
      <c r="BE565" s="76"/>
      <c r="BF565" s="76"/>
      <c r="BG565" s="76"/>
      <c r="BH565" s="76"/>
      <c r="BI565" s="76"/>
      <c r="BJ565" s="76"/>
      <c r="BK565" s="76"/>
      <c r="BL565" s="76"/>
      <c r="BM565" s="76"/>
      <c r="BN565" s="76"/>
      <c r="BO565" s="76"/>
      <c r="BP565" s="76"/>
      <c r="BQ565" s="76"/>
      <c r="BR565" s="76"/>
      <c r="BS565" s="76"/>
      <c r="BT565" s="76"/>
      <c r="BU565" s="76"/>
      <c r="BV565" s="76"/>
      <c r="BW565" s="76"/>
      <c r="BX565" s="76"/>
      <c r="BY565" s="76"/>
      <c r="BZ565" s="76"/>
      <c r="CA565" s="76"/>
      <c r="CB565" s="76"/>
      <c r="CC565" s="76"/>
      <c r="CD565" s="76"/>
      <c r="CE565" s="76"/>
      <c r="CF565" s="76"/>
      <c r="CG565" s="76"/>
      <c r="CH565" s="76"/>
    </row>
    <row r="566" spans="2:8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366"/>
      <c r="AP566" s="76"/>
      <c r="AQ566" s="76"/>
      <c r="AR566" s="76"/>
      <c r="AS566" s="76"/>
      <c r="AT566" s="76"/>
      <c r="AU566" s="76"/>
      <c r="AV566" s="76"/>
      <c r="AW566" s="76"/>
      <c r="AX566" s="76"/>
      <c r="AY566" s="76"/>
      <c r="AZ566" s="76"/>
      <c r="BA566" s="76"/>
      <c r="BB566" s="76"/>
      <c r="BC566" s="76"/>
      <c r="BD566" s="76"/>
      <c r="BE566" s="76"/>
      <c r="BF566" s="76"/>
      <c r="BG566" s="76"/>
      <c r="BH566" s="76"/>
      <c r="BI566" s="76"/>
      <c r="BJ566" s="76"/>
      <c r="BK566" s="76"/>
      <c r="BL566" s="76"/>
      <c r="BM566" s="76"/>
      <c r="BN566" s="76"/>
      <c r="BO566" s="76"/>
      <c r="BP566" s="76"/>
      <c r="BQ566" s="76"/>
      <c r="BR566" s="76"/>
      <c r="BS566" s="76"/>
      <c r="BT566" s="76"/>
      <c r="BU566" s="76"/>
      <c r="BV566" s="76"/>
      <c r="BW566" s="76"/>
      <c r="BX566" s="76"/>
      <c r="BY566" s="76"/>
      <c r="BZ566" s="76"/>
      <c r="CA566" s="76"/>
      <c r="CB566" s="76"/>
      <c r="CC566" s="76"/>
      <c r="CD566" s="76"/>
      <c r="CE566" s="76"/>
      <c r="CF566" s="76"/>
      <c r="CG566" s="76"/>
      <c r="CH566" s="76"/>
    </row>
    <row r="567" spans="2:8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366"/>
      <c r="AP567" s="76"/>
      <c r="AQ567" s="76"/>
      <c r="AR567" s="76"/>
      <c r="AS567" s="76"/>
      <c r="AT567" s="76"/>
      <c r="AU567" s="76"/>
      <c r="AV567" s="76"/>
      <c r="AW567" s="76"/>
      <c r="AX567" s="76"/>
      <c r="AY567" s="76"/>
      <c r="AZ567" s="76"/>
      <c r="BA567" s="76"/>
      <c r="BB567" s="76"/>
      <c r="BC567" s="76"/>
      <c r="BD567" s="76"/>
      <c r="BE567" s="76"/>
      <c r="BF567" s="76"/>
      <c r="BG567" s="76"/>
      <c r="BH567" s="76"/>
      <c r="BI567" s="76"/>
      <c r="BJ567" s="76"/>
      <c r="BK567" s="76"/>
      <c r="BL567" s="76"/>
      <c r="BM567" s="76"/>
      <c r="BN567" s="76"/>
      <c r="BO567" s="76"/>
      <c r="BP567" s="76"/>
      <c r="BQ567" s="76"/>
      <c r="BR567" s="76"/>
      <c r="BS567" s="76"/>
      <c r="BT567" s="76"/>
      <c r="BU567" s="76"/>
      <c r="BV567" s="76"/>
      <c r="BW567" s="76"/>
      <c r="BX567" s="76"/>
      <c r="BY567" s="76"/>
      <c r="BZ567" s="76"/>
      <c r="CA567" s="76"/>
      <c r="CB567" s="76"/>
      <c r="CC567" s="76"/>
      <c r="CD567" s="76"/>
      <c r="CE567" s="76"/>
      <c r="CF567" s="76"/>
      <c r="CG567" s="76"/>
      <c r="CH567" s="76"/>
    </row>
    <row r="568" spans="2:8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366"/>
      <c r="AP568" s="76"/>
      <c r="AQ568" s="76"/>
      <c r="AR568" s="76"/>
      <c r="AS568" s="76"/>
      <c r="AT568" s="76"/>
      <c r="AU568" s="76"/>
      <c r="AV568" s="76"/>
      <c r="AW568" s="76"/>
      <c r="AX568" s="76"/>
      <c r="AY568" s="76"/>
      <c r="AZ568" s="76"/>
      <c r="BA568" s="76"/>
      <c r="BB568" s="76"/>
      <c r="BC568" s="76"/>
      <c r="BD568" s="76"/>
      <c r="BE568" s="76"/>
      <c r="BF568" s="76"/>
      <c r="BG568" s="76"/>
      <c r="BH568" s="76"/>
      <c r="BI568" s="76"/>
      <c r="BJ568" s="76"/>
      <c r="BK568" s="76"/>
      <c r="BL568" s="76"/>
      <c r="BM568" s="76"/>
      <c r="BN568" s="76"/>
      <c r="BO568" s="76"/>
      <c r="BP568" s="76"/>
      <c r="BQ568" s="76"/>
      <c r="BR568" s="76"/>
      <c r="BS568" s="76"/>
      <c r="BT568" s="76"/>
      <c r="BU568" s="76"/>
      <c r="BV568" s="76"/>
      <c r="BW568" s="76"/>
      <c r="BX568" s="76"/>
      <c r="BY568" s="76"/>
      <c r="BZ568" s="76"/>
      <c r="CA568" s="76"/>
      <c r="CB568" s="76"/>
      <c r="CC568" s="76"/>
      <c r="CD568" s="76"/>
      <c r="CE568" s="76"/>
      <c r="CF568" s="76"/>
      <c r="CG568" s="76"/>
      <c r="CH568" s="76"/>
    </row>
    <row r="569" spans="2:8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366"/>
      <c r="AP569" s="76"/>
      <c r="AQ569" s="76"/>
      <c r="AR569" s="76"/>
      <c r="AS569" s="76"/>
      <c r="AT569" s="76"/>
      <c r="AU569" s="76"/>
      <c r="AV569" s="76"/>
      <c r="AW569" s="76"/>
      <c r="AX569" s="76"/>
      <c r="AY569" s="76"/>
      <c r="AZ569" s="76"/>
      <c r="BA569" s="76"/>
      <c r="BB569" s="76"/>
      <c r="BC569" s="76"/>
      <c r="BD569" s="76"/>
      <c r="BE569" s="76"/>
      <c r="BF569" s="76"/>
      <c r="BG569" s="76"/>
      <c r="BH569" s="76"/>
      <c r="BI569" s="76"/>
      <c r="BJ569" s="76"/>
      <c r="BK569" s="76"/>
      <c r="BL569" s="76"/>
      <c r="BM569" s="76"/>
      <c r="BN569" s="76"/>
      <c r="BO569" s="76"/>
      <c r="BP569" s="76"/>
      <c r="BQ569" s="76"/>
      <c r="BR569" s="76"/>
      <c r="BS569" s="76"/>
      <c r="BT569" s="76"/>
      <c r="BU569" s="76"/>
      <c r="BV569" s="76"/>
      <c r="BW569" s="76"/>
      <c r="BX569" s="76"/>
      <c r="BY569" s="76"/>
      <c r="BZ569" s="76"/>
      <c r="CA569" s="76"/>
      <c r="CB569" s="76"/>
      <c r="CC569" s="76"/>
      <c r="CD569" s="76"/>
      <c r="CE569" s="76"/>
      <c r="CF569" s="76"/>
      <c r="CG569" s="76"/>
      <c r="CH569" s="76"/>
    </row>
    <row r="570" spans="2:8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366"/>
      <c r="AP570" s="76"/>
      <c r="AQ570" s="76"/>
      <c r="AR570" s="76"/>
      <c r="AS570" s="76"/>
      <c r="AT570" s="76"/>
      <c r="AU570" s="76"/>
      <c r="AV570" s="76"/>
      <c r="AW570" s="76"/>
      <c r="AX570" s="76"/>
      <c r="AY570" s="76"/>
      <c r="AZ570" s="76"/>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76"/>
      <c r="CA570" s="76"/>
      <c r="CB570" s="76"/>
      <c r="CC570" s="76"/>
      <c r="CD570" s="76"/>
      <c r="CE570" s="76"/>
      <c r="CF570" s="76"/>
      <c r="CG570" s="76"/>
      <c r="CH570" s="76"/>
    </row>
    <row r="571" spans="2:8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366"/>
      <c r="AP571" s="76"/>
      <c r="AQ571" s="76"/>
      <c r="AR571" s="76"/>
      <c r="AS571" s="76"/>
      <c r="AT571" s="76"/>
      <c r="AU571" s="76"/>
      <c r="AV571" s="76"/>
      <c r="AW571" s="76"/>
      <c r="AX571" s="76"/>
      <c r="AY571" s="76"/>
      <c r="AZ571" s="76"/>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76"/>
      <c r="CA571" s="76"/>
      <c r="CB571" s="76"/>
      <c r="CC571" s="76"/>
      <c r="CD571" s="76"/>
      <c r="CE571" s="76"/>
      <c r="CF571" s="76"/>
      <c r="CG571" s="76"/>
      <c r="CH571" s="76"/>
    </row>
    <row r="572" spans="2:8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366"/>
      <c r="AP572" s="76"/>
      <c r="AQ572" s="76"/>
      <c r="AR572" s="76"/>
      <c r="AS572" s="76"/>
      <c r="AT572" s="76"/>
      <c r="AU572" s="76"/>
      <c r="AV572" s="76"/>
      <c r="AW572" s="76"/>
      <c r="AX572" s="76"/>
      <c r="AY572" s="76"/>
      <c r="AZ572" s="76"/>
      <c r="BA572" s="76"/>
      <c r="BB572" s="76"/>
      <c r="BC572" s="76"/>
      <c r="BD572" s="76"/>
      <c r="BE572" s="76"/>
      <c r="BF572" s="76"/>
      <c r="BG572" s="76"/>
      <c r="BH572" s="76"/>
      <c r="BI572" s="76"/>
      <c r="BJ572" s="76"/>
      <c r="BK572" s="76"/>
      <c r="BL572" s="76"/>
      <c r="BM572" s="76"/>
      <c r="BN572" s="76"/>
      <c r="BO572" s="76"/>
      <c r="BP572" s="76"/>
      <c r="BQ572" s="76"/>
      <c r="BR572" s="76"/>
      <c r="BS572" s="76"/>
      <c r="BT572" s="76"/>
      <c r="BU572" s="76"/>
      <c r="BV572" s="76"/>
      <c r="BW572" s="76"/>
      <c r="BX572" s="76"/>
      <c r="BY572" s="76"/>
      <c r="BZ572" s="76"/>
      <c r="CA572" s="76"/>
      <c r="CB572" s="76"/>
      <c r="CC572" s="76"/>
      <c r="CD572" s="76"/>
      <c r="CE572" s="76"/>
      <c r="CF572" s="76"/>
      <c r="CG572" s="76"/>
      <c r="CH572" s="76"/>
    </row>
    <row r="573" spans="2:8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366"/>
      <c r="AP573" s="76"/>
      <c r="AQ573" s="76"/>
      <c r="AR573" s="76"/>
      <c r="AS573" s="76"/>
      <c r="AT573" s="76"/>
      <c r="AU573" s="76"/>
      <c r="AV573" s="76"/>
      <c r="AW573" s="76"/>
      <c r="AX573" s="76"/>
      <c r="AY573" s="76"/>
      <c r="AZ573" s="76"/>
      <c r="BA573" s="76"/>
      <c r="BB573" s="76"/>
      <c r="BC573" s="76"/>
      <c r="BD573" s="76"/>
      <c r="BE573" s="76"/>
      <c r="BF573" s="76"/>
      <c r="BG573" s="76"/>
      <c r="BH573" s="76"/>
      <c r="BI573" s="76"/>
      <c r="BJ573" s="76"/>
      <c r="BK573" s="76"/>
      <c r="BL573" s="76"/>
      <c r="BM573" s="76"/>
      <c r="BN573" s="76"/>
      <c r="BO573" s="76"/>
      <c r="BP573" s="76"/>
      <c r="BQ573" s="76"/>
      <c r="BR573" s="76"/>
      <c r="BS573" s="76"/>
      <c r="BT573" s="76"/>
      <c r="BU573" s="76"/>
      <c r="BV573" s="76"/>
      <c r="BW573" s="76"/>
      <c r="BX573" s="76"/>
      <c r="BY573" s="76"/>
      <c r="BZ573" s="76"/>
      <c r="CA573" s="76"/>
      <c r="CB573" s="76"/>
      <c r="CC573" s="76"/>
      <c r="CD573" s="76"/>
      <c r="CE573" s="76"/>
      <c r="CF573" s="76"/>
      <c r="CG573" s="76"/>
      <c r="CH573" s="76"/>
    </row>
    <row r="574" spans="2:8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366"/>
      <c r="AP574" s="76"/>
      <c r="AQ574" s="76"/>
      <c r="AR574" s="76"/>
      <c r="AS574" s="76"/>
      <c r="AT574" s="76"/>
      <c r="AU574" s="76"/>
      <c r="AV574" s="76"/>
      <c r="AW574" s="76"/>
      <c r="AX574" s="76"/>
      <c r="AY574" s="76"/>
      <c r="AZ574" s="76"/>
      <c r="BA574" s="76"/>
      <c r="BB574" s="76"/>
      <c r="BC574" s="76"/>
      <c r="BD574" s="76"/>
      <c r="BE574" s="76"/>
      <c r="BF574" s="76"/>
      <c r="BG574" s="76"/>
      <c r="BH574" s="76"/>
      <c r="BI574" s="76"/>
      <c r="BJ574" s="76"/>
      <c r="BK574" s="76"/>
      <c r="BL574" s="76"/>
      <c r="BM574" s="76"/>
      <c r="BN574" s="76"/>
      <c r="BO574" s="76"/>
      <c r="BP574" s="76"/>
      <c r="BQ574" s="76"/>
      <c r="BR574" s="76"/>
      <c r="BS574" s="76"/>
      <c r="BT574" s="76"/>
      <c r="BU574" s="76"/>
      <c r="BV574" s="76"/>
      <c r="BW574" s="76"/>
      <c r="BX574" s="76"/>
      <c r="BY574" s="76"/>
      <c r="BZ574" s="76"/>
      <c r="CA574" s="76"/>
      <c r="CB574" s="76"/>
      <c r="CC574" s="76"/>
      <c r="CD574" s="76"/>
      <c r="CE574" s="76"/>
      <c r="CF574" s="76"/>
      <c r="CG574" s="76"/>
      <c r="CH574" s="76"/>
    </row>
    <row r="575" spans="2:8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366"/>
      <c r="AP575" s="76"/>
      <c r="AQ575" s="76"/>
      <c r="AR575" s="76"/>
      <c r="AS575" s="76"/>
      <c r="AT575" s="76"/>
      <c r="AU575" s="76"/>
      <c r="AV575" s="76"/>
      <c r="AW575" s="76"/>
      <c r="AX575" s="76"/>
      <c r="AY575" s="76"/>
      <c r="AZ575" s="76"/>
      <c r="BA575" s="76"/>
      <c r="BB575" s="76"/>
      <c r="BC575" s="76"/>
      <c r="BD575" s="76"/>
      <c r="BE575" s="76"/>
      <c r="BF575" s="76"/>
      <c r="BG575" s="76"/>
      <c r="BH575" s="76"/>
      <c r="BI575" s="76"/>
      <c r="BJ575" s="76"/>
      <c r="BK575" s="76"/>
      <c r="BL575" s="76"/>
      <c r="BM575" s="76"/>
      <c r="BN575" s="76"/>
      <c r="BO575" s="76"/>
      <c r="BP575" s="76"/>
      <c r="BQ575" s="76"/>
      <c r="BR575" s="76"/>
      <c r="BS575" s="76"/>
      <c r="BT575" s="76"/>
      <c r="BU575" s="76"/>
      <c r="BV575" s="76"/>
      <c r="BW575" s="76"/>
      <c r="BX575" s="76"/>
      <c r="BY575" s="76"/>
      <c r="BZ575" s="76"/>
      <c r="CA575" s="76"/>
      <c r="CB575" s="76"/>
      <c r="CC575" s="76"/>
      <c r="CD575" s="76"/>
      <c r="CE575" s="76"/>
      <c r="CF575" s="76"/>
      <c r="CG575" s="76"/>
      <c r="CH575" s="76"/>
    </row>
    <row r="576" spans="2:8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366"/>
      <c r="AP576" s="76"/>
      <c r="AQ576" s="76"/>
      <c r="AR576" s="76"/>
      <c r="AS576" s="76"/>
      <c r="AT576" s="76"/>
      <c r="AU576" s="76"/>
      <c r="AV576" s="76"/>
      <c r="AW576" s="76"/>
      <c r="AX576" s="76"/>
      <c r="AY576" s="76"/>
      <c r="AZ576" s="76"/>
      <c r="BA576" s="76"/>
      <c r="BB576" s="76"/>
      <c r="BC576" s="76"/>
      <c r="BD576" s="76"/>
      <c r="BE576" s="76"/>
      <c r="BF576" s="76"/>
      <c r="BG576" s="76"/>
      <c r="BH576" s="76"/>
      <c r="BI576" s="76"/>
      <c r="BJ576" s="76"/>
      <c r="BK576" s="76"/>
      <c r="BL576" s="76"/>
      <c r="BM576" s="76"/>
      <c r="BN576" s="76"/>
      <c r="BO576" s="76"/>
      <c r="BP576" s="76"/>
      <c r="BQ576" s="76"/>
      <c r="BR576" s="76"/>
      <c r="BS576" s="76"/>
      <c r="BT576" s="76"/>
      <c r="BU576" s="76"/>
      <c r="BV576" s="76"/>
      <c r="BW576" s="76"/>
      <c r="BX576" s="76"/>
      <c r="BY576" s="76"/>
      <c r="BZ576" s="76"/>
      <c r="CA576" s="76"/>
      <c r="CB576" s="76"/>
      <c r="CC576" s="76"/>
      <c r="CD576" s="76"/>
      <c r="CE576" s="76"/>
      <c r="CF576" s="76"/>
      <c r="CG576" s="76"/>
      <c r="CH576" s="76"/>
    </row>
    <row r="577" spans="2:8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366"/>
      <c r="AP577" s="76"/>
      <c r="AQ577" s="76"/>
      <c r="AR577" s="76"/>
      <c r="AS577" s="76"/>
      <c r="AT577" s="76"/>
      <c r="AU577" s="76"/>
      <c r="AV577" s="76"/>
      <c r="AW577" s="76"/>
      <c r="AX577" s="76"/>
      <c r="AY577" s="76"/>
      <c r="AZ577" s="76"/>
      <c r="BA577" s="76"/>
      <c r="BB577" s="76"/>
      <c r="BC577" s="76"/>
      <c r="BD577" s="76"/>
      <c r="BE577" s="76"/>
      <c r="BF577" s="76"/>
      <c r="BG577" s="76"/>
      <c r="BH577" s="76"/>
      <c r="BI577" s="76"/>
      <c r="BJ577" s="76"/>
      <c r="BK577" s="76"/>
      <c r="BL577" s="76"/>
      <c r="BM577" s="76"/>
      <c r="BN577" s="76"/>
      <c r="BO577" s="76"/>
      <c r="BP577" s="76"/>
      <c r="BQ577" s="76"/>
      <c r="BR577" s="76"/>
      <c r="BS577" s="76"/>
      <c r="BT577" s="76"/>
      <c r="BU577" s="76"/>
      <c r="BV577" s="76"/>
      <c r="BW577" s="76"/>
      <c r="BX577" s="76"/>
      <c r="BY577" s="76"/>
      <c r="BZ577" s="76"/>
      <c r="CA577" s="76"/>
      <c r="CB577" s="76"/>
      <c r="CC577" s="76"/>
      <c r="CD577" s="76"/>
      <c r="CE577" s="76"/>
      <c r="CF577" s="76"/>
      <c r="CG577" s="76"/>
      <c r="CH577" s="76"/>
    </row>
    <row r="578" spans="2:8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366"/>
      <c r="AP578" s="76"/>
      <c r="AQ578" s="76"/>
      <c r="AR578" s="76"/>
      <c r="AS578" s="76"/>
      <c r="AT578" s="76"/>
      <c r="AU578" s="76"/>
      <c r="AV578" s="76"/>
      <c r="AW578" s="76"/>
      <c r="AX578" s="76"/>
      <c r="AY578" s="76"/>
      <c r="AZ578" s="76"/>
      <c r="BA578" s="76"/>
      <c r="BB578" s="76"/>
      <c r="BC578" s="76"/>
      <c r="BD578" s="76"/>
      <c r="BE578" s="76"/>
      <c r="BF578" s="76"/>
      <c r="BG578" s="76"/>
      <c r="BH578" s="76"/>
      <c r="BI578" s="76"/>
      <c r="BJ578" s="76"/>
      <c r="BK578" s="76"/>
      <c r="BL578" s="76"/>
      <c r="BM578" s="76"/>
      <c r="BN578" s="76"/>
      <c r="BO578" s="76"/>
      <c r="BP578" s="76"/>
      <c r="BQ578" s="76"/>
      <c r="BR578" s="76"/>
      <c r="BS578" s="76"/>
      <c r="BT578" s="76"/>
      <c r="BU578" s="76"/>
      <c r="BV578" s="76"/>
      <c r="BW578" s="76"/>
      <c r="BX578" s="76"/>
      <c r="BY578" s="76"/>
      <c r="BZ578" s="76"/>
      <c r="CA578" s="76"/>
      <c r="CB578" s="76"/>
      <c r="CC578" s="76"/>
      <c r="CD578" s="76"/>
      <c r="CE578" s="76"/>
      <c r="CF578" s="76"/>
      <c r="CG578" s="76"/>
      <c r="CH578" s="76"/>
    </row>
    <row r="579" spans="2:8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366"/>
      <c r="AP579" s="76"/>
      <c r="AQ579" s="76"/>
      <c r="AR579" s="76"/>
      <c r="AS579" s="76"/>
      <c r="AT579" s="76"/>
      <c r="AU579" s="76"/>
      <c r="AV579" s="76"/>
      <c r="AW579" s="76"/>
      <c r="AX579" s="76"/>
      <c r="AY579" s="76"/>
      <c r="AZ579" s="76"/>
      <c r="BA579" s="76"/>
      <c r="BB579" s="76"/>
      <c r="BC579" s="76"/>
      <c r="BD579" s="76"/>
      <c r="BE579" s="76"/>
      <c r="BF579" s="76"/>
      <c r="BG579" s="76"/>
      <c r="BH579" s="76"/>
      <c r="BI579" s="76"/>
      <c r="BJ579" s="76"/>
      <c r="BK579" s="76"/>
      <c r="BL579" s="76"/>
      <c r="BM579" s="76"/>
      <c r="BN579" s="76"/>
      <c r="BO579" s="76"/>
      <c r="BP579" s="76"/>
      <c r="BQ579" s="76"/>
      <c r="BR579" s="76"/>
      <c r="BS579" s="76"/>
      <c r="BT579" s="76"/>
      <c r="BU579" s="76"/>
      <c r="BV579" s="76"/>
      <c r="BW579" s="76"/>
      <c r="BX579" s="76"/>
      <c r="BY579" s="76"/>
      <c r="BZ579" s="76"/>
      <c r="CA579" s="76"/>
      <c r="CB579" s="76"/>
      <c r="CC579" s="76"/>
      <c r="CD579" s="76"/>
      <c r="CE579" s="76"/>
      <c r="CF579" s="76"/>
      <c r="CG579" s="76"/>
      <c r="CH579" s="76"/>
    </row>
    <row r="580" spans="2:8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366"/>
      <c r="AP580" s="76"/>
      <c r="AQ580" s="76"/>
      <c r="AR580" s="76"/>
      <c r="AS580" s="76"/>
      <c r="AT580" s="76"/>
      <c r="AU580" s="76"/>
      <c r="AV580" s="76"/>
      <c r="AW580" s="76"/>
      <c r="AX580" s="76"/>
      <c r="AY580" s="76"/>
      <c r="AZ580" s="76"/>
      <c r="BA580" s="76"/>
      <c r="BB580" s="76"/>
      <c r="BC580" s="76"/>
      <c r="BD580" s="76"/>
      <c r="BE580" s="76"/>
      <c r="BF580" s="76"/>
      <c r="BG580" s="76"/>
      <c r="BH580" s="76"/>
      <c r="BI580" s="76"/>
      <c r="BJ580" s="76"/>
      <c r="BK580" s="76"/>
      <c r="BL580" s="76"/>
      <c r="BM580" s="76"/>
      <c r="BN580" s="76"/>
      <c r="BO580" s="76"/>
      <c r="BP580" s="76"/>
      <c r="BQ580" s="76"/>
      <c r="BR580" s="76"/>
      <c r="BS580" s="76"/>
      <c r="BT580" s="76"/>
      <c r="BU580" s="76"/>
      <c r="BV580" s="76"/>
      <c r="BW580" s="76"/>
      <c r="BX580" s="76"/>
      <c r="BY580" s="76"/>
      <c r="BZ580" s="76"/>
      <c r="CA580" s="76"/>
      <c r="CB580" s="76"/>
      <c r="CC580" s="76"/>
      <c r="CD580" s="76"/>
      <c r="CE580" s="76"/>
      <c r="CF580" s="76"/>
      <c r="CG580" s="76"/>
      <c r="CH580" s="76"/>
    </row>
    <row r="581" spans="2:8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366"/>
      <c r="AP581" s="76"/>
      <c r="AQ581" s="76"/>
      <c r="AR581" s="76"/>
      <c r="AS581" s="76"/>
      <c r="AT581" s="76"/>
      <c r="AU581" s="76"/>
      <c r="AV581" s="76"/>
      <c r="AW581" s="76"/>
      <c r="AX581" s="76"/>
      <c r="AY581" s="76"/>
      <c r="AZ581" s="76"/>
      <c r="BA581" s="76"/>
      <c r="BB581" s="76"/>
      <c r="BC581" s="76"/>
      <c r="BD581" s="76"/>
      <c r="BE581" s="76"/>
      <c r="BF581" s="76"/>
      <c r="BG581" s="76"/>
      <c r="BH581" s="76"/>
      <c r="BI581" s="76"/>
      <c r="BJ581" s="76"/>
      <c r="BK581" s="76"/>
      <c r="BL581" s="76"/>
      <c r="BM581" s="76"/>
      <c r="BN581" s="76"/>
      <c r="BO581" s="76"/>
      <c r="BP581" s="76"/>
      <c r="BQ581" s="76"/>
      <c r="BR581" s="76"/>
      <c r="BS581" s="76"/>
      <c r="BT581" s="76"/>
      <c r="BU581" s="76"/>
      <c r="BV581" s="76"/>
      <c r="BW581" s="76"/>
      <c r="BX581" s="76"/>
      <c r="BY581" s="76"/>
      <c r="BZ581" s="76"/>
      <c r="CA581" s="76"/>
      <c r="CB581" s="76"/>
      <c r="CC581" s="76"/>
      <c r="CD581" s="76"/>
      <c r="CE581" s="76"/>
      <c r="CF581" s="76"/>
      <c r="CG581" s="76"/>
      <c r="CH581" s="76"/>
    </row>
    <row r="582" spans="2:8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366"/>
      <c r="AP582" s="76"/>
      <c r="AQ582" s="76"/>
      <c r="AR582" s="76"/>
      <c r="AS582" s="76"/>
      <c r="AT582" s="76"/>
      <c r="AU582" s="76"/>
      <c r="AV582" s="76"/>
      <c r="AW582" s="76"/>
      <c r="AX582" s="76"/>
      <c r="AY582" s="76"/>
      <c r="AZ582" s="76"/>
      <c r="BA582" s="76"/>
      <c r="BB582" s="76"/>
      <c r="BC582" s="76"/>
      <c r="BD582" s="76"/>
      <c r="BE582" s="76"/>
      <c r="BF582" s="76"/>
      <c r="BG582" s="76"/>
      <c r="BH582" s="76"/>
      <c r="BI582" s="76"/>
      <c r="BJ582" s="76"/>
      <c r="BK582" s="76"/>
      <c r="BL582" s="76"/>
      <c r="BM582" s="76"/>
      <c r="BN582" s="76"/>
      <c r="BO582" s="76"/>
      <c r="BP582" s="76"/>
      <c r="BQ582" s="76"/>
      <c r="BR582" s="76"/>
      <c r="BS582" s="76"/>
      <c r="BT582" s="76"/>
      <c r="BU582" s="76"/>
      <c r="BV582" s="76"/>
      <c r="BW582" s="76"/>
      <c r="BX582" s="76"/>
      <c r="BY582" s="76"/>
      <c r="BZ582" s="76"/>
      <c r="CA582" s="76"/>
      <c r="CB582" s="76"/>
      <c r="CC582" s="76"/>
      <c r="CD582" s="76"/>
      <c r="CE582" s="76"/>
      <c r="CF582" s="76"/>
      <c r="CG582" s="76"/>
      <c r="CH582" s="76"/>
    </row>
    <row r="583" spans="2:8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366"/>
      <c r="AP583" s="76"/>
      <c r="AQ583" s="76"/>
      <c r="AR583" s="76"/>
      <c r="AS583" s="76"/>
      <c r="AT583" s="76"/>
      <c r="AU583" s="76"/>
      <c r="AV583" s="76"/>
      <c r="AW583" s="76"/>
      <c r="AX583" s="76"/>
      <c r="AY583" s="76"/>
      <c r="AZ583" s="76"/>
      <c r="BA583" s="76"/>
      <c r="BB583" s="76"/>
      <c r="BC583" s="76"/>
      <c r="BD583" s="76"/>
      <c r="BE583" s="76"/>
      <c r="BF583" s="76"/>
      <c r="BG583" s="76"/>
      <c r="BH583" s="76"/>
      <c r="BI583" s="76"/>
      <c r="BJ583" s="76"/>
      <c r="BK583" s="76"/>
      <c r="BL583" s="76"/>
      <c r="BM583" s="76"/>
      <c r="BN583" s="76"/>
      <c r="BO583" s="76"/>
      <c r="BP583" s="76"/>
      <c r="BQ583" s="76"/>
      <c r="BR583" s="76"/>
      <c r="BS583" s="76"/>
      <c r="BT583" s="76"/>
      <c r="BU583" s="76"/>
      <c r="BV583" s="76"/>
      <c r="BW583" s="76"/>
      <c r="BX583" s="76"/>
      <c r="BY583" s="76"/>
      <c r="BZ583" s="76"/>
      <c r="CA583" s="76"/>
      <c r="CB583" s="76"/>
      <c r="CC583" s="76"/>
      <c r="CD583" s="76"/>
      <c r="CE583" s="76"/>
      <c r="CF583" s="76"/>
      <c r="CG583" s="76"/>
      <c r="CH583" s="76"/>
    </row>
    <row r="584" spans="2:8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366"/>
      <c r="AP584" s="76"/>
      <c r="AQ584" s="76"/>
      <c r="AR584" s="76"/>
      <c r="AS584" s="76"/>
      <c r="AT584" s="76"/>
      <c r="AU584" s="76"/>
      <c r="AV584" s="76"/>
      <c r="AW584" s="76"/>
      <c r="AX584" s="76"/>
      <c r="AY584" s="76"/>
      <c r="AZ584" s="76"/>
      <c r="BA584" s="76"/>
      <c r="BB584" s="76"/>
      <c r="BC584" s="76"/>
      <c r="BD584" s="76"/>
      <c r="BE584" s="76"/>
      <c r="BF584" s="76"/>
      <c r="BG584" s="76"/>
      <c r="BH584" s="76"/>
      <c r="BI584" s="76"/>
      <c r="BJ584" s="76"/>
      <c r="BK584" s="76"/>
      <c r="BL584" s="76"/>
      <c r="BM584" s="76"/>
      <c r="BN584" s="76"/>
      <c r="BO584" s="76"/>
      <c r="BP584" s="76"/>
      <c r="BQ584" s="76"/>
      <c r="BR584" s="76"/>
      <c r="BS584" s="76"/>
      <c r="BT584" s="76"/>
      <c r="BU584" s="76"/>
      <c r="BV584" s="76"/>
      <c r="BW584" s="76"/>
      <c r="BX584" s="76"/>
      <c r="BY584" s="76"/>
      <c r="BZ584" s="76"/>
      <c r="CA584" s="76"/>
      <c r="CB584" s="76"/>
      <c r="CC584" s="76"/>
      <c r="CD584" s="76"/>
      <c r="CE584" s="76"/>
      <c r="CF584" s="76"/>
      <c r="CG584" s="76"/>
      <c r="CH584" s="76"/>
    </row>
    <row r="585" spans="2:8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366"/>
      <c r="AP585" s="76"/>
      <c r="AQ585" s="76"/>
      <c r="AR585" s="76"/>
      <c r="AS585" s="76"/>
      <c r="AT585" s="76"/>
      <c r="AU585" s="76"/>
      <c r="AV585" s="76"/>
      <c r="AW585" s="76"/>
      <c r="AX585" s="76"/>
      <c r="AY585" s="76"/>
      <c r="AZ585" s="76"/>
      <c r="BA585" s="76"/>
      <c r="BB585" s="76"/>
      <c r="BC585" s="76"/>
      <c r="BD585" s="76"/>
      <c r="BE585" s="76"/>
      <c r="BF585" s="76"/>
      <c r="BG585" s="76"/>
      <c r="BH585" s="76"/>
      <c r="BI585" s="76"/>
      <c r="BJ585" s="76"/>
      <c r="BK585" s="76"/>
      <c r="BL585" s="76"/>
      <c r="BM585" s="76"/>
      <c r="BN585" s="76"/>
      <c r="BO585" s="76"/>
      <c r="BP585" s="76"/>
      <c r="BQ585" s="76"/>
      <c r="BR585" s="76"/>
      <c r="BS585" s="76"/>
      <c r="BT585" s="76"/>
      <c r="BU585" s="76"/>
      <c r="BV585" s="76"/>
      <c r="BW585" s="76"/>
      <c r="BX585" s="76"/>
      <c r="BY585" s="76"/>
      <c r="BZ585" s="76"/>
      <c r="CA585" s="76"/>
      <c r="CB585" s="76"/>
      <c r="CC585" s="76"/>
      <c r="CD585" s="76"/>
      <c r="CE585" s="76"/>
      <c r="CF585" s="76"/>
      <c r="CG585" s="76"/>
      <c r="CH585" s="76"/>
    </row>
    <row r="586" spans="2:8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366"/>
      <c r="AP586" s="76"/>
      <c r="AQ586" s="76"/>
      <c r="AR586" s="76"/>
      <c r="AS586" s="76"/>
      <c r="AT586" s="76"/>
      <c r="AU586" s="76"/>
      <c r="AV586" s="76"/>
      <c r="AW586" s="76"/>
      <c r="AX586" s="76"/>
      <c r="AY586" s="76"/>
      <c r="AZ586" s="76"/>
      <c r="BA586" s="76"/>
      <c r="BB586" s="76"/>
      <c r="BC586" s="76"/>
      <c r="BD586" s="76"/>
      <c r="BE586" s="76"/>
      <c r="BF586" s="76"/>
      <c r="BG586" s="76"/>
      <c r="BH586" s="76"/>
      <c r="BI586" s="76"/>
      <c r="BJ586" s="76"/>
      <c r="BK586" s="76"/>
      <c r="BL586" s="76"/>
      <c r="BM586" s="76"/>
      <c r="BN586" s="76"/>
      <c r="BO586" s="76"/>
      <c r="BP586" s="76"/>
      <c r="BQ586" s="76"/>
      <c r="BR586" s="76"/>
      <c r="BS586" s="76"/>
      <c r="BT586" s="76"/>
      <c r="BU586" s="76"/>
      <c r="BV586" s="76"/>
      <c r="BW586" s="76"/>
      <c r="BX586" s="76"/>
      <c r="BY586" s="76"/>
      <c r="BZ586" s="76"/>
      <c r="CA586" s="76"/>
      <c r="CB586" s="76"/>
      <c r="CC586" s="76"/>
      <c r="CD586" s="76"/>
      <c r="CE586" s="76"/>
      <c r="CF586" s="76"/>
      <c r="CG586" s="76"/>
      <c r="CH586" s="76"/>
    </row>
    <row r="587" spans="2:8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36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row>
    <row r="588" spans="2:8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366"/>
      <c r="AP588" s="76"/>
      <c r="AQ588" s="76"/>
      <c r="AR588" s="76"/>
      <c r="AS588" s="76"/>
      <c r="AT588" s="76"/>
      <c r="AU588" s="76"/>
      <c r="AV588" s="76"/>
      <c r="AW588" s="76"/>
      <c r="AX588" s="76"/>
      <c r="AY588" s="76"/>
      <c r="AZ588" s="76"/>
      <c r="BA588" s="76"/>
      <c r="BB588" s="76"/>
      <c r="BC588" s="76"/>
      <c r="BD588" s="76"/>
      <c r="BE588" s="76"/>
      <c r="BF588" s="76"/>
      <c r="BG588" s="76"/>
      <c r="BH588" s="76"/>
      <c r="BI588" s="76"/>
      <c r="BJ588" s="76"/>
      <c r="BK588" s="76"/>
      <c r="BL588" s="76"/>
      <c r="BM588" s="76"/>
      <c r="BN588" s="76"/>
      <c r="BO588" s="76"/>
      <c r="BP588" s="76"/>
      <c r="BQ588" s="76"/>
      <c r="BR588" s="76"/>
      <c r="BS588" s="76"/>
      <c r="BT588" s="76"/>
      <c r="BU588" s="76"/>
      <c r="BV588" s="76"/>
      <c r="BW588" s="76"/>
      <c r="BX588" s="76"/>
      <c r="BY588" s="76"/>
      <c r="BZ588" s="76"/>
      <c r="CA588" s="76"/>
      <c r="CB588" s="76"/>
      <c r="CC588" s="76"/>
      <c r="CD588" s="76"/>
      <c r="CE588" s="76"/>
      <c r="CF588" s="76"/>
      <c r="CG588" s="76"/>
      <c r="CH588" s="76"/>
    </row>
    <row r="589" spans="2:8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366"/>
      <c r="AP589" s="76"/>
      <c r="AQ589" s="76"/>
      <c r="AR589" s="76"/>
      <c r="AS589" s="76"/>
      <c r="AT589" s="76"/>
      <c r="AU589" s="76"/>
      <c r="AV589" s="76"/>
      <c r="AW589" s="76"/>
      <c r="AX589" s="76"/>
      <c r="AY589" s="76"/>
      <c r="AZ589" s="76"/>
      <c r="BA589" s="76"/>
      <c r="BB589" s="76"/>
      <c r="BC589" s="76"/>
      <c r="BD589" s="76"/>
      <c r="BE589" s="76"/>
      <c r="BF589" s="76"/>
      <c r="BG589" s="76"/>
      <c r="BH589" s="76"/>
      <c r="BI589" s="76"/>
      <c r="BJ589" s="76"/>
      <c r="BK589" s="76"/>
      <c r="BL589" s="76"/>
      <c r="BM589" s="76"/>
      <c r="BN589" s="76"/>
      <c r="BO589" s="76"/>
      <c r="BP589" s="76"/>
      <c r="BQ589" s="76"/>
      <c r="BR589" s="76"/>
      <c r="BS589" s="76"/>
      <c r="BT589" s="76"/>
      <c r="BU589" s="76"/>
      <c r="BV589" s="76"/>
      <c r="BW589" s="76"/>
      <c r="BX589" s="76"/>
      <c r="BY589" s="76"/>
      <c r="BZ589" s="76"/>
      <c r="CA589" s="76"/>
      <c r="CB589" s="76"/>
      <c r="CC589" s="76"/>
      <c r="CD589" s="76"/>
      <c r="CE589" s="76"/>
      <c r="CF589" s="76"/>
      <c r="CG589" s="76"/>
      <c r="CH589" s="76"/>
    </row>
    <row r="590" spans="2:8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366"/>
      <c r="AP590" s="76"/>
      <c r="AQ590" s="76"/>
      <c r="AR590" s="76"/>
      <c r="AS590" s="76"/>
      <c r="AT590" s="76"/>
      <c r="AU590" s="76"/>
      <c r="AV590" s="76"/>
      <c r="AW590" s="76"/>
      <c r="AX590" s="76"/>
      <c r="AY590" s="76"/>
      <c r="AZ590" s="76"/>
      <c r="BA590" s="76"/>
      <c r="BB590" s="76"/>
      <c r="BC590" s="76"/>
      <c r="BD590" s="76"/>
      <c r="BE590" s="76"/>
      <c r="BF590" s="76"/>
      <c r="BG590" s="76"/>
      <c r="BH590" s="76"/>
      <c r="BI590" s="76"/>
      <c r="BJ590" s="76"/>
      <c r="BK590" s="76"/>
      <c r="BL590" s="76"/>
      <c r="BM590" s="76"/>
      <c r="BN590" s="76"/>
      <c r="BO590" s="76"/>
      <c r="BP590" s="76"/>
      <c r="BQ590" s="76"/>
      <c r="BR590" s="76"/>
      <c r="BS590" s="76"/>
      <c r="BT590" s="76"/>
      <c r="BU590" s="76"/>
      <c r="BV590" s="76"/>
      <c r="BW590" s="76"/>
      <c r="BX590" s="76"/>
      <c r="BY590" s="76"/>
      <c r="BZ590" s="76"/>
      <c r="CA590" s="76"/>
      <c r="CB590" s="76"/>
      <c r="CC590" s="76"/>
      <c r="CD590" s="76"/>
      <c r="CE590" s="76"/>
      <c r="CF590" s="76"/>
      <c r="CG590" s="76"/>
      <c r="CH590" s="76"/>
    </row>
    <row r="591" spans="2:8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366"/>
      <c r="AP591" s="76"/>
      <c r="AQ591" s="76"/>
      <c r="AR591" s="76"/>
      <c r="AS591" s="76"/>
      <c r="AT591" s="76"/>
      <c r="AU591" s="76"/>
      <c r="AV591" s="76"/>
      <c r="AW591" s="76"/>
      <c r="AX591" s="76"/>
      <c r="AY591" s="76"/>
      <c r="AZ591" s="76"/>
      <c r="BA591" s="76"/>
      <c r="BB591" s="76"/>
      <c r="BC591" s="76"/>
      <c r="BD591" s="76"/>
      <c r="BE591" s="76"/>
      <c r="BF591" s="76"/>
      <c r="BG591" s="76"/>
      <c r="BH591" s="76"/>
      <c r="BI591" s="76"/>
      <c r="BJ591" s="76"/>
      <c r="BK591" s="76"/>
      <c r="BL591" s="76"/>
      <c r="BM591" s="76"/>
      <c r="BN591" s="76"/>
      <c r="BO591" s="76"/>
      <c r="BP591" s="76"/>
      <c r="BQ591" s="76"/>
      <c r="BR591" s="76"/>
      <c r="BS591" s="76"/>
      <c r="BT591" s="76"/>
      <c r="BU591" s="76"/>
      <c r="BV591" s="76"/>
      <c r="BW591" s="76"/>
      <c r="BX591" s="76"/>
      <c r="BY591" s="76"/>
      <c r="BZ591" s="76"/>
      <c r="CA591" s="76"/>
      <c r="CB591" s="76"/>
      <c r="CC591" s="76"/>
      <c r="CD591" s="76"/>
      <c r="CE591" s="76"/>
      <c r="CF591" s="76"/>
      <c r="CG591" s="76"/>
      <c r="CH591" s="76"/>
    </row>
    <row r="592" spans="2:8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366"/>
      <c r="AP592" s="76"/>
      <c r="AQ592" s="76"/>
      <c r="AR592" s="76"/>
      <c r="AS592" s="76"/>
      <c r="AT592" s="76"/>
      <c r="AU592" s="76"/>
      <c r="AV592" s="76"/>
      <c r="AW592" s="76"/>
      <c r="AX592" s="76"/>
      <c r="AY592" s="76"/>
      <c r="AZ592" s="76"/>
      <c r="BA592" s="76"/>
      <c r="BB592" s="76"/>
      <c r="BC592" s="76"/>
      <c r="BD592" s="76"/>
      <c r="BE592" s="76"/>
      <c r="BF592" s="76"/>
      <c r="BG592" s="76"/>
      <c r="BH592" s="76"/>
      <c r="BI592" s="76"/>
      <c r="BJ592" s="76"/>
      <c r="BK592" s="76"/>
      <c r="BL592" s="76"/>
      <c r="BM592" s="76"/>
      <c r="BN592" s="76"/>
      <c r="BO592" s="76"/>
      <c r="BP592" s="76"/>
      <c r="BQ592" s="76"/>
      <c r="BR592" s="76"/>
      <c r="BS592" s="76"/>
      <c r="BT592" s="76"/>
      <c r="BU592" s="76"/>
      <c r="BV592" s="76"/>
      <c r="BW592" s="76"/>
      <c r="BX592" s="76"/>
      <c r="BY592" s="76"/>
      <c r="BZ592" s="76"/>
      <c r="CA592" s="76"/>
      <c r="CB592" s="76"/>
      <c r="CC592" s="76"/>
      <c r="CD592" s="76"/>
      <c r="CE592" s="76"/>
      <c r="CF592" s="76"/>
      <c r="CG592" s="76"/>
      <c r="CH592" s="76"/>
    </row>
    <row r="593" spans="2:8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366"/>
      <c r="AP593" s="76"/>
      <c r="AQ593" s="76"/>
      <c r="AR593" s="76"/>
      <c r="AS593" s="76"/>
      <c r="AT593" s="76"/>
      <c r="AU593" s="76"/>
      <c r="AV593" s="76"/>
      <c r="AW593" s="76"/>
      <c r="AX593" s="76"/>
      <c r="AY593" s="76"/>
      <c r="AZ593" s="76"/>
      <c r="BA593" s="76"/>
      <c r="BB593" s="76"/>
      <c r="BC593" s="76"/>
      <c r="BD593" s="76"/>
      <c r="BE593" s="76"/>
      <c r="BF593" s="76"/>
      <c r="BG593" s="76"/>
      <c r="BH593" s="76"/>
      <c r="BI593" s="76"/>
      <c r="BJ593" s="76"/>
      <c r="BK593" s="76"/>
      <c r="BL593" s="76"/>
      <c r="BM593" s="76"/>
      <c r="BN593" s="76"/>
      <c r="BO593" s="76"/>
      <c r="BP593" s="76"/>
      <c r="BQ593" s="76"/>
      <c r="BR593" s="76"/>
      <c r="BS593" s="76"/>
      <c r="BT593" s="76"/>
      <c r="BU593" s="76"/>
      <c r="BV593" s="76"/>
      <c r="BW593" s="76"/>
      <c r="BX593" s="76"/>
      <c r="BY593" s="76"/>
      <c r="BZ593" s="76"/>
      <c r="CA593" s="76"/>
      <c r="CB593" s="76"/>
      <c r="CC593" s="76"/>
      <c r="CD593" s="76"/>
      <c r="CE593" s="76"/>
      <c r="CF593" s="76"/>
      <c r="CG593" s="76"/>
      <c r="CH593" s="76"/>
    </row>
    <row r="594" spans="2:8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366"/>
      <c r="AP594" s="76"/>
      <c r="AQ594" s="76"/>
      <c r="AR594" s="76"/>
      <c r="AS594" s="76"/>
      <c r="AT594" s="76"/>
      <c r="AU594" s="76"/>
      <c r="AV594" s="76"/>
      <c r="AW594" s="76"/>
      <c r="AX594" s="76"/>
      <c r="AY594" s="76"/>
      <c r="AZ594" s="76"/>
      <c r="BA594" s="76"/>
      <c r="BB594" s="76"/>
      <c r="BC594" s="76"/>
      <c r="BD594" s="76"/>
      <c r="BE594" s="76"/>
      <c r="BF594" s="76"/>
      <c r="BG594" s="76"/>
      <c r="BH594" s="76"/>
      <c r="BI594" s="76"/>
      <c r="BJ594" s="76"/>
      <c r="BK594" s="76"/>
      <c r="BL594" s="76"/>
      <c r="BM594" s="76"/>
      <c r="BN594" s="76"/>
      <c r="BO594" s="76"/>
      <c r="BP594" s="76"/>
      <c r="BQ594" s="76"/>
      <c r="BR594" s="76"/>
      <c r="BS594" s="76"/>
      <c r="BT594" s="76"/>
      <c r="BU594" s="76"/>
      <c r="BV594" s="76"/>
      <c r="BW594" s="76"/>
      <c r="BX594" s="76"/>
      <c r="BY594" s="76"/>
      <c r="BZ594" s="76"/>
      <c r="CA594" s="76"/>
      <c r="CB594" s="76"/>
      <c r="CC594" s="76"/>
      <c r="CD594" s="76"/>
      <c r="CE594" s="76"/>
      <c r="CF594" s="76"/>
      <c r="CG594" s="76"/>
      <c r="CH594" s="76"/>
    </row>
    <row r="595" spans="2:8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366"/>
      <c r="AP595" s="76"/>
      <c r="AQ595" s="76"/>
      <c r="AR595" s="76"/>
      <c r="AS595" s="76"/>
      <c r="AT595" s="76"/>
      <c r="AU595" s="76"/>
      <c r="AV595" s="76"/>
      <c r="AW595" s="76"/>
      <c r="AX595" s="76"/>
      <c r="AY595" s="76"/>
      <c r="AZ595" s="76"/>
      <c r="BA595" s="76"/>
      <c r="BB595" s="76"/>
      <c r="BC595" s="76"/>
      <c r="BD595" s="76"/>
      <c r="BE595" s="76"/>
      <c r="BF595" s="76"/>
      <c r="BG595" s="76"/>
      <c r="BH595" s="76"/>
      <c r="BI595" s="76"/>
      <c r="BJ595" s="76"/>
      <c r="BK595" s="76"/>
      <c r="BL595" s="76"/>
      <c r="BM595" s="76"/>
      <c r="BN595" s="76"/>
      <c r="BO595" s="76"/>
      <c r="BP595" s="76"/>
      <c r="BQ595" s="76"/>
      <c r="BR595" s="76"/>
      <c r="BS595" s="76"/>
      <c r="BT595" s="76"/>
      <c r="BU595" s="76"/>
      <c r="BV595" s="76"/>
      <c r="BW595" s="76"/>
      <c r="BX595" s="76"/>
      <c r="BY595" s="76"/>
      <c r="BZ595" s="76"/>
      <c r="CA595" s="76"/>
      <c r="CB595" s="76"/>
      <c r="CC595" s="76"/>
      <c r="CD595" s="76"/>
      <c r="CE595" s="76"/>
      <c r="CF595" s="76"/>
      <c r="CG595" s="76"/>
      <c r="CH595" s="76"/>
    </row>
    <row r="596" spans="2:8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366"/>
      <c r="AP596" s="76"/>
      <c r="AQ596" s="76"/>
      <c r="AR596" s="76"/>
      <c r="AS596" s="76"/>
      <c r="AT596" s="76"/>
      <c r="AU596" s="76"/>
      <c r="AV596" s="76"/>
      <c r="AW596" s="76"/>
      <c r="AX596" s="76"/>
      <c r="AY596" s="76"/>
      <c r="AZ596" s="76"/>
      <c r="BA596" s="76"/>
      <c r="BB596" s="76"/>
      <c r="BC596" s="76"/>
      <c r="BD596" s="76"/>
      <c r="BE596" s="76"/>
      <c r="BF596" s="76"/>
      <c r="BG596" s="76"/>
      <c r="BH596" s="76"/>
      <c r="BI596" s="76"/>
      <c r="BJ596" s="76"/>
      <c r="BK596" s="76"/>
      <c r="BL596" s="76"/>
      <c r="BM596" s="76"/>
      <c r="BN596" s="76"/>
      <c r="BO596" s="76"/>
      <c r="BP596" s="76"/>
      <c r="BQ596" s="76"/>
      <c r="BR596" s="76"/>
      <c r="BS596" s="76"/>
      <c r="BT596" s="76"/>
      <c r="BU596" s="76"/>
      <c r="BV596" s="76"/>
      <c r="BW596" s="76"/>
      <c r="BX596" s="76"/>
      <c r="BY596" s="76"/>
      <c r="BZ596" s="76"/>
      <c r="CA596" s="76"/>
      <c r="CB596" s="76"/>
      <c r="CC596" s="76"/>
      <c r="CD596" s="76"/>
      <c r="CE596" s="76"/>
      <c r="CF596" s="76"/>
      <c r="CG596" s="76"/>
      <c r="CH596" s="76"/>
    </row>
    <row r="597" spans="2:8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366"/>
      <c r="AP597" s="76"/>
      <c r="AQ597" s="76"/>
      <c r="AR597" s="76"/>
      <c r="AS597" s="76"/>
      <c r="AT597" s="76"/>
      <c r="AU597" s="76"/>
      <c r="AV597" s="76"/>
      <c r="AW597" s="76"/>
      <c r="AX597" s="76"/>
      <c r="AY597" s="76"/>
      <c r="AZ597" s="76"/>
      <c r="BA597" s="76"/>
      <c r="BB597" s="76"/>
      <c r="BC597" s="76"/>
      <c r="BD597" s="76"/>
      <c r="BE597" s="76"/>
      <c r="BF597" s="76"/>
      <c r="BG597" s="76"/>
      <c r="BH597" s="76"/>
      <c r="BI597" s="76"/>
      <c r="BJ597" s="76"/>
      <c r="BK597" s="76"/>
      <c r="BL597" s="76"/>
      <c r="BM597" s="76"/>
      <c r="BN597" s="76"/>
      <c r="BO597" s="76"/>
      <c r="BP597" s="76"/>
      <c r="BQ597" s="76"/>
      <c r="BR597" s="76"/>
      <c r="BS597" s="76"/>
      <c r="BT597" s="76"/>
      <c r="BU597" s="76"/>
      <c r="BV597" s="76"/>
      <c r="BW597" s="76"/>
      <c r="BX597" s="76"/>
      <c r="BY597" s="76"/>
      <c r="BZ597" s="76"/>
      <c r="CA597" s="76"/>
      <c r="CB597" s="76"/>
      <c r="CC597" s="76"/>
      <c r="CD597" s="76"/>
      <c r="CE597" s="76"/>
      <c r="CF597" s="76"/>
      <c r="CG597" s="76"/>
      <c r="CH597" s="76"/>
    </row>
    <row r="598" spans="2:8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366"/>
      <c r="AP598" s="76"/>
      <c r="AQ598" s="76"/>
      <c r="AR598" s="76"/>
      <c r="AS598" s="76"/>
      <c r="AT598" s="76"/>
      <c r="AU598" s="76"/>
      <c r="AV598" s="76"/>
      <c r="AW598" s="76"/>
      <c r="AX598" s="76"/>
      <c r="AY598" s="76"/>
      <c r="AZ598" s="76"/>
      <c r="BA598" s="76"/>
      <c r="BB598" s="76"/>
      <c r="BC598" s="76"/>
      <c r="BD598" s="76"/>
      <c r="BE598" s="76"/>
      <c r="BF598" s="76"/>
      <c r="BG598" s="76"/>
      <c r="BH598" s="76"/>
      <c r="BI598" s="76"/>
      <c r="BJ598" s="76"/>
      <c r="BK598" s="76"/>
      <c r="BL598" s="76"/>
      <c r="BM598" s="76"/>
      <c r="BN598" s="76"/>
      <c r="BO598" s="76"/>
      <c r="BP598" s="76"/>
      <c r="BQ598" s="76"/>
      <c r="BR598" s="76"/>
      <c r="BS598" s="76"/>
      <c r="BT598" s="76"/>
      <c r="BU598" s="76"/>
      <c r="BV598" s="76"/>
      <c r="BW598" s="76"/>
      <c r="BX598" s="76"/>
      <c r="BY598" s="76"/>
      <c r="BZ598" s="76"/>
      <c r="CA598" s="76"/>
      <c r="CB598" s="76"/>
      <c r="CC598" s="76"/>
      <c r="CD598" s="76"/>
      <c r="CE598" s="76"/>
      <c r="CF598" s="76"/>
      <c r="CG598" s="76"/>
      <c r="CH598" s="76"/>
    </row>
    <row r="599" spans="2:8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366"/>
      <c r="AP599" s="76"/>
      <c r="AQ599" s="76"/>
      <c r="AR599" s="76"/>
      <c r="AS599" s="76"/>
      <c r="AT599" s="76"/>
      <c r="AU599" s="76"/>
      <c r="AV599" s="76"/>
      <c r="AW599" s="76"/>
      <c r="AX599" s="76"/>
      <c r="AY599" s="76"/>
      <c r="AZ599" s="76"/>
      <c r="BA599" s="76"/>
      <c r="BB599" s="76"/>
      <c r="BC599" s="76"/>
      <c r="BD599" s="76"/>
      <c r="BE599" s="76"/>
      <c r="BF599" s="76"/>
      <c r="BG599" s="76"/>
      <c r="BH599" s="76"/>
      <c r="BI599" s="76"/>
      <c r="BJ599" s="76"/>
      <c r="BK599" s="76"/>
      <c r="BL599" s="76"/>
      <c r="BM599" s="76"/>
      <c r="BN599" s="76"/>
      <c r="BO599" s="76"/>
      <c r="BP599" s="76"/>
      <c r="BQ599" s="76"/>
      <c r="BR599" s="76"/>
      <c r="BS599" s="76"/>
      <c r="BT599" s="76"/>
      <c r="BU599" s="76"/>
      <c r="BV599" s="76"/>
      <c r="BW599" s="76"/>
      <c r="BX599" s="76"/>
      <c r="BY599" s="76"/>
      <c r="BZ599" s="76"/>
      <c r="CA599" s="76"/>
      <c r="CB599" s="76"/>
      <c r="CC599" s="76"/>
      <c r="CD599" s="76"/>
      <c r="CE599" s="76"/>
      <c r="CF599" s="76"/>
      <c r="CG599" s="76"/>
      <c r="CH599" s="76"/>
    </row>
    <row r="600" spans="2:8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366"/>
      <c r="AP600" s="76"/>
      <c r="AQ600" s="76"/>
      <c r="AR600" s="76"/>
      <c r="AS600" s="76"/>
      <c r="AT600" s="76"/>
      <c r="AU600" s="76"/>
      <c r="AV600" s="76"/>
      <c r="AW600" s="76"/>
      <c r="AX600" s="76"/>
      <c r="AY600" s="76"/>
      <c r="AZ600" s="76"/>
      <c r="BA600" s="76"/>
      <c r="BB600" s="76"/>
      <c r="BC600" s="76"/>
      <c r="BD600" s="76"/>
      <c r="BE600" s="76"/>
      <c r="BF600" s="76"/>
      <c r="BG600" s="76"/>
      <c r="BH600" s="76"/>
      <c r="BI600" s="76"/>
      <c r="BJ600" s="76"/>
      <c r="BK600" s="76"/>
      <c r="BL600" s="76"/>
      <c r="BM600" s="76"/>
      <c r="BN600" s="76"/>
      <c r="BO600" s="76"/>
      <c r="BP600" s="76"/>
      <c r="BQ600" s="76"/>
      <c r="BR600" s="76"/>
      <c r="BS600" s="76"/>
      <c r="BT600" s="76"/>
      <c r="BU600" s="76"/>
      <c r="BV600" s="76"/>
      <c r="BW600" s="76"/>
      <c r="BX600" s="76"/>
      <c r="BY600" s="76"/>
      <c r="BZ600" s="76"/>
      <c r="CA600" s="76"/>
      <c r="CB600" s="76"/>
      <c r="CC600" s="76"/>
      <c r="CD600" s="76"/>
      <c r="CE600" s="76"/>
      <c r="CF600" s="76"/>
      <c r="CG600" s="76"/>
      <c r="CH600" s="76"/>
    </row>
    <row r="601" spans="2:8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366"/>
      <c r="AP601" s="76"/>
      <c r="AQ601" s="76"/>
      <c r="AR601" s="76"/>
      <c r="AS601" s="76"/>
      <c r="AT601" s="76"/>
      <c r="AU601" s="76"/>
      <c r="AV601" s="76"/>
      <c r="AW601" s="76"/>
      <c r="AX601" s="76"/>
      <c r="AY601" s="76"/>
      <c r="AZ601" s="76"/>
      <c r="BA601" s="76"/>
      <c r="BB601" s="76"/>
      <c r="BC601" s="76"/>
      <c r="BD601" s="76"/>
      <c r="BE601" s="76"/>
      <c r="BF601" s="76"/>
      <c r="BG601" s="76"/>
      <c r="BH601" s="76"/>
      <c r="BI601" s="76"/>
      <c r="BJ601" s="76"/>
      <c r="BK601" s="76"/>
      <c r="BL601" s="76"/>
      <c r="BM601" s="76"/>
      <c r="BN601" s="76"/>
      <c r="BO601" s="76"/>
      <c r="BP601" s="76"/>
      <c r="BQ601" s="76"/>
      <c r="BR601" s="76"/>
      <c r="BS601" s="76"/>
      <c r="BT601" s="76"/>
      <c r="BU601" s="76"/>
      <c r="BV601" s="76"/>
      <c r="BW601" s="76"/>
      <c r="BX601" s="76"/>
      <c r="BY601" s="76"/>
      <c r="BZ601" s="76"/>
      <c r="CA601" s="76"/>
      <c r="CB601" s="76"/>
      <c r="CC601" s="76"/>
      <c r="CD601" s="76"/>
      <c r="CE601" s="76"/>
      <c r="CF601" s="76"/>
      <c r="CG601" s="76"/>
      <c r="CH601" s="76"/>
    </row>
    <row r="602" spans="2:8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366"/>
      <c r="AP602" s="76"/>
      <c r="AQ602" s="76"/>
      <c r="AR602" s="76"/>
      <c r="AS602" s="76"/>
      <c r="AT602" s="76"/>
      <c r="AU602" s="76"/>
      <c r="AV602" s="76"/>
      <c r="AW602" s="76"/>
      <c r="AX602" s="76"/>
      <c r="AY602" s="76"/>
      <c r="AZ602" s="76"/>
      <c r="BA602" s="76"/>
      <c r="BB602" s="76"/>
      <c r="BC602" s="76"/>
      <c r="BD602" s="76"/>
      <c r="BE602" s="76"/>
      <c r="BF602" s="76"/>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76"/>
      <c r="CC602" s="76"/>
      <c r="CD602" s="76"/>
      <c r="CE602" s="76"/>
      <c r="CF602" s="76"/>
      <c r="CG602" s="76"/>
      <c r="CH602" s="76"/>
    </row>
    <row r="603" spans="2:8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366"/>
      <c r="AP603" s="76"/>
      <c r="AQ603" s="76"/>
      <c r="AR603" s="76"/>
      <c r="AS603" s="76"/>
      <c r="AT603" s="76"/>
      <c r="AU603" s="76"/>
      <c r="AV603" s="76"/>
      <c r="AW603" s="76"/>
      <c r="AX603" s="76"/>
      <c r="AY603" s="76"/>
      <c r="AZ603" s="76"/>
      <c r="BA603" s="76"/>
      <c r="BB603" s="76"/>
      <c r="BC603" s="76"/>
      <c r="BD603" s="76"/>
      <c r="BE603" s="76"/>
      <c r="BF603" s="76"/>
      <c r="BG603" s="76"/>
      <c r="BH603" s="76"/>
      <c r="BI603" s="76"/>
      <c r="BJ603" s="76"/>
      <c r="BK603" s="76"/>
      <c r="BL603" s="76"/>
      <c r="BM603" s="76"/>
      <c r="BN603" s="76"/>
      <c r="BO603" s="76"/>
      <c r="BP603" s="76"/>
      <c r="BQ603" s="76"/>
      <c r="BR603" s="76"/>
      <c r="BS603" s="76"/>
      <c r="BT603" s="76"/>
      <c r="BU603" s="76"/>
      <c r="BV603" s="76"/>
      <c r="BW603" s="76"/>
      <c r="BX603" s="76"/>
      <c r="BY603" s="76"/>
      <c r="BZ603" s="76"/>
      <c r="CA603" s="76"/>
      <c r="CB603" s="76"/>
      <c r="CC603" s="76"/>
      <c r="CD603" s="76"/>
      <c r="CE603" s="76"/>
      <c r="CF603" s="76"/>
      <c r="CG603" s="76"/>
      <c r="CH603" s="76"/>
    </row>
    <row r="604" spans="2:8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366"/>
      <c r="AP604" s="76"/>
      <c r="AQ604" s="76"/>
      <c r="AR604" s="76"/>
      <c r="AS604" s="76"/>
      <c r="AT604" s="76"/>
      <c r="AU604" s="76"/>
      <c r="AV604" s="76"/>
      <c r="AW604" s="76"/>
      <c r="AX604" s="76"/>
      <c r="AY604" s="76"/>
      <c r="AZ604" s="76"/>
      <c r="BA604" s="76"/>
      <c r="BB604" s="76"/>
      <c r="BC604" s="76"/>
      <c r="BD604" s="76"/>
      <c r="BE604" s="76"/>
      <c r="BF604" s="76"/>
      <c r="BG604" s="76"/>
      <c r="BH604" s="76"/>
      <c r="BI604" s="76"/>
      <c r="BJ604" s="76"/>
      <c r="BK604" s="76"/>
      <c r="BL604" s="76"/>
      <c r="BM604" s="76"/>
      <c r="BN604" s="76"/>
      <c r="BO604" s="76"/>
      <c r="BP604" s="76"/>
      <c r="BQ604" s="76"/>
      <c r="BR604" s="76"/>
      <c r="BS604" s="76"/>
      <c r="BT604" s="76"/>
      <c r="BU604" s="76"/>
      <c r="BV604" s="76"/>
      <c r="BW604" s="76"/>
      <c r="BX604" s="76"/>
      <c r="BY604" s="76"/>
      <c r="BZ604" s="76"/>
      <c r="CA604" s="76"/>
      <c r="CB604" s="76"/>
      <c r="CC604" s="76"/>
      <c r="CD604" s="76"/>
      <c r="CE604" s="76"/>
      <c r="CF604" s="76"/>
      <c r="CG604" s="76"/>
      <c r="CH604" s="76"/>
    </row>
    <row r="605" spans="2:8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366"/>
      <c r="AP605" s="76"/>
      <c r="AQ605" s="76"/>
      <c r="AR605" s="76"/>
      <c r="AS605" s="76"/>
      <c r="AT605" s="76"/>
      <c r="AU605" s="76"/>
      <c r="AV605" s="76"/>
      <c r="AW605" s="76"/>
      <c r="AX605" s="76"/>
      <c r="AY605" s="76"/>
      <c r="AZ605" s="76"/>
      <c r="BA605" s="76"/>
      <c r="BB605" s="76"/>
      <c r="BC605" s="76"/>
      <c r="BD605" s="76"/>
      <c r="BE605" s="76"/>
      <c r="BF605" s="76"/>
      <c r="BG605" s="76"/>
      <c r="BH605" s="76"/>
      <c r="BI605" s="76"/>
      <c r="BJ605" s="76"/>
      <c r="BK605" s="76"/>
      <c r="BL605" s="76"/>
      <c r="BM605" s="76"/>
      <c r="BN605" s="76"/>
      <c r="BO605" s="76"/>
      <c r="BP605" s="76"/>
      <c r="BQ605" s="76"/>
      <c r="BR605" s="76"/>
      <c r="BS605" s="76"/>
      <c r="BT605" s="76"/>
      <c r="BU605" s="76"/>
      <c r="BV605" s="76"/>
      <c r="BW605" s="76"/>
      <c r="BX605" s="76"/>
      <c r="BY605" s="76"/>
      <c r="BZ605" s="76"/>
      <c r="CA605" s="76"/>
      <c r="CB605" s="76"/>
      <c r="CC605" s="76"/>
      <c r="CD605" s="76"/>
      <c r="CE605" s="76"/>
      <c r="CF605" s="76"/>
      <c r="CG605" s="76"/>
      <c r="CH605" s="76"/>
    </row>
    <row r="606" spans="2:8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366"/>
      <c r="AP606" s="76"/>
      <c r="AQ606" s="76"/>
      <c r="AR606" s="76"/>
      <c r="AS606" s="76"/>
      <c r="AT606" s="76"/>
      <c r="AU606" s="76"/>
      <c r="AV606" s="76"/>
      <c r="AW606" s="76"/>
      <c r="AX606" s="76"/>
      <c r="AY606" s="76"/>
      <c r="AZ606" s="76"/>
      <c r="BA606" s="76"/>
      <c r="BB606" s="76"/>
      <c r="BC606" s="76"/>
      <c r="BD606" s="76"/>
      <c r="BE606" s="76"/>
      <c r="BF606" s="76"/>
      <c r="BG606" s="76"/>
      <c r="BH606" s="76"/>
      <c r="BI606" s="76"/>
      <c r="BJ606" s="76"/>
      <c r="BK606" s="76"/>
      <c r="BL606" s="76"/>
      <c r="BM606" s="76"/>
      <c r="BN606" s="76"/>
      <c r="BO606" s="76"/>
      <c r="BP606" s="76"/>
      <c r="BQ606" s="76"/>
      <c r="BR606" s="76"/>
      <c r="BS606" s="76"/>
      <c r="BT606" s="76"/>
      <c r="BU606" s="76"/>
      <c r="BV606" s="76"/>
      <c r="BW606" s="76"/>
      <c r="BX606" s="76"/>
      <c r="BY606" s="76"/>
      <c r="BZ606" s="76"/>
      <c r="CA606" s="76"/>
      <c r="CB606" s="76"/>
      <c r="CC606" s="76"/>
      <c r="CD606" s="76"/>
      <c r="CE606" s="76"/>
      <c r="CF606" s="76"/>
      <c r="CG606" s="76"/>
      <c r="CH606" s="76"/>
    </row>
    <row r="607" spans="2:8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366"/>
      <c r="AP607" s="76"/>
      <c r="AQ607" s="76"/>
      <c r="AR607" s="76"/>
      <c r="AS607" s="76"/>
      <c r="AT607" s="76"/>
      <c r="AU607" s="76"/>
      <c r="AV607" s="76"/>
      <c r="AW607" s="76"/>
      <c r="AX607" s="76"/>
      <c r="AY607" s="76"/>
      <c r="AZ607" s="76"/>
      <c r="BA607" s="76"/>
      <c r="BB607" s="76"/>
      <c r="BC607" s="76"/>
      <c r="BD607" s="76"/>
      <c r="BE607" s="76"/>
      <c r="BF607" s="76"/>
      <c r="BG607" s="76"/>
      <c r="BH607" s="76"/>
      <c r="BI607" s="76"/>
      <c r="BJ607" s="76"/>
      <c r="BK607" s="76"/>
      <c r="BL607" s="76"/>
      <c r="BM607" s="76"/>
      <c r="BN607" s="76"/>
      <c r="BO607" s="76"/>
      <c r="BP607" s="76"/>
      <c r="BQ607" s="76"/>
      <c r="BR607" s="76"/>
      <c r="BS607" s="76"/>
      <c r="BT607" s="76"/>
      <c r="BU607" s="76"/>
      <c r="BV607" s="76"/>
      <c r="BW607" s="76"/>
      <c r="BX607" s="76"/>
      <c r="BY607" s="76"/>
      <c r="BZ607" s="76"/>
      <c r="CA607" s="76"/>
      <c r="CB607" s="76"/>
      <c r="CC607" s="76"/>
      <c r="CD607" s="76"/>
      <c r="CE607" s="76"/>
      <c r="CF607" s="76"/>
      <c r="CG607" s="76"/>
      <c r="CH607" s="76"/>
    </row>
    <row r="608" spans="2:8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366"/>
      <c r="AP608" s="76"/>
      <c r="AQ608" s="76"/>
      <c r="AR608" s="76"/>
      <c r="AS608" s="76"/>
      <c r="AT608" s="76"/>
      <c r="AU608" s="76"/>
      <c r="AV608" s="76"/>
      <c r="AW608" s="76"/>
      <c r="AX608" s="76"/>
      <c r="AY608" s="76"/>
      <c r="AZ608" s="76"/>
      <c r="BA608" s="76"/>
      <c r="BB608" s="76"/>
      <c r="BC608" s="76"/>
      <c r="BD608" s="76"/>
      <c r="BE608" s="76"/>
      <c r="BF608" s="76"/>
      <c r="BG608" s="76"/>
      <c r="BH608" s="76"/>
      <c r="BI608" s="76"/>
      <c r="BJ608" s="76"/>
      <c r="BK608" s="76"/>
      <c r="BL608" s="76"/>
      <c r="BM608" s="76"/>
      <c r="BN608" s="76"/>
      <c r="BO608" s="76"/>
      <c r="BP608" s="76"/>
      <c r="BQ608" s="76"/>
      <c r="BR608" s="76"/>
      <c r="BS608" s="76"/>
      <c r="BT608" s="76"/>
      <c r="BU608" s="76"/>
      <c r="BV608" s="76"/>
      <c r="BW608" s="76"/>
      <c r="BX608" s="76"/>
      <c r="BY608" s="76"/>
      <c r="BZ608" s="76"/>
      <c r="CA608" s="76"/>
      <c r="CB608" s="76"/>
      <c r="CC608" s="76"/>
      <c r="CD608" s="76"/>
      <c r="CE608" s="76"/>
      <c r="CF608" s="76"/>
      <c r="CG608" s="76"/>
      <c r="CH608" s="76"/>
    </row>
    <row r="609" spans="2:8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366"/>
      <c r="AP609" s="76"/>
      <c r="AQ609" s="76"/>
      <c r="AR609" s="76"/>
      <c r="AS609" s="76"/>
      <c r="AT609" s="76"/>
      <c r="AU609" s="76"/>
      <c r="AV609" s="76"/>
      <c r="AW609" s="76"/>
      <c r="AX609" s="76"/>
      <c r="AY609" s="76"/>
      <c r="AZ609" s="76"/>
      <c r="BA609" s="76"/>
      <c r="BB609" s="76"/>
      <c r="BC609" s="76"/>
      <c r="BD609" s="76"/>
      <c r="BE609" s="76"/>
      <c r="BF609" s="76"/>
      <c r="BG609" s="76"/>
      <c r="BH609" s="76"/>
      <c r="BI609" s="76"/>
      <c r="BJ609" s="76"/>
      <c r="BK609" s="76"/>
      <c r="BL609" s="76"/>
      <c r="BM609" s="76"/>
      <c r="BN609" s="76"/>
      <c r="BO609" s="76"/>
      <c r="BP609" s="76"/>
      <c r="BQ609" s="76"/>
      <c r="BR609" s="76"/>
      <c r="BS609" s="76"/>
      <c r="BT609" s="76"/>
      <c r="BU609" s="76"/>
      <c r="BV609" s="76"/>
      <c r="BW609" s="76"/>
      <c r="BX609" s="76"/>
      <c r="BY609" s="76"/>
      <c r="BZ609" s="76"/>
      <c r="CA609" s="76"/>
      <c r="CB609" s="76"/>
      <c r="CC609" s="76"/>
      <c r="CD609" s="76"/>
      <c r="CE609" s="76"/>
      <c r="CF609" s="76"/>
      <c r="CG609" s="76"/>
      <c r="CH609" s="76"/>
    </row>
    <row r="610" spans="2:8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366"/>
      <c r="AP610" s="76"/>
      <c r="AQ610" s="76"/>
      <c r="AR610" s="76"/>
      <c r="AS610" s="76"/>
      <c r="AT610" s="76"/>
      <c r="AU610" s="76"/>
      <c r="AV610" s="76"/>
      <c r="AW610" s="76"/>
      <c r="AX610" s="76"/>
      <c r="AY610" s="76"/>
      <c r="AZ610" s="76"/>
      <c r="BA610" s="76"/>
      <c r="BB610" s="76"/>
      <c r="BC610" s="76"/>
      <c r="BD610" s="76"/>
      <c r="BE610" s="76"/>
      <c r="BF610" s="76"/>
      <c r="BG610" s="76"/>
      <c r="BH610" s="76"/>
      <c r="BI610" s="76"/>
      <c r="BJ610" s="76"/>
      <c r="BK610" s="76"/>
      <c r="BL610" s="76"/>
      <c r="BM610" s="76"/>
      <c r="BN610" s="76"/>
      <c r="BO610" s="76"/>
      <c r="BP610" s="76"/>
      <c r="BQ610" s="76"/>
      <c r="BR610" s="76"/>
      <c r="BS610" s="76"/>
      <c r="BT610" s="76"/>
      <c r="BU610" s="76"/>
      <c r="BV610" s="76"/>
      <c r="BW610" s="76"/>
      <c r="BX610" s="76"/>
      <c r="BY610" s="76"/>
      <c r="BZ610" s="76"/>
      <c r="CA610" s="76"/>
      <c r="CB610" s="76"/>
      <c r="CC610" s="76"/>
      <c r="CD610" s="76"/>
      <c r="CE610" s="76"/>
      <c r="CF610" s="76"/>
      <c r="CG610" s="76"/>
      <c r="CH610" s="76"/>
    </row>
    <row r="611" spans="2:8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366"/>
      <c r="AP611" s="76"/>
      <c r="AQ611" s="76"/>
      <c r="AR611" s="76"/>
      <c r="AS611" s="76"/>
      <c r="AT611" s="76"/>
      <c r="AU611" s="76"/>
      <c r="AV611" s="76"/>
      <c r="AW611" s="76"/>
      <c r="AX611" s="76"/>
      <c r="AY611" s="76"/>
      <c r="AZ611" s="76"/>
      <c r="BA611" s="76"/>
      <c r="BB611" s="76"/>
      <c r="BC611" s="76"/>
      <c r="BD611" s="76"/>
      <c r="BE611" s="76"/>
      <c r="BF611" s="76"/>
      <c r="BG611" s="76"/>
      <c r="BH611" s="76"/>
      <c r="BI611" s="76"/>
      <c r="BJ611" s="76"/>
      <c r="BK611" s="76"/>
      <c r="BL611" s="76"/>
      <c r="BM611" s="76"/>
      <c r="BN611" s="76"/>
      <c r="BO611" s="76"/>
      <c r="BP611" s="76"/>
      <c r="BQ611" s="76"/>
      <c r="BR611" s="76"/>
      <c r="BS611" s="76"/>
      <c r="BT611" s="76"/>
      <c r="BU611" s="76"/>
      <c r="BV611" s="76"/>
      <c r="BW611" s="76"/>
      <c r="BX611" s="76"/>
      <c r="BY611" s="76"/>
      <c r="BZ611" s="76"/>
      <c r="CA611" s="76"/>
      <c r="CB611" s="76"/>
      <c r="CC611" s="76"/>
      <c r="CD611" s="76"/>
      <c r="CE611" s="76"/>
      <c r="CF611" s="76"/>
      <c r="CG611" s="76"/>
      <c r="CH611" s="76"/>
    </row>
    <row r="612" spans="2:8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366"/>
      <c r="AP612" s="76"/>
      <c r="AQ612" s="76"/>
      <c r="AR612" s="76"/>
      <c r="AS612" s="76"/>
      <c r="AT612" s="76"/>
      <c r="AU612" s="76"/>
      <c r="AV612" s="76"/>
      <c r="AW612" s="76"/>
      <c r="AX612" s="76"/>
      <c r="AY612" s="76"/>
      <c r="AZ612" s="76"/>
      <c r="BA612" s="76"/>
      <c r="BB612" s="76"/>
      <c r="BC612" s="76"/>
      <c r="BD612" s="76"/>
      <c r="BE612" s="76"/>
      <c r="BF612" s="76"/>
      <c r="BG612" s="76"/>
      <c r="BH612" s="76"/>
      <c r="BI612" s="76"/>
      <c r="BJ612" s="76"/>
      <c r="BK612" s="76"/>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6"/>
      <c r="CH612" s="76"/>
    </row>
    <row r="613" spans="2:8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366"/>
      <c r="AP613" s="76"/>
      <c r="AQ613" s="76"/>
      <c r="AR613" s="76"/>
      <c r="AS613" s="76"/>
      <c r="AT613" s="76"/>
      <c r="AU613" s="76"/>
      <c r="AV613" s="76"/>
      <c r="AW613" s="76"/>
      <c r="AX613" s="76"/>
      <c r="AY613" s="76"/>
      <c r="AZ613" s="76"/>
      <c r="BA613" s="76"/>
      <c r="BB613" s="76"/>
      <c r="BC613" s="76"/>
      <c r="BD613" s="76"/>
      <c r="BE613" s="76"/>
      <c r="BF613" s="76"/>
      <c r="BG613" s="76"/>
      <c r="BH613" s="76"/>
      <c r="BI613" s="76"/>
      <c r="BJ613" s="76"/>
      <c r="BK613" s="76"/>
      <c r="BL613" s="76"/>
      <c r="BM613" s="76"/>
      <c r="BN613" s="76"/>
      <c r="BO613" s="76"/>
      <c r="BP613" s="76"/>
      <c r="BQ613" s="76"/>
      <c r="BR613" s="76"/>
      <c r="BS613" s="76"/>
      <c r="BT613" s="76"/>
      <c r="BU613" s="76"/>
      <c r="BV613" s="76"/>
      <c r="BW613" s="76"/>
      <c r="BX613" s="76"/>
      <c r="BY613" s="76"/>
      <c r="BZ613" s="76"/>
      <c r="CA613" s="76"/>
      <c r="CB613" s="76"/>
      <c r="CC613" s="76"/>
      <c r="CD613" s="76"/>
      <c r="CE613" s="76"/>
      <c r="CF613" s="76"/>
      <c r="CG613" s="76"/>
      <c r="CH613" s="76"/>
    </row>
    <row r="614" spans="2:8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366"/>
      <c r="AP614" s="76"/>
      <c r="AQ614" s="76"/>
      <c r="AR614" s="76"/>
      <c r="AS614" s="76"/>
      <c r="AT614" s="76"/>
      <c r="AU614" s="76"/>
      <c r="AV614" s="76"/>
      <c r="AW614" s="76"/>
      <c r="AX614" s="76"/>
      <c r="AY614" s="76"/>
      <c r="AZ614" s="76"/>
      <c r="BA614" s="76"/>
      <c r="BB614" s="76"/>
      <c r="BC614" s="76"/>
      <c r="BD614" s="76"/>
      <c r="BE614" s="76"/>
      <c r="BF614" s="76"/>
      <c r="BG614" s="76"/>
      <c r="BH614" s="76"/>
      <c r="BI614" s="76"/>
      <c r="BJ614" s="76"/>
      <c r="BK614" s="76"/>
      <c r="BL614" s="76"/>
      <c r="BM614" s="76"/>
      <c r="BN614" s="76"/>
      <c r="BO614" s="76"/>
      <c r="BP614" s="76"/>
      <c r="BQ614" s="76"/>
      <c r="BR614" s="76"/>
      <c r="BS614" s="76"/>
      <c r="BT614" s="76"/>
      <c r="BU614" s="76"/>
      <c r="BV614" s="76"/>
      <c r="BW614" s="76"/>
      <c r="BX614" s="76"/>
      <c r="BY614" s="76"/>
      <c r="BZ614" s="76"/>
      <c r="CA614" s="76"/>
      <c r="CB614" s="76"/>
      <c r="CC614" s="76"/>
      <c r="CD614" s="76"/>
      <c r="CE614" s="76"/>
      <c r="CF614" s="76"/>
      <c r="CG614" s="76"/>
      <c r="CH614" s="76"/>
    </row>
    <row r="615" spans="2:8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366"/>
      <c r="AP615" s="76"/>
      <c r="AQ615" s="76"/>
      <c r="AR615" s="76"/>
      <c r="AS615" s="76"/>
      <c r="AT615" s="76"/>
      <c r="AU615" s="76"/>
      <c r="AV615" s="76"/>
      <c r="AW615" s="76"/>
      <c r="AX615" s="76"/>
      <c r="AY615" s="76"/>
      <c r="AZ615" s="76"/>
      <c r="BA615" s="76"/>
      <c r="BB615" s="76"/>
      <c r="BC615" s="76"/>
      <c r="BD615" s="76"/>
      <c r="BE615" s="76"/>
      <c r="BF615" s="76"/>
      <c r="BG615" s="76"/>
      <c r="BH615" s="76"/>
      <c r="BI615" s="76"/>
      <c r="BJ615" s="76"/>
      <c r="BK615" s="76"/>
      <c r="BL615" s="76"/>
      <c r="BM615" s="76"/>
      <c r="BN615" s="76"/>
      <c r="BO615" s="76"/>
      <c r="BP615" s="76"/>
      <c r="BQ615" s="76"/>
      <c r="BR615" s="76"/>
      <c r="BS615" s="76"/>
      <c r="BT615" s="76"/>
      <c r="BU615" s="76"/>
      <c r="BV615" s="76"/>
      <c r="BW615" s="76"/>
      <c r="BX615" s="76"/>
      <c r="BY615" s="76"/>
      <c r="BZ615" s="76"/>
      <c r="CA615" s="76"/>
      <c r="CB615" s="76"/>
      <c r="CC615" s="76"/>
      <c r="CD615" s="76"/>
      <c r="CE615" s="76"/>
      <c r="CF615" s="76"/>
      <c r="CG615" s="76"/>
      <c r="CH615" s="76"/>
    </row>
    <row r="616" spans="2:8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366"/>
      <c r="AP616" s="76"/>
      <c r="AQ616" s="76"/>
      <c r="AR616" s="76"/>
      <c r="AS616" s="76"/>
      <c r="AT616" s="76"/>
      <c r="AU616" s="76"/>
      <c r="AV616" s="76"/>
      <c r="AW616" s="76"/>
      <c r="AX616" s="76"/>
      <c r="AY616" s="76"/>
      <c r="AZ616" s="76"/>
      <c r="BA616" s="76"/>
      <c r="BB616" s="76"/>
      <c r="BC616" s="76"/>
      <c r="BD616" s="76"/>
      <c r="BE616" s="76"/>
      <c r="BF616" s="76"/>
      <c r="BG616" s="76"/>
      <c r="BH616" s="76"/>
      <c r="BI616" s="76"/>
      <c r="BJ616" s="76"/>
      <c r="BK616" s="76"/>
      <c r="BL616" s="76"/>
      <c r="BM616" s="76"/>
      <c r="BN616" s="76"/>
      <c r="BO616" s="76"/>
      <c r="BP616" s="76"/>
      <c r="BQ616" s="76"/>
      <c r="BR616" s="76"/>
      <c r="BS616" s="76"/>
      <c r="BT616" s="76"/>
      <c r="BU616" s="76"/>
      <c r="BV616" s="76"/>
      <c r="BW616" s="76"/>
      <c r="BX616" s="76"/>
      <c r="BY616" s="76"/>
      <c r="BZ616" s="76"/>
      <c r="CA616" s="76"/>
      <c r="CB616" s="76"/>
      <c r="CC616" s="76"/>
      <c r="CD616" s="76"/>
      <c r="CE616" s="76"/>
      <c r="CF616" s="76"/>
      <c r="CG616" s="76"/>
      <c r="CH616" s="76"/>
    </row>
    <row r="617" spans="2:8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366"/>
      <c r="AP617" s="76"/>
      <c r="AQ617" s="76"/>
      <c r="AR617" s="76"/>
      <c r="AS617" s="76"/>
      <c r="AT617" s="76"/>
      <c r="AU617" s="76"/>
      <c r="AV617" s="76"/>
      <c r="AW617" s="76"/>
      <c r="AX617" s="76"/>
      <c r="AY617" s="76"/>
      <c r="AZ617" s="76"/>
      <c r="BA617" s="76"/>
      <c r="BB617" s="76"/>
      <c r="BC617" s="76"/>
      <c r="BD617" s="76"/>
      <c r="BE617" s="76"/>
      <c r="BF617" s="76"/>
      <c r="BG617" s="76"/>
      <c r="BH617" s="76"/>
      <c r="BI617" s="76"/>
      <c r="BJ617" s="76"/>
      <c r="BK617" s="76"/>
      <c r="BL617" s="76"/>
      <c r="BM617" s="76"/>
      <c r="BN617" s="76"/>
      <c r="BO617" s="76"/>
      <c r="BP617" s="76"/>
      <c r="BQ617" s="76"/>
      <c r="BR617" s="76"/>
      <c r="BS617" s="76"/>
      <c r="BT617" s="76"/>
      <c r="BU617" s="76"/>
      <c r="BV617" s="76"/>
      <c r="BW617" s="76"/>
      <c r="BX617" s="76"/>
      <c r="BY617" s="76"/>
      <c r="BZ617" s="76"/>
      <c r="CA617" s="76"/>
      <c r="CB617" s="76"/>
      <c r="CC617" s="76"/>
      <c r="CD617" s="76"/>
      <c r="CE617" s="76"/>
      <c r="CF617" s="76"/>
      <c r="CG617" s="76"/>
      <c r="CH617" s="76"/>
    </row>
    <row r="618" spans="2:8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366"/>
      <c r="AP618" s="76"/>
      <c r="AQ618" s="76"/>
      <c r="AR618" s="76"/>
      <c r="AS618" s="76"/>
      <c r="AT618" s="76"/>
      <c r="AU618" s="76"/>
      <c r="AV618" s="76"/>
      <c r="AW618" s="76"/>
      <c r="AX618" s="76"/>
      <c r="AY618" s="76"/>
      <c r="AZ618" s="76"/>
      <c r="BA618" s="76"/>
      <c r="BB618" s="76"/>
      <c r="BC618" s="76"/>
      <c r="BD618" s="76"/>
      <c r="BE618" s="76"/>
      <c r="BF618" s="76"/>
      <c r="BG618" s="76"/>
      <c r="BH618" s="76"/>
      <c r="BI618" s="76"/>
      <c r="BJ618" s="76"/>
      <c r="BK618" s="76"/>
      <c r="BL618" s="76"/>
      <c r="BM618" s="76"/>
      <c r="BN618" s="76"/>
      <c r="BO618" s="76"/>
      <c r="BP618" s="76"/>
      <c r="BQ618" s="76"/>
      <c r="BR618" s="76"/>
      <c r="BS618" s="76"/>
      <c r="BT618" s="76"/>
      <c r="BU618" s="76"/>
      <c r="BV618" s="76"/>
      <c r="BW618" s="76"/>
      <c r="BX618" s="76"/>
      <c r="BY618" s="76"/>
      <c r="BZ618" s="76"/>
      <c r="CA618" s="76"/>
      <c r="CB618" s="76"/>
      <c r="CC618" s="76"/>
      <c r="CD618" s="76"/>
      <c r="CE618" s="76"/>
      <c r="CF618" s="76"/>
      <c r="CG618" s="76"/>
      <c r="CH618" s="76"/>
    </row>
    <row r="619" spans="2:8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366"/>
      <c r="AP619" s="76"/>
      <c r="AQ619" s="76"/>
      <c r="AR619" s="76"/>
      <c r="AS619" s="76"/>
      <c r="AT619" s="76"/>
      <c r="AU619" s="76"/>
      <c r="AV619" s="76"/>
      <c r="AW619" s="76"/>
      <c r="AX619" s="76"/>
      <c r="AY619" s="76"/>
      <c r="AZ619" s="76"/>
      <c r="BA619" s="76"/>
      <c r="BB619" s="76"/>
      <c r="BC619" s="76"/>
      <c r="BD619" s="76"/>
      <c r="BE619" s="76"/>
      <c r="BF619" s="76"/>
      <c r="BG619" s="76"/>
      <c r="BH619" s="76"/>
      <c r="BI619" s="76"/>
      <c r="BJ619" s="76"/>
      <c r="BK619" s="76"/>
      <c r="BL619" s="76"/>
      <c r="BM619" s="76"/>
      <c r="BN619" s="76"/>
      <c r="BO619" s="76"/>
      <c r="BP619" s="76"/>
      <c r="BQ619" s="76"/>
      <c r="BR619" s="76"/>
      <c r="BS619" s="76"/>
      <c r="BT619" s="76"/>
      <c r="BU619" s="76"/>
      <c r="BV619" s="76"/>
      <c r="BW619" s="76"/>
      <c r="BX619" s="76"/>
      <c r="BY619" s="76"/>
      <c r="BZ619" s="76"/>
      <c r="CA619" s="76"/>
      <c r="CB619" s="76"/>
      <c r="CC619" s="76"/>
      <c r="CD619" s="76"/>
      <c r="CE619" s="76"/>
      <c r="CF619" s="76"/>
      <c r="CG619" s="76"/>
      <c r="CH619" s="76"/>
    </row>
    <row r="620" spans="2:8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366"/>
      <c r="AP620" s="76"/>
      <c r="AQ620" s="76"/>
      <c r="AR620" s="76"/>
      <c r="AS620" s="76"/>
      <c r="AT620" s="76"/>
      <c r="AU620" s="76"/>
      <c r="AV620" s="76"/>
      <c r="AW620" s="76"/>
      <c r="AX620" s="76"/>
      <c r="AY620" s="76"/>
      <c r="AZ620" s="76"/>
      <c r="BA620" s="76"/>
      <c r="BB620" s="76"/>
      <c r="BC620" s="76"/>
      <c r="BD620" s="76"/>
      <c r="BE620" s="76"/>
      <c r="BF620" s="76"/>
      <c r="BG620" s="76"/>
      <c r="BH620" s="76"/>
      <c r="BI620" s="76"/>
      <c r="BJ620" s="76"/>
      <c r="BK620" s="76"/>
      <c r="BL620" s="76"/>
      <c r="BM620" s="76"/>
      <c r="BN620" s="76"/>
      <c r="BO620" s="76"/>
      <c r="BP620" s="76"/>
      <c r="BQ620" s="76"/>
      <c r="BR620" s="76"/>
      <c r="BS620" s="76"/>
      <c r="BT620" s="76"/>
      <c r="BU620" s="76"/>
      <c r="BV620" s="76"/>
      <c r="BW620" s="76"/>
      <c r="BX620" s="76"/>
      <c r="BY620" s="76"/>
      <c r="BZ620" s="76"/>
      <c r="CA620" s="76"/>
      <c r="CB620" s="76"/>
      <c r="CC620" s="76"/>
      <c r="CD620" s="76"/>
      <c r="CE620" s="76"/>
      <c r="CF620" s="76"/>
      <c r="CG620" s="76"/>
      <c r="CH620" s="76"/>
    </row>
    <row r="621" spans="2:8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366"/>
      <c r="AP621" s="76"/>
      <c r="AQ621" s="76"/>
      <c r="AR621" s="76"/>
      <c r="AS621" s="76"/>
      <c r="AT621" s="76"/>
      <c r="AU621" s="76"/>
      <c r="AV621" s="76"/>
      <c r="AW621" s="76"/>
      <c r="AX621" s="76"/>
      <c r="AY621" s="76"/>
      <c r="AZ621" s="76"/>
      <c r="BA621" s="76"/>
      <c r="BB621" s="76"/>
      <c r="BC621" s="76"/>
      <c r="BD621" s="76"/>
      <c r="BE621" s="76"/>
      <c r="BF621" s="76"/>
      <c r="BG621" s="76"/>
      <c r="BH621" s="76"/>
      <c r="BI621" s="76"/>
      <c r="BJ621" s="76"/>
      <c r="BK621" s="76"/>
      <c r="BL621" s="76"/>
      <c r="BM621" s="76"/>
      <c r="BN621" s="76"/>
      <c r="BO621" s="76"/>
      <c r="BP621" s="76"/>
      <c r="BQ621" s="76"/>
      <c r="BR621" s="76"/>
      <c r="BS621" s="76"/>
      <c r="BT621" s="76"/>
      <c r="BU621" s="76"/>
      <c r="BV621" s="76"/>
      <c r="BW621" s="76"/>
      <c r="BX621" s="76"/>
      <c r="BY621" s="76"/>
      <c r="BZ621" s="76"/>
      <c r="CA621" s="76"/>
      <c r="CB621" s="76"/>
      <c r="CC621" s="76"/>
      <c r="CD621" s="76"/>
      <c r="CE621" s="76"/>
      <c r="CF621" s="76"/>
      <c r="CG621" s="76"/>
      <c r="CH621" s="76"/>
    </row>
    <row r="622" spans="2:8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366"/>
      <c r="AP622" s="76"/>
      <c r="AQ622" s="76"/>
      <c r="AR622" s="76"/>
      <c r="AS622" s="76"/>
      <c r="AT622" s="76"/>
      <c r="AU622" s="76"/>
      <c r="AV622" s="76"/>
      <c r="AW622" s="76"/>
      <c r="AX622" s="76"/>
      <c r="AY622" s="76"/>
      <c r="AZ622" s="76"/>
      <c r="BA622" s="76"/>
      <c r="BB622" s="76"/>
      <c r="BC622" s="76"/>
      <c r="BD622" s="76"/>
      <c r="BE622" s="76"/>
      <c r="BF622" s="76"/>
      <c r="BG622" s="76"/>
      <c r="BH622" s="76"/>
      <c r="BI622" s="76"/>
      <c r="BJ622" s="76"/>
      <c r="BK622" s="76"/>
      <c r="BL622" s="76"/>
      <c r="BM622" s="76"/>
      <c r="BN622" s="76"/>
      <c r="BO622" s="76"/>
      <c r="BP622" s="76"/>
      <c r="BQ622" s="76"/>
      <c r="BR622" s="76"/>
      <c r="BS622" s="76"/>
      <c r="BT622" s="76"/>
      <c r="BU622" s="76"/>
      <c r="BV622" s="76"/>
      <c r="BW622" s="76"/>
      <c r="BX622" s="76"/>
      <c r="BY622" s="76"/>
      <c r="BZ622" s="76"/>
      <c r="CA622" s="76"/>
      <c r="CB622" s="76"/>
      <c r="CC622" s="76"/>
      <c r="CD622" s="76"/>
      <c r="CE622" s="76"/>
      <c r="CF622" s="76"/>
      <c r="CG622" s="76"/>
      <c r="CH622" s="76"/>
    </row>
    <row r="623" spans="2:8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36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row>
    <row r="624" spans="2:8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366"/>
      <c r="AP624" s="76"/>
      <c r="AQ624" s="76"/>
      <c r="AR624" s="76"/>
      <c r="AS624" s="76"/>
      <c r="AT624" s="76"/>
      <c r="AU624" s="76"/>
      <c r="AV624" s="76"/>
      <c r="AW624" s="76"/>
      <c r="AX624" s="76"/>
      <c r="AY624" s="76"/>
      <c r="AZ624" s="76"/>
      <c r="BA624" s="76"/>
      <c r="BB624" s="76"/>
      <c r="BC624" s="76"/>
      <c r="BD624" s="76"/>
      <c r="BE624" s="76"/>
      <c r="BF624" s="76"/>
      <c r="BG624" s="76"/>
      <c r="BH624" s="76"/>
      <c r="BI624" s="76"/>
      <c r="BJ624" s="76"/>
      <c r="BK624" s="76"/>
      <c r="BL624" s="76"/>
      <c r="BM624" s="76"/>
      <c r="BN624" s="76"/>
      <c r="BO624" s="76"/>
      <c r="BP624" s="76"/>
      <c r="BQ624" s="76"/>
      <c r="BR624" s="76"/>
      <c r="BS624" s="76"/>
      <c r="BT624" s="76"/>
      <c r="BU624" s="76"/>
      <c r="BV624" s="76"/>
      <c r="BW624" s="76"/>
      <c r="BX624" s="76"/>
      <c r="BY624" s="76"/>
      <c r="BZ624" s="76"/>
      <c r="CA624" s="76"/>
      <c r="CB624" s="76"/>
      <c r="CC624" s="76"/>
      <c r="CD624" s="76"/>
      <c r="CE624" s="76"/>
      <c r="CF624" s="76"/>
      <c r="CG624" s="76"/>
      <c r="CH624" s="76"/>
    </row>
    <row r="625" spans="2:8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366"/>
      <c r="AP625" s="76"/>
      <c r="AQ625" s="76"/>
      <c r="AR625" s="76"/>
      <c r="AS625" s="76"/>
      <c r="AT625" s="76"/>
      <c r="AU625" s="76"/>
      <c r="AV625" s="76"/>
      <c r="AW625" s="76"/>
      <c r="AX625" s="76"/>
      <c r="AY625" s="76"/>
      <c r="AZ625" s="76"/>
      <c r="BA625" s="76"/>
      <c r="BB625" s="76"/>
      <c r="BC625" s="76"/>
      <c r="BD625" s="76"/>
      <c r="BE625" s="76"/>
      <c r="BF625" s="76"/>
      <c r="BG625" s="76"/>
      <c r="BH625" s="76"/>
      <c r="BI625" s="76"/>
      <c r="BJ625" s="76"/>
      <c r="BK625" s="76"/>
      <c r="BL625" s="76"/>
      <c r="BM625" s="76"/>
      <c r="BN625" s="76"/>
      <c r="BO625" s="76"/>
      <c r="BP625" s="76"/>
      <c r="BQ625" s="76"/>
      <c r="BR625" s="76"/>
      <c r="BS625" s="76"/>
      <c r="BT625" s="76"/>
      <c r="BU625" s="76"/>
      <c r="BV625" s="76"/>
      <c r="BW625" s="76"/>
      <c r="BX625" s="76"/>
      <c r="BY625" s="76"/>
      <c r="BZ625" s="76"/>
      <c r="CA625" s="76"/>
      <c r="CB625" s="76"/>
      <c r="CC625" s="76"/>
      <c r="CD625" s="76"/>
      <c r="CE625" s="76"/>
      <c r="CF625" s="76"/>
      <c r="CG625" s="76"/>
      <c r="CH625" s="76"/>
    </row>
    <row r="626" spans="2:8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366"/>
      <c r="AP626" s="76"/>
      <c r="AQ626" s="76"/>
      <c r="AR626" s="76"/>
      <c r="AS626" s="76"/>
      <c r="AT626" s="76"/>
      <c r="AU626" s="76"/>
      <c r="AV626" s="76"/>
      <c r="AW626" s="76"/>
      <c r="AX626" s="76"/>
      <c r="AY626" s="76"/>
      <c r="AZ626" s="76"/>
      <c r="BA626" s="76"/>
      <c r="BB626" s="76"/>
      <c r="BC626" s="76"/>
      <c r="BD626" s="76"/>
      <c r="BE626" s="76"/>
      <c r="BF626" s="76"/>
      <c r="BG626" s="76"/>
      <c r="BH626" s="76"/>
      <c r="BI626" s="76"/>
      <c r="BJ626" s="76"/>
      <c r="BK626" s="76"/>
      <c r="BL626" s="76"/>
      <c r="BM626" s="76"/>
      <c r="BN626" s="76"/>
      <c r="BO626" s="76"/>
      <c r="BP626" s="76"/>
      <c r="BQ626" s="76"/>
      <c r="BR626" s="76"/>
      <c r="BS626" s="76"/>
      <c r="BT626" s="76"/>
      <c r="BU626" s="76"/>
      <c r="BV626" s="76"/>
      <c r="BW626" s="76"/>
      <c r="BX626" s="76"/>
      <c r="BY626" s="76"/>
      <c r="BZ626" s="76"/>
      <c r="CA626" s="76"/>
      <c r="CB626" s="76"/>
      <c r="CC626" s="76"/>
      <c r="CD626" s="76"/>
      <c r="CE626" s="76"/>
      <c r="CF626" s="76"/>
      <c r="CG626" s="76"/>
      <c r="CH626" s="76"/>
    </row>
    <row r="627" spans="2:8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36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6"/>
      <c r="BN627" s="76"/>
      <c r="BO627" s="76"/>
      <c r="BP627" s="76"/>
      <c r="BQ627" s="76"/>
      <c r="BR627" s="76"/>
      <c r="BS627" s="76"/>
      <c r="BT627" s="76"/>
      <c r="BU627" s="76"/>
      <c r="BV627" s="76"/>
      <c r="BW627" s="76"/>
      <c r="BX627" s="76"/>
      <c r="BY627" s="76"/>
      <c r="BZ627" s="76"/>
      <c r="CA627" s="76"/>
      <c r="CB627" s="76"/>
      <c r="CC627" s="76"/>
      <c r="CD627" s="76"/>
      <c r="CE627" s="76"/>
      <c r="CF627" s="76"/>
      <c r="CG627" s="76"/>
      <c r="CH627" s="76"/>
    </row>
    <row r="628" spans="2:8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366"/>
      <c r="AP628" s="76"/>
      <c r="AQ628" s="76"/>
      <c r="AR628" s="76"/>
      <c r="AS628" s="76"/>
      <c r="AT628" s="76"/>
      <c r="AU628" s="76"/>
      <c r="AV628" s="76"/>
      <c r="AW628" s="76"/>
      <c r="AX628" s="76"/>
      <c r="AY628" s="76"/>
      <c r="AZ628" s="76"/>
      <c r="BA628" s="76"/>
      <c r="BB628" s="76"/>
      <c r="BC628" s="76"/>
      <c r="BD628" s="76"/>
      <c r="BE628" s="76"/>
      <c r="BF628" s="76"/>
      <c r="BG628" s="76"/>
      <c r="BH628" s="76"/>
      <c r="BI628" s="76"/>
      <c r="BJ628" s="76"/>
      <c r="BK628" s="76"/>
      <c r="BL628" s="76"/>
      <c r="BM628" s="76"/>
      <c r="BN628" s="76"/>
      <c r="BO628" s="76"/>
      <c r="BP628" s="76"/>
      <c r="BQ628" s="76"/>
      <c r="BR628" s="76"/>
      <c r="BS628" s="76"/>
      <c r="BT628" s="76"/>
      <c r="BU628" s="76"/>
      <c r="BV628" s="76"/>
      <c r="BW628" s="76"/>
      <c r="BX628" s="76"/>
      <c r="BY628" s="76"/>
      <c r="BZ628" s="76"/>
      <c r="CA628" s="76"/>
      <c r="CB628" s="76"/>
      <c r="CC628" s="76"/>
      <c r="CD628" s="76"/>
      <c r="CE628" s="76"/>
      <c r="CF628" s="76"/>
      <c r="CG628" s="76"/>
      <c r="CH628" s="76"/>
    </row>
    <row r="629" spans="2:8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366"/>
      <c r="AP629" s="76"/>
      <c r="AQ629" s="76"/>
      <c r="AR629" s="76"/>
      <c r="AS629" s="76"/>
      <c r="AT629" s="76"/>
      <c r="AU629" s="76"/>
      <c r="AV629" s="76"/>
      <c r="AW629" s="76"/>
      <c r="AX629" s="76"/>
      <c r="AY629" s="76"/>
      <c r="AZ629" s="76"/>
      <c r="BA629" s="76"/>
      <c r="BB629" s="76"/>
      <c r="BC629" s="76"/>
      <c r="BD629" s="76"/>
      <c r="BE629" s="76"/>
      <c r="BF629" s="76"/>
      <c r="BG629" s="76"/>
      <c r="BH629" s="76"/>
      <c r="BI629" s="76"/>
      <c r="BJ629" s="76"/>
      <c r="BK629" s="76"/>
      <c r="BL629" s="76"/>
      <c r="BM629" s="76"/>
      <c r="BN629" s="76"/>
      <c r="BO629" s="76"/>
      <c r="BP629" s="76"/>
      <c r="BQ629" s="76"/>
      <c r="BR629" s="76"/>
      <c r="BS629" s="76"/>
      <c r="BT629" s="76"/>
      <c r="BU629" s="76"/>
      <c r="BV629" s="76"/>
      <c r="BW629" s="76"/>
      <c r="BX629" s="76"/>
      <c r="BY629" s="76"/>
      <c r="BZ629" s="76"/>
      <c r="CA629" s="76"/>
      <c r="CB629" s="76"/>
      <c r="CC629" s="76"/>
      <c r="CD629" s="76"/>
      <c r="CE629" s="76"/>
      <c r="CF629" s="76"/>
      <c r="CG629" s="76"/>
      <c r="CH629" s="76"/>
    </row>
    <row r="630" spans="2:8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366"/>
      <c r="AP630" s="76"/>
      <c r="AQ630" s="76"/>
      <c r="AR630" s="76"/>
      <c r="AS630" s="76"/>
      <c r="AT630" s="76"/>
      <c r="AU630" s="76"/>
      <c r="AV630" s="76"/>
      <c r="AW630" s="76"/>
      <c r="AX630" s="76"/>
      <c r="AY630" s="76"/>
      <c r="AZ630" s="76"/>
      <c r="BA630" s="76"/>
      <c r="BB630" s="76"/>
      <c r="BC630" s="76"/>
      <c r="BD630" s="76"/>
      <c r="BE630" s="76"/>
      <c r="BF630" s="76"/>
      <c r="BG630" s="76"/>
      <c r="BH630" s="76"/>
      <c r="BI630" s="76"/>
      <c r="BJ630" s="76"/>
      <c r="BK630" s="76"/>
      <c r="BL630" s="76"/>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row>
    <row r="631" spans="2:8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366"/>
      <c r="AP631" s="76"/>
      <c r="AQ631" s="76"/>
      <c r="AR631" s="76"/>
      <c r="AS631" s="76"/>
      <c r="AT631" s="76"/>
      <c r="AU631" s="76"/>
      <c r="AV631" s="76"/>
      <c r="AW631" s="76"/>
      <c r="AX631" s="76"/>
      <c r="AY631" s="76"/>
      <c r="AZ631" s="76"/>
      <c r="BA631" s="76"/>
      <c r="BB631" s="76"/>
      <c r="BC631" s="76"/>
      <c r="BD631" s="76"/>
      <c r="BE631" s="76"/>
      <c r="BF631" s="76"/>
      <c r="BG631" s="76"/>
      <c r="BH631" s="76"/>
      <c r="BI631" s="76"/>
      <c r="BJ631" s="76"/>
      <c r="BK631" s="76"/>
      <c r="BL631" s="76"/>
      <c r="BM631" s="76"/>
      <c r="BN631" s="76"/>
      <c r="BO631" s="76"/>
      <c r="BP631" s="76"/>
      <c r="BQ631" s="76"/>
      <c r="BR631" s="76"/>
      <c r="BS631" s="76"/>
      <c r="BT631" s="76"/>
      <c r="BU631" s="76"/>
      <c r="BV631" s="76"/>
      <c r="BW631" s="76"/>
      <c r="BX631" s="76"/>
      <c r="BY631" s="76"/>
      <c r="BZ631" s="76"/>
      <c r="CA631" s="76"/>
      <c r="CB631" s="76"/>
      <c r="CC631" s="76"/>
      <c r="CD631" s="76"/>
      <c r="CE631" s="76"/>
      <c r="CF631" s="76"/>
      <c r="CG631" s="76"/>
      <c r="CH631" s="76"/>
    </row>
    <row r="632" spans="2:8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366"/>
      <c r="AP632" s="76"/>
      <c r="AQ632" s="76"/>
      <c r="AR632" s="76"/>
      <c r="AS632" s="76"/>
      <c r="AT632" s="76"/>
      <c r="AU632" s="76"/>
      <c r="AV632" s="76"/>
      <c r="AW632" s="76"/>
      <c r="AX632" s="76"/>
      <c r="AY632" s="76"/>
      <c r="AZ632" s="76"/>
      <c r="BA632" s="76"/>
      <c r="BB632" s="76"/>
      <c r="BC632" s="76"/>
      <c r="BD632" s="76"/>
      <c r="BE632" s="76"/>
      <c r="BF632" s="76"/>
      <c r="BG632" s="76"/>
      <c r="BH632" s="76"/>
      <c r="BI632" s="76"/>
      <c r="BJ632" s="76"/>
      <c r="BK632" s="76"/>
      <c r="BL632" s="76"/>
      <c r="BM632" s="76"/>
      <c r="BN632" s="76"/>
      <c r="BO632" s="76"/>
      <c r="BP632" s="76"/>
      <c r="BQ632" s="76"/>
      <c r="BR632" s="76"/>
      <c r="BS632" s="76"/>
      <c r="BT632" s="76"/>
      <c r="BU632" s="76"/>
      <c r="BV632" s="76"/>
      <c r="BW632" s="76"/>
      <c r="BX632" s="76"/>
      <c r="BY632" s="76"/>
      <c r="BZ632" s="76"/>
      <c r="CA632" s="76"/>
      <c r="CB632" s="76"/>
      <c r="CC632" s="76"/>
      <c r="CD632" s="76"/>
      <c r="CE632" s="76"/>
      <c r="CF632" s="76"/>
      <c r="CG632" s="76"/>
      <c r="CH632" s="76"/>
    </row>
    <row r="633" spans="2:8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366"/>
      <c r="AP633" s="76"/>
      <c r="AQ633" s="76"/>
      <c r="AR633" s="76"/>
      <c r="AS633" s="76"/>
      <c r="AT633" s="76"/>
      <c r="AU633" s="76"/>
      <c r="AV633" s="76"/>
      <c r="AW633" s="76"/>
      <c r="AX633" s="76"/>
      <c r="AY633" s="76"/>
      <c r="AZ633" s="76"/>
      <c r="BA633" s="76"/>
      <c r="BB633" s="76"/>
      <c r="BC633" s="76"/>
      <c r="BD633" s="76"/>
      <c r="BE633" s="76"/>
      <c r="BF633" s="76"/>
      <c r="BG633" s="76"/>
      <c r="BH633" s="76"/>
      <c r="BI633" s="76"/>
      <c r="BJ633" s="76"/>
      <c r="BK633" s="76"/>
      <c r="BL633" s="76"/>
      <c r="BM633" s="76"/>
      <c r="BN633" s="76"/>
      <c r="BO633" s="76"/>
      <c r="BP633" s="76"/>
      <c r="BQ633" s="76"/>
      <c r="BR633" s="76"/>
      <c r="BS633" s="76"/>
      <c r="BT633" s="76"/>
      <c r="BU633" s="76"/>
      <c r="BV633" s="76"/>
      <c r="BW633" s="76"/>
      <c r="BX633" s="76"/>
      <c r="BY633" s="76"/>
      <c r="BZ633" s="76"/>
      <c r="CA633" s="76"/>
      <c r="CB633" s="76"/>
      <c r="CC633" s="76"/>
      <c r="CD633" s="76"/>
      <c r="CE633" s="76"/>
      <c r="CF633" s="76"/>
      <c r="CG633" s="76"/>
      <c r="CH633" s="76"/>
    </row>
    <row r="634" spans="2:8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366"/>
      <c r="AP634" s="76"/>
      <c r="AQ634" s="76"/>
      <c r="AR634" s="76"/>
      <c r="AS634" s="76"/>
      <c r="AT634" s="76"/>
      <c r="AU634" s="76"/>
      <c r="AV634" s="76"/>
      <c r="AW634" s="76"/>
      <c r="AX634" s="76"/>
      <c r="AY634" s="76"/>
      <c r="AZ634" s="76"/>
      <c r="BA634" s="76"/>
      <c r="BB634" s="76"/>
      <c r="BC634" s="76"/>
      <c r="BD634" s="76"/>
      <c r="BE634" s="76"/>
      <c r="BF634" s="76"/>
      <c r="BG634" s="76"/>
      <c r="BH634" s="76"/>
      <c r="BI634" s="76"/>
      <c r="BJ634" s="76"/>
      <c r="BK634" s="76"/>
      <c r="BL634" s="76"/>
      <c r="BM634" s="76"/>
      <c r="BN634" s="76"/>
      <c r="BO634" s="76"/>
      <c r="BP634" s="76"/>
      <c r="BQ634" s="76"/>
      <c r="BR634" s="76"/>
      <c r="BS634" s="76"/>
      <c r="BT634" s="76"/>
      <c r="BU634" s="76"/>
      <c r="BV634" s="76"/>
      <c r="BW634" s="76"/>
      <c r="BX634" s="76"/>
      <c r="BY634" s="76"/>
      <c r="BZ634" s="76"/>
      <c r="CA634" s="76"/>
      <c r="CB634" s="76"/>
      <c r="CC634" s="76"/>
      <c r="CD634" s="76"/>
      <c r="CE634" s="76"/>
      <c r="CF634" s="76"/>
      <c r="CG634" s="76"/>
      <c r="CH634" s="76"/>
    </row>
    <row r="635" spans="2:8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366"/>
      <c r="AP635" s="76"/>
      <c r="AQ635" s="76"/>
      <c r="AR635" s="76"/>
      <c r="AS635" s="76"/>
      <c r="AT635" s="76"/>
      <c r="AU635" s="76"/>
      <c r="AV635" s="76"/>
      <c r="AW635" s="76"/>
      <c r="AX635" s="76"/>
      <c r="AY635" s="76"/>
      <c r="AZ635" s="76"/>
      <c r="BA635" s="76"/>
      <c r="BB635" s="76"/>
      <c r="BC635" s="76"/>
      <c r="BD635" s="76"/>
      <c r="BE635" s="76"/>
      <c r="BF635" s="76"/>
      <c r="BG635" s="76"/>
      <c r="BH635" s="76"/>
      <c r="BI635" s="76"/>
      <c r="BJ635" s="76"/>
      <c r="BK635" s="76"/>
      <c r="BL635" s="76"/>
      <c r="BM635" s="76"/>
      <c r="BN635" s="76"/>
      <c r="BO635" s="76"/>
      <c r="BP635" s="76"/>
      <c r="BQ635" s="76"/>
      <c r="BR635" s="76"/>
      <c r="BS635" s="76"/>
      <c r="BT635" s="76"/>
      <c r="BU635" s="76"/>
      <c r="BV635" s="76"/>
      <c r="BW635" s="76"/>
      <c r="BX635" s="76"/>
      <c r="BY635" s="76"/>
      <c r="BZ635" s="76"/>
      <c r="CA635" s="76"/>
      <c r="CB635" s="76"/>
      <c r="CC635" s="76"/>
      <c r="CD635" s="76"/>
      <c r="CE635" s="76"/>
      <c r="CF635" s="76"/>
      <c r="CG635" s="76"/>
      <c r="CH635" s="76"/>
    </row>
    <row r="636" spans="2:8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366"/>
      <c r="AP636" s="76"/>
      <c r="AQ636" s="76"/>
      <c r="AR636" s="76"/>
      <c r="AS636" s="76"/>
      <c r="AT636" s="76"/>
      <c r="AU636" s="76"/>
      <c r="AV636" s="76"/>
      <c r="AW636" s="76"/>
      <c r="AX636" s="76"/>
      <c r="AY636" s="76"/>
      <c r="AZ636" s="76"/>
      <c r="BA636" s="76"/>
      <c r="BB636" s="76"/>
      <c r="BC636" s="76"/>
      <c r="BD636" s="76"/>
      <c r="BE636" s="76"/>
      <c r="BF636" s="76"/>
      <c r="BG636" s="76"/>
      <c r="BH636" s="76"/>
      <c r="BI636" s="76"/>
      <c r="BJ636" s="76"/>
      <c r="BK636" s="76"/>
      <c r="BL636" s="76"/>
      <c r="BM636" s="76"/>
      <c r="BN636" s="76"/>
      <c r="BO636" s="76"/>
      <c r="BP636" s="76"/>
      <c r="BQ636" s="76"/>
      <c r="BR636" s="76"/>
      <c r="BS636" s="76"/>
      <c r="BT636" s="76"/>
      <c r="BU636" s="76"/>
      <c r="BV636" s="76"/>
      <c r="BW636" s="76"/>
      <c r="BX636" s="76"/>
      <c r="BY636" s="76"/>
      <c r="BZ636" s="76"/>
      <c r="CA636" s="76"/>
      <c r="CB636" s="76"/>
      <c r="CC636" s="76"/>
      <c r="CD636" s="76"/>
      <c r="CE636" s="76"/>
      <c r="CF636" s="76"/>
      <c r="CG636" s="76"/>
      <c r="CH636" s="76"/>
    </row>
    <row r="637" spans="2:8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366"/>
      <c r="AP637" s="76"/>
      <c r="AQ637" s="76"/>
      <c r="AR637" s="76"/>
      <c r="AS637" s="76"/>
      <c r="AT637" s="76"/>
      <c r="AU637" s="76"/>
      <c r="AV637" s="76"/>
      <c r="AW637" s="76"/>
      <c r="AX637" s="76"/>
      <c r="AY637" s="76"/>
      <c r="AZ637" s="76"/>
      <c r="BA637" s="76"/>
      <c r="BB637" s="76"/>
      <c r="BC637" s="76"/>
      <c r="BD637" s="76"/>
      <c r="BE637" s="76"/>
      <c r="BF637" s="76"/>
      <c r="BG637" s="76"/>
      <c r="BH637" s="76"/>
      <c r="BI637" s="76"/>
      <c r="BJ637" s="76"/>
      <c r="BK637" s="76"/>
      <c r="BL637" s="7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row>
    <row r="638" spans="2:8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366"/>
      <c r="AP638" s="76"/>
      <c r="AQ638" s="76"/>
      <c r="AR638" s="76"/>
      <c r="AS638" s="76"/>
      <c r="AT638" s="76"/>
      <c r="AU638" s="76"/>
      <c r="AV638" s="76"/>
      <c r="AW638" s="76"/>
      <c r="AX638" s="76"/>
      <c r="AY638" s="76"/>
      <c r="AZ638" s="76"/>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row>
    <row r="639" spans="2:8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366"/>
      <c r="AP639" s="76"/>
      <c r="AQ639" s="76"/>
      <c r="AR639" s="76"/>
      <c r="AS639" s="76"/>
      <c r="AT639" s="76"/>
      <c r="AU639" s="76"/>
      <c r="AV639" s="76"/>
      <c r="AW639" s="76"/>
      <c r="AX639" s="76"/>
      <c r="AY639" s="76"/>
      <c r="AZ639" s="76"/>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row>
    <row r="640" spans="2:8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366"/>
      <c r="AP640" s="76"/>
      <c r="AQ640" s="76"/>
      <c r="AR640" s="76"/>
      <c r="AS640" s="76"/>
      <c r="AT640" s="76"/>
      <c r="AU640" s="76"/>
      <c r="AV640" s="76"/>
      <c r="AW640" s="76"/>
      <c r="AX640" s="76"/>
      <c r="AY640" s="76"/>
      <c r="AZ640" s="76"/>
      <c r="BA640" s="76"/>
      <c r="BB640" s="76"/>
      <c r="BC640" s="76"/>
      <c r="BD640" s="76"/>
      <c r="BE640" s="76"/>
      <c r="BF640" s="76"/>
      <c r="BG640" s="76"/>
      <c r="BH640" s="76"/>
      <c r="BI640" s="76"/>
      <c r="BJ640" s="76"/>
      <c r="BK640" s="76"/>
      <c r="BL640" s="76"/>
      <c r="BM640" s="76"/>
      <c r="BN640" s="76"/>
      <c r="BO640" s="76"/>
      <c r="BP640" s="76"/>
      <c r="BQ640" s="76"/>
      <c r="BR640" s="76"/>
      <c r="BS640" s="76"/>
      <c r="BT640" s="76"/>
      <c r="BU640" s="76"/>
      <c r="BV640" s="76"/>
      <c r="BW640" s="76"/>
      <c r="BX640" s="76"/>
      <c r="BY640" s="76"/>
      <c r="BZ640" s="76"/>
      <c r="CA640" s="76"/>
      <c r="CB640" s="76"/>
      <c r="CC640" s="76"/>
      <c r="CD640" s="76"/>
      <c r="CE640" s="76"/>
      <c r="CF640" s="76"/>
      <c r="CG640" s="76"/>
      <c r="CH640" s="76"/>
    </row>
    <row r="641" spans="2:8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366"/>
      <c r="AP641" s="76"/>
      <c r="AQ641" s="76"/>
      <c r="AR641" s="76"/>
      <c r="AS641" s="76"/>
      <c r="AT641" s="76"/>
      <c r="AU641" s="76"/>
      <c r="AV641" s="76"/>
      <c r="AW641" s="76"/>
      <c r="AX641" s="76"/>
      <c r="AY641" s="76"/>
      <c r="AZ641" s="76"/>
      <c r="BA641" s="76"/>
      <c r="BB641" s="76"/>
      <c r="BC641" s="76"/>
      <c r="BD641" s="76"/>
      <c r="BE641" s="76"/>
      <c r="BF641" s="76"/>
      <c r="BG641" s="76"/>
      <c r="BH641" s="76"/>
      <c r="BI641" s="76"/>
      <c r="BJ641" s="76"/>
      <c r="BK641" s="76"/>
      <c r="BL641" s="7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row>
    <row r="642" spans="2:8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366"/>
      <c r="AP642" s="76"/>
      <c r="AQ642" s="76"/>
      <c r="AR642" s="76"/>
      <c r="AS642" s="76"/>
      <c r="AT642" s="76"/>
      <c r="AU642" s="76"/>
      <c r="AV642" s="76"/>
      <c r="AW642" s="76"/>
      <c r="AX642" s="76"/>
      <c r="AY642" s="76"/>
      <c r="AZ642" s="76"/>
      <c r="BA642" s="76"/>
      <c r="BB642" s="76"/>
      <c r="BC642" s="76"/>
      <c r="BD642" s="76"/>
      <c r="BE642" s="76"/>
      <c r="BF642" s="76"/>
      <c r="BG642" s="76"/>
      <c r="BH642" s="76"/>
      <c r="BI642" s="76"/>
      <c r="BJ642" s="76"/>
      <c r="BK642" s="76"/>
      <c r="BL642" s="76"/>
      <c r="BM642" s="76"/>
      <c r="BN642" s="76"/>
      <c r="BO642" s="76"/>
      <c r="BP642" s="76"/>
      <c r="BQ642" s="76"/>
      <c r="BR642" s="76"/>
      <c r="BS642" s="76"/>
      <c r="BT642" s="76"/>
      <c r="BU642" s="76"/>
      <c r="BV642" s="76"/>
      <c r="BW642" s="76"/>
      <c r="BX642" s="76"/>
      <c r="BY642" s="76"/>
      <c r="BZ642" s="76"/>
      <c r="CA642" s="76"/>
      <c r="CB642" s="76"/>
      <c r="CC642" s="76"/>
      <c r="CD642" s="76"/>
      <c r="CE642" s="76"/>
      <c r="CF642" s="76"/>
      <c r="CG642" s="76"/>
      <c r="CH642" s="76"/>
    </row>
    <row r="643" spans="2:8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366"/>
      <c r="AP643" s="76"/>
      <c r="AQ643" s="76"/>
      <c r="AR643" s="76"/>
      <c r="AS643" s="76"/>
      <c r="AT643" s="76"/>
      <c r="AU643" s="76"/>
      <c r="AV643" s="76"/>
      <c r="AW643" s="76"/>
      <c r="AX643" s="76"/>
      <c r="AY643" s="76"/>
      <c r="AZ643" s="76"/>
      <c r="BA643" s="76"/>
      <c r="BB643" s="76"/>
      <c r="BC643" s="76"/>
      <c r="BD643" s="76"/>
      <c r="BE643" s="76"/>
      <c r="BF643" s="76"/>
      <c r="BG643" s="76"/>
      <c r="BH643" s="76"/>
      <c r="BI643" s="76"/>
      <c r="BJ643" s="76"/>
      <c r="BK643" s="76"/>
      <c r="BL643" s="76"/>
      <c r="BM643" s="76"/>
      <c r="BN643" s="76"/>
      <c r="BO643" s="76"/>
      <c r="BP643" s="76"/>
      <c r="BQ643" s="76"/>
      <c r="BR643" s="76"/>
      <c r="BS643" s="76"/>
      <c r="BT643" s="76"/>
      <c r="BU643" s="76"/>
      <c r="BV643" s="76"/>
      <c r="BW643" s="76"/>
      <c r="BX643" s="76"/>
      <c r="BY643" s="76"/>
      <c r="BZ643" s="76"/>
      <c r="CA643" s="76"/>
      <c r="CB643" s="76"/>
      <c r="CC643" s="76"/>
      <c r="CD643" s="76"/>
      <c r="CE643" s="76"/>
      <c r="CF643" s="76"/>
      <c r="CG643" s="76"/>
      <c r="CH643" s="76"/>
    </row>
    <row r="644" spans="2:8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366"/>
      <c r="AP644" s="76"/>
      <c r="AQ644" s="76"/>
      <c r="AR644" s="76"/>
      <c r="AS644" s="76"/>
      <c r="AT644" s="76"/>
      <c r="AU644" s="76"/>
      <c r="AV644" s="76"/>
      <c r="AW644" s="76"/>
      <c r="AX644" s="76"/>
      <c r="AY644" s="76"/>
      <c r="AZ644" s="76"/>
      <c r="BA644" s="76"/>
      <c r="BB644" s="76"/>
      <c r="BC644" s="76"/>
      <c r="BD644" s="76"/>
      <c r="BE644" s="76"/>
      <c r="BF644" s="76"/>
      <c r="BG644" s="76"/>
      <c r="BH644" s="76"/>
      <c r="BI644" s="76"/>
      <c r="BJ644" s="76"/>
      <c r="BK644" s="76"/>
      <c r="BL644" s="76"/>
      <c r="BM644" s="76"/>
      <c r="BN644" s="76"/>
      <c r="BO644" s="76"/>
      <c r="BP644" s="76"/>
      <c r="BQ644" s="76"/>
      <c r="BR644" s="76"/>
      <c r="BS644" s="76"/>
      <c r="BT644" s="76"/>
      <c r="BU644" s="76"/>
      <c r="BV644" s="76"/>
      <c r="BW644" s="76"/>
      <c r="BX644" s="76"/>
      <c r="BY644" s="76"/>
      <c r="BZ644" s="76"/>
      <c r="CA644" s="76"/>
      <c r="CB644" s="76"/>
      <c r="CC644" s="76"/>
      <c r="CD644" s="76"/>
      <c r="CE644" s="76"/>
      <c r="CF644" s="76"/>
      <c r="CG644" s="76"/>
      <c r="CH644" s="76"/>
    </row>
    <row r="645" spans="2:8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366"/>
      <c r="AP645" s="76"/>
      <c r="AQ645" s="76"/>
      <c r="AR645" s="76"/>
      <c r="AS645" s="76"/>
      <c r="AT645" s="76"/>
      <c r="AU645" s="76"/>
      <c r="AV645" s="76"/>
      <c r="AW645" s="76"/>
      <c r="AX645" s="76"/>
      <c r="AY645" s="76"/>
      <c r="AZ645" s="76"/>
      <c r="BA645" s="76"/>
      <c r="BB645" s="76"/>
      <c r="BC645" s="76"/>
      <c r="BD645" s="76"/>
      <c r="BE645" s="76"/>
      <c r="BF645" s="76"/>
      <c r="BG645" s="76"/>
      <c r="BH645" s="76"/>
      <c r="BI645" s="76"/>
      <c r="BJ645" s="76"/>
      <c r="BK645" s="76"/>
      <c r="BL645" s="76"/>
      <c r="BM645" s="76"/>
      <c r="BN645" s="76"/>
      <c r="BO645" s="76"/>
      <c r="BP645" s="76"/>
      <c r="BQ645" s="76"/>
      <c r="BR645" s="76"/>
      <c r="BS645" s="76"/>
      <c r="BT645" s="76"/>
      <c r="BU645" s="76"/>
      <c r="BV645" s="76"/>
      <c r="BW645" s="76"/>
      <c r="BX645" s="76"/>
      <c r="BY645" s="76"/>
      <c r="BZ645" s="76"/>
      <c r="CA645" s="76"/>
      <c r="CB645" s="76"/>
      <c r="CC645" s="76"/>
      <c r="CD645" s="76"/>
      <c r="CE645" s="76"/>
      <c r="CF645" s="76"/>
      <c r="CG645" s="76"/>
      <c r="CH645" s="76"/>
    </row>
    <row r="646" spans="2:8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366"/>
      <c r="AP646" s="76"/>
      <c r="AQ646" s="76"/>
      <c r="AR646" s="76"/>
      <c r="AS646" s="76"/>
      <c r="AT646" s="76"/>
      <c r="AU646" s="76"/>
      <c r="AV646" s="76"/>
      <c r="AW646" s="76"/>
      <c r="AX646" s="76"/>
      <c r="AY646" s="76"/>
      <c r="AZ646" s="76"/>
      <c r="BA646" s="76"/>
      <c r="BB646" s="76"/>
      <c r="BC646" s="76"/>
      <c r="BD646" s="76"/>
      <c r="BE646" s="76"/>
      <c r="BF646" s="76"/>
      <c r="BG646" s="76"/>
      <c r="BH646" s="76"/>
      <c r="BI646" s="76"/>
      <c r="BJ646" s="76"/>
      <c r="BK646" s="76"/>
      <c r="BL646" s="76"/>
      <c r="BM646" s="76"/>
      <c r="BN646" s="76"/>
      <c r="BO646" s="76"/>
      <c r="BP646" s="76"/>
      <c r="BQ646" s="76"/>
      <c r="BR646" s="76"/>
      <c r="BS646" s="76"/>
      <c r="BT646" s="76"/>
      <c r="BU646" s="76"/>
      <c r="BV646" s="76"/>
      <c r="BW646" s="76"/>
      <c r="BX646" s="76"/>
      <c r="BY646" s="76"/>
      <c r="BZ646" s="76"/>
      <c r="CA646" s="76"/>
      <c r="CB646" s="76"/>
      <c r="CC646" s="76"/>
      <c r="CD646" s="76"/>
      <c r="CE646" s="76"/>
      <c r="CF646" s="76"/>
      <c r="CG646" s="76"/>
      <c r="CH646" s="76"/>
    </row>
    <row r="647" spans="2:8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366"/>
      <c r="AP647" s="76"/>
      <c r="AQ647" s="76"/>
      <c r="AR647" s="76"/>
      <c r="AS647" s="76"/>
      <c r="AT647" s="76"/>
      <c r="AU647" s="76"/>
      <c r="AV647" s="76"/>
      <c r="AW647" s="76"/>
      <c r="AX647" s="76"/>
      <c r="AY647" s="76"/>
      <c r="AZ647" s="76"/>
      <c r="BA647" s="76"/>
      <c r="BB647" s="76"/>
      <c r="BC647" s="76"/>
      <c r="BD647" s="76"/>
      <c r="BE647" s="76"/>
      <c r="BF647" s="76"/>
      <c r="BG647" s="76"/>
      <c r="BH647" s="76"/>
      <c r="BI647" s="76"/>
      <c r="BJ647" s="76"/>
      <c r="BK647" s="76"/>
      <c r="BL647" s="76"/>
      <c r="BM647" s="76"/>
      <c r="BN647" s="76"/>
      <c r="BO647" s="76"/>
      <c r="BP647" s="76"/>
      <c r="BQ647" s="76"/>
      <c r="BR647" s="76"/>
      <c r="BS647" s="76"/>
      <c r="BT647" s="76"/>
      <c r="BU647" s="76"/>
      <c r="BV647" s="76"/>
      <c r="BW647" s="76"/>
      <c r="BX647" s="76"/>
      <c r="BY647" s="76"/>
      <c r="BZ647" s="76"/>
      <c r="CA647" s="76"/>
      <c r="CB647" s="76"/>
      <c r="CC647" s="76"/>
      <c r="CD647" s="76"/>
      <c r="CE647" s="76"/>
      <c r="CF647" s="76"/>
      <c r="CG647" s="76"/>
      <c r="CH647" s="76"/>
    </row>
    <row r="648" spans="2:8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366"/>
      <c r="AP648" s="76"/>
      <c r="AQ648" s="76"/>
      <c r="AR648" s="76"/>
      <c r="AS648" s="76"/>
      <c r="AT648" s="76"/>
      <c r="AU648" s="76"/>
      <c r="AV648" s="76"/>
      <c r="AW648" s="76"/>
      <c r="AX648" s="76"/>
      <c r="AY648" s="76"/>
      <c r="AZ648" s="76"/>
      <c r="BA648" s="76"/>
      <c r="BB648" s="76"/>
      <c r="BC648" s="76"/>
      <c r="BD648" s="76"/>
      <c r="BE648" s="76"/>
      <c r="BF648" s="76"/>
      <c r="BG648" s="76"/>
      <c r="BH648" s="76"/>
      <c r="BI648" s="76"/>
      <c r="BJ648" s="76"/>
      <c r="BK648" s="76"/>
      <c r="BL648" s="76"/>
      <c r="BM648" s="76"/>
      <c r="BN648" s="76"/>
      <c r="BO648" s="76"/>
      <c r="BP648" s="76"/>
      <c r="BQ648" s="76"/>
      <c r="BR648" s="76"/>
      <c r="BS648" s="76"/>
      <c r="BT648" s="76"/>
      <c r="BU648" s="76"/>
      <c r="BV648" s="76"/>
      <c r="BW648" s="76"/>
      <c r="BX648" s="76"/>
      <c r="BY648" s="76"/>
      <c r="BZ648" s="76"/>
      <c r="CA648" s="76"/>
      <c r="CB648" s="76"/>
      <c r="CC648" s="76"/>
      <c r="CD648" s="76"/>
      <c r="CE648" s="76"/>
      <c r="CF648" s="76"/>
      <c r="CG648" s="76"/>
      <c r="CH648" s="76"/>
    </row>
    <row r="649" spans="2:8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366"/>
      <c r="AP649" s="76"/>
      <c r="AQ649" s="76"/>
      <c r="AR649" s="76"/>
      <c r="AS649" s="76"/>
      <c r="AT649" s="76"/>
      <c r="AU649" s="76"/>
      <c r="AV649" s="76"/>
      <c r="AW649" s="76"/>
      <c r="AX649" s="76"/>
      <c r="AY649" s="76"/>
      <c r="AZ649" s="76"/>
      <c r="BA649" s="76"/>
      <c r="BB649" s="76"/>
      <c r="BC649" s="76"/>
      <c r="BD649" s="76"/>
      <c r="BE649" s="76"/>
      <c r="BF649" s="76"/>
      <c r="BG649" s="76"/>
      <c r="BH649" s="76"/>
      <c r="BI649" s="76"/>
      <c r="BJ649" s="76"/>
      <c r="BK649" s="76"/>
      <c r="BL649" s="76"/>
      <c r="BM649" s="76"/>
      <c r="BN649" s="76"/>
      <c r="BO649" s="76"/>
      <c r="BP649" s="76"/>
      <c r="BQ649" s="76"/>
      <c r="BR649" s="76"/>
      <c r="BS649" s="76"/>
      <c r="BT649" s="76"/>
      <c r="BU649" s="76"/>
      <c r="BV649" s="76"/>
      <c r="BW649" s="76"/>
      <c r="BX649" s="76"/>
      <c r="BY649" s="76"/>
      <c r="BZ649" s="76"/>
      <c r="CA649" s="76"/>
      <c r="CB649" s="76"/>
      <c r="CC649" s="76"/>
      <c r="CD649" s="76"/>
      <c r="CE649" s="76"/>
      <c r="CF649" s="76"/>
      <c r="CG649" s="76"/>
      <c r="CH649" s="76"/>
    </row>
    <row r="650" spans="2:8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366"/>
      <c r="AP650" s="76"/>
      <c r="AQ650" s="76"/>
      <c r="AR650" s="76"/>
      <c r="AS650" s="76"/>
      <c r="AT650" s="76"/>
      <c r="AU650" s="76"/>
      <c r="AV650" s="76"/>
      <c r="AW650" s="76"/>
      <c r="AX650" s="76"/>
      <c r="AY650" s="76"/>
      <c r="AZ650" s="76"/>
      <c r="BA650" s="76"/>
      <c r="BB650" s="76"/>
      <c r="BC650" s="76"/>
      <c r="BD650" s="76"/>
      <c r="BE650" s="76"/>
      <c r="BF650" s="76"/>
      <c r="BG650" s="76"/>
      <c r="BH650" s="76"/>
      <c r="BI650" s="76"/>
      <c r="BJ650" s="76"/>
      <c r="BK650" s="76"/>
      <c r="BL650" s="76"/>
      <c r="BM650" s="76"/>
      <c r="BN650" s="76"/>
      <c r="BO650" s="76"/>
      <c r="BP650" s="76"/>
      <c r="BQ650" s="76"/>
      <c r="BR650" s="76"/>
      <c r="BS650" s="76"/>
      <c r="BT650" s="76"/>
      <c r="BU650" s="76"/>
      <c r="BV650" s="76"/>
      <c r="BW650" s="76"/>
      <c r="BX650" s="76"/>
      <c r="BY650" s="76"/>
      <c r="BZ650" s="76"/>
      <c r="CA650" s="76"/>
      <c r="CB650" s="76"/>
      <c r="CC650" s="76"/>
      <c r="CD650" s="76"/>
      <c r="CE650" s="76"/>
      <c r="CF650" s="76"/>
      <c r="CG650" s="76"/>
      <c r="CH650" s="76"/>
    </row>
    <row r="651" spans="2:8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366"/>
      <c r="AP651" s="76"/>
      <c r="AQ651" s="76"/>
      <c r="AR651" s="76"/>
      <c r="AS651" s="76"/>
      <c r="AT651" s="76"/>
      <c r="AU651" s="76"/>
      <c r="AV651" s="76"/>
      <c r="AW651" s="76"/>
      <c r="AX651" s="76"/>
      <c r="AY651" s="76"/>
      <c r="AZ651" s="76"/>
      <c r="BA651" s="76"/>
      <c r="BB651" s="76"/>
      <c r="BC651" s="76"/>
      <c r="BD651" s="76"/>
      <c r="BE651" s="76"/>
      <c r="BF651" s="76"/>
      <c r="BG651" s="76"/>
      <c r="BH651" s="76"/>
      <c r="BI651" s="76"/>
      <c r="BJ651" s="76"/>
      <c r="BK651" s="76"/>
      <c r="BL651" s="76"/>
      <c r="BM651" s="76"/>
      <c r="BN651" s="76"/>
      <c r="BO651" s="76"/>
      <c r="BP651" s="76"/>
      <c r="BQ651" s="76"/>
      <c r="BR651" s="76"/>
      <c r="BS651" s="76"/>
      <c r="BT651" s="76"/>
      <c r="BU651" s="76"/>
      <c r="BV651" s="76"/>
      <c r="BW651" s="76"/>
      <c r="BX651" s="76"/>
      <c r="BY651" s="76"/>
      <c r="BZ651" s="76"/>
      <c r="CA651" s="76"/>
      <c r="CB651" s="76"/>
      <c r="CC651" s="76"/>
      <c r="CD651" s="76"/>
      <c r="CE651" s="76"/>
      <c r="CF651" s="76"/>
      <c r="CG651" s="76"/>
      <c r="CH651" s="76"/>
    </row>
    <row r="652" spans="2:8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366"/>
      <c r="AP652" s="76"/>
      <c r="AQ652" s="76"/>
      <c r="AR652" s="76"/>
      <c r="AS652" s="76"/>
      <c r="AT652" s="76"/>
      <c r="AU652" s="76"/>
      <c r="AV652" s="76"/>
      <c r="AW652" s="76"/>
      <c r="AX652" s="76"/>
      <c r="AY652" s="76"/>
      <c r="AZ652" s="76"/>
      <c r="BA652" s="76"/>
      <c r="BB652" s="76"/>
      <c r="BC652" s="76"/>
      <c r="BD652" s="76"/>
      <c r="BE652" s="76"/>
      <c r="BF652" s="76"/>
      <c r="BG652" s="76"/>
      <c r="BH652" s="76"/>
      <c r="BI652" s="76"/>
      <c r="BJ652" s="76"/>
      <c r="BK652" s="76"/>
      <c r="BL652" s="76"/>
      <c r="BM652" s="76"/>
      <c r="BN652" s="76"/>
      <c r="BO652" s="76"/>
      <c r="BP652" s="76"/>
      <c r="BQ652" s="76"/>
      <c r="BR652" s="76"/>
      <c r="BS652" s="76"/>
      <c r="BT652" s="76"/>
      <c r="BU652" s="76"/>
      <c r="BV652" s="76"/>
      <c r="BW652" s="76"/>
      <c r="BX652" s="76"/>
      <c r="BY652" s="76"/>
      <c r="BZ652" s="76"/>
      <c r="CA652" s="76"/>
      <c r="CB652" s="76"/>
      <c r="CC652" s="76"/>
      <c r="CD652" s="76"/>
      <c r="CE652" s="76"/>
      <c r="CF652" s="76"/>
      <c r="CG652" s="76"/>
      <c r="CH652" s="76"/>
    </row>
    <row r="653" spans="2:8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366"/>
      <c r="AP653" s="76"/>
      <c r="AQ653" s="76"/>
      <c r="AR653" s="76"/>
      <c r="AS653" s="76"/>
      <c r="AT653" s="76"/>
      <c r="AU653" s="76"/>
      <c r="AV653" s="76"/>
      <c r="AW653" s="76"/>
      <c r="AX653" s="76"/>
      <c r="AY653" s="76"/>
      <c r="AZ653" s="76"/>
      <c r="BA653" s="76"/>
      <c r="BB653" s="76"/>
      <c r="BC653" s="76"/>
      <c r="BD653" s="76"/>
      <c r="BE653" s="76"/>
      <c r="BF653" s="76"/>
      <c r="BG653" s="76"/>
      <c r="BH653" s="76"/>
      <c r="BI653" s="76"/>
      <c r="BJ653" s="76"/>
      <c r="BK653" s="76"/>
      <c r="BL653" s="76"/>
      <c r="BM653" s="76"/>
      <c r="BN653" s="76"/>
      <c r="BO653" s="76"/>
      <c r="BP653" s="76"/>
      <c r="BQ653" s="76"/>
      <c r="BR653" s="76"/>
      <c r="BS653" s="76"/>
      <c r="BT653" s="76"/>
      <c r="BU653" s="76"/>
      <c r="BV653" s="76"/>
      <c r="BW653" s="76"/>
      <c r="BX653" s="76"/>
      <c r="BY653" s="76"/>
      <c r="BZ653" s="76"/>
      <c r="CA653" s="76"/>
      <c r="CB653" s="76"/>
      <c r="CC653" s="76"/>
      <c r="CD653" s="76"/>
      <c r="CE653" s="76"/>
      <c r="CF653" s="76"/>
      <c r="CG653" s="76"/>
      <c r="CH653" s="76"/>
    </row>
    <row r="654" spans="2:8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366"/>
      <c r="AP654" s="76"/>
      <c r="AQ654" s="76"/>
      <c r="AR654" s="76"/>
      <c r="AS654" s="76"/>
      <c r="AT654" s="76"/>
      <c r="AU654" s="76"/>
      <c r="AV654" s="76"/>
      <c r="AW654" s="76"/>
      <c r="AX654" s="76"/>
      <c r="AY654" s="76"/>
      <c r="AZ654" s="76"/>
      <c r="BA654" s="76"/>
      <c r="BB654" s="76"/>
      <c r="BC654" s="76"/>
      <c r="BD654" s="76"/>
      <c r="BE654" s="76"/>
      <c r="BF654" s="76"/>
      <c r="BG654" s="76"/>
      <c r="BH654" s="76"/>
      <c r="BI654" s="76"/>
      <c r="BJ654" s="76"/>
      <c r="BK654" s="76"/>
      <c r="BL654" s="76"/>
      <c r="BM654" s="76"/>
      <c r="BN654" s="76"/>
      <c r="BO654" s="76"/>
      <c r="BP654" s="76"/>
      <c r="BQ654" s="76"/>
      <c r="BR654" s="76"/>
      <c r="BS654" s="76"/>
      <c r="BT654" s="76"/>
      <c r="BU654" s="76"/>
      <c r="BV654" s="76"/>
      <c r="BW654" s="76"/>
      <c r="BX654" s="76"/>
      <c r="BY654" s="76"/>
      <c r="BZ654" s="76"/>
      <c r="CA654" s="76"/>
      <c r="CB654" s="76"/>
      <c r="CC654" s="76"/>
      <c r="CD654" s="76"/>
      <c r="CE654" s="76"/>
      <c r="CF654" s="76"/>
      <c r="CG654" s="76"/>
      <c r="CH654" s="76"/>
    </row>
    <row r="655" spans="2:8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366"/>
      <c r="AP655" s="76"/>
      <c r="AQ655" s="76"/>
      <c r="AR655" s="76"/>
      <c r="AS655" s="76"/>
      <c r="AT655" s="76"/>
      <c r="AU655" s="76"/>
      <c r="AV655" s="76"/>
      <c r="AW655" s="76"/>
      <c r="AX655" s="76"/>
      <c r="AY655" s="76"/>
      <c r="AZ655" s="76"/>
      <c r="BA655" s="76"/>
      <c r="BB655" s="76"/>
      <c r="BC655" s="76"/>
      <c r="BD655" s="76"/>
      <c r="BE655" s="76"/>
      <c r="BF655" s="76"/>
      <c r="BG655" s="76"/>
      <c r="BH655" s="76"/>
      <c r="BI655" s="76"/>
      <c r="BJ655" s="76"/>
      <c r="BK655" s="76"/>
      <c r="BL655" s="76"/>
      <c r="BM655" s="76"/>
      <c r="BN655" s="76"/>
      <c r="BO655" s="76"/>
      <c r="BP655" s="76"/>
      <c r="BQ655" s="76"/>
      <c r="BR655" s="76"/>
      <c r="BS655" s="76"/>
      <c r="BT655" s="76"/>
      <c r="BU655" s="76"/>
      <c r="BV655" s="76"/>
      <c r="BW655" s="76"/>
      <c r="BX655" s="76"/>
      <c r="BY655" s="76"/>
      <c r="BZ655" s="76"/>
      <c r="CA655" s="76"/>
      <c r="CB655" s="76"/>
      <c r="CC655" s="76"/>
      <c r="CD655" s="76"/>
      <c r="CE655" s="76"/>
      <c r="CF655" s="76"/>
      <c r="CG655" s="76"/>
      <c r="CH655" s="76"/>
    </row>
    <row r="656" spans="2:8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366"/>
      <c r="AP656" s="76"/>
      <c r="AQ656" s="76"/>
      <c r="AR656" s="76"/>
      <c r="AS656" s="76"/>
      <c r="AT656" s="76"/>
      <c r="AU656" s="76"/>
      <c r="AV656" s="76"/>
      <c r="AW656" s="76"/>
      <c r="AX656" s="76"/>
      <c r="AY656" s="76"/>
      <c r="AZ656" s="76"/>
      <c r="BA656" s="76"/>
      <c r="BB656" s="76"/>
      <c r="BC656" s="76"/>
      <c r="BD656" s="76"/>
      <c r="BE656" s="76"/>
      <c r="BF656" s="76"/>
      <c r="BG656" s="76"/>
      <c r="BH656" s="76"/>
      <c r="BI656" s="76"/>
      <c r="BJ656" s="76"/>
      <c r="BK656" s="76"/>
      <c r="BL656" s="76"/>
      <c r="BM656" s="76"/>
      <c r="BN656" s="76"/>
      <c r="BO656" s="76"/>
      <c r="BP656" s="76"/>
      <c r="BQ656" s="76"/>
      <c r="BR656" s="76"/>
      <c r="BS656" s="76"/>
      <c r="BT656" s="76"/>
      <c r="BU656" s="76"/>
      <c r="BV656" s="76"/>
      <c r="BW656" s="76"/>
      <c r="BX656" s="76"/>
      <c r="BY656" s="76"/>
      <c r="BZ656" s="76"/>
      <c r="CA656" s="76"/>
      <c r="CB656" s="76"/>
      <c r="CC656" s="76"/>
      <c r="CD656" s="76"/>
      <c r="CE656" s="76"/>
      <c r="CF656" s="76"/>
      <c r="CG656" s="76"/>
      <c r="CH656" s="76"/>
    </row>
    <row r="657" spans="2:8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366"/>
      <c r="AP657" s="76"/>
      <c r="AQ657" s="76"/>
      <c r="AR657" s="76"/>
      <c r="AS657" s="76"/>
      <c r="AT657" s="76"/>
      <c r="AU657" s="76"/>
      <c r="AV657" s="76"/>
      <c r="AW657" s="76"/>
      <c r="AX657" s="76"/>
      <c r="AY657" s="76"/>
      <c r="AZ657" s="76"/>
      <c r="BA657" s="76"/>
      <c r="BB657" s="76"/>
      <c r="BC657" s="76"/>
      <c r="BD657" s="76"/>
      <c r="BE657" s="76"/>
      <c r="BF657" s="76"/>
      <c r="BG657" s="76"/>
      <c r="BH657" s="76"/>
      <c r="BI657" s="76"/>
      <c r="BJ657" s="76"/>
      <c r="BK657" s="76"/>
      <c r="BL657" s="76"/>
      <c r="BM657" s="76"/>
      <c r="BN657" s="76"/>
      <c r="BO657" s="76"/>
      <c r="BP657" s="76"/>
      <c r="BQ657" s="76"/>
      <c r="BR657" s="76"/>
      <c r="BS657" s="76"/>
      <c r="BT657" s="76"/>
      <c r="BU657" s="76"/>
      <c r="BV657" s="76"/>
      <c r="BW657" s="76"/>
      <c r="BX657" s="76"/>
      <c r="BY657" s="76"/>
      <c r="BZ657" s="76"/>
      <c r="CA657" s="76"/>
      <c r="CB657" s="76"/>
      <c r="CC657" s="76"/>
      <c r="CD657" s="76"/>
      <c r="CE657" s="76"/>
      <c r="CF657" s="76"/>
      <c r="CG657" s="76"/>
      <c r="CH657" s="76"/>
    </row>
    <row r="658" spans="2:8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366"/>
      <c r="AP658" s="76"/>
      <c r="AQ658" s="76"/>
      <c r="AR658" s="76"/>
      <c r="AS658" s="76"/>
      <c r="AT658" s="76"/>
      <c r="AU658" s="76"/>
      <c r="AV658" s="76"/>
      <c r="AW658" s="76"/>
      <c r="AX658" s="76"/>
      <c r="AY658" s="76"/>
      <c r="AZ658" s="76"/>
      <c r="BA658" s="76"/>
      <c r="BB658" s="76"/>
      <c r="BC658" s="76"/>
      <c r="BD658" s="76"/>
      <c r="BE658" s="76"/>
      <c r="BF658" s="76"/>
      <c r="BG658" s="76"/>
      <c r="BH658" s="76"/>
      <c r="BI658" s="76"/>
      <c r="BJ658" s="76"/>
      <c r="BK658" s="76"/>
      <c r="BL658" s="76"/>
      <c r="BM658" s="76"/>
      <c r="BN658" s="76"/>
      <c r="BO658" s="76"/>
      <c r="BP658" s="76"/>
      <c r="BQ658" s="76"/>
      <c r="BR658" s="76"/>
      <c r="BS658" s="76"/>
      <c r="BT658" s="76"/>
      <c r="BU658" s="76"/>
      <c r="BV658" s="76"/>
      <c r="BW658" s="76"/>
      <c r="BX658" s="76"/>
      <c r="BY658" s="76"/>
      <c r="BZ658" s="76"/>
      <c r="CA658" s="76"/>
      <c r="CB658" s="76"/>
      <c r="CC658" s="76"/>
      <c r="CD658" s="76"/>
      <c r="CE658" s="76"/>
      <c r="CF658" s="76"/>
      <c r="CG658" s="76"/>
      <c r="CH658" s="76"/>
    </row>
    <row r="659" spans="2:8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36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row>
    <row r="660" spans="2:8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366"/>
      <c r="AP660" s="76"/>
      <c r="AQ660" s="76"/>
      <c r="AR660" s="76"/>
      <c r="AS660" s="76"/>
      <c r="AT660" s="76"/>
      <c r="AU660" s="76"/>
      <c r="AV660" s="76"/>
      <c r="AW660" s="76"/>
      <c r="AX660" s="76"/>
      <c r="AY660" s="76"/>
      <c r="AZ660" s="76"/>
      <c r="BA660" s="76"/>
      <c r="BB660" s="76"/>
      <c r="BC660" s="76"/>
      <c r="BD660" s="76"/>
      <c r="BE660" s="76"/>
      <c r="BF660" s="76"/>
      <c r="BG660" s="76"/>
      <c r="BH660" s="76"/>
      <c r="BI660" s="76"/>
      <c r="BJ660" s="76"/>
      <c r="BK660" s="76"/>
      <c r="BL660" s="76"/>
      <c r="BM660" s="76"/>
      <c r="BN660" s="76"/>
      <c r="BO660" s="76"/>
      <c r="BP660" s="76"/>
      <c r="BQ660" s="76"/>
      <c r="BR660" s="76"/>
      <c r="BS660" s="76"/>
      <c r="BT660" s="76"/>
      <c r="BU660" s="76"/>
      <c r="BV660" s="76"/>
      <c r="BW660" s="76"/>
      <c r="BX660" s="76"/>
      <c r="BY660" s="76"/>
      <c r="BZ660" s="76"/>
      <c r="CA660" s="76"/>
      <c r="CB660" s="76"/>
      <c r="CC660" s="76"/>
      <c r="CD660" s="76"/>
      <c r="CE660" s="76"/>
      <c r="CF660" s="76"/>
      <c r="CG660" s="76"/>
      <c r="CH660" s="76"/>
    </row>
    <row r="661" spans="2:8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366"/>
      <c r="AP661" s="76"/>
      <c r="AQ661" s="76"/>
      <c r="AR661" s="76"/>
      <c r="AS661" s="76"/>
      <c r="AT661" s="76"/>
      <c r="AU661" s="76"/>
      <c r="AV661" s="76"/>
      <c r="AW661" s="76"/>
      <c r="AX661" s="76"/>
      <c r="AY661" s="76"/>
      <c r="AZ661" s="76"/>
      <c r="BA661" s="76"/>
      <c r="BB661" s="76"/>
      <c r="BC661" s="76"/>
      <c r="BD661" s="76"/>
      <c r="BE661" s="76"/>
      <c r="BF661" s="76"/>
      <c r="BG661" s="76"/>
      <c r="BH661" s="76"/>
      <c r="BI661" s="76"/>
      <c r="BJ661" s="76"/>
      <c r="BK661" s="76"/>
      <c r="BL661" s="76"/>
      <c r="BM661" s="76"/>
      <c r="BN661" s="76"/>
      <c r="BO661" s="76"/>
      <c r="BP661" s="76"/>
      <c r="BQ661" s="76"/>
      <c r="BR661" s="76"/>
      <c r="BS661" s="76"/>
      <c r="BT661" s="76"/>
      <c r="BU661" s="76"/>
      <c r="BV661" s="76"/>
      <c r="BW661" s="76"/>
      <c r="BX661" s="76"/>
      <c r="BY661" s="76"/>
      <c r="BZ661" s="76"/>
      <c r="CA661" s="76"/>
      <c r="CB661" s="76"/>
      <c r="CC661" s="76"/>
      <c r="CD661" s="76"/>
      <c r="CE661" s="76"/>
      <c r="CF661" s="76"/>
      <c r="CG661" s="76"/>
      <c r="CH661" s="76"/>
    </row>
    <row r="662" spans="2:8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366"/>
      <c r="AP662" s="76"/>
      <c r="AQ662" s="76"/>
      <c r="AR662" s="76"/>
      <c r="AS662" s="76"/>
      <c r="AT662" s="76"/>
      <c r="AU662" s="76"/>
      <c r="AV662" s="76"/>
      <c r="AW662" s="76"/>
      <c r="AX662" s="76"/>
      <c r="AY662" s="76"/>
      <c r="AZ662" s="76"/>
      <c r="BA662" s="76"/>
      <c r="BB662" s="76"/>
      <c r="BC662" s="76"/>
      <c r="BD662" s="76"/>
      <c r="BE662" s="76"/>
      <c r="BF662" s="76"/>
      <c r="BG662" s="76"/>
      <c r="BH662" s="76"/>
      <c r="BI662" s="76"/>
      <c r="BJ662" s="76"/>
      <c r="BK662" s="76"/>
      <c r="BL662" s="76"/>
      <c r="BM662" s="76"/>
      <c r="BN662" s="76"/>
      <c r="BO662" s="76"/>
      <c r="BP662" s="76"/>
      <c r="BQ662" s="76"/>
      <c r="BR662" s="76"/>
      <c r="BS662" s="76"/>
      <c r="BT662" s="76"/>
      <c r="BU662" s="76"/>
      <c r="BV662" s="76"/>
      <c r="BW662" s="76"/>
      <c r="BX662" s="76"/>
      <c r="BY662" s="76"/>
      <c r="BZ662" s="76"/>
      <c r="CA662" s="76"/>
      <c r="CB662" s="76"/>
      <c r="CC662" s="76"/>
      <c r="CD662" s="76"/>
      <c r="CE662" s="76"/>
      <c r="CF662" s="76"/>
      <c r="CG662" s="76"/>
      <c r="CH662" s="76"/>
    </row>
    <row r="663" spans="2:8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366"/>
      <c r="AP663" s="76"/>
      <c r="AQ663" s="76"/>
      <c r="AR663" s="76"/>
      <c r="AS663" s="76"/>
      <c r="AT663" s="76"/>
      <c r="AU663" s="76"/>
      <c r="AV663" s="76"/>
      <c r="AW663" s="76"/>
      <c r="AX663" s="76"/>
      <c r="AY663" s="76"/>
      <c r="AZ663" s="76"/>
      <c r="BA663" s="76"/>
      <c r="BB663" s="76"/>
      <c r="BC663" s="76"/>
      <c r="BD663" s="76"/>
      <c r="BE663" s="76"/>
      <c r="BF663" s="76"/>
      <c r="BG663" s="76"/>
      <c r="BH663" s="76"/>
      <c r="BI663" s="76"/>
      <c r="BJ663" s="76"/>
      <c r="BK663" s="76"/>
      <c r="BL663" s="76"/>
      <c r="BM663" s="76"/>
      <c r="BN663" s="76"/>
      <c r="BO663" s="76"/>
      <c r="BP663" s="76"/>
      <c r="BQ663" s="76"/>
      <c r="BR663" s="76"/>
      <c r="BS663" s="76"/>
      <c r="BT663" s="76"/>
      <c r="BU663" s="76"/>
      <c r="BV663" s="76"/>
      <c r="BW663" s="76"/>
      <c r="BX663" s="76"/>
      <c r="BY663" s="76"/>
      <c r="BZ663" s="76"/>
      <c r="CA663" s="76"/>
      <c r="CB663" s="76"/>
      <c r="CC663" s="76"/>
      <c r="CD663" s="76"/>
      <c r="CE663" s="76"/>
      <c r="CF663" s="76"/>
      <c r="CG663" s="76"/>
      <c r="CH663" s="76"/>
    </row>
    <row r="664" spans="2:8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366"/>
      <c r="AP664" s="76"/>
      <c r="AQ664" s="76"/>
      <c r="AR664" s="76"/>
      <c r="AS664" s="76"/>
      <c r="AT664" s="76"/>
      <c r="AU664" s="76"/>
      <c r="AV664" s="76"/>
      <c r="AW664" s="76"/>
      <c r="AX664" s="76"/>
      <c r="AY664" s="76"/>
      <c r="AZ664" s="76"/>
      <c r="BA664" s="76"/>
      <c r="BB664" s="76"/>
      <c r="BC664" s="76"/>
      <c r="BD664" s="76"/>
      <c r="BE664" s="76"/>
      <c r="BF664" s="76"/>
      <c r="BG664" s="76"/>
      <c r="BH664" s="76"/>
      <c r="BI664" s="76"/>
      <c r="BJ664" s="76"/>
      <c r="BK664" s="76"/>
      <c r="BL664" s="76"/>
      <c r="BM664" s="76"/>
      <c r="BN664" s="76"/>
      <c r="BO664" s="76"/>
      <c r="BP664" s="76"/>
      <c r="BQ664" s="76"/>
      <c r="BR664" s="76"/>
      <c r="BS664" s="76"/>
      <c r="BT664" s="76"/>
      <c r="BU664" s="76"/>
      <c r="BV664" s="76"/>
      <c r="BW664" s="76"/>
      <c r="BX664" s="76"/>
      <c r="BY664" s="76"/>
      <c r="BZ664" s="76"/>
      <c r="CA664" s="76"/>
      <c r="CB664" s="76"/>
      <c r="CC664" s="76"/>
      <c r="CD664" s="76"/>
      <c r="CE664" s="76"/>
      <c r="CF664" s="76"/>
      <c r="CG664" s="76"/>
      <c r="CH664" s="76"/>
    </row>
    <row r="665" spans="2:8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366"/>
      <c r="AP665" s="76"/>
      <c r="AQ665" s="76"/>
      <c r="AR665" s="76"/>
      <c r="AS665" s="76"/>
      <c r="AT665" s="76"/>
      <c r="AU665" s="76"/>
      <c r="AV665" s="76"/>
      <c r="AW665" s="76"/>
      <c r="AX665" s="76"/>
      <c r="AY665" s="76"/>
      <c r="AZ665" s="76"/>
      <c r="BA665" s="76"/>
      <c r="BB665" s="76"/>
      <c r="BC665" s="76"/>
      <c r="BD665" s="76"/>
      <c r="BE665" s="76"/>
      <c r="BF665" s="76"/>
      <c r="BG665" s="76"/>
      <c r="BH665" s="76"/>
      <c r="BI665" s="76"/>
      <c r="BJ665" s="76"/>
      <c r="BK665" s="76"/>
      <c r="BL665" s="76"/>
      <c r="BM665" s="76"/>
      <c r="BN665" s="76"/>
      <c r="BO665" s="76"/>
      <c r="BP665" s="76"/>
      <c r="BQ665" s="76"/>
      <c r="BR665" s="76"/>
      <c r="BS665" s="76"/>
      <c r="BT665" s="76"/>
      <c r="BU665" s="76"/>
      <c r="BV665" s="76"/>
      <c r="BW665" s="76"/>
      <c r="BX665" s="76"/>
      <c r="BY665" s="76"/>
      <c r="BZ665" s="76"/>
      <c r="CA665" s="76"/>
      <c r="CB665" s="76"/>
      <c r="CC665" s="76"/>
      <c r="CD665" s="76"/>
      <c r="CE665" s="76"/>
      <c r="CF665" s="76"/>
      <c r="CG665" s="76"/>
      <c r="CH665" s="76"/>
    </row>
    <row r="666" spans="2:8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366"/>
      <c r="AP666" s="76"/>
      <c r="AQ666" s="76"/>
      <c r="AR666" s="76"/>
      <c r="AS666" s="76"/>
      <c r="AT666" s="76"/>
      <c r="AU666" s="76"/>
      <c r="AV666" s="76"/>
      <c r="AW666" s="76"/>
      <c r="AX666" s="76"/>
      <c r="AY666" s="76"/>
      <c r="AZ666" s="76"/>
      <c r="BA666" s="76"/>
      <c r="BB666" s="76"/>
      <c r="BC666" s="76"/>
      <c r="BD666" s="76"/>
      <c r="BE666" s="76"/>
      <c r="BF666" s="76"/>
      <c r="BG666" s="76"/>
      <c r="BH666" s="76"/>
      <c r="BI666" s="76"/>
      <c r="BJ666" s="76"/>
      <c r="BK666" s="76"/>
      <c r="BL666" s="76"/>
      <c r="BM666" s="76"/>
      <c r="BN666" s="76"/>
      <c r="BO666" s="76"/>
      <c r="BP666" s="76"/>
      <c r="BQ666" s="76"/>
      <c r="BR666" s="76"/>
      <c r="BS666" s="76"/>
      <c r="BT666" s="76"/>
      <c r="BU666" s="76"/>
      <c r="BV666" s="76"/>
      <c r="BW666" s="76"/>
      <c r="BX666" s="76"/>
      <c r="BY666" s="76"/>
      <c r="BZ666" s="76"/>
      <c r="CA666" s="76"/>
      <c r="CB666" s="76"/>
      <c r="CC666" s="76"/>
      <c r="CD666" s="76"/>
      <c r="CE666" s="76"/>
      <c r="CF666" s="76"/>
      <c r="CG666" s="76"/>
      <c r="CH666" s="76"/>
    </row>
    <row r="667" spans="2:8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366"/>
      <c r="AP667" s="76"/>
      <c r="AQ667" s="76"/>
      <c r="AR667" s="76"/>
      <c r="AS667" s="76"/>
      <c r="AT667" s="76"/>
      <c r="AU667" s="76"/>
      <c r="AV667" s="76"/>
      <c r="AW667" s="76"/>
      <c r="AX667" s="76"/>
      <c r="AY667" s="76"/>
      <c r="AZ667" s="76"/>
      <c r="BA667" s="76"/>
      <c r="BB667" s="76"/>
      <c r="BC667" s="76"/>
      <c r="BD667" s="76"/>
      <c r="BE667" s="76"/>
      <c r="BF667" s="76"/>
      <c r="BG667" s="76"/>
      <c r="BH667" s="76"/>
      <c r="BI667" s="76"/>
      <c r="BJ667" s="76"/>
      <c r="BK667" s="76"/>
      <c r="BL667" s="76"/>
      <c r="BM667" s="76"/>
      <c r="BN667" s="76"/>
      <c r="BO667" s="76"/>
      <c r="BP667" s="76"/>
      <c r="BQ667" s="76"/>
      <c r="BR667" s="76"/>
      <c r="BS667" s="76"/>
      <c r="BT667" s="76"/>
      <c r="BU667" s="76"/>
      <c r="BV667" s="76"/>
      <c r="BW667" s="76"/>
      <c r="BX667" s="76"/>
      <c r="BY667" s="76"/>
      <c r="BZ667" s="76"/>
      <c r="CA667" s="76"/>
      <c r="CB667" s="76"/>
      <c r="CC667" s="76"/>
      <c r="CD667" s="76"/>
      <c r="CE667" s="76"/>
      <c r="CF667" s="76"/>
      <c r="CG667" s="76"/>
      <c r="CH667" s="76"/>
    </row>
    <row r="668" spans="2:8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366"/>
      <c r="AP668" s="76"/>
      <c r="AQ668" s="76"/>
      <c r="AR668" s="76"/>
      <c r="AS668" s="76"/>
      <c r="AT668" s="76"/>
      <c r="AU668" s="76"/>
      <c r="AV668" s="76"/>
      <c r="AW668" s="76"/>
      <c r="AX668" s="76"/>
      <c r="AY668" s="76"/>
      <c r="AZ668" s="76"/>
      <c r="BA668" s="76"/>
      <c r="BB668" s="76"/>
      <c r="BC668" s="76"/>
      <c r="BD668" s="76"/>
      <c r="BE668" s="76"/>
      <c r="BF668" s="76"/>
      <c r="BG668" s="76"/>
      <c r="BH668" s="76"/>
      <c r="BI668" s="76"/>
      <c r="BJ668" s="76"/>
      <c r="BK668" s="76"/>
      <c r="BL668" s="76"/>
      <c r="BM668" s="76"/>
      <c r="BN668" s="76"/>
      <c r="BO668" s="76"/>
      <c r="BP668" s="76"/>
      <c r="BQ668" s="76"/>
      <c r="BR668" s="76"/>
      <c r="BS668" s="76"/>
      <c r="BT668" s="76"/>
      <c r="BU668" s="76"/>
      <c r="BV668" s="76"/>
      <c r="BW668" s="76"/>
      <c r="BX668" s="76"/>
      <c r="BY668" s="76"/>
      <c r="BZ668" s="76"/>
      <c r="CA668" s="76"/>
      <c r="CB668" s="76"/>
      <c r="CC668" s="76"/>
      <c r="CD668" s="76"/>
      <c r="CE668" s="76"/>
      <c r="CF668" s="76"/>
      <c r="CG668" s="76"/>
      <c r="CH668" s="76"/>
    </row>
    <row r="669" spans="2:8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366"/>
      <c r="AP669" s="76"/>
      <c r="AQ669" s="76"/>
      <c r="AR669" s="76"/>
      <c r="AS669" s="76"/>
      <c r="AT669" s="76"/>
      <c r="AU669" s="76"/>
      <c r="AV669" s="76"/>
      <c r="AW669" s="76"/>
      <c r="AX669" s="76"/>
      <c r="AY669" s="76"/>
      <c r="AZ669" s="76"/>
      <c r="BA669" s="76"/>
      <c r="BB669" s="76"/>
      <c r="BC669" s="76"/>
      <c r="BD669" s="76"/>
      <c r="BE669" s="76"/>
      <c r="BF669" s="76"/>
      <c r="BG669" s="76"/>
      <c r="BH669" s="76"/>
      <c r="BI669" s="76"/>
      <c r="BJ669" s="76"/>
      <c r="BK669" s="76"/>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6"/>
      <c r="CH669" s="76"/>
    </row>
    <row r="670" spans="2:8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366"/>
      <c r="AP670" s="76"/>
      <c r="AQ670" s="76"/>
      <c r="AR670" s="76"/>
      <c r="AS670" s="76"/>
      <c r="AT670" s="76"/>
      <c r="AU670" s="76"/>
      <c r="AV670" s="76"/>
      <c r="AW670" s="76"/>
      <c r="AX670" s="76"/>
      <c r="AY670" s="76"/>
      <c r="AZ670" s="76"/>
      <c r="BA670" s="76"/>
      <c r="BB670" s="76"/>
      <c r="BC670" s="76"/>
      <c r="BD670" s="76"/>
      <c r="BE670" s="76"/>
      <c r="BF670" s="76"/>
      <c r="BG670" s="76"/>
      <c r="BH670" s="76"/>
      <c r="BI670" s="76"/>
      <c r="BJ670" s="76"/>
      <c r="BK670" s="76"/>
      <c r="BL670" s="76"/>
      <c r="BM670" s="76"/>
      <c r="BN670" s="76"/>
      <c r="BO670" s="76"/>
      <c r="BP670" s="76"/>
      <c r="BQ670" s="76"/>
      <c r="BR670" s="76"/>
      <c r="BS670" s="76"/>
      <c r="BT670" s="76"/>
      <c r="BU670" s="76"/>
      <c r="BV670" s="76"/>
      <c r="BW670" s="76"/>
      <c r="BX670" s="76"/>
      <c r="BY670" s="76"/>
      <c r="BZ670" s="76"/>
      <c r="CA670" s="76"/>
      <c r="CB670" s="76"/>
      <c r="CC670" s="76"/>
      <c r="CD670" s="76"/>
      <c r="CE670" s="76"/>
      <c r="CF670" s="76"/>
      <c r="CG670" s="76"/>
      <c r="CH670" s="76"/>
    </row>
    <row r="671" spans="2:8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366"/>
      <c r="AP671" s="76"/>
      <c r="AQ671" s="76"/>
      <c r="AR671" s="76"/>
      <c r="AS671" s="76"/>
      <c r="AT671" s="76"/>
      <c r="AU671" s="76"/>
      <c r="AV671" s="76"/>
      <c r="AW671" s="76"/>
      <c r="AX671" s="76"/>
      <c r="AY671" s="76"/>
      <c r="AZ671" s="76"/>
      <c r="BA671" s="76"/>
      <c r="BB671" s="76"/>
      <c r="BC671" s="76"/>
      <c r="BD671" s="76"/>
      <c r="BE671" s="76"/>
      <c r="BF671" s="76"/>
      <c r="BG671" s="76"/>
      <c r="BH671" s="76"/>
      <c r="BI671" s="76"/>
      <c r="BJ671" s="76"/>
      <c r="BK671" s="76"/>
      <c r="BL671" s="76"/>
      <c r="BM671" s="76"/>
      <c r="BN671" s="76"/>
      <c r="BO671" s="76"/>
      <c r="BP671" s="76"/>
      <c r="BQ671" s="76"/>
      <c r="BR671" s="76"/>
      <c r="BS671" s="76"/>
      <c r="BT671" s="76"/>
      <c r="BU671" s="76"/>
      <c r="BV671" s="76"/>
      <c r="BW671" s="76"/>
      <c r="BX671" s="76"/>
      <c r="BY671" s="76"/>
      <c r="BZ671" s="76"/>
      <c r="CA671" s="76"/>
      <c r="CB671" s="76"/>
      <c r="CC671" s="76"/>
      <c r="CD671" s="76"/>
      <c r="CE671" s="76"/>
      <c r="CF671" s="76"/>
      <c r="CG671" s="76"/>
      <c r="CH671" s="76"/>
    </row>
    <row r="672" spans="2:8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366"/>
      <c r="AP672" s="76"/>
      <c r="AQ672" s="76"/>
      <c r="AR672" s="76"/>
      <c r="AS672" s="76"/>
      <c r="AT672" s="76"/>
      <c r="AU672" s="76"/>
      <c r="AV672" s="76"/>
      <c r="AW672" s="76"/>
      <c r="AX672" s="76"/>
      <c r="AY672" s="76"/>
      <c r="AZ672" s="76"/>
      <c r="BA672" s="76"/>
      <c r="BB672" s="76"/>
      <c r="BC672" s="76"/>
      <c r="BD672" s="76"/>
      <c r="BE672" s="76"/>
      <c r="BF672" s="76"/>
      <c r="BG672" s="76"/>
      <c r="BH672" s="76"/>
      <c r="BI672" s="76"/>
      <c r="BJ672" s="76"/>
      <c r="BK672" s="76"/>
      <c r="BL672" s="76"/>
      <c r="BM672" s="76"/>
      <c r="BN672" s="76"/>
      <c r="BO672" s="76"/>
      <c r="BP672" s="76"/>
      <c r="BQ672" s="76"/>
      <c r="BR672" s="76"/>
      <c r="BS672" s="76"/>
      <c r="BT672" s="76"/>
      <c r="BU672" s="76"/>
      <c r="BV672" s="76"/>
      <c r="BW672" s="76"/>
      <c r="BX672" s="76"/>
      <c r="BY672" s="76"/>
      <c r="BZ672" s="76"/>
      <c r="CA672" s="76"/>
      <c r="CB672" s="76"/>
      <c r="CC672" s="76"/>
      <c r="CD672" s="76"/>
      <c r="CE672" s="76"/>
      <c r="CF672" s="76"/>
      <c r="CG672" s="76"/>
      <c r="CH672" s="76"/>
    </row>
    <row r="673" spans="2:8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366"/>
      <c r="AP673" s="76"/>
      <c r="AQ673" s="76"/>
      <c r="AR673" s="76"/>
      <c r="AS673" s="76"/>
      <c r="AT673" s="76"/>
      <c r="AU673" s="76"/>
      <c r="AV673" s="76"/>
      <c r="AW673" s="76"/>
      <c r="AX673" s="76"/>
      <c r="AY673" s="76"/>
      <c r="AZ673" s="76"/>
      <c r="BA673" s="76"/>
      <c r="BB673" s="76"/>
      <c r="BC673" s="76"/>
      <c r="BD673" s="76"/>
      <c r="BE673" s="76"/>
      <c r="BF673" s="76"/>
      <c r="BG673" s="76"/>
      <c r="BH673" s="76"/>
      <c r="BI673" s="76"/>
      <c r="BJ673" s="76"/>
      <c r="BK673" s="76"/>
      <c r="BL673" s="76"/>
      <c r="BM673" s="76"/>
      <c r="BN673" s="76"/>
      <c r="BO673" s="76"/>
      <c r="BP673" s="76"/>
      <c r="BQ673" s="76"/>
      <c r="BR673" s="76"/>
      <c r="BS673" s="76"/>
      <c r="BT673" s="76"/>
      <c r="BU673" s="76"/>
      <c r="BV673" s="76"/>
      <c r="BW673" s="76"/>
      <c r="BX673" s="76"/>
      <c r="BY673" s="76"/>
      <c r="BZ673" s="76"/>
      <c r="CA673" s="76"/>
      <c r="CB673" s="76"/>
      <c r="CC673" s="76"/>
      <c r="CD673" s="76"/>
      <c r="CE673" s="76"/>
      <c r="CF673" s="76"/>
      <c r="CG673" s="76"/>
      <c r="CH673" s="76"/>
    </row>
    <row r="674" spans="2:8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366"/>
      <c r="AP674" s="76"/>
      <c r="AQ674" s="76"/>
      <c r="AR674" s="76"/>
      <c r="AS674" s="76"/>
      <c r="AT674" s="76"/>
      <c r="AU674" s="76"/>
      <c r="AV674" s="76"/>
      <c r="AW674" s="76"/>
      <c r="AX674" s="76"/>
      <c r="AY674" s="76"/>
      <c r="AZ674" s="76"/>
      <c r="BA674" s="76"/>
      <c r="BB674" s="76"/>
      <c r="BC674" s="76"/>
      <c r="BD674" s="76"/>
      <c r="BE674" s="76"/>
      <c r="BF674" s="76"/>
      <c r="BG674" s="76"/>
      <c r="BH674" s="76"/>
      <c r="BI674" s="76"/>
      <c r="BJ674" s="76"/>
      <c r="BK674" s="76"/>
      <c r="BL674" s="76"/>
      <c r="BM674" s="76"/>
      <c r="BN674" s="76"/>
      <c r="BO674" s="76"/>
      <c r="BP674" s="76"/>
      <c r="BQ674" s="76"/>
      <c r="BR674" s="76"/>
      <c r="BS674" s="76"/>
      <c r="BT674" s="76"/>
      <c r="BU674" s="76"/>
      <c r="BV674" s="76"/>
      <c r="BW674" s="76"/>
      <c r="BX674" s="76"/>
      <c r="BY674" s="76"/>
      <c r="BZ674" s="76"/>
      <c r="CA674" s="76"/>
      <c r="CB674" s="76"/>
      <c r="CC674" s="76"/>
      <c r="CD674" s="76"/>
      <c r="CE674" s="76"/>
      <c r="CF674" s="76"/>
      <c r="CG674" s="76"/>
      <c r="CH674" s="76"/>
    </row>
    <row r="675" spans="2:8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366"/>
      <c r="AP675" s="76"/>
      <c r="AQ675" s="76"/>
      <c r="AR675" s="76"/>
      <c r="AS675" s="76"/>
      <c r="AT675" s="76"/>
      <c r="AU675" s="76"/>
      <c r="AV675" s="76"/>
      <c r="AW675" s="76"/>
      <c r="AX675" s="76"/>
      <c r="AY675" s="76"/>
      <c r="AZ675" s="76"/>
      <c r="BA675" s="76"/>
      <c r="BB675" s="76"/>
      <c r="BC675" s="76"/>
      <c r="BD675" s="76"/>
      <c r="BE675" s="76"/>
      <c r="BF675" s="76"/>
      <c r="BG675" s="76"/>
      <c r="BH675" s="76"/>
      <c r="BI675" s="76"/>
      <c r="BJ675" s="76"/>
      <c r="BK675" s="76"/>
      <c r="BL675" s="76"/>
      <c r="BM675" s="76"/>
      <c r="BN675" s="76"/>
      <c r="BO675" s="76"/>
      <c r="BP675" s="76"/>
      <c r="BQ675" s="76"/>
      <c r="BR675" s="76"/>
      <c r="BS675" s="76"/>
      <c r="BT675" s="76"/>
      <c r="BU675" s="76"/>
      <c r="BV675" s="76"/>
      <c r="BW675" s="76"/>
      <c r="BX675" s="76"/>
      <c r="BY675" s="76"/>
      <c r="BZ675" s="76"/>
      <c r="CA675" s="76"/>
      <c r="CB675" s="76"/>
      <c r="CC675" s="76"/>
      <c r="CD675" s="76"/>
      <c r="CE675" s="76"/>
      <c r="CF675" s="76"/>
      <c r="CG675" s="76"/>
      <c r="CH675" s="76"/>
    </row>
    <row r="676" spans="2:8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366"/>
      <c r="AP676" s="76"/>
      <c r="AQ676" s="76"/>
      <c r="AR676" s="76"/>
      <c r="AS676" s="76"/>
      <c r="AT676" s="76"/>
      <c r="AU676" s="76"/>
      <c r="AV676" s="76"/>
      <c r="AW676" s="76"/>
      <c r="AX676" s="76"/>
      <c r="AY676" s="76"/>
      <c r="AZ676" s="76"/>
      <c r="BA676" s="76"/>
      <c r="BB676" s="76"/>
      <c r="BC676" s="76"/>
      <c r="BD676" s="76"/>
      <c r="BE676" s="76"/>
      <c r="BF676" s="76"/>
      <c r="BG676" s="76"/>
      <c r="BH676" s="76"/>
      <c r="BI676" s="76"/>
      <c r="BJ676" s="76"/>
      <c r="BK676" s="76"/>
      <c r="BL676" s="76"/>
      <c r="BM676" s="76"/>
      <c r="BN676" s="76"/>
      <c r="BO676" s="76"/>
      <c r="BP676" s="76"/>
      <c r="BQ676" s="76"/>
      <c r="BR676" s="76"/>
      <c r="BS676" s="76"/>
      <c r="BT676" s="76"/>
      <c r="BU676" s="76"/>
      <c r="BV676" s="76"/>
      <c r="BW676" s="76"/>
      <c r="BX676" s="76"/>
      <c r="BY676" s="76"/>
      <c r="BZ676" s="76"/>
      <c r="CA676" s="76"/>
      <c r="CB676" s="76"/>
      <c r="CC676" s="76"/>
      <c r="CD676" s="76"/>
      <c r="CE676" s="76"/>
      <c r="CF676" s="76"/>
      <c r="CG676" s="76"/>
      <c r="CH676" s="76"/>
    </row>
    <row r="677" spans="2:8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366"/>
      <c r="AP677" s="76"/>
      <c r="AQ677" s="76"/>
      <c r="AR677" s="76"/>
      <c r="AS677" s="76"/>
      <c r="AT677" s="76"/>
      <c r="AU677" s="76"/>
      <c r="AV677" s="76"/>
      <c r="AW677" s="76"/>
      <c r="AX677" s="76"/>
      <c r="AY677" s="76"/>
      <c r="AZ677" s="76"/>
      <c r="BA677" s="76"/>
      <c r="BB677" s="76"/>
      <c r="BC677" s="76"/>
      <c r="BD677" s="76"/>
      <c r="BE677" s="76"/>
      <c r="BF677" s="76"/>
      <c r="BG677" s="76"/>
      <c r="BH677" s="76"/>
      <c r="BI677" s="76"/>
      <c r="BJ677" s="76"/>
      <c r="BK677" s="76"/>
      <c r="BL677" s="76"/>
      <c r="BM677" s="76"/>
      <c r="BN677" s="76"/>
      <c r="BO677" s="76"/>
      <c r="BP677" s="76"/>
      <c r="BQ677" s="76"/>
      <c r="BR677" s="76"/>
      <c r="BS677" s="76"/>
      <c r="BT677" s="76"/>
      <c r="BU677" s="76"/>
      <c r="BV677" s="76"/>
      <c r="BW677" s="76"/>
      <c r="BX677" s="76"/>
      <c r="BY677" s="76"/>
      <c r="BZ677" s="76"/>
      <c r="CA677" s="76"/>
      <c r="CB677" s="76"/>
      <c r="CC677" s="76"/>
      <c r="CD677" s="76"/>
      <c r="CE677" s="76"/>
      <c r="CF677" s="76"/>
      <c r="CG677" s="76"/>
      <c r="CH677" s="76"/>
    </row>
    <row r="678" spans="2:8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366"/>
      <c r="AP678" s="76"/>
      <c r="AQ678" s="76"/>
      <c r="AR678" s="76"/>
      <c r="AS678" s="76"/>
      <c r="AT678" s="76"/>
      <c r="AU678" s="76"/>
      <c r="AV678" s="76"/>
      <c r="AW678" s="76"/>
      <c r="AX678" s="76"/>
      <c r="AY678" s="76"/>
      <c r="AZ678" s="76"/>
      <c r="BA678" s="76"/>
      <c r="BB678" s="76"/>
      <c r="BC678" s="76"/>
      <c r="BD678" s="76"/>
      <c r="BE678" s="76"/>
      <c r="BF678" s="76"/>
      <c r="BG678" s="76"/>
      <c r="BH678" s="76"/>
      <c r="BI678" s="76"/>
      <c r="BJ678" s="76"/>
      <c r="BK678" s="76"/>
      <c r="BL678" s="76"/>
      <c r="BM678" s="76"/>
      <c r="BN678" s="76"/>
      <c r="BO678" s="76"/>
      <c r="BP678" s="76"/>
      <c r="BQ678" s="76"/>
      <c r="BR678" s="76"/>
      <c r="BS678" s="76"/>
      <c r="BT678" s="76"/>
      <c r="BU678" s="76"/>
      <c r="BV678" s="76"/>
      <c r="BW678" s="76"/>
      <c r="BX678" s="76"/>
      <c r="BY678" s="76"/>
      <c r="BZ678" s="76"/>
      <c r="CA678" s="76"/>
      <c r="CB678" s="76"/>
      <c r="CC678" s="76"/>
      <c r="CD678" s="76"/>
      <c r="CE678" s="76"/>
      <c r="CF678" s="76"/>
      <c r="CG678" s="76"/>
      <c r="CH678" s="76"/>
    </row>
    <row r="679" spans="2:8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366"/>
      <c r="AP679" s="76"/>
      <c r="AQ679" s="76"/>
      <c r="AR679" s="76"/>
      <c r="AS679" s="76"/>
      <c r="AT679" s="76"/>
      <c r="AU679" s="76"/>
      <c r="AV679" s="76"/>
      <c r="AW679" s="76"/>
      <c r="AX679" s="76"/>
      <c r="AY679" s="76"/>
      <c r="AZ679" s="76"/>
      <c r="BA679" s="76"/>
      <c r="BB679" s="76"/>
      <c r="BC679" s="76"/>
      <c r="BD679" s="76"/>
      <c r="BE679" s="76"/>
      <c r="BF679" s="76"/>
      <c r="BG679" s="76"/>
      <c r="BH679" s="76"/>
      <c r="BI679" s="76"/>
      <c r="BJ679" s="76"/>
      <c r="BK679" s="76"/>
      <c r="BL679" s="76"/>
      <c r="BM679" s="76"/>
      <c r="BN679" s="76"/>
      <c r="BO679" s="76"/>
      <c r="BP679" s="76"/>
      <c r="BQ679" s="76"/>
      <c r="BR679" s="76"/>
      <c r="BS679" s="76"/>
      <c r="BT679" s="76"/>
      <c r="BU679" s="76"/>
      <c r="BV679" s="76"/>
      <c r="BW679" s="76"/>
      <c r="BX679" s="76"/>
      <c r="BY679" s="76"/>
      <c r="BZ679" s="76"/>
      <c r="CA679" s="76"/>
      <c r="CB679" s="76"/>
      <c r="CC679" s="76"/>
      <c r="CD679" s="76"/>
      <c r="CE679" s="76"/>
      <c r="CF679" s="76"/>
      <c r="CG679" s="76"/>
      <c r="CH679" s="76"/>
    </row>
    <row r="680" spans="2:8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366"/>
      <c r="AP680" s="76"/>
      <c r="AQ680" s="76"/>
      <c r="AR680" s="76"/>
      <c r="AS680" s="76"/>
      <c r="AT680" s="76"/>
      <c r="AU680" s="76"/>
      <c r="AV680" s="76"/>
      <c r="AW680" s="76"/>
      <c r="AX680" s="76"/>
      <c r="AY680" s="76"/>
      <c r="AZ680" s="76"/>
      <c r="BA680" s="76"/>
      <c r="BB680" s="76"/>
      <c r="BC680" s="76"/>
      <c r="BD680" s="76"/>
      <c r="BE680" s="76"/>
      <c r="BF680" s="76"/>
      <c r="BG680" s="76"/>
      <c r="BH680" s="76"/>
      <c r="BI680" s="76"/>
      <c r="BJ680" s="76"/>
      <c r="BK680" s="76"/>
      <c r="BL680" s="76"/>
      <c r="BM680" s="76"/>
      <c r="BN680" s="76"/>
      <c r="BO680" s="76"/>
      <c r="BP680" s="76"/>
      <c r="BQ680" s="76"/>
      <c r="BR680" s="76"/>
      <c r="BS680" s="76"/>
      <c r="BT680" s="76"/>
      <c r="BU680" s="76"/>
      <c r="BV680" s="76"/>
      <c r="BW680" s="76"/>
      <c r="BX680" s="76"/>
      <c r="BY680" s="76"/>
      <c r="BZ680" s="76"/>
      <c r="CA680" s="76"/>
      <c r="CB680" s="76"/>
      <c r="CC680" s="76"/>
      <c r="CD680" s="76"/>
      <c r="CE680" s="76"/>
      <c r="CF680" s="76"/>
      <c r="CG680" s="76"/>
      <c r="CH680" s="76"/>
    </row>
    <row r="681" spans="2:8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366"/>
      <c r="AP681" s="76"/>
      <c r="AQ681" s="76"/>
      <c r="AR681" s="76"/>
      <c r="AS681" s="76"/>
      <c r="AT681" s="76"/>
      <c r="AU681" s="76"/>
      <c r="AV681" s="76"/>
      <c r="AW681" s="76"/>
      <c r="AX681" s="76"/>
      <c r="AY681" s="76"/>
      <c r="AZ681" s="76"/>
      <c r="BA681" s="76"/>
      <c r="BB681" s="76"/>
      <c r="BC681" s="76"/>
      <c r="BD681" s="76"/>
      <c r="BE681" s="76"/>
      <c r="BF681" s="76"/>
      <c r="BG681" s="76"/>
      <c r="BH681" s="76"/>
      <c r="BI681" s="76"/>
      <c r="BJ681" s="76"/>
      <c r="BK681" s="76"/>
      <c r="BL681" s="76"/>
      <c r="BM681" s="76"/>
      <c r="BN681" s="76"/>
      <c r="BO681" s="76"/>
      <c r="BP681" s="76"/>
      <c r="BQ681" s="76"/>
      <c r="BR681" s="76"/>
      <c r="BS681" s="76"/>
      <c r="BT681" s="76"/>
      <c r="BU681" s="76"/>
      <c r="BV681" s="76"/>
      <c r="BW681" s="76"/>
      <c r="BX681" s="76"/>
      <c r="BY681" s="76"/>
      <c r="BZ681" s="76"/>
      <c r="CA681" s="76"/>
      <c r="CB681" s="76"/>
      <c r="CC681" s="76"/>
      <c r="CD681" s="76"/>
      <c r="CE681" s="76"/>
      <c r="CF681" s="76"/>
      <c r="CG681" s="76"/>
      <c r="CH681" s="76"/>
    </row>
    <row r="682" spans="2:8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366"/>
      <c r="AP682" s="76"/>
      <c r="AQ682" s="76"/>
      <c r="AR682" s="76"/>
      <c r="AS682" s="76"/>
      <c r="AT682" s="76"/>
      <c r="AU682" s="76"/>
      <c r="AV682" s="76"/>
      <c r="AW682" s="76"/>
      <c r="AX682" s="76"/>
      <c r="AY682" s="76"/>
      <c r="AZ682" s="76"/>
      <c r="BA682" s="76"/>
      <c r="BB682" s="76"/>
      <c r="BC682" s="76"/>
      <c r="BD682" s="76"/>
      <c r="BE682" s="76"/>
      <c r="BF682" s="76"/>
      <c r="BG682" s="76"/>
      <c r="BH682" s="76"/>
      <c r="BI682" s="76"/>
      <c r="BJ682" s="76"/>
      <c r="BK682" s="76"/>
      <c r="BL682" s="76"/>
      <c r="BM682" s="76"/>
      <c r="BN682" s="76"/>
      <c r="BO682" s="76"/>
      <c r="BP682" s="76"/>
      <c r="BQ682" s="76"/>
      <c r="BR682" s="76"/>
      <c r="BS682" s="76"/>
      <c r="BT682" s="76"/>
      <c r="BU682" s="76"/>
      <c r="BV682" s="76"/>
      <c r="BW682" s="76"/>
      <c r="BX682" s="76"/>
      <c r="BY682" s="76"/>
      <c r="BZ682" s="76"/>
      <c r="CA682" s="76"/>
      <c r="CB682" s="76"/>
      <c r="CC682" s="76"/>
      <c r="CD682" s="76"/>
      <c r="CE682" s="76"/>
      <c r="CF682" s="76"/>
      <c r="CG682" s="76"/>
      <c r="CH682" s="76"/>
    </row>
    <row r="683" spans="2:8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366"/>
      <c r="AP683" s="76"/>
      <c r="AQ683" s="76"/>
      <c r="AR683" s="76"/>
      <c r="AS683" s="76"/>
      <c r="AT683" s="76"/>
      <c r="AU683" s="76"/>
      <c r="AV683" s="76"/>
      <c r="AW683" s="76"/>
      <c r="AX683" s="76"/>
      <c r="AY683" s="76"/>
      <c r="AZ683" s="76"/>
      <c r="BA683" s="76"/>
      <c r="BB683" s="76"/>
      <c r="BC683" s="76"/>
      <c r="BD683" s="76"/>
      <c r="BE683" s="76"/>
      <c r="BF683" s="76"/>
      <c r="BG683" s="76"/>
      <c r="BH683" s="76"/>
      <c r="BI683" s="76"/>
      <c r="BJ683" s="76"/>
      <c r="BK683" s="76"/>
      <c r="BL683" s="76"/>
      <c r="BM683" s="76"/>
      <c r="BN683" s="76"/>
      <c r="BO683" s="76"/>
      <c r="BP683" s="76"/>
      <c r="BQ683" s="76"/>
      <c r="BR683" s="76"/>
      <c r="BS683" s="76"/>
      <c r="BT683" s="76"/>
      <c r="BU683" s="76"/>
      <c r="BV683" s="76"/>
      <c r="BW683" s="76"/>
      <c r="BX683" s="76"/>
      <c r="BY683" s="76"/>
      <c r="BZ683" s="76"/>
      <c r="CA683" s="76"/>
      <c r="CB683" s="76"/>
      <c r="CC683" s="76"/>
      <c r="CD683" s="76"/>
      <c r="CE683" s="76"/>
      <c r="CF683" s="76"/>
      <c r="CG683" s="76"/>
      <c r="CH683" s="76"/>
    </row>
    <row r="684" spans="2:8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366"/>
      <c r="AP684" s="76"/>
      <c r="AQ684" s="76"/>
      <c r="AR684" s="76"/>
      <c r="AS684" s="76"/>
      <c r="AT684" s="76"/>
      <c r="AU684" s="76"/>
      <c r="AV684" s="76"/>
      <c r="AW684" s="76"/>
      <c r="AX684" s="76"/>
      <c r="AY684" s="76"/>
      <c r="AZ684" s="76"/>
      <c r="BA684" s="76"/>
      <c r="BB684" s="76"/>
      <c r="BC684" s="76"/>
      <c r="BD684" s="76"/>
      <c r="BE684" s="76"/>
      <c r="BF684" s="76"/>
      <c r="BG684" s="76"/>
      <c r="BH684" s="76"/>
      <c r="BI684" s="76"/>
      <c r="BJ684" s="76"/>
      <c r="BK684" s="76"/>
      <c r="BL684" s="76"/>
      <c r="BM684" s="76"/>
      <c r="BN684" s="76"/>
      <c r="BO684" s="76"/>
      <c r="BP684" s="76"/>
      <c r="BQ684" s="76"/>
      <c r="BR684" s="76"/>
      <c r="BS684" s="76"/>
      <c r="BT684" s="76"/>
      <c r="BU684" s="76"/>
      <c r="BV684" s="76"/>
      <c r="BW684" s="76"/>
      <c r="BX684" s="76"/>
      <c r="BY684" s="76"/>
      <c r="BZ684" s="76"/>
      <c r="CA684" s="76"/>
      <c r="CB684" s="76"/>
      <c r="CC684" s="76"/>
      <c r="CD684" s="76"/>
      <c r="CE684" s="76"/>
      <c r="CF684" s="76"/>
      <c r="CG684" s="76"/>
      <c r="CH684" s="76"/>
    </row>
    <row r="685" spans="2:8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366"/>
      <c r="AP685" s="76"/>
      <c r="AQ685" s="76"/>
      <c r="AR685" s="76"/>
      <c r="AS685" s="76"/>
      <c r="AT685" s="76"/>
      <c r="AU685" s="76"/>
      <c r="AV685" s="76"/>
      <c r="AW685" s="76"/>
      <c r="AX685" s="76"/>
      <c r="AY685" s="76"/>
      <c r="AZ685" s="76"/>
      <c r="BA685" s="76"/>
      <c r="BB685" s="76"/>
      <c r="BC685" s="76"/>
      <c r="BD685" s="76"/>
      <c r="BE685" s="76"/>
      <c r="BF685" s="76"/>
      <c r="BG685" s="76"/>
      <c r="BH685" s="76"/>
      <c r="BI685" s="76"/>
      <c r="BJ685" s="76"/>
      <c r="BK685" s="76"/>
      <c r="BL685" s="76"/>
      <c r="BM685" s="76"/>
      <c r="BN685" s="76"/>
      <c r="BO685" s="76"/>
      <c r="BP685" s="76"/>
      <c r="BQ685" s="76"/>
      <c r="BR685" s="76"/>
      <c r="BS685" s="76"/>
      <c r="BT685" s="76"/>
      <c r="BU685" s="76"/>
      <c r="BV685" s="76"/>
      <c r="BW685" s="76"/>
      <c r="BX685" s="76"/>
      <c r="BY685" s="76"/>
      <c r="BZ685" s="76"/>
      <c r="CA685" s="76"/>
      <c r="CB685" s="76"/>
      <c r="CC685" s="76"/>
      <c r="CD685" s="76"/>
      <c r="CE685" s="76"/>
      <c r="CF685" s="76"/>
      <c r="CG685" s="76"/>
      <c r="CH685" s="76"/>
    </row>
    <row r="686" spans="2:8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366"/>
      <c r="AP686" s="76"/>
      <c r="AQ686" s="76"/>
      <c r="AR686" s="76"/>
      <c r="AS686" s="76"/>
      <c r="AT686" s="76"/>
      <c r="AU686" s="76"/>
      <c r="AV686" s="76"/>
      <c r="AW686" s="76"/>
      <c r="AX686" s="76"/>
      <c r="AY686" s="76"/>
      <c r="AZ686" s="76"/>
      <c r="BA686" s="76"/>
      <c r="BB686" s="76"/>
      <c r="BC686" s="76"/>
      <c r="BD686" s="76"/>
      <c r="BE686" s="76"/>
      <c r="BF686" s="76"/>
      <c r="BG686" s="76"/>
      <c r="BH686" s="76"/>
      <c r="BI686" s="76"/>
      <c r="BJ686" s="76"/>
      <c r="BK686" s="76"/>
      <c r="BL686" s="76"/>
      <c r="BM686" s="76"/>
      <c r="BN686" s="76"/>
      <c r="BO686" s="76"/>
      <c r="BP686" s="76"/>
      <c r="BQ686" s="76"/>
      <c r="BR686" s="76"/>
      <c r="BS686" s="76"/>
      <c r="BT686" s="76"/>
      <c r="BU686" s="76"/>
      <c r="BV686" s="76"/>
      <c r="BW686" s="76"/>
      <c r="BX686" s="76"/>
      <c r="BY686" s="76"/>
      <c r="BZ686" s="76"/>
      <c r="CA686" s="76"/>
      <c r="CB686" s="76"/>
      <c r="CC686" s="76"/>
      <c r="CD686" s="76"/>
      <c r="CE686" s="76"/>
      <c r="CF686" s="76"/>
      <c r="CG686" s="76"/>
      <c r="CH686" s="76"/>
    </row>
    <row r="687" spans="2:8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366"/>
      <c r="AP687" s="76"/>
      <c r="AQ687" s="76"/>
      <c r="AR687" s="76"/>
      <c r="AS687" s="76"/>
      <c r="AT687" s="76"/>
      <c r="AU687" s="76"/>
      <c r="AV687" s="76"/>
      <c r="AW687" s="76"/>
      <c r="AX687" s="76"/>
      <c r="AY687" s="76"/>
      <c r="AZ687" s="76"/>
      <c r="BA687" s="76"/>
      <c r="BB687" s="76"/>
      <c r="BC687" s="76"/>
      <c r="BD687" s="76"/>
      <c r="BE687" s="76"/>
      <c r="BF687" s="76"/>
      <c r="BG687" s="76"/>
      <c r="BH687" s="76"/>
      <c r="BI687" s="76"/>
      <c r="BJ687" s="76"/>
      <c r="BK687" s="76"/>
      <c r="BL687" s="76"/>
      <c r="BM687" s="76"/>
      <c r="BN687" s="76"/>
      <c r="BO687" s="76"/>
      <c r="BP687" s="76"/>
      <c r="BQ687" s="76"/>
      <c r="BR687" s="76"/>
      <c r="BS687" s="76"/>
      <c r="BT687" s="76"/>
      <c r="BU687" s="76"/>
      <c r="BV687" s="76"/>
      <c r="BW687" s="76"/>
      <c r="BX687" s="76"/>
      <c r="BY687" s="76"/>
      <c r="BZ687" s="76"/>
      <c r="CA687" s="76"/>
      <c r="CB687" s="76"/>
      <c r="CC687" s="76"/>
      <c r="CD687" s="76"/>
      <c r="CE687" s="76"/>
      <c r="CF687" s="76"/>
      <c r="CG687" s="76"/>
      <c r="CH687" s="76"/>
    </row>
    <row r="688" spans="2:8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366"/>
      <c r="AP688" s="76"/>
      <c r="AQ688" s="76"/>
      <c r="AR688" s="76"/>
      <c r="AS688" s="76"/>
      <c r="AT688" s="76"/>
      <c r="AU688" s="76"/>
      <c r="AV688" s="76"/>
      <c r="AW688" s="76"/>
      <c r="AX688" s="76"/>
      <c r="AY688" s="76"/>
      <c r="AZ688" s="76"/>
      <c r="BA688" s="76"/>
      <c r="BB688" s="76"/>
      <c r="BC688" s="76"/>
      <c r="BD688" s="76"/>
      <c r="BE688" s="76"/>
      <c r="BF688" s="76"/>
      <c r="BG688" s="76"/>
      <c r="BH688" s="76"/>
      <c r="BI688" s="76"/>
      <c r="BJ688" s="76"/>
      <c r="BK688" s="76"/>
      <c r="BL688" s="76"/>
      <c r="BM688" s="76"/>
      <c r="BN688" s="76"/>
      <c r="BO688" s="76"/>
      <c r="BP688" s="76"/>
      <c r="BQ688" s="76"/>
      <c r="BR688" s="76"/>
      <c r="BS688" s="76"/>
      <c r="BT688" s="76"/>
      <c r="BU688" s="76"/>
      <c r="BV688" s="76"/>
      <c r="BW688" s="76"/>
      <c r="BX688" s="76"/>
      <c r="BY688" s="76"/>
      <c r="BZ688" s="76"/>
      <c r="CA688" s="76"/>
      <c r="CB688" s="76"/>
      <c r="CC688" s="76"/>
      <c r="CD688" s="76"/>
      <c r="CE688" s="76"/>
      <c r="CF688" s="76"/>
      <c r="CG688" s="76"/>
      <c r="CH688" s="76"/>
    </row>
    <row r="689" spans="2:8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366"/>
      <c r="AP689" s="76"/>
      <c r="AQ689" s="76"/>
      <c r="AR689" s="76"/>
      <c r="AS689" s="76"/>
      <c r="AT689" s="76"/>
      <c r="AU689" s="76"/>
      <c r="AV689" s="76"/>
      <c r="AW689" s="76"/>
      <c r="AX689" s="76"/>
      <c r="AY689" s="76"/>
      <c r="AZ689" s="76"/>
      <c r="BA689" s="76"/>
      <c r="BB689" s="76"/>
      <c r="BC689" s="76"/>
      <c r="BD689" s="76"/>
      <c r="BE689" s="76"/>
      <c r="BF689" s="76"/>
      <c r="BG689" s="76"/>
      <c r="BH689" s="76"/>
      <c r="BI689" s="76"/>
      <c r="BJ689" s="76"/>
      <c r="BK689" s="76"/>
      <c r="BL689" s="76"/>
      <c r="BM689" s="76"/>
      <c r="BN689" s="76"/>
      <c r="BO689" s="76"/>
      <c r="BP689" s="76"/>
      <c r="BQ689" s="76"/>
      <c r="BR689" s="76"/>
      <c r="BS689" s="76"/>
      <c r="BT689" s="76"/>
      <c r="BU689" s="76"/>
      <c r="BV689" s="76"/>
      <c r="BW689" s="76"/>
      <c r="BX689" s="76"/>
      <c r="BY689" s="76"/>
      <c r="BZ689" s="76"/>
      <c r="CA689" s="76"/>
      <c r="CB689" s="76"/>
      <c r="CC689" s="76"/>
      <c r="CD689" s="76"/>
      <c r="CE689" s="76"/>
      <c r="CF689" s="76"/>
      <c r="CG689" s="76"/>
      <c r="CH689" s="76"/>
    </row>
    <row r="690" spans="2:8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366"/>
      <c r="AP690" s="76"/>
      <c r="AQ690" s="76"/>
      <c r="AR690" s="76"/>
      <c r="AS690" s="76"/>
      <c r="AT690" s="76"/>
      <c r="AU690" s="76"/>
      <c r="AV690" s="76"/>
      <c r="AW690" s="76"/>
      <c r="AX690" s="76"/>
      <c r="AY690" s="76"/>
      <c r="AZ690" s="76"/>
      <c r="BA690" s="76"/>
      <c r="BB690" s="76"/>
      <c r="BC690" s="76"/>
      <c r="BD690" s="76"/>
      <c r="BE690" s="76"/>
      <c r="BF690" s="76"/>
      <c r="BG690" s="76"/>
      <c r="BH690" s="76"/>
      <c r="BI690" s="76"/>
      <c r="BJ690" s="76"/>
      <c r="BK690" s="76"/>
      <c r="BL690" s="76"/>
      <c r="BM690" s="76"/>
      <c r="BN690" s="76"/>
      <c r="BO690" s="76"/>
      <c r="BP690" s="76"/>
      <c r="BQ690" s="76"/>
      <c r="BR690" s="76"/>
      <c r="BS690" s="76"/>
      <c r="BT690" s="76"/>
      <c r="BU690" s="76"/>
      <c r="BV690" s="76"/>
      <c r="BW690" s="76"/>
      <c r="BX690" s="76"/>
      <c r="BY690" s="76"/>
      <c r="BZ690" s="76"/>
      <c r="CA690" s="76"/>
      <c r="CB690" s="76"/>
      <c r="CC690" s="76"/>
      <c r="CD690" s="76"/>
      <c r="CE690" s="76"/>
      <c r="CF690" s="76"/>
      <c r="CG690" s="76"/>
      <c r="CH690" s="76"/>
    </row>
    <row r="691" spans="2:8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366"/>
      <c r="AP691" s="76"/>
      <c r="AQ691" s="76"/>
      <c r="AR691" s="76"/>
      <c r="AS691" s="76"/>
      <c r="AT691" s="76"/>
      <c r="AU691" s="76"/>
      <c r="AV691" s="76"/>
      <c r="AW691" s="76"/>
      <c r="AX691" s="76"/>
      <c r="AY691" s="76"/>
      <c r="AZ691" s="76"/>
      <c r="BA691" s="76"/>
      <c r="BB691" s="76"/>
      <c r="BC691" s="76"/>
      <c r="BD691" s="76"/>
      <c r="BE691" s="76"/>
      <c r="BF691" s="76"/>
      <c r="BG691" s="76"/>
      <c r="BH691" s="76"/>
      <c r="BI691" s="76"/>
      <c r="BJ691" s="76"/>
      <c r="BK691" s="76"/>
      <c r="BL691" s="76"/>
      <c r="BM691" s="76"/>
      <c r="BN691" s="76"/>
      <c r="BO691" s="76"/>
      <c r="BP691" s="76"/>
      <c r="BQ691" s="76"/>
      <c r="BR691" s="76"/>
      <c r="BS691" s="76"/>
      <c r="BT691" s="76"/>
      <c r="BU691" s="76"/>
      <c r="BV691" s="76"/>
      <c r="BW691" s="76"/>
      <c r="BX691" s="76"/>
      <c r="BY691" s="76"/>
      <c r="BZ691" s="76"/>
      <c r="CA691" s="76"/>
      <c r="CB691" s="76"/>
      <c r="CC691" s="76"/>
      <c r="CD691" s="76"/>
      <c r="CE691" s="76"/>
      <c r="CF691" s="76"/>
      <c r="CG691" s="76"/>
      <c r="CH691" s="76"/>
    </row>
    <row r="692" spans="2:8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366"/>
      <c r="AP692" s="76"/>
      <c r="AQ692" s="76"/>
      <c r="AR692" s="76"/>
      <c r="AS692" s="76"/>
      <c r="AT692" s="76"/>
      <c r="AU692" s="76"/>
      <c r="AV692" s="76"/>
      <c r="AW692" s="76"/>
      <c r="AX692" s="76"/>
      <c r="AY692" s="76"/>
      <c r="AZ692" s="76"/>
      <c r="BA692" s="76"/>
      <c r="BB692" s="76"/>
      <c r="BC692" s="76"/>
      <c r="BD692" s="76"/>
      <c r="BE692" s="76"/>
      <c r="BF692" s="76"/>
      <c r="BG692" s="76"/>
      <c r="BH692" s="76"/>
      <c r="BI692" s="76"/>
      <c r="BJ692" s="76"/>
      <c r="BK692" s="76"/>
      <c r="BL692" s="76"/>
      <c r="BM692" s="76"/>
      <c r="BN692" s="76"/>
      <c r="BO692" s="76"/>
      <c r="BP692" s="76"/>
      <c r="BQ692" s="76"/>
      <c r="BR692" s="76"/>
      <c r="BS692" s="76"/>
      <c r="BT692" s="76"/>
      <c r="BU692" s="76"/>
      <c r="BV692" s="76"/>
      <c r="BW692" s="76"/>
      <c r="BX692" s="76"/>
      <c r="BY692" s="76"/>
      <c r="BZ692" s="76"/>
      <c r="CA692" s="76"/>
      <c r="CB692" s="76"/>
      <c r="CC692" s="76"/>
      <c r="CD692" s="76"/>
      <c r="CE692" s="76"/>
      <c r="CF692" s="76"/>
      <c r="CG692" s="76"/>
      <c r="CH692" s="76"/>
    </row>
    <row r="693" spans="2:8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366"/>
      <c r="AP693" s="76"/>
      <c r="AQ693" s="76"/>
      <c r="AR693" s="76"/>
      <c r="AS693" s="76"/>
      <c r="AT693" s="76"/>
      <c r="AU693" s="76"/>
      <c r="AV693" s="76"/>
      <c r="AW693" s="76"/>
      <c r="AX693" s="76"/>
      <c r="AY693" s="76"/>
      <c r="AZ693" s="76"/>
      <c r="BA693" s="76"/>
      <c r="BB693" s="76"/>
      <c r="BC693" s="76"/>
      <c r="BD693" s="76"/>
      <c r="BE693" s="76"/>
      <c r="BF693" s="76"/>
      <c r="BG693" s="76"/>
      <c r="BH693" s="76"/>
      <c r="BI693" s="76"/>
      <c r="BJ693" s="76"/>
      <c r="BK693" s="76"/>
      <c r="BL693" s="76"/>
      <c r="BM693" s="76"/>
      <c r="BN693" s="76"/>
      <c r="BO693" s="76"/>
      <c r="BP693" s="76"/>
      <c r="BQ693" s="76"/>
      <c r="BR693" s="76"/>
      <c r="BS693" s="76"/>
      <c r="BT693" s="76"/>
      <c r="BU693" s="76"/>
      <c r="BV693" s="76"/>
      <c r="BW693" s="76"/>
      <c r="BX693" s="76"/>
      <c r="BY693" s="76"/>
      <c r="BZ693" s="76"/>
      <c r="CA693" s="76"/>
      <c r="CB693" s="76"/>
      <c r="CC693" s="76"/>
      <c r="CD693" s="76"/>
      <c r="CE693" s="76"/>
      <c r="CF693" s="76"/>
      <c r="CG693" s="76"/>
      <c r="CH693" s="76"/>
    </row>
    <row r="694" spans="2:8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366"/>
      <c r="AP694" s="76"/>
      <c r="AQ694" s="76"/>
      <c r="AR694" s="76"/>
      <c r="AS694" s="76"/>
      <c r="AT694" s="76"/>
      <c r="AU694" s="76"/>
      <c r="AV694" s="76"/>
      <c r="AW694" s="76"/>
      <c r="AX694" s="76"/>
      <c r="AY694" s="76"/>
      <c r="AZ694" s="76"/>
      <c r="BA694" s="76"/>
      <c r="BB694" s="76"/>
      <c r="BC694" s="76"/>
      <c r="BD694" s="76"/>
      <c r="BE694" s="76"/>
      <c r="BF694" s="76"/>
      <c r="BG694" s="76"/>
      <c r="BH694" s="76"/>
      <c r="BI694" s="76"/>
      <c r="BJ694" s="76"/>
      <c r="BK694" s="76"/>
      <c r="BL694" s="76"/>
      <c r="BM694" s="76"/>
      <c r="BN694" s="76"/>
      <c r="BO694" s="76"/>
      <c r="BP694" s="76"/>
      <c r="BQ694" s="76"/>
      <c r="BR694" s="76"/>
      <c r="BS694" s="76"/>
      <c r="BT694" s="76"/>
      <c r="BU694" s="76"/>
      <c r="BV694" s="76"/>
      <c r="BW694" s="76"/>
      <c r="BX694" s="76"/>
      <c r="BY694" s="76"/>
      <c r="BZ694" s="76"/>
      <c r="CA694" s="76"/>
      <c r="CB694" s="76"/>
      <c r="CC694" s="76"/>
      <c r="CD694" s="76"/>
      <c r="CE694" s="76"/>
      <c r="CF694" s="76"/>
      <c r="CG694" s="76"/>
      <c r="CH694" s="76"/>
    </row>
    <row r="695" spans="2:8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36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row>
    <row r="696" spans="2:8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366"/>
      <c r="AP696" s="76"/>
      <c r="AQ696" s="76"/>
      <c r="AR696" s="76"/>
      <c r="AS696" s="76"/>
      <c r="AT696" s="76"/>
      <c r="AU696" s="76"/>
      <c r="AV696" s="76"/>
      <c r="AW696" s="76"/>
      <c r="AX696" s="76"/>
      <c r="AY696" s="76"/>
      <c r="AZ696" s="76"/>
      <c r="BA696" s="76"/>
      <c r="BB696" s="76"/>
      <c r="BC696" s="76"/>
      <c r="BD696" s="76"/>
      <c r="BE696" s="76"/>
      <c r="BF696" s="76"/>
      <c r="BG696" s="76"/>
      <c r="BH696" s="76"/>
      <c r="BI696" s="76"/>
      <c r="BJ696" s="76"/>
      <c r="BK696" s="76"/>
      <c r="BL696" s="76"/>
      <c r="BM696" s="76"/>
      <c r="BN696" s="76"/>
      <c r="BO696" s="76"/>
      <c r="BP696" s="76"/>
      <c r="BQ696" s="76"/>
      <c r="BR696" s="76"/>
      <c r="BS696" s="76"/>
      <c r="BT696" s="76"/>
      <c r="BU696" s="76"/>
      <c r="BV696" s="76"/>
      <c r="BW696" s="76"/>
      <c r="BX696" s="76"/>
      <c r="BY696" s="76"/>
      <c r="BZ696" s="76"/>
      <c r="CA696" s="76"/>
      <c r="CB696" s="76"/>
      <c r="CC696" s="76"/>
      <c r="CD696" s="76"/>
      <c r="CE696" s="76"/>
      <c r="CF696" s="76"/>
      <c r="CG696" s="76"/>
      <c r="CH696" s="76"/>
    </row>
    <row r="697" spans="2:8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366"/>
      <c r="AP697" s="76"/>
      <c r="AQ697" s="76"/>
      <c r="AR697" s="76"/>
      <c r="AS697" s="76"/>
      <c r="AT697" s="76"/>
      <c r="AU697" s="76"/>
      <c r="AV697" s="76"/>
      <c r="AW697" s="76"/>
      <c r="AX697" s="76"/>
      <c r="AY697" s="76"/>
      <c r="AZ697" s="76"/>
      <c r="BA697" s="76"/>
      <c r="BB697" s="76"/>
      <c r="BC697" s="76"/>
      <c r="BD697" s="76"/>
      <c r="BE697" s="76"/>
      <c r="BF697" s="76"/>
      <c r="BG697" s="76"/>
      <c r="BH697" s="76"/>
      <c r="BI697" s="76"/>
      <c r="BJ697" s="76"/>
      <c r="BK697" s="76"/>
      <c r="BL697" s="76"/>
      <c r="BM697" s="76"/>
      <c r="BN697" s="76"/>
      <c r="BO697" s="76"/>
      <c r="BP697" s="76"/>
      <c r="BQ697" s="76"/>
      <c r="BR697" s="76"/>
      <c r="BS697" s="76"/>
      <c r="BT697" s="76"/>
      <c r="BU697" s="76"/>
      <c r="BV697" s="76"/>
      <c r="BW697" s="76"/>
      <c r="BX697" s="76"/>
      <c r="BY697" s="76"/>
      <c r="BZ697" s="76"/>
      <c r="CA697" s="76"/>
      <c r="CB697" s="76"/>
      <c r="CC697" s="76"/>
      <c r="CD697" s="76"/>
      <c r="CE697" s="76"/>
      <c r="CF697" s="76"/>
      <c r="CG697" s="76"/>
      <c r="CH697" s="76"/>
    </row>
    <row r="698" spans="2:8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366"/>
      <c r="AP698" s="76"/>
      <c r="AQ698" s="76"/>
      <c r="AR698" s="76"/>
      <c r="AS698" s="76"/>
      <c r="AT698" s="76"/>
      <c r="AU698" s="76"/>
      <c r="AV698" s="76"/>
      <c r="AW698" s="76"/>
      <c r="AX698" s="76"/>
      <c r="AY698" s="76"/>
      <c r="AZ698" s="76"/>
      <c r="BA698" s="76"/>
      <c r="BB698" s="76"/>
      <c r="BC698" s="76"/>
      <c r="BD698" s="76"/>
      <c r="BE698" s="76"/>
      <c r="BF698" s="76"/>
      <c r="BG698" s="76"/>
      <c r="BH698" s="76"/>
      <c r="BI698" s="76"/>
      <c r="BJ698" s="76"/>
      <c r="BK698" s="76"/>
      <c r="BL698" s="76"/>
      <c r="BM698" s="76"/>
      <c r="BN698" s="76"/>
      <c r="BO698" s="76"/>
      <c r="BP698" s="76"/>
      <c r="BQ698" s="76"/>
      <c r="BR698" s="76"/>
      <c r="BS698" s="76"/>
      <c r="BT698" s="76"/>
      <c r="BU698" s="76"/>
      <c r="BV698" s="76"/>
      <c r="BW698" s="76"/>
      <c r="BX698" s="76"/>
      <c r="BY698" s="76"/>
      <c r="BZ698" s="76"/>
      <c r="CA698" s="76"/>
      <c r="CB698" s="76"/>
      <c r="CC698" s="76"/>
      <c r="CD698" s="76"/>
      <c r="CE698" s="76"/>
      <c r="CF698" s="76"/>
      <c r="CG698" s="76"/>
      <c r="CH698" s="76"/>
    </row>
    <row r="699" spans="2:8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366"/>
      <c r="AP699" s="76"/>
      <c r="AQ699" s="76"/>
      <c r="AR699" s="76"/>
      <c r="AS699" s="76"/>
      <c r="AT699" s="76"/>
      <c r="AU699" s="76"/>
      <c r="AV699" s="76"/>
      <c r="AW699" s="76"/>
      <c r="AX699" s="76"/>
      <c r="AY699" s="76"/>
      <c r="AZ699" s="76"/>
      <c r="BA699" s="76"/>
      <c r="BB699" s="76"/>
      <c r="BC699" s="76"/>
      <c r="BD699" s="76"/>
      <c r="BE699" s="76"/>
      <c r="BF699" s="76"/>
      <c r="BG699" s="76"/>
      <c r="BH699" s="76"/>
      <c r="BI699" s="76"/>
      <c r="BJ699" s="76"/>
      <c r="BK699" s="76"/>
      <c r="BL699" s="76"/>
      <c r="BM699" s="76"/>
      <c r="BN699" s="76"/>
      <c r="BO699" s="76"/>
      <c r="BP699" s="76"/>
      <c r="BQ699" s="76"/>
      <c r="BR699" s="76"/>
      <c r="BS699" s="76"/>
      <c r="BT699" s="76"/>
      <c r="BU699" s="76"/>
      <c r="BV699" s="76"/>
      <c r="BW699" s="76"/>
      <c r="BX699" s="76"/>
      <c r="BY699" s="76"/>
      <c r="BZ699" s="76"/>
      <c r="CA699" s="76"/>
      <c r="CB699" s="76"/>
      <c r="CC699" s="76"/>
      <c r="CD699" s="76"/>
      <c r="CE699" s="76"/>
      <c r="CF699" s="76"/>
      <c r="CG699" s="76"/>
      <c r="CH699" s="76"/>
    </row>
    <row r="700" spans="2:8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366"/>
      <c r="AP700" s="76"/>
      <c r="AQ700" s="76"/>
      <c r="AR700" s="76"/>
      <c r="AS700" s="76"/>
      <c r="AT700" s="76"/>
      <c r="AU700" s="76"/>
      <c r="AV700" s="76"/>
      <c r="AW700" s="76"/>
      <c r="AX700" s="76"/>
      <c r="AY700" s="76"/>
      <c r="AZ700" s="76"/>
      <c r="BA700" s="76"/>
      <c r="BB700" s="76"/>
      <c r="BC700" s="76"/>
      <c r="BD700" s="76"/>
      <c r="BE700" s="76"/>
      <c r="BF700" s="76"/>
      <c r="BG700" s="76"/>
      <c r="BH700" s="76"/>
      <c r="BI700" s="76"/>
      <c r="BJ700" s="76"/>
      <c r="BK700" s="76"/>
      <c r="BL700" s="76"/>
      <c r="BM700" s="76"/>
      <c r="BN700" s="76"/>
      <c r="BO700" s="76"/>
      <c r="BP700" s="76"/>
      <c r="BQ700" s="76"/>
      <c r="BR700" s="76"/>
      <c r="BS700" s="76"/>
      <c r="BT700" s="76"/>
      <c r="BU700" s="76"/>
      <c r="BV700" s="76"/>
      <c r="BW700" s="76"/>
      <c r="BX700" s="76"/>
      <c r="BY700" s="76"/>
      <c r="BZ700" s="76"/>
      <c r="CA700" s="76"/>
      <c r="CB700" s="76"/>
      <c r="CC700" s="76"/>
      <c r="CD700" s="76"/>
      <c r="CE700" s="76"/>
      <c r="CF700" s="76"/>
      <c r="CG700" s="76"/>
      <c r="CH700" s="76"/>
    </row>
    <row r="701" spans="2:8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366"/>
      <c r="AP701" s="76"/>
      <c r="AQ701" s="76"/>
      <c r="AR701" s="76"/>
      <c r="AS701" s="76"/>
      <c r="AT701" s="76"/>
      <c r="AU701" s="76"/>
      <c r="AV701" s="76"/>
      <c r="AW701" s="76"/>
      <c r="AX701" s="76"/>
      <c r="AY701" s="76"/>
      <c r="AZ701" s="76"/>
      <c r="BA701" s="76"/>
      <c r="BB701" s="76"/>
      <c r="BC701" s="76"/>
      <c r="BD701" s="76"/>
      <c r="BE701" s="76"/>
      <c r="BF701" s="76"/>
      <c r="BG701" s="76"/>
      <c r="BH701" s="76"/>
      <c r="BI701" s="76"/>
      <c r="BJ701" s="76"/>
      <c r="BK701" s="76"/>
      <c r="BL701" s="76"/>
      <c r="BM701" s="76"/>
      <c r="BN701" s="76"/>
      <c r="BO701" s="76"/>
      <c r="BP701" s="76"/>
      <c r="BQ701" s="76"/>
      <c r="BR701" s="76"/>
      <c r="BS701" s="76"/>
      <c r="BT701" s="76"/>
      <c r="BU701" s="76"/>
      <c r="BV701" s="76"/>
      <c r="BW701" s="76"/>
      <c r="BX701" s="76"/>
      <c r="BY701" s="76"/>
      <c r="BZ701" s="76"/>
      <c r="CA701" s="76"/>
      <c r="CB701" s="76"/>
      <c r="CC701" s="76"/>
      <c r="CD701" s="76"/>
      <c r="CE701" s="76"/>
      <c r="CF701" s="76"/>
      <c r="CG701" s="76"/>
      <c r="CH701" s="76"/>
    </row>
    <row r="702" spans="2:8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366"/>
      <c r="AP702" s="76"/>
      <c r="AQ702" s="76"/>
      <c r="AR702" s="76"/>
      <c r="AS702" s="76"/>
      <c r="AT702" s="76"/>
      <c r="AU702" s="76"/>
      <c r="AV702" s="76"/>
      <c r="AW702" s="76"/>
      <c r="AX702" s="76"/>
      <c r="AY702" s="76"/>
      <c r="AZ702" s="76"/>
      <c r="BA702" s="76"/>
      <c r="BB702" s="76"/>
      <c r="BC702" s="76"/>
      <c r="BD702" s="76"/>
      <c r="BE702" s="76"/>
      <c r="BF702" s="76"/>
      <c r="BG702" s="76"/>
      <c r="BH702" s="76"/>
      <c r="BI702" s="76"/>
      <c r="BJ702" s="76"/>
      <c r="BK702" s="76"/>
      <c r="BL702" s="76"/>
      <c r="BM702" s="76"/>
      <c r="BN702" s="76"/>
      <c r="BO702" s="76"/>
      <c r="BP702" s="76"/>
      <c r="BQ702" s="76"/>
      <c r="BR702" s="76"/>
      <c r="BS702" s="76"/>
      <c r="BT702" s="76"/>
      <c r="BU702" s="76"/>
      <c r="BV702" s="76"/>
      <c r="BW702" s="76"/>
      <c r="BX702" s="76"/>
      <c r="BY702" s="76"/>
      <c r="BZ702" s="76"/>
      <c r="CA702" s="76"/>
      <c r="CB702" s="76"/>
      <c r="CC702" s="76"/>
      <c r="CD702" s="76"/>
      <c r="CE702" s="76"/>
      <c r="CF702" s="76"/>
      <c r="CG702" s="76"/>
      <c r="CH702" s="76"/>
    </row>
    <row r="703" spans="2:8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366"/>
      <c r="AP703" s="76"/>
      <c r="AQ703" s="76"/>
      <c r="AR703" s="76"/>
      <c r="AS703" s="76"/>
      <c r="AT703" s="76"/>
      <c r="AU703" s="76"/>
      <c r="AV703" s="76"/>
      <c r="AW703" s="76"/>
      <c r="AX703" s="76"/>
      <c r="AY703" s="76"/>
      <c r="AZ703" s="76"/>
      <c r="BA703" s="76"/>
      <c r="BB703" s="76"/>
      <c r="BC703" s="76"/>
      <c r="BD703" s="76"/>
      <c r="BE703" s="76"/>
      <c r="BF703" s="76"/>
      <c r="BG703" s="76"/>
      <c r="BH703" s="76"/>
      <c r="BI703" s="76"/>
      <c r="BJ703" s="76"/>
      <c r="BK703" s="76"/>
      <c r="BL703" s="76"/>
      <c r="BM703" s="76"/>
      <c r="BN703" s="76"/>
      <c r="BO703" s="76"/>
      <c r="BP703" s="76"/>
      <c r="BQ703" s="76"/>
      <c r="BR703" s="76"/>
      <c r="BS703" s="76"/>
      <c r="BT703" s="76"/>
      <c r="BU703" s="76"/>
      <c r="BV703" s="76"/>
      <c r="BW703" s="76"/>
      <c r="BX703" s="76"/>
      <c r="BY703" s="76"/>
      <c r="BZ703" s="76"/>
      <c r="CA703" s="76"/>
      <c r="CB703" s="76"/>
      <c r="CC703" s="76"/>
      <c r="CD703" s="76"/>
      <c r="CE703" s="76"/>
      <c r="CF703" s="76"/>
      <c r="CG703" s="76"/>
      <c r="CH703" s="76"/>
    </row>
    <row r="704" spans="2:8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366"/>
      <c r="AP704" s="76"/>
      <c r="AQ704" s="76"/>
      <c r="AR704" s="76"/>
      <c r="AS704" s="76"/>
      <c r="AT704" s="76"/>
      <c r="AU704" s="76"/>
      <c r="AV704" s="76"/>
      <c r="AW704" s="76"/>
      <c r="AX704" s="76"/>
      <c r="AY704" s="76"/>
      <c r="AZ704" s="76"/>
      <c r="BA704" s="76"/>
      <c r="BB704" s="76"/>
      <c r="BC704" s="76"/>
      <c r="BD704" s="76"/>
      <c r="BE704" s="76"/>
      <c r="BF704" s="76"/>
      <c r="BG704" s="76"/>
      <c r="BH704" s="76"/>
      <c r="BI704" s="76"/>
      <c r="BJ704" s="76"/>
      <c r="BK704" s="76"/>
      <c r="BL704" s="76"/>
      <c r="BM704" s="76"/>
      <c r="BN704" s="76"/>
      <c r="BO704" s="76"/>
      <c r="BP704" s="76"/>
      <c r="BQ704" s="76"/>
      <c r="BR704" s="76"/>
      <c r="BS704" s="76"/>
      <c r="BT704" s="76"/>
      <c r="BU704" s="76"/>
      <c r="BV704" s="76"/>
      <c r="BW704" s="76"/>
      <c r="BX704" s="76"/>
      <c r="BY704" s="76"/>
      <c r="BZ704" s="76"/>
      <c r="CA704" s="76"/>
      <c r="CB704" s="76"/>
      <c r="CC704" s="76"/>
      <c r="CD704" s="76"/>
      <c r="CE704" s="76"/>
      <c r="CF704" s="76"/>
      <c r="CG704" s="76"/>
      <c r="CH704" s="76"/>
    </row>
    <row r="705" spans="2:8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366"/>
      <c r="AP705" s="76"/>
      <c r="AQ705" s="76"/>
      <c r="AR705" s="76"/>
      <c r="AS705" s="76"/>
      <c r="AT705" s="76"/>
      <c r="AU705" s="76"/>
      <c r="AV705" s="76"/>
      <c r="AW705" s="76"/>
      <c r="AX705" s="76"/>
      <c r="AY705" s="76"/>
      <c r="AZ705" s="76"/>
      <c r="BA705" s="76"/>
      <c r="BB705" s="76"/>
      <c r="BC705" s="76"/>
      <c r="BD705" s="76"/>
      <c r="BE705" s="76"/>
      <c r="BF705" s="76"/>
      <c r="BG705" s="76"/>
      <c r="BH705" s="76"/>
      <c r="BI705" s="76"/>
      <c r="BJ705" s="76"/>
      <c r="BK705" s="76"/>
      <c r="BL705" s="76"/>
      <c r="BM705" s="76"/>
      <c r="BN705" s="76"/>
      <c r="BO705" s="76"/>
      <c r="BP705" s="76"/>
      <c r="BQ705" s="76"/>
      <c r="BR705" s="76"/>
      <c r="BS705" s="76"/>
      <c r="BT705" s="76"/>
      <c r="BU705" s="76"/>
      <c r="BV705" s="76"/>
      <c r="BW705" s="76"/>
      <c r="BX705" s="76"/>
      <c r="BY705" s="76"/>
      <c r="BZ705" s="76"/>
      <c r="CA705" s="76"/>
      <c r="CB705" s="76"/>
      <c r="CC705" s="76"/>
      <c r="CD705" s="76"/>
      <c r="CE705" s="76"/>
      <c r="CF705" s="76"/>
      <c r="CG705" s="76"/>
      <c r="CH705" s="76"/>
    </row>
    <row r="706" spans="2:8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366"/>
      <c r="AP706" s="76"/>
      <c r="AQ706" s="76"/>
      <c r="AR706" s="76"/>
      <c r="AS706" s="76"/>
      <c r="AT706" s="76"/>
      <c r="AU706" s="76"/>
      <c r="AV706" s="76"/>
      <c r="AW706" s="76"/>
      <c r="AX706" s="76"/>
      <c r="AY706" s="76"/>
      <c r="AZ706" s="76"/>
      <c r="BA706" s="76"/>
      <c r="BB706" s="76"/>
      <c r="BC706" s="76"/>
      <c r="BD706" s="76"/>
      <c r="BE706" s="76"/>
      <c r="BF706" s="76"/>
      <c r="BG706" s="76"/>
      <c r="BH706" s="76"/>
      <c r="BI706" s="76"/>
      <c r="BJ706" s="76"/>
      <c r="BK706" s="76"/>
      <c r="BL706" s="76"/>
      <c r="BM706" s="76"/>
      <c r="BN706" s="76"/>
      <c r="BO706" s="76"/>
      <c r="BP706" s="76"/>
      <c r="BQ706" s="76"/>
      <c r="BR706" s="76"/>
      <c r="BS706" s="76"/>
      <c r="BT706" s="76"/>
      <c r="BU706" s="76"/>
      <c r="BV706" s="76"/>
      <c r="BW706" s="76"/>
      <c r="BX706" s="76"/>
      <c r="BY706" s="76"/>
      <c r="BZ706" s="76"/>
      <c r="CA706" s="76"/>
      <c r="CB706" s="76"/>
      <c r="CC706" s="76"/>
      <c r="CD706" s="76"/>
      <c r="CE706" s="76"/>
      <c r="CF706" s="76"/>
      <c r="CG706" s="76"/>
      <c r="CH706" s="76"/>
    </row>
    <row r="707" spans="2:8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366"/>
      <c r="AP707" s="76"/>
      <c r="AQ707" s="76"/>
      <c r="AR707" s="76"/>
      <c r="AS707" s="76"/>
      <c r="AT707" s="76"/>
      <c r="AU707" s="76"/>
      <c r="AV707" s="76"/>
      <c r="AW707" s="76"/>
      <c r="AX707" s="76"/>
      <c r="AY707" s="76"/>
      <c r="AZ707" s="76"/>
      <c r="BA707" s="76"/>
      <c r="BB707" s="76"/>
      <c r="BC707" s="76"/>
      <c r="BD707" s="76"/>
      <c r="BE707" s="76"/>
      <c r="BF707" s="76"/>
      <c r="BG707" s="76"/>
      <c r="BH707" s="76"/>
      <c r="BI707" s="76"/>
      <c r="BJ707" s="76"/>
      <c r="BK707" s="76"/>
      <c r="BL707" s="76"/>
      <c r="BM707" s="76"/>
      <c r="BN707" s="76"/>
      <c r="BO707" s="76"/>
      <c r="BP707" s="76"/>
      <c r="BQ707" s="76"/>
      <c r="BR707" s="76"/>
      <c r="BS707" s="76"/>
      <c r="BT707" s="76"/>
      <c r="BU707" s="76"/>
      <c r="BV707" s="76"/>
      <c r="BW707" s="76"/>
      <c r="BX707" s="76"/>
      <c r="BY707" s="76"/>
      <c r="BZ707" s="76"/>
      <c r="CA707" s="76"/>
      <c r="CB707" s="76"/>
      <c r="CC707" s="76"/>
      <c r="CD707" s="76"/>
      <c r="CE707" s="76"/>
      <c r="CF707" s="76"/>
      <c r="CG707" s="76"/>
      <c r="CH707" s="76"/>
    </row>
    <row r="708" spans="2:8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366"/>
      <c r="AP708" s="76"/>
      <c r="AQ708" s="76"/>
      <c r="AR708" s="76"/>
      <c r="AS708" s="76"/>
      <c r="AT708" s="76"/>
      <c r="AU708" s="76"/>
      <c r="AV708" s="76"/>
      <c r="AW708" s="76"/>
      <c r="AX708" s="76"/>
      <c r="AY708" s="76"/>
      <c r="AZ708" s="76"/>
      <c r="BA708" s="76"/>
      <c r="BB708" s="76"/>
      <c r="BC708" s="76"/>
      <c r="BD708" s="76"/>
      <c r="BE708" s="76"/>
      <c r="BF708" s="76"/>
      <c r="BG708" s="76"/>
      <c r="BH708" s="76"/>
      <c r="BI708" s="76"/>
      <c r="BJ708" s="76"/>
      <c r="BK708" s="76"/>
      <c r="BL708" s="76"/>
      <c r="BM708" s="76"/>
      <c r="BN708" s="76"/>
      <c r="BO708" s="76"/>
      <c r="BP708" s="76"/>
      <c r="BQ708" s="76"/>
      <c r="BR708" s="76"/>
      <c r="BS708" s="76"/>
      <c r="BT708" s="76"/>
      <c r="BU708" s="76"/>
      <c r="BV708" s="76"/>
      <c r="BW708" s="76"/>
      <c r="BX708" s="76"/>
      <c r="BY708" s="76"/>
      <c r="BZ708" s="76"/>
      <c r="CA708" s="76"/>
      <c r="CB708" s="76"/>
      <c r="CC708" s="76"/>
      <c r="CD708" s="76"/>
      <c r="CE708" s="76"/>
      <c r="CF708" s="76"/>
      <c r="CG708" s="76"/>
      <c r="CH708" s="76"/>
    </row>
    <row r="709" spans="2:8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366"/>
      <c r="AP709" s="76"/>
      <c r="AQ709" s="76"/>
      <c r="AR709" s="76"/>
      <c r="AS709" s="76"/>
      <c r="AT709" s="76"/>
      <c r="AU709" s="76"/>
      <c r="AV709" s="76"/>
      <c r="AW709" s="76"/>
      <c r="AX709" s="76"/>
      <c r="AY709" s="76"/>
      <c r="AZ709" s="76"/>
      <c r="BA709" s="76"/>
      <c r="BB709" s="76"/>
      <c r="BC709" s="76"/>
      <c r="BD709" s="76"/>
      <c r="BE709" s="76"/>
      <c r="BF709" s="76"/>
      <c r="BG709" s="76"/>
      <c r="BH709" s="76"/>
      <c r="BI709" s="76"/>
      <c r="BJ709" s="76"/>
      <c r="BK709" s="76"/>
      <c r="BL709" s="76"/>
      <c r="BM709" s="76"/>
      <c r="BN709" s="76"/>
      <c r="BO709" s="76"/>
      <c r="BP709" s="76"/>
      <c r="BQ709" s="76"/>
      <c r="BR709" s="76"/>
      <c r="BS709" s="76"/>
      <c r="BT709" s="76"/>
      <c r="BU709" s="76"/>
      <c r="BV709" s="76"/>
      <c r="BW709" s="76"/>
      <c r="BX709" s="76"/>
      <c r="BY709" s="76"/>
      <c r="BZ709" s="76"/>
      <c r="CA709" s="76"/>
      <c r="CB709" s="76"/>
      <c r="CC709" s="76"/>
      <c r="CD709" s="76"/>
      <c r="CE709" s="76"/>
      <c r="CF709" s="76"/>
      <c r="CG709" s="76"/>
      <c r="CH709" s="76"/>
    </row>
    <row r="710" spans="2:8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366"/>
      <c r="AP710" s="76"/>
      <c r="AQ710" s="76"/>
      <c r="AR710" s="76"/>
      <c r="AS710" s="76"/>
      <c r="AT710" s="76"/>
      <c r="AU710" s="76"/>
      <c r="AV710" s="76"/>
      <c r="AW710" s="76"/>
      <c r="AX710" s="76"/>
      <c r="AY710" s="76"/>
      <c r="AZ710" s="76"/>
      <c r="BA710" s="76"/>
      <c r="BB710" s="76"/>
      <c r="BC710" s="76"/>
      <c r="BD710" s="76"/>
      <c r="BE710" s="76"/>
      <c r="BF710" s="76"/>
      <c r="BG710" s="76"/>
      <c r="BH710" s="76"/>
      <c r="BI710" s="76"/>
      <c r="BJ710" s="76"/>
      <c r="BK710" s="76"/>
      <c r="BL710" s="76"/>
      <c r="BM710" s="76"/>
      <c r="BN710" s="76"/>
      <c r="BO710" s="76"/>
      <c r="BP710" s="76"/>
      <c r="BQ710" s="76"/>
      <c r="BR710" s="76"/>
      <c r="BS710" s="76"/>
      <c r="BT710" s="76"/>
      <c r="BU710" s="76"/>
      <c r="BV710" s="76"/>
      <c r="BW710" s="76"/>
      <c r="BX710" s="76"/>
      <c r="BY710" s="76"/>
      <c r="BZ710" s="76"/>
      <c r="CA710" s="76"/>
      <c r="CB710" s="76"/>
      <c r="CC710" s="76"/>
      <c r="CD710" s="76"/>
      <c r="CE710" s="76"/>
      <c r="CF710" s="76"/>
      <c r="CG710" s="76"/>
      <c r="CH710" s="76"/>
    </row>
    <row r="711" spans="2:8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366"/>
      <c r="AP711" s="76"/>
      <c r="AQ711" s="76"/>
      <c r="AR711" s="76"/>
      <c r="AS711" s="76"/>
      <c r="AT711" s="76"/>
      <c r="AU711" s="76"/>
      <c r="AV711" s="76"/>
      <c r="AW711" s="76"/>
      <c r="AX711" s="76"/>
      <c r="AY711" s="76"/>
      <c r="AZ711" s="76"/>
      <c r="BA711" s="76"/>
      <c r="BB711" s="76"/>
      <c r="BC711" s="76"/>
      <c r="BD711" s="76"/>
      <c r="BE711" s="76"/>
      <c r="BF711" s="76"/>
      <c r="BG711" s="76"/>
      <c r="BH711" s="76"/>
      <c r="BI711" s="76"/>
      <c r="BJ711" s="76"/>
      <c r="BK711" s="76"/>
      <c r="BL711" s="76"/>
      <c r="BM711" s="76"/>
      <c r="BN711" s="76"/>
      <c r="BO711" s="76"/>
      <c r="BP711" s="76"/>
      <c r="BQ711" s="76"/>
      <c r="BR711" s="76"/>
      <c r="BS711" s="76"/>
      <c r="BT711" s="76"/>
      <c r="BU711" s="76"/>
      <c r="BV711" s="76"/>
      <c r="BW711" s="76"/>
      <c r="BX711" s="76"/>
      <c r="BY711" s="76"/>
      <c r="BZ711" s="76"/>
      <c r="CA711" s="76"/>
      <c r="CB711" s="76"/>
      <c r="CC711" s="76"/>
      <c r="CD711" s="76"/>
      <c r="CE711" s="76"/>
      <c r="CF711" s="76"/>
      <c r="CG711" s="76"/>
      <c r="CH711" s="76"/>
    </row>
    <row r="712" spans="2:8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366"/>
      <c r="AP712" s="76"/>
      <c r="AQ712" s="76"/>
      <c r="AR712" s="76"/>
      <c r="AS712" s="76"/>
      <c r="AT712" s="76"/>
      <c r="AU712" s="76"/>
      <c r="AV712" s="76"/>
      <c r="AW712" s="76"/>
      <c r="AX712" s="76"/>
      <c r="AY712" s="76"/>
      <c r="AZ712" s="76"/>
      <c r="BA712" s="76"/>
      <c r="BB712" s="76"/>
      <c r="BC712" s="76"/>
      <c r="BD712" s="76"/>
      <c r="BE712" s="76"/>
      <c r="BF712" s="76"/>
      <c r="BG712" s="76"/>
      <c r="BH712" s="76"/>
      <c r="BI712" s="76"/>
      <c r="BJ712" s="76"/>
      <c r="BK712" s="76"/>
      <c r="BL712" s="76"/>
      <c r="BM712" s="76"/>
      <c r="BN712" s="76"/>
      <c r="BO712" s="76"/>
      <c r="BP712" s="76"/>
      <c r="BQ712" s="76"/>
      <c r="BR712" s="76"/>
      <c r="BS712" s="76"/>
      <c r="BT712" s="76"/>
      <c r="BU712" s="76"/>
      <c r="BV712" s="76"/>
      <c r="BW712" s="76"/>
      <c r="BX712" s="76"/>
      <c r="BY712" s="76"/>
      <c r="BZ712" s="76"/>
      <c r="CA712" s="76"/>
      <c r="CB712" s="76"/>
      <c r="CC712" s="76"/>
      <c r="CD712" s="76"/>
      <c r="CE712" s="76"/>
      <c r="CF712" s="76"/>
      <c r="CG712" s="76"/>
      <c r="CH712" s="76"/>
    </row>
    <row r="713" spans="2:8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366"/>
      <c r="AP713" s="76"/>
      <c r="AQ713" s="76"/>
      <c r="AR713" s="76"/>
      <c r="AS713" s="76"/>
      <c r="AT713" s="76"/>
      <c r="AU713" s="76"/>
      <c r="AV713" s="76"/>
      <c r="AW713" s="76"/>
      <c r="AX713" s="76"/>
      <c r="AY713" s="76"/>
      <c r="AZ713" s="76"/>
      <c r="BA713" s="76"/>
      <c r="BB713" s="76"/>
      <c r="BC713" s="76"/>
      <c r="BD713" s="76"/>
      <c r="BE713" s="76"/>
      <c r="BF713" s="76"/>
      <c r="BG713" s="76"/>
      <c r="BH713" s="76"/>
      <c r="BI713" s="76"/>
      <c r="BJ713" s="76"/>
      <c r="BK713" s="76"/>
      <c r="BL713" s="76"/>
      <c r="BM713" s="76"/>
      <c r="BN713" s="76"/>
      <c r="BO713" s="76"/>
      <c r="BP713" s="76"/>
      <c r="BQ713" s="76"/>
      <c r="BR713" s="76"/>
      <c r="BS713" s="76"/>
      <c r="BT713" s="76"/>
      <c r="BU713" s="76"/>
      <c r="BV713" s="76"/>
      <c r="BW713" s="76"/>
      <c r="BX713" s="76"/>
      <c r="BY713" s="76"/>
      <c r="BZ713" s="76"/>
      <c r="CA713" s="76"/>
      <c r="CB713" s="76"/>
      <c r="CC713" s="76"/>
      <c r="CD713" s="76"/>
      <c r="CE713" s="76"/>
      <c r="CF713" s="76"/>
      <c r="CG713" s="76"/>
      <c r="CH713" s="76"/>
    </row>
    <row r="714" spans="2:8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366"/>
      <c r="AP714" s="76"/>
      <c r="AQ714" s="76"/>
      <c r="AR714" s="76"/>
      <c r="AS714" s="76"/>
      <c r="AT714" s="76"/>
      <c r="AU714" s="76"/>
      <c r="AV714" s="76"/>
      <c r="AW714" s="76"/>
      <c r="AX714" s="76"/>
      <c r="AY714" s="76"/>
      <c r="AZ714" s="76"/>
      <c r="BA714" s="76"/>
      <c r="BB714" s="76"/>
      <c r="BC714" s="76"/>
      <c r="BD714" s="76"/>
      <c r="BE714" s="76"/>
      <c r="BF714" s="76"/>
      <c r="BG714" s="76"/>
      <c r="BH714" s="76"/>
      <c r="BI714" s="76"/>
      <c r="BJ714" s="76"/>
      <c r="BK714" s="76"/>
      <c r="BL714" s="76"/>
      <c r="BM714" s="76"/>
      <c r="BN714" s="76"/>
      <c r="BO714" s="76"/>
      <c r="BP714" s="76"/>
      <c r="BQ714" s="76"/>
      <c r="BR714" s="76"/>
      <c r="BS714" s="76"/>
      <c r="BT714" s="76"/>
      <c r="BU714" s="76"/>
      <c r="BV714" s="76"/>
      <c r="BW714" s="76"/>
      <c r="BX714" s="76"/>
      <c r="BY714" s="76"/>
      <c r="BZ714" s="76"/>
      <c r="CA714" s="76"/>
      <c r="CB714" s="76"/>
      <c r="CC714" s="76"/>
      <c r="CD714" s="76"/>
      <c r="CE714" s="76"/>
      <c r="CF714" s="76"/>
      <c r="CG714" s="76"/>
      <c r="CH714" s="76"/>
    </row>
    <row r="715" spans="2:8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366"/>
      <c r="AP715" s="76"/>
      <c r="AQ715" s="76"/>
      <c r="AR715" s="76"/>
      <c r="AS715" s="76"/>
      <c r="AT715" s="76"/>
      <c r="AU715" s="76"/>
      <c r="AV715" s="76"/>
      <c r="AW715" s="76"/>
      <c r="AX715" s="76"/>
      <c r="AY715" s="76"/>
      <c r="AZ715" s="76"/>
      <c r="BA715" s="76"/>
      <c r="BB715" s="76"/>
      <c r="BC715" s="76"/>
      <c r="BD715" s="76"/>
      <c r="BE715" s="76"/>
      <c r="BF715" s="76"/>
      <c r="BG715" s="76"/>
      <c r="BH715" s="76"/>
      <c r="BI715" s="76"/>
      <c r="BJ715" s="76"/>
      <c r="BK715" s="76"/>
      <c r="BL715" s="76"/>
      <c r="BM715" s="76"/>
      <c r="BN715" s="76"/>
      <c r="BO715" s="76"/>
      <c r="BP715" s="76"/>
      <c r="BQ715" s="76"/>
      <c r="BR715" s="76"/>
      <c r="BS715" s="76"/>
      <c r="BT715" s="76"/>
      <c r="BU715" s="76"/>
      <c r="BV715" s="76"/>
      <c r="BW715" s="76"/>
      <c r="BX715" s="76"/>
      <c r="BY715" s="76"/>
      <c r="BZ715" s="76"/>
      <c r="CA715" s="76"/>
      <c r="CB715" s="76"/>
      <c r="CC715" s="76"/>
      <c r="CD715" s="76"/>
      <c r="CE715" s="76"/>
      <c r="CF715" s="76"/>
      <c r="CG715" s="76"/>
      <c r="CH715" s="76"/>
    </row>
    <row r="716" spans="2:8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366"/>
      <c r="AP716" s="76"/>
      <c r="AQ716" s="76"/>
      <c r="AR716" s="76"/>
      <c r="AS716" s="76"/>
      <c r="AT716" s="76"/>
      <c r="AU716" s="76"/>
      <c r="AV716" s="76"/>
      <c r="AW716" s="76"/>
      <c r="AX716" s="76"/>
      <c r="AY716" s="76"/>
      <c r="AZ716" s="76"/>
      <c r="BA716" s="76"/>
      <c r="BB716" s="76"/>
      <c r="BC716" s="76"/>
      <c r="BD716" s="76"/>
      <c r="BE716" s="76"/>
      <c r="BF716" s="76"/>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76"/>
      <c r="CC716" s="76"/>
      <c r="CD716" s="76"/>
      <c r="CE716" s="76"/>
      <c r="CF716" s="76"/>
      <c r="CG716" s="76"/>
      <c r="CH716" s="76"/>
    </row>
    <row r="717" spans="2:8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366"/>
      <c r="AP717" s="76"/>
      <c r="AQ717" s="76"/>
      <c r="AR717" s="76"/>
      <c r="AS717" s="76"/>
      <c r="AT717" s="76"/>
      <c r="AU717" s="76"/>
      <c r="AV717" s="76"/>
      <c r="AW717" s="76"/>
      <c r="AX717" s="76"/>
      <c r="AY717" s="76"/>
      <c r="AZ717" s="76"/>
      <c r="BA717" s="76"/>
      <c r="BB717" s="76"/>
      <c r="BC717" s="76"/>
      <c r="BD717" s="76"/>
      <c r="BE717" s="76"/>
      <c r="BF717" s="76"/>
      <c r="BG717" s="76"/>
      <c r="BH717" s="76"/>
      <c r="BI717" s="76"/>
      <c r="BJ717" s="76"/>
      <c r="BK717" s="76"/>
      <c r="BL717" s="76"/>
      <c r="BM717" s="76"/>
      <c r="BN717" s="76"/>
      <c r="BO717" s="76"/>
      <c r="BP717" s="76"/>
      <c r="BQ717" s="76"/>
      <c r="BR717" s="76"/>
      <c r="BS717" s="76"/>
      <c r="BT717" s="76"/>
      <c r="BU717" s="76"/>
      <c r="BV717" s="76"/>
      <c r="BW717" s="76"/>
      <c r="BX717" s="76"/>
      <c r="BY717" s="76"/>
      <c r="BZ717" s="76"/>
      <c r="CA717" s="76"/>
      <c r="CB717" s="76"/>
      <c r="CC717" s="76"/>
      <c r="CD717" s="76"/>
      <c r="CE717" s="76"/>
      <c r="CF717" s="76"/>
      <c r="CG717" s="76"/>
      <c r="CH717" s="76"/>
    </row>
    <row r="718" spans="2:8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366"/>
      <c r="AP718" s="76"/>
      <c r="AQ718" s="76"/>
      <c r="AR718" s="76"/>
      <c r="AS718" s="76"/>
      <c r="AT718" s="76"/>
      <c r="AU718" s="76"/>
      <c r="AV718" s="76"/>
      <c r="AW718" s="76"/>
      <c r="AX718" s="76"/>
      <c r="AY718" s="76"/>
      <c r="AZ718" s="76"/>
      <c r="BA718" s="76"/>
      <c r="BB718" s="76"/>
      <c r="BC718" s="76"/>
      <c r="BD718" s="76"/>
      <c r="BE718" s="76"/>
      <c r="BF718" s="76"/>
      <c r="BG718" s="76"/>
      <c r="BH718" s="76"/>
      <c r="BI718" s="76"/>
      <c r="BJ718" s="76"/>
      <c r="BK718" s="76"/>
      <c r="BL718" s="76"/>
      <c r="BM718" s="76"/>
      <c r="BN718" s="76"/>
      <c r="BO718" s="76"/>
      <c r="BP718" s="76"/>
      <c r="BQ718" s="76"/>
      <c r="BR718" s="76"/>
      <c r="BS718" s="76"/>
      <c r="BT718" s="76"/>
      <c r="BU718" s="76"/>
      <c r="BV718" s="76"/>
      <c r="BW718" s="76"/>
      <c r="BX718" s="76"/>
      <c r="BY718" s="76"/>
      <c r="BZ718" s="76"/>
      <c r="CA718" s="76"/>
      <c r="CB718" s="76"/>
      <c r="CC718" s="76"/>
      <c r="CD718" s="76"/>
      <c r="CE718" s="76"/>
      <c r="CF718" s="76"/>
      <c r="CG718" s="76"/>
      <c r="CH718" s="76"/>
    </row>
    <row r="719" spans="2:86">
      <c r="B719" s="76"/>
      <c r="C719" s="76"/>
      <c r="D719" s="76"/>
      <c r="E719" s="76"/>
      <c r="F719" s="76"/>
      <c r="G719" s="76"/>
      <c r="H719" s="76"/>
      <c r="I719" s="76"/>
      <c r="J719" s="76"/>
      <c r="K719" s="76"/>
      <c r="L719" s="76"/>
      <c r="AC719" s="76"/>
      <c r="AD719" s="76"/>
      <c r="AE719" s="76"/>
      <c r="AF719" s="76"/>
      <c r="AG719" s="76"/>
      <c r="AH719" s="76"/>
      <c r="AI719" s="76"/>
      <c r="AJ719" s="76"/>
      <c r="AK719" s="76"/>
      <c r="AL719" s="76"/>
      <c r="AM719" s="76"/>
      <c r="AN719" s="76"/>
      <c r="AO719" s="366"/>
      <c r="AP719" s="76"/>
      <c r="AQ719" s="76"/>
      <c r="AR719" s="76"/>
      <c r="AS719" s="76"/>
      <c r="AT719" s="76"/>
      <c r="AU719" s="76"/>
      <c r="AV719" s="76"/>
      <c r="AW719" s="76"/>
      <c r="AX719" s="76"/>
      <c r="AY719" s="76"/>
      <c r="AZ719" s="76"/>
      <c r="BA719" s="76"/>
      <c r="BB719" s="76"/>
      <c r="BC719" s="76"/>
      <c r="BD719" s="76"/>
      <c r="BE719" s="76"/>
      <c r="BF719" s="76"/>
      <c r="BG719" s="76"/>
      <c r="BH719" s="76"/>
      <c r="BI719" s="76"/>
      <c r="BJ719" s="76"/>
      <c r="BK719" s="76"/>
      <c r="BL719" s="76"/>
      <c r="BM719" s="76"/>
      <c r="BN719" s="76"/>
      <c r="BO719" s="76"/>
      <c r="BP719" s="76"/>
      <c r="BQ719" s="76"/>
      <c r="BR719" s="76"/>
      <c r="BS719" s="76"/>
      <c r="BT719" s="76"/>
      <c r="BU719" s="76"/>
      <c r="BV719" s="76"/>
      <c r="BW719" s="76"/>
      <c r="BX719" s="76"/>
      <c r="BY719" s="76"/>
      <c r="BZ719" s="76"/>
      <c r="CA719" s="76"/>
      <c r="CB719" s="76"/>
      <c r="CC719" s="76"/>
      <c r="CD719" s="76"/>
      <c r="CE719" s="76"/>
      <c r="CF719" s="76"/>
      <c r="CG719" s="76"/>
      <c r="CH719" s="76"/>
    </row>
    <row r="720" spans="2:86">
      <c r="B720" s="76"/>
      <c r="C720" s="76"/>
      <c r="D720" s="76"/>
      <c r="E720" s="76"/>
      <c r="F720" s="76"/>
      <c r="G720" s="76"/>
      <c r="H720" s="76"/>
      <c r="I720" s="76"/>
      <c r="J720" s="76"/>
      <c r="K720" s="76"/>
      <c r="L720" s="76"/>
      <c r="AC720" s="76"/>
      <c r="AD720" s="76"/>
      <c r="AE720" s="76"/>
      <c r="AF720" s="76"/>
      <c r="AG720" s="76"/>
      <c r="AH720" s="76"/>
      <c r="AI720" s="76"/>
      <c r="AJ720" s="76"/>
      <c r="AK720" s="76"/>
      <c r="AL720" s="76"/>
      <c r="AM720" s="76"/>
      <c r="AN720" s="76"/>
      <c r="AO720" s="366"/>
      <c r="AP720" s="76"/>
      <c r="AQ720" s="76"/>
      <c r="AR720" s="76"/>
      <c r="AS720" s="76"/>
      <c r="AT720" s="76"/>
      <c r="AU720" s="76"/>
      <c r="AV720" s="76"/>
      <c r="AW720" s="76"/>
      <c r="AX720" s="76"/>
      <c r="AY720" s="76"/>
      <c r="AZ720" s="76"/>
      <c r="BA720" s="76"/>
      <c r="BB720" s="76"/>
      <c r="BC720" s="76"/>
      <c r="BD720" s="76"/>
      <c r="BE720" s="76"/>
      <c r="BF720" s="76"/>
      <c r="BG720" s="76"/>
      <c r="BH720" s="76"/>
      <c r="BI720" s="76"/>
      <c r="BJ720" s="76"/>
      <c r="BK720" s="76"/>
      <c r="BL720" s="76"/>
      <c r="BM720" s="76"/>
      <c r="BN720" s="76"/>
      <c r="BO720" s="76"/>
      <c r="BP720" s="76"/>
      <c r="BQ720" s="76"/>
      <c r="BR720" s="76"/>
      <c r="BS720" s="76"/>
      <c r="BT720" s="76"/>
      <c r="BU720" s="76"/>
      <c r="BV720" s="76"/>
      <c r="BW720" s="76"/>
      <c r="BX720" s="76"/>
      <c r="BY720" s="76"/>
      <c r="BZ720" s="76"/>
      <c r="CA720" s="76"/>
      <c r="CB720" s="76"/>
      <c r="CC720" s="76"/>
      <c r="CD720" s="76"/>
      <c r="CE720" s="76"/>
      <c r="CF720" s="76"/>
      <c r="CG720" s="76"/>
      <c r="CH720" s="76"/>
    </row>
    <row r="721" spans="2:86">
      <c r="B721" s="76"/>
      <c r="C721" s="76"/>
      <c r="D721" s="76"/>
      <c r="E721" s="76"/>
      <c r="F721" s="76"/>
      <c r="G721" s="76"/>
      <c r="H721" s="76"/>
      <c r="I721" s="76"/>
      <c r="J721" s="76"/>
      <c r="K721" s="76"/>
      <c r="L721" s="76"/>
      <c r="AC721" s="76"/>
      <c r="AD721" s="76"/>
      <c r="AE721" s="76"/>
      <c r="AF721" s="76"/>
      <c r="AG721" s="76"/>
      <c r="AH721" s="76"/>
      <c r="AI721" s="76"/>
      <c r="AJ721" s="76"/>
      <c r="AK721" s="76"/>
      <c r="AL721" s="76"/>
      <c r="AM721" s="76"/>
      <c r="AN721" s="76"/>
      <c r="AO721" s="366"/>
      <c r="AP721" s="76"/>
      <c r="AQ721" s="76"/>
      <c r="AR721" s="76"/>
      <c r="AS721" s="76"/>
      <c r="AT721" s="76"/>
      <c r="AU721" s="76"/>
      <c r="AV721" s="76"/>
      <c r="AW721" s="76"/>
      <c r="AX721" s="76"/>
      <c r="AY721" s="76"/>
      <c r="AZ721" s="76"/>
      <c r="BA721" s="76"/>
      <c r="BB721" s="76"/>
      <c r="BC721" s="76"/>
      <c r="BD721" s="76"/>
      <c r="BE721" s="76"/>
      <c r="BF721" s="76"/>
      <c r="BG721" s="76"/>
      <c r="BH721" s="76"/>
      <c r="BI721" s="76"/>
      <c r="BJ721" s="76"/>
      <c r="BK721" s="76"/>
      <c r="BL721" s="76"/>
      <c r="BM721" s="76"/>
      <c r="BN721" s="76"/>
      <c r="BO721" s="76"/>
      <c r="BP721" s="76"/>
      <c r="BQ721" s="76"/>
      <c r="BR721" s="76"/>
      <c r="BS721" s="76"/>
      <c r="BT721" s="76"/>
      <c r="BU721" s="76"/>
      <c r="BV721" s="76"/>
      <c r="BW721" s="76"/>
      <c r="BX721" s="76"/>
      <c r="BY721" s="76"/>
      <c r="BZ721" s="76"/>
      <c r="CA721" s="76"/>
      <c r="CB721" s="76"/>
      <c r="CC721" s="76"/>
      <c r="CD721" s="76"/>
      <c r="CE721" s="76"/>
      <c r="CF721" s="76"/>
      <c r="CG721" s="76"/>
      <c r="CH721" s="76"/>
    </row>
    <row r="722" spans="2:86">
      <c r="B722" s="76"/>
      <c r="C722" s="76"/>
      <c r="D722" s="76"/>
      <c r="E722" s="76"/>
      <c r="F722" s="76"/>
      <c r="G722" s="76"/>
      <c r="H722" s="76"/>
      <c r="I722" s="76"/>
      <c r="J722" s="76"/>
      <c r="K722" s="76"/>
      <c r="L722" s="76"/>
      <c r="AC722" s="76"/>
      <c r="AD722" s="76"/>
      <c r="AE722" s="76"/>
      <c r="AF722" s="76"/>
      <c r="AG722" s="76"/>
      <c r="AH722" s="76"/>
      <c r="AI722" s="76"/>
      <c r="AJ722" s="76"/>
      <c r="AK722" s="76"/>
      <c r="AL722" s="76"/>
      <c r="AM722" s="76"/>
      <c r="AN722" s="76"/>
      <c r="AO722" s="366"/>
      <c r="AP722" s="76"/>
      <c r="AQ722" s="76"/>
      <c r="AR722" s="76"/>
      <c r="AS722" s="76"/>
      <c r="AT722" s="76"/>
      <c r="AU722" s="76"/>
      <c r="AV722" s="76"/>
      <c r="AW722" s="76"/>
      <c r="AX722" s="76"/>
      <c r="AY722" s="76"/>
      <c r="AZ722" s="76"/>
      <c r="BA722" s="76"/>
      <c r="BB722" s="76"/>
      <c r="BC722" s="76"/>
      <c r="BD722" s="76"/>
      <c r="BE722" s="76"/>
      <c r="BF722" s="76"/>
      <c r="BG722" s="76"/>
      <c r="BH722" s="76"/>
      <c r="BI722" s="76"/>
      <c r="BJ722" s="76"/>
      <c r="BK722" s="76"/>
      <c r="BL722" s="76"/>
      <c r="BM722" s="76"/>
      <c r="BN722" s="76"/>
      <c r="BO722" s="76"/>
      <c r="BP722" s="76"/>
      <c r="BQ722" s="76"/>
      <c r="BR722" s="76"/>
      <c r="BS722" s="76"/>
      <c r="BT722" s="76"/>
      <c r="BU722" s="76"/>
      <c r="BV722" s="76"/>
      <c r="BW722" s="76"/>
      <c r="BX722" s="76"/>
      <c r="BY722" s="76"/>
      <c r="BZ722" s="76"/>
      <c r="CA722" s="76"/>
      <c r="CB722" s="76"/>
      <c r="CC722" s="76"/>
      <c r="CD722" s="76"/>
      <c r="CE722" s="76"/>
      <c r="CF722" s="76"/>
      <c r="CG722" s="76"/>
      <c r="CH722" s="76"/>
    </row>
    <row r="723" spans="2:86">
      <c r="AC723" s="76"/>
      <c r="AD723" s="76"/>
      <c r="AE723" s="76"/>
      <c r="AF723" s="76"/>
      <c r="AG723" s="76"/>
      <c r="AH723" s="76"/>
      <c r="AI723" s="76"/>
      <c r="AJ723" s="76"/>
      <c r="AK723" s="76"/>
      <c r="AL723" s="76"/>
      <c r="AM723" s="76"/>
      <c r="AN723" s="76"/>
      <c r="AO723" s="366"/>
      <c r="AP723" s="76"/>
      <c r="AQ723" s="76"/>
      <c r="AR723" s="76"/>
      <c r="AS723" s="76"/>
      <c r="AT723" s="76"/>
      <c r="AU723" s="76"/>
      <c r="AV723" s="76"/>
      <c r="AW723" s="76"/>
      <c r="AX723" s="76"/>
      <c r="AY723" s="76"/>
      <c r="AZ723" s="76"/>
      <c r="BA723" s="76"/>
      <c r="BB723" s="76"/>
      <c r="BC723" s="76"/>
      <c r="BD723" s="76"/>
      <c r="BE723" s="76"/>
      <c r="BF723" s="76"/>
      <c r="BG723" s="76"/>
      <c r="BH723" s="76"/>
      <c r="BI723" s="76"/>
      <c r="BJ723" s="76"/>
      <c r="BK723" s="76"/>
      <c r="BL723" s="76"/>
      <c r="BM723" s="76"/>
      <c r="BN723" s="76"/>
      <c r="BO723" s="76"/>
      <c r="BP723" s="76"/>
      <c r="BQ723" s="76"/>
      <c r="BR723" s="76"/>
      <c r="BS723" s="76"/>
      <c r="BT723" s="76"/>
      <c r="BU723" s="76"/>
      <c r="BV723" s="76"/>
      <c r="BW723" s="76"/>
      <c r="BX723" s="76"/>
      <c r="BY723" s="76"/>
      <c r="BZ723" s="76"/>
      <c r="CA723" s="76"/>
      <c r="CB723" s="76"/>
      <c r="CC723" s="76"/>
      <c r="CD723" s="76"/>
      <c r="CE723" s="76"/>
      <c r="CF723" s="76"/>
      <c r="CG723" s="76"/>
      <c r="CH723" s="76"/>
    </row>
    <row r="724" spans="2:86">
      <c r="AC724" s="76"/>
      <c r="AD724" s="76"/>
      <c r="AE724" s="76"/>
      <c r="AF724" s="76"/>
      <c r="AG724" s="76"/>
      <c r="AH724" s="76"/>
      <c r="AI724" s="76"/>
      <c r="AJ724" s="76"/>
      <c r="AK724" s="76"/>
      <c r="AL724" s="76"/>
      <c r="AM724" s="76"/>
      <c r="AN724" s="76"/>
      <c r="AO724" s="366"/>
      <c r="AP724" s="76"/>
      <c r="AQ724" s="76"/>
      <c r="AR724" s="76"/>
      <c r="AS724" s="76"/>
      <c r="AT724" s="76"/>
      <c r="AU724" s="76"/>
      <c r="AV724" s="76"/>
      <c r="AW724" s="76"/>
      <c r="AX724" s="76"/>
      <c r="AY724" s="76"/>
      <c r="AZ724" s="76"/>
      <c r="BA724" s="76"/>
      <c r="BB724" s="76"/>
      <c r="BC724" s="76"/>
      <c r="BD724" s="76"/>
      <c r="BE724" s="76"/>
      <c r="BF724" s="76"/>
      <c r="BG724" s="76"/>
      <c r="BH724" s="76"/>
      <c r="BI724" s="76"/>
      <c r="BJ724" s="76"/>
      <c r="BK724" s="76"/>
      <c r="BL724" s="76"/>
      <c r="BM724" s="76"/>
      <c r="BN724" s="76"/>
      <c r="BO724" s="76"/>
      <c r="BP724" s="76"/>
      <c r="BQ724" s="76"/>
      <c r="BR724" s="76"/>
      <c r="BS724" s="76"/>
      <c r="BT724" s="76"/>
      <c r="BU724" s="76"/>
      <c r="BV724" s="76"/>
      <c r="BW724" s="76"/>
      <c r="BX724" s="76"/>
      <c r="BY724" s="76"/>
      <c r="BZ724" s="76"/>
      <c r="CA724" s="76"/>
      <c r="CB724" s="76"/>
      <c r="CC724" s="76"/>
      <c r="CD724" s="76"/>
      <c r="CE724" s="76"/>
      <c r="CF724" s="76"/>
      <c r="CG724" s="76"/>
      <c r="CH724" s="76"/>
    </row>
    <row r="725" spans="2:86">
      <c r="AC725" s="76"/>
      <c r="AD725" s="76"/>
      <c r="AE725" s="76"/>
      <c r="AF725" s="76"/>
      <c r="AG725" s="76"/>
      <c r="AH725" s="76"/>
      <c r="AI725" s="76"/>
      <c r="AJ725" s="76"/>
      <c r="AK725" s="76"/>
      <c r="AL725" s="76"/>
      <c r="AM725" s="76"/>
      <c r="AN725" s="76"/>
      <c r="AO725" s="366"/>
      <c r="AP725" s="76"/>
      <c r="AQ725" s="76"/>
      <c r="AR725" s="76"/>
      <c r="AS725" s="76"/>
      <c r="AT725" s="76"/>
      <c r="AU725" s="76"/>
      <c r="AV725" s="76"/>
      <c r="AW725" s="76"/>
      <c r="AX725" s="76"/>
      <c r="AY725" s="76"/>
      <c r="AZ725" s="76"/>
      <c r="BA725" s="76"/>
      <c r="BB725" s="76"/>
      <c r="BC725" s="76"/>
      <c r="BD725" s="76"/>
      <c r="BE725" s="76"/>
      <c r="BF725" s="76"/>
      <c r="BG725" s="76"/>
      <c r="BH725" s="76"/>
      <c r="BI725" s="76"/>
      <c r="BJ725" s="76"/>
      <c r="BK725" s="76"/>
      <c r="BL725" s="76"/>
      <c r="BM725" s="76"/>
      <c r="BN725" s="76"/>
      <c r="BO725" s="76"/>
      <c r="BP725" s="76"/>
      <c r="BQ725" s="76"/>
      <c r="BR725" s="76"/>
      <c r="BS725" s="76"/>
      <c r="BT725" s="76"/>
      <c r="BU725" s="76"/>
      <c r="BV725" s="76"/>
      <c r="BW725" s="76"/>
      <c r="BX725" s="76"/>
      <c r="BY725" s="76"/>
      <c r="BZ725" s="76"/>
      <c r="CA725" s="76"/>
      <c r="CB725" s="76"/>
      <c r="CC725" s="76"/>
      <c r="CD725" s="76"/>
      <c r="CE725" s="76"/>
      <c r="CF725" s="76"/>
      <c r="CG725" s="76"/>
      <c r="CH725" s="76"/>
    </row>
    <row r="726" spans="2:86">
      <c r="AC726" s="76"/>
      <c r="AD726" s="76"/>
      <c r="AE726" s="76"/>
      <c r="AF726" s="76"/>
      <c r="AG726" s="76"/>
      <c r="AH726" s="76"/>
      <c r="AI726" s="76"/>
      <c r="AJ726" s="76"/>
      <c r="AK726" s="76"/>
      <c r="AL726" s="76"/>
      <c r="AM726" s="76"/>
      <c r="AN726" s="76"/>
      <c r="AO726" s="366"/>
      <c r="AP726" s="76"/>
      <c r="AQ726" s="76"/>
      <c r="AR726" s="76"/>
      <c r="AS726" s="76"/>
      <c r="AT726" s="76"/>
      <c r="AU726" s="76"/>
      <c r="AV726" s="76"/>
      <c r="AW726" s="76"/>
      <c r="AX726" s="76"/>
      <c r="AY726" s="76"/>
      <c r="AZ726" s="76"/>
      <c r="BA726" s="76"/>
      <c r="BB726" s="76"/>
      <c r="BC726" s="76"/>
      <c r="BD726" s="76"/>
      <c r="BE726" s="76"/>
      <c r="BF726" s="76"/>
      <c r="BG726" s="76"/>
      <c r="BH726" s="76"/>
      <c r="BI726" s="76"/>
      <c r="BJ726" s="76"/>
      <c r="BK726" s="76"/>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6"/>
      <c r="CH726" s="76"/>
    </row>
    <row r="727" spans="2:86">
      <c r="AC727" s="76"/>
      <c r="AD727" s="76"/>
      <c r="AE727" s="76"/>
      <c r="AF727" s="76"/>
      <c r="AG727" s="76"/>
      <c r="AH727" s="76"/>
      <c r="AI727" s="76"/>
      <c r="AJ727" s="76"/>
      <c r="AK727" s="76"/>
      <c r="AL727" s="76"/>
      <c r="AM727" s="76"/>
      <c r="AN727" s="76"/>
      <c r="AO727" s="366"/>
      <c r="AP727" s="76"/>
      <c r="AQ727" s="76"/>
      <c r="AR727" s="76"/>
      <c r="AS727" s="76"/>
      <c r="AT727" s="76"/>
      <c r="AU727" s="76"/>
      <c r="AV727" s="76"/>
      <c r="AW727" s="76"/>
      <c r="AX727" s="76"/>
      <c r="AY727" s="76"/>
      <c r="AZ727" s="76"/>
      <c r="BA727" s="76"/>
      <c r="BB727" s="76"/>
      <c r="BC727" s="76"/>
      <c r="BD727" s="76"/>
      <c r="BE727" s="76"/>
      <c r="BF727" s="76"/>
      <c r="BG727" s="76"/>
      <c r="BH727" s="76"/>
      <c r="BI727" s="76"/>
      <c r="BJ727" s="76"/>
      <c r="BK727" s="76"/>
      <c r="BL727" s="76"/>
      <c r="BM727" s="76"/>
      <c r="BN727" s="76"/>
      <c r="BO727" s="76"/>
      <c r="BP727" s="76"/>
      <c r="BQ727" s="76"/>
      <c r="BR727" s="76"/>
      <c r="BS727" s="76"/>
      <c r="BT727" s="76"/>
      <c r="BU727" s="76"/>
      <c r="BV727" s="76"/>
      <c r="BW727" s="76"/>
      <c r="BX727" s="76"/>
      <c r="BY727" s="76"/>
      <c r="BZ727" s="76"/>
      <c r="CA727" s="76"/>
      <c r="CB727" s="76"/>
      <c r="CC727" s="76"/>
      <c r="CD727" s="76"/>
      <c r="CE727" s="76"/>
      <c r="CF727" s="76"/>
      <c r="CG727" s="76"/>
      <c r="CH727" s="76"/>
    </row>
    <row r="728" spans="2:86">
      <c r="AC728" s="76"/>
      <c r="AD728" s="76"/>
      <c r="AE728" s="76"/>
      <c r="AF728" s="76"/>
      <c r="AG728" s="76"/>
      <c r="AH728" s="76"/>
      <c r="AI728" s="76"/>
      <c r="AJ728" s="76"/>
      <c r="AK728" s="76"/>
      <c r="AL728" s="76"/>
      <c r="AM728" s="76"/>
      <c r="AN728" s="76"/>
      <c r="AO728" s="366"/>
      <c r="AP728" s="76"/>
      <c r="AQ728" s="76"/>
      <c r="AR728" s="76"/>
      <c r="AS728" s="76"/>
      <c r="AT728" s="76"/>
      <c r="AU728" s="76"/>
      <c r="AV728" s="76"/>
      <c r="AW728" s="76"/>
      <c r="AX728" s="76"/>
      <c r="AY728" s="76"/>
      <c r="AZ728" s="76"/>
      <c r="BA728" s="76"/>
      <c r="BB728" s="76"/>
      <c r="BC728" s="76"/>
      <c r="BD728" s="76"/>
      <c r="BE728" s="76"/>
      <c r="BF728" s="76"/>
      <c r="BG728" s="76"/>
      <c r="BH728" s="76"/>
      <c r="BI728" s="76"/>
      <c r="BJ728" s="76"/>
      <c r="BK728" s="76"/>
      <c r="BL728" s="76"/>
      <c r="BM728" s="76"/>
      <c r="BN728" s="76"/>
      <c r="BO728" s="76"/>
      <c r="BP728" s="76"/>
      <c r="BQ728" s="76"/>
      <c r="BR728" s="76"/>
      <c r="BS728" s="76"/>
      <c r="BT728" s="76"/>
      <c r="BU728" s="76"/>
      <c r="BV728" s="76"/>
      <c r="BW728" s="76"/>
      <c r="BX728" s="76"/>
      <c r="BY728" s="76"/>
      <c r="BZ728" s="76"/>
      <c r="CA728" s="76"/>
      <c r="CB728" s="76"/>
      <c r="CC728" s="76"/>
      <c r="CD728" s="76"/>
      <c r="CE728" s="76"/>
      <c r="CF728" s="76"/>
      <c r="CG728" s="76"/>
      <c r="CH728" s="76"/>
    </row>
    <row r="729" spans="2:86">
      <c r="AC729" s="76"/>
      <c r="AD729" s="76"/>
      <c r="AE729" s="76"/>
      <c r="AF729" s="76"/>
      <c r="AG729" s="76"/>
      <c r="AH729" s="76"/>
      <c r="AI729" s="76"/>
      <c r="AJ729" s="76"/>
      <c r="AK729" s="76"/>
      <c r="AL729" s="76"/>
      <c r="AM729" s="76"/>
      <c r="AN729" s="76"/>
      <c r="AO729" s="366"/>
      <c r="AP729" s="76"/>
      <c r="AQ729" s="76"/>
      <c r="AR729" s="76"/>
      <c r="AS729" s="76"/>
      <c r="AT729" s="76"/>
      <c r="AU729" s="76"/>
      <c r="AV729" s="76"/>
      <c r="AW729" s="76"/>
      <c r="AX729" s="76"/>
      <c r="AY729" s="76"/>
      <c r="AZ729" s="76"/>
      <c r="BA729" s="76"/>
      <c r="BB729" s="76"/>
      <c r="BC729" s="76"/>
      <c r="BD729" s="76"/>
      <c r="BE729" s="76"/>
      <c r="BF729" s="76"/>
      <c r="BG729" s="76"/>
      <c r="BH729" s="76"/>
      <c r="BI729" s="76"/>
      <c r="BJ729" s="76"/>
      <c r="BK729" s="76"/>
      <c r="BL729" s="76"/>
      <c r="BM729" s="76"/>
      <c r="BN729" s="76"/>
      <c r="BO729" s="76"/>
      <c r="BP729" s="76"/>
      <c r="BQ729" s="76"/>
      <c r="BR729" s="76"/>
      <c r="BS729" s="76"/>
      <c r="BT729" s="76"/>
      <c r="BU729" s="76"/>
      <c r="BV729" s="76"/>
      <c r="BW729" s="76"/>
      <c r="BX729" s="76"/>
      <c r="BY729" s="76"/>
      <c r="BZ729" s="76"/>
      <c r="CA729" s="76"/>
      <c r="CB729" s="76"/>
      <c r="CC729" s="76"/>
      <c r="CD729" s="76"/>
      <c r="CE729" s="76"/>
      <c r="CF729" s="76"/>
      <c r="CG729" s="76"/>
      <c r="CH729" s="76"/>
    </row>
    <row r="730" spans="2:86">
      <c r="AC730" s="76"/>
      <c r="AD730" s="76"/>
      <c r="AE730" s="76"/>
      <c r="AF730" s="76"/>
      <c r="AG730" s="76"/>
      <c r="AH730" s="76"/>
      <c r="AI730" s="76"/>
      <c r="AJ730" s="76"/>
      <c r="AK730" s="76"/>
      <c r="AL730" s="76"/>
      <c r="AM730" s="76"/>
      <c r="AN730" s="76"/>
      <c r="AO730" s="366"/>
      <c r="AP730" s="76"/>
      <c r="AQ730" s="76"/>
      <c r="AR730" s="76"/>
      <c r="AS730" s="76"/>
      <c r="AT730" s="76"/>
      <c r="AU730" s="76"/>
      <c r="AV730" s="76"/>
      <c r="AW730" s="76"/>
      <c r="AX730" s="76"/>
      <c r="AY730" s="76"/>
      <c r="AZ730" s="76"/>
      <c r="BA730" s="76"/>
      <c r="BB730" s="76"/>
      <c r="BC730" s="76"/>
      <c r="BD730" s="76"/>
      <c r="BE730" s="76"/>
      <c r="BF730" s="76"/>
      <c r="BG730" s="76"/>
      <c r="BH730" s="76"/>
      <c r="BI730" s="76"/>
      <c r="BJ730" s="76"/>
      <c r="BK730" s="76"/>
      <c r="BL730" s="76"/>
      <c r="BM730" s="76"/>
      <c r="BN730" s="76"/>
      <c r="BO730" s="76"/>
      <c r="BP730" s="76"/>
      <c r="BQ730" s="76"/>
      <c r="BR730" s="76"/>
      <c r="BS730" s="76"/>
      <c r="BT730" s="76"/>
      <c r="BU730" s="76"/>
      <c r="BV730" s="76"/>
      <c r="BW730" s="76"/>
      <c r="BX730" s="76"/>
      <c r="BY730" s="76"/>
      <c r="BZ730" s="76"/>
      <c r="CA730" s="76"/>
      <c r="CB730" s="76"/>
      <c r="CC730" s="76"/>
      <c r="CD730" s="76"/>
      <c r="CE730" s="76"/>
      <c r="CF730" s="76"/>
      <c r="CG730" s="76"/>
      <c r="CH730" s="76"/>
    </row>
    <row r="731" spans="2:86">
      <c r="AC731" s="76"/>
      <c r="AD731" s="76"/>
      <c r="AE731" s="76"/>
      <c r="AF731" s="76"/>
      <c r="AG731" s="76"/>
      <c r="AH731" s="76"/>
      <c r="AI731" s="76"/>
      <c r="AJ731" s="76"/>
      <c r="AK731" s="76"/>
      <c r="AL731" s="76"/>
      <c r="AM731" s="76"/>
      <c r="AN731" s="76"/>
      <c r="AO731" s="36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row>
    <row r="732" spans="2:86">
      <c r="AC732" s="76"/>
      <c r="AD732" s="76"/>
      <c r="AE732" s="76"/>
      <c r="AF732" s="76"/>
      <c r="AG732" s="76"/>
      <c r="AH732" s="76"/>
      <c r="AI732" s="76"/>
      <c r="AJ732" s="76"/>
      <c r="AK732" s="76"/>
      <c r="AL732" s="76"/>
      <c r="AM732" s="76"/>
      <c r="AN732" s="76"/>
      <c r="AO732" s="366"/>
      <c r="AP732" s="76"/>
      <c r="AQ732" s="76"/>
      <c r="AR732" s="76"/>
      <c r="AS732" s="76"/>
      <c r="AT732" s="76"/>
      <c r="AU732" s="76"/>
      <c r="AV732" s="76"/>
      <c r="AW732" s="76"/>
      <c r="AX732" s="76"/>
      <c r="AY732" s="76"/>
      <c r="AZ732" s="76"/>
      <c r="BA732" s="76"/>
      <c r="BB732" s="76"/>
      <c r="BC732" s="76"/>
      <c r="BD732" s="76"/>
      <c r="BE732" s="76"/>
      <c r="BF732" s="76"/>
      <c r="BG732" s="76"/>
      <c r="BH732" s="76"/>
      <c r="BI732" s="76"/>
      <c r="BJ732" s="76"/>
      <c r="BK732" s="76"/>
      <c r="BL732" s="76"/>
      <c r="BM732" s="76"/>
      <c r="BN732" s="76"/>
      <c r="BO732" s="76"/>
      <c r="BP732" s="76"/>
      <c r="BQ732" s="76"/>
      <c r="BR732" s="76"/>
      <c r="BS732" s="76"/>
      <c r="BT732" s="76"/>
      <c r="BU732" s="76"/>
      <c r="BV732" s="76"/>
      <c r="BW732" s="76"/>
      <c r="BX732" s="76"/>
      <c r="BY732" s="76"/>
      <c r="BZ732" s="76"/>
      <c r="CA732" s="76"/>
      <c r="CB732" s="76"/>
      <c r="CC732" s="76"/>
      <c r="CD732" s="76"/>
      <c r="CE732" s="76"/>
      <c r="CF732" s="76"/>
      <c r="CG732" s="76"/>
      <c r="CH732" s="76"/>
    </row>
    <row r="733" spans="2:86">
      <c r="AC733" s="76"/>
      <c r="AD733" s="76"/>
      <c r="AE733" s="76"/>
      <c r="AF733" s="76"/>
      <c r="AG733" s="76"/>
      <c r="AH733" s="76"/>
      <c r="AI733" s="76"/>
      <c r="AJ733" s="76"/>
      <c r="AK733" s="76"/>
      <c r="AL733" s="76"/>
      <c r="AM733" s="76"/>
      <c r="AN733" s="76"/>
      <c r="AO733" s="366"/>
      <c r="AP733" s="76"/>
      <c r="AQ733" s="76"/>
      <c r="AR733" s="76"/>
      <c r="AS733" s="76"/>
      <c r="AT733" s="76"/>
      <c r="AU733" s="76"/>
      <c r="AV733" s="76"/>
      <c r="AW733" s="76"/>
      <c r="AX733" s="76"/>
      <c r="AY733" s="76"/>
      <c r="AZ733" s="76"/>
      <c r="BA733" s="76"/>
      <c r="BB733" s="76"/>
      <c r="BC733" s="76"/>
      <c r="BD733" s="76"/>
      <c r="BE733" s="76"/>
      <c r="BF733" s="76"/>
      <c r="BG733" s="76"/>
      <c r="BH733" s="76"/>
      <c r="BI733" s="76"/>
      <c r="BJ733" s="76"/>
      <c r="BK733" s="76"/>
      <c r="BL733" s="76"/>
      <c r="BM733" s="76"/>
      <c r="BN733" s="76"/>
      <c r="BO733" s="76"/>
      <c r="BP733" s="76"/>
      <c r="BQ733" s="76"/>
      <c r="BR733" s="76"/>
      <c r="BS733" s="76"/>
      <c r="BT733" s="76"/>
      <c r="BU733" s="76"/>
      <c r="BV733" s="76"/>
      <c r="BW733" s="76"/>
      <c r="BX733" s="76"/>
      <c r="BY733" s="76"/>
      <c r="BZ733" s="76"/>
      <c r="CA733" s="76"/>
      <c r="CB733" s="76"/>
      <c r="CC733" s="76"/>
      <c r="CD733" s="76"/>
      <c r="CE733" s="76"/>
      <c r="CF733" s="76"/>
      <c r="CG733" s="76"/>
      <c r="CH733" s="76"/>
    </row>
    <row r="734" spans="2:86">
      <c r="AC734" s="76"/>
      <c r="AD734" s="76"/>
      <c r="AE734" s="76"/>
      <c r="AF734" s="76"/>
      <c r="AG734" s="76"/>
      <c r="AH734" s="76"/>
      <c r="AI734" s="76"/>
      <c r="AJ734" s="76"/>
      <c r="AK734" s="76"/>
      <c r="AL734" s="76"/>
      <c r="AM734" s="76"/>
      <c r="AN734" s="76"/>
      <c r="AO734" s="366"/>
      <c r="AP734" s="76"/>
      <c r="AQ734" s="76"/>
      <c r="AR734" s="76"/>
      <c r="AS734" s="76"/>
      <c r="AT734" s="76"/>
      <c r="AU734" s="76"/>
      <c r="AV734" s="76"/>
      <c r="AW734" s="76"/>
      <c r="AX734" s="76"/>
      <c r="AY734" s="76"/>
      <c r="AZ734" s="76"/>
      <c r="BA734" s="76"/>
      <c r="BB734" s="76"/>
      <c r="BC734" s="76"/>
      <c r="BD734" s="76"/>
      <c r="BE734" s="76"/>
      <c r="BF734" s="76"/>
      <c r="BG734" s="76"/>
      <c r="BH734" s="76"/>
      <c r="BI734" s="76"/>
      <c r="BJ734" s="76"/>
      <c r="BK734" s="76"/>
      <c r="BL734" s="76"/>
      <c r="BM734" s="76"/>
      <c r="BN734" s="76"/>
      <c r="BO734" s="76"/>
      <c r="BP734" s="76"/>
      <c r="BQ734" s="76"/>
      <c r="BR734" s="76"/>
      <c r="BS734" s="76"/>
      <c r="BT734" s="76"/>
      <c r="BU734" s="76"/>
      <c r="BV734" s="76"/>
      <c r="BW734" s="76"/>
      <c r="BX734" s="76"/>
      <c r="BY734" s="76"/>
      <c r="BZ734" s="76"/>
      <c r="CA734" s="76"/>
      <c r="CB734" s="76"/>
      <c r="CC734" s="76"/>
      <c r="CD734" s="76"/>
      <c r="CE734" s="76"/>
      <c r="CF734" s="76"/>
      <c r="CG734" s="76"/>
      <c r="CH734" s="76"/>
    </row>
    <row r="735" spans="2:86">
      <c r="AC735" s="76"/>
      <c r="AD735" s="76"/>
      <c r="AE735" s="76"/>
      <c r="AF735" s="76"/>
      <c r="AG735" s="76"/>
      <c r="AH735" s="76"/>
      <c r="AI735" s="76"/>
      <c r="AJ735" s="76"/>
      <c r="AK735" s="76"/>
      <c r="AL735" s="76"/>
      <c r="AM735" s="76"/>
      <c r="AN735" s="76"/>
      <c r="AO735" s="366"/>
      <c r="AP735" s="76"/>
      <c r="AQ735" s="76"/>
      <c r="AR735" s="76"/>
      <c r="AS735" s="76"/>
      <c r="AT735" s="76"/>
      <c r="AU735" s="76"/>
      <c r="AV735" s="76"/>
      <c r="AW735" s="76"/>
      <c r="AX735" s="76"/>
      <c r="AY735" s="76"/>
      <c r="AZ735" s="76"/>
      <c r="BA735" s="76"/>
      <c r="BB735" s="76"/>
      <c r="BC735" s="76"/>
      <c r="BD735" s="76"/>
      <c r="BE735" s="76"/>
      <c r="BF735" s="76"/>
      <c r="BG735" s="76"/>
      <c r="BH735" s="76"/>
      <c r="BI735" s="76"/>
      <c r="BJ735" s="76"/>
      <c r="BK735" s="76"/>
      <c r="BL735" s="76"/>
      <c r="BM735" s="76"/>
      <c r="BN735" s="76"/>
      <c r="BO735" s="76"/>
      <c r="BP735" s="76"/>
      <c r="BQ735" s="76"/>
      <c r="BR735" s="76"/>
      <c r="BS735" s="76"/>
      <c r="BT735" s="76"/>
      <c r="BU735" s="76"/>
      <c r="BV735" s="76"/>
      <c r="BW735" s="76"/>
      <c r="BX735" s="76"/>
      <c r="BY735" s="76"/>
      <c r="BZ735" s="76"/>
      <c r="CA735" s="76"/>
      <c r="CB735" s="76"/>
      <c r="CC735" s="76"/>
      <c r="CD735" s="76"/>
      <c r="CE735" s="76"/>
      <c r="CF735" s="76"/>
      <c r="CG735" s="76"/>
      <c r="CH735" s="76"/>
    </row>
    <row r="736" spans="2:86">
      <c r="AC736" s="76"/>
      <c r="AD736" s="76"/>
      <c r="AE736" s="76"/>
      <c r="AF736" s="76"/>
      <c r="AG736" s="76"/>
      <c r="AH736" s="76"/>
      <c r="AI736" s="76"/>
      <c r="AJ736" s="76"/>
      <c r="AK736" s="76"/>
      <c r="AL736" s="76"/>
      <c r="AM736" s="76"/>
      <c r="AN736" s="76"/>
      <c r="AO736" s="366"/>
      <c r="AP736" s="76"/>
      <c r="AQ736" s="76"/>
      <c r="AR736" s="76"/>
      <c r="AS736" s="76"/>
      <c r="AT736" s="76"/>
      <c r="AU736" s="76"/>
      <c r="AV736" s="76"/>
      <c r="AW736" s="76"/>
      <c r="AX736" s="76"/>
      <c r="AY736" s="76"/>
      <c r="AZ736" s="76"/>
      <c r="BA736" s="76"/>
      <c r="BB736" s="76"/>
      <c r="BC736" s="76"/>
      <c r="BD736" s="76"/>
      <c r="BE736" s="76"/>
      <c r="BF736" s="76"/>
      <c r="BG736" s="76"/>
      <c r="BH736" s="76"/>
      <c r="BI736" s="76"/>
      <c r="BJ736" s="76"/>
      <c r="BK736" s="76"/>
      <c r="BL736" s="76"/>
      <c r="BM736" s="76"/>
      <c r="BN736" s="76"/>
      <c r="BO736" s="76"/>
      <c r="BP736" s="76"/>
      <c r="BQ736" s="76"/>
      <c r="BR736" s="76"/>
      <c r="BS736" s="76"/>
      <c r="BT736" s="76"/>
      <c r="BU736" s="76"/>
      <c r="BV736" s="76"/>
      <c r="BW736" s="76"/>
      <c r="BX736" s="76"/>
      <c r="BY736" s="76"/>
      <c r="BZ736" s="76"/>
      <c r="CA736" s="76"/>
      <c r="CB736" s="76"/>
      <c r="CC736" s="76"/>
      <c r="CD736" s="76"/>
      <c r="CE736" s="76"/>
      <c r="CF736" s="76"/>
      <c r="CG736" s="76"/>
      <c r="CH736" s="76"/>
    </row>
    <row r="737" spans="29:86">
      <c r="AC737" s="76"/>
      <c r="AD737" s="76"/>
      <c r="AE737" s="76"/>
      <c r="AF737" s="76"/>
      <c r="AG737" s="76"/>
      <c r="AH737" s="76"/>
      <c r="AI737" s="76"/>
      <c r="AJ737" s="76"/>
      <c r="AK737" s="76"/>
      <c r="AL737" s="76"/>
      <c r="AM737" s="76"/>
      <c r="AN737" s="76"/>
      <c r="AO737" s="366"/>
      <c r="AP737" s="76"/>
      <c r="AQ737" s="76"/>
      <c r="AR737" s="76"/>
      <c r="AS737" s="76"/>
      <c r="AT737" s="76"/>
      <c r="AU737" s="76"/>
      <c r="AV737" s="76"/>
      <c r="AW737" s="76"/>
      <c r="AX737" s="76"/>
      <c r="AY737" s="76"/>
      <c r="AZ737" s="76"/>
      <c r="BA737" s="76"/>
      <c r="BB737" s="76"/>
      <c r="BC737" s="76"/>
      <c r="BD737" s="76"/>
      <c r="BE737" s="76"/>
      <c r="BF737" s="76"/>
      <c r="BG737" s="76"/>
      <c r="BH737" s="76"/>
      <c r="BI737" s="76"/>
      <c r="BJ737" s="76"/>
      <c r="BK737" s="76"/>
      <c r="BL737" s="76"/>
      <c r="BM737" s="76"/>
      <c r="BN737" s="76"/>
      <c r="BO737" s="76"/>
      <c r="BP737" s="76"/>
      <c r="BQ737" s="76"/>
      <c r="BR737" s="76"/>
      <c r="BS737" s="76"/>
      <c r="BT737" s="76"/>
      <c r="BU737" s="76"/>
      <c r="BV737" s="76"/>
      <c r="BW737" s="76"/>
      <c r="BX737" s="76"/>
      <c r="BY737" s="76"/>
      <c r="BZ737" s="76"/>
      <c r="CA737" s="76"/>
      <c r="CB737" s="76"/>
      <c r="CC737" s="76"/>
      <c r="CD737" s="76"/>
      <c r="CE737" s="76"/>
      <c r="CF737" s="76"/>
      <c r="CG737" s="76"/>
      <c r="CH737" s="76"/>
    </row>
    <row r="738" spans="29:86">
      <c r="AC738" s="76"/>
      <c r="AD738" s="76"/>
      <c r="AE738" s="76"/>
      <c r="AF738" s="76"/>
      <c r="AG738" s="76"/>
      <c r="AH738" s="76"/>
      <c r="AI738" s="76"/>
      <c r="AJ738" s="76"/>
      <c r="AK738" s="76"/>
      <c r="AL738" s="76"/>
      <c r="AM738" s="76"/>
      <c r="AN738" s="76"/>
      <c r="AO738" s="366"/>
      <c r="AP738" s="76"/>
      <c r="AQ738" s="76"/>
      <c r="AR738" s="76"/>
      <c r="AS738" s="76"/>
      <c r="AT738" s="76"/>
      <c r="AU738" s="76"/>
      <c r="AV738" s="76"/>
      <c r="AW738" s="76"/>
      <c r="AX738" s="76"/>
      <c r="AY738" s="76"/>
      <c r="AZ738" s="76"/>
      <c r="BA738" s="76"/>
      <c r="BB738" s="76"/>
      <c r="BC738" s="76"/>
      <c r="BD738" s="76"/>
      <c r="BE738" s="76"/>
      <c r="BF738" s="76"/>
      <c r="BG738" s="76"/>
      <c r="BH738" s="76"/>
      <c r="BI738" s="76"/>
      <c r="BJ738" s="76"/>
      <c r="BK738" s="76"/>
      <c r="BL738" s="76"/>
      <c r="BM738" s="76"/>
      <c r="BN738" s="76"/>
      <c r="BO738" s="76"/>
      <c r="BP738" s="76"/>
      <c r="BQ738" s="76"/>
      <c r="BR738" s="76"/>
      <c r="BS738" s="76"/>
      <c r="BT738" s="76"/>
      <c r="BU738" s="76"/>
      <c r="BV738" s="76"/>
      <c r="BW738" s="76"/>
      <c r="BX738" s="76"/>
      <c r="BY738" s="76"/>
      <c r="BZ738" s="76"/>
      <c r="CA738" s="76"/>
      <c r="CB738" s="76"/>
      <c r="CC738" s="76"/>
      <c r="CD738" s="76"/>
      <c r="CE738" s="76"/>
      <c r="CF738" s="76"/>
      <c r="CG738" s="76"/>
      <c r="CH738" s="76"/>
    </row>
    <row r="739" spans="29:86">
      <c r="AC739" s="76"/>
      <c r="AD739" s="76"/>
      <c r="AE739" s="76"/>
      <c r="AF739" s="76"/>
      <c r="AG739" s="76"/>
      <c r="AH739" s="76"/>
      <c r="AI739" s="76"/>
      <c r="AJ739" s="76"/>
      <c r="AK739" s="76"/>
      <c r="AL739" s="76"/>
      <c r="AM739" s="76"/>
      <c r="AN739" s="76"/>
      <c r="AO739" s="366"/>
      <c r="AP739" s="76"/>
      <c r="AQ739" s="76"/>
      <c r="AR739" s="76"/>
      <c r="AS739" s="76"/>
      <c r="AT739" s="76"/>
      <c r="AU739" s="76"/>
      <c r="AV739" s="76"/>
      <c r="AW739" s="76"/>
      <c r="AX739" s="76"/>
      <c r="AY739" s="76"/>
      <c r="AZ739" s="76"/>
      <c r="BA739" s="76"/>
      <c r="BB739" s="76"/>
      <c r="BC739" s="76"/>
      <c r="BD739" s="76"/>
      <c r="BE739" s="76"/>
      <c r="BF739" s="76"/>
      <c r="BG739" s="76"/>
      <c r="BH739" s="76"/>
      <c r="BI739" s="76"/>
      <c r="BJ739" s="76"/>
      <c r="BK739" s="76"/>
      <c r="BL739" s="76"/>
      <c r="BM739" s="76"/>
      <c r="BN739" s="76"/>
      <c r="BO739" s="76"/>
      <c r="BP739" s="76"/>
      <c r="BQ739" s="76"/>
      <c r="BR739" s="76"/>
      <c r="BS739" s="76"/>
      <c r="BT739" s="76"/>
      <c r="BU739" s="76"/>
      <c r="BV739" s="76"/>
      <c r="BW739" s="76"/>
      <c r="BX739" s="76"/>
      <c r="BY739" s="76"/>
      <c r="BZ739" s="76"/>
      <c r="CA739" s="76"/>
      <c r="CB739" s="76"/>
      <c r="CC739" s="76"/>
      <c r="CD739" s="76"/>
      <c r="CE739" s="76"/>
      <c r="CF739" s="76"/>
      <c r="CG739" s="76"/>
      <c r="CH739" s="76"/>
    </row>
    <row r="740" spans="29:86">
      <c r="AC740" s="76"/>
      <c r="AD740" s="76"/>
      <c r="AE740" s="76"/>
      <c r="AF740" s="76"/>
      <c r="AG740" s="76"/>
      <c r="AH740" s="76"/>
      <c r="AI740" s="76"/>
      <c r="AJ740" s="76"/>
      <c r="AK740" s="76"/>
      <c r="AL740" s="76"/>
      <c r="AM740" s="76"/>
      <c r="AN740" s="76"/>
      <c r="AO740" s="366"/>
      <c r="AP740" s="76"/>
      <c r="AQ740" s="76"/>
      <c r="AR740" s="76"/>
      <c r="AS740" s="76"/>
      <c r="AT740" s="76"/>
      <c r="AU740" s="76"/>
      <c r="AV740" s="76"/>
      <c r="AW740" s="76"/>
      <c r="AX740" s="76"/>
      <c r="AY740" s="76"/>
      <c r="AZ740" s="76"/>
      <c r="BA740" s="76"/>
      <c r="BB740" s="76"/>
      <c r="BC740" s="76"/>
      <c r="BD740" s="76"/>
      <c r="BE740" s="76"/>
      <c r="BF740" s="76"/>
      <c r="BG740" s="76"/>
      <c r="BH740" s="76"/>
      <c r="BI740" s="76"/>
      <c r="BJ740" s="76"/>
      <c r="BK740" s="76"/>
      <c r="BL740" s="76"/>
      <c r="BM740" s="76"/>
      <c r="BN740" s="76"/>
      <c r="BO740" s="76"/>
      <c r="BP740" s="76"/>
      <c r="BQ740" s="76"/>
      <c r="BR740" s="76"/>
      <c r="BS740" s="76"/>
      <c r="BT740" s="76"/>
      <c r="BU740" s="76"/>
      <c r="BV740" s="76"/>
      <c r="BW740" s="76"/>
      <c r="BX740" s="76"/>
      <c r="BY740" s="76"/>
      <c r="BZ740" s="76"/>
      <c r="CA740" s="76"/>
      <c r="CB740" s="76"/>
      <c r="CC740" s="76"/>
      <c r="CD740" s="76"/>
      <c r="CE740" s="76"/>
      <c r="CF740" s="76"/>
      <c r="CG740" s="76"/>
      <c r="CH740" s="76"/>
    </row>
    <row r="741" spans="29:86">
      <c r="AC741" s="76"/>
      <c r="AD741" s="76"/>
      <c r="AE741" s="76"/>
      <c r="AF741" s="76"/>
      <c r="AG741" s="76"/>
      <c r="AH741" s="76"/>
      <c r="AI741" s="76"/>
      <c r="AJ741" s="76"/>
      <c r="AK741" s="76"/>
      <c r="AL741" s="76"/>
      <c r="AM741" s="76"/>
      <c r="AN741" s="76"/>
      <c r="AO741" s="366"/>
      <c r="AP741" s="76"/>
      <c r="AQ741" s="76"/>
      <c r="AR741" s="76"/>
      <c r="AS741" s="76"/>
      <c r="AT741" s="76"/>
      <c r="AU741" s="76"/>
      <c r="AV741" s="76"/>
      <c r="AW741" s="76"/>
      <c r="AX741" s="76"/>
      <c r="AY741" s="76"/>
      <c r="AZ741" s="76"/>
      <c r="BA741" s="76"/>
      <c r="BB741" s="76"/>
      <c r="BC741" s="76"/>
      <c r="BD741" s="76"/>
      <c r="BE741" s="76"/>
      <c r="BF741" s="76"/>
      <c r="BG741" s="76"/>
      <c r="BH741" s="76"/>
      <c r="BI741" s="76"/>
      <c r="BJ741" s="76"/>
      <c r="BK741" s="76"/>
      <c r="BL741" s="76"/>
      <c r="BM741" s="76"/>
      <c r="BN741" s="76"/>
      <c r="BO741" s="76"/>
      <c r="BP741" s="76"/>
      <c r="BQ741" s="76"/>
      <c r="BR741" s="76"/>
      <c r="BS741" s="76"/>
      <c r="BT741" s="76"/>
      <c r="BU741" s="76"/>
      <c r="BV741" s="76"/>
      <c r="BW741" s="76"/>
      <c r="BX741" s="76"/>
      <c r="BY741" s="76"/>
      <c r="BZ741" s="76"/>
      <c r="CA741" s="76"/>
      <c r="CB741" s="76"/>
      <c r="CC741" s="76"/>
      <c r="CD741" s="76"/>
      <c r="CE741" s="76"/>
      <c r="CF741" s="76"/>
      <c r="CG741" s="76"/>
      <c r="CH741" s="76"/>
    </row>
    <row r="742" spans="29:86">
      <c r="AC742" s="76"/>
      <c r="AD742" s="76"/>
      <c r="AE742" s="76"/>
      <c r="AF742" s="76"/>
      <c r="AG742" s="76"/>
      <c r="AH742" s="76"/>
      <c r="AI742" s="76"/>
      <c r="AJ742" s="76"/>
      <c r="AK742" s="76"/>
      <c r="AL742" s="76"/>
      <c r="AM742" s="76"/>
      <c r="AN742" s="76"/>
      <c r="AO742" s="366"/>
      <c r="AP742" s="76"/>
      <c r="AQ742" s="76"/>
      <c r="AR742" s="76"/>
      <c r="AS742" s="76"/>
      <c r="AT742" s="76"/>
      <c r="AU742" s="76"/>
      <c r="AV742" s="76"/>
      <c r="AW742" s="76"/>
      <c r="AX742" s="76"/>
      <c r="AY742" s="76"/>
      <c r="AZ742" s="76"/>
      <c r="BA742" s="76"/>
      <c r="BB742" s="76"/>
      <c r="BC742" s="76"/>
      <c r="BD742" s="76"/>
      <c r="BE742" s="76"/>
      <c r="BF742" s="76"/>
      <c r="BG742" s="76"/>
      <c r="BH742" s="76"/>
      <c r="BI742" s="76"/>
      <c r="BJ742" s="76"/>
      <c r="BK742" s="76"/>
      <c r="BL742" s="76"/>
      <c r="BM742" s="76"/>
      <c r="BN742" s="76"/>
      <c r="BO742" s="76"/>
      <c r="BP742" s="76"/>
      <c r="BQ742" s="76"/>
      <c r="BR742" s="76"/>
      <c r="BS742" s="76"/>
      <c r="BT742" s="76"/>
      <c r="BU742" s="76"/>
      <c r="BV742" s="76"/>
      <c r="BW742" s="76"/>
      <c r="BX742" s="76"/>
      <c r="BY742" s="76"/>
      <c r="BZ742" s="76"/>
      <c r="CA742" s="76"/>
      <c r="CB742" s="76"/>
      <c r="CC742" s="76"/>
      <c r="CD742" s="76"/>
      <c r="CE742" s="76"/>
      <c r="CF742" s="76"/>
      <c r="CG742" s="76"/>
      <c r="CH742" s="76"/>
    </row>
    <row r="743" spans="29:86">
      <c r="AC743" s="76"/>
      <c r="AD743" s="76"/>
      <c r="AE743" s="76"/>
      <c r="AF743" s="76"/>
      <c r="AG743" s="76"/>
      <c r="AH743" s="76"/>
      <c r="AI743" s="76"/>
      <c r="AJ743" s="76"/>
      <c r="AK743" s="76"/>
      <c r="AL743" s="76"/>
      <c r="AM743" s="76"/>
      <c r="AN743" s="76"/>
      <c r="AO743" s="366"/>
      <c r="AP743" s="76"/>
      <c r="AQ743" s="76"/>
      <c r="AR743" s="76"/>
      <c r="AS743" s="76"/>
      <c r="AT743" s="76"/>
      <c r="AU743" s="76"/>
      <c r="AV743" s="76"/>
      <c r="AW743" s="76"/>
      <c r="AX743" s="76"/>
      <c r="AY743" s="76"/>
      <c r="AZ743" s="76"/>
      <c r="BA743" s="76"/>
      <c r="BB743" s="76"/>
      <c r="BC743" s="76"/>
      <c r="BD743" s="76"/>
      <c r="BE743" s="76"/>
      <c r="BF743" s="76"/>
      <c r="BG743" s="76"/>
      <c r="BH743" s="76"/>
      <c r="BI743" s="76"/>
      <c r="BJ743" s="76"/>
      <c r="BK743" s="76"/>
      <c r="BL743" s="76"/>
      <c r="BM743" s="76"/>
      <c r="BN743" s="76"/>
      <c r="BO743" s="76"/>
      <c r="BP743" s="76"/>
      <c r="BQ743" s="76"/>
      <c r="BR743" s="76"/>
      <c r="BS743" s="76"/>
      <c r="BT743" s="76"/>
      <c r="BU743" s="76"/>
      <c r="BV743" s="76"/>
      <c r="BW743" s="76"/>
      <c r="BX743" s="76"/>
      <c r="BY743" s="76"/>
      <c r="BZ743" s="76"/>
      <c r="CA743" s="76"/>
      <c r="CB743" s="76"/>
      <c r="CC743" s="76"/>
      <c r="CD743" s="76"/>
      <c r="CE743" s="76"/>
      <c r="CF743" s="76"/>
      <c r="CG743" s="76"/>
      <c r="CH743" s="76"/>
    </row>
    <row r="744" spans="29:86">
      <c r="AC744" s="76"/>
      <c r="AD744" s="76"/>
      <c r="AE744" s="76"/>
      <c r="AF744" s="76"/>
      <c r="AG744" s="76"/>
      <c r="AH744" s="76"/>
      <c r="AI744" s="76"/>
      <c r="AJ744" s="76"/>
      <c r="AK744" s="76"/>
      <c r="AL744" s="76"/>
      <c r="AM744" s="76"/>
      <c r="AN744" s="76"/>
      <c r="AO744" s="366"/>
      <c r="AP744" s="76"/>
      <c r="AQ744" s="76"/>
      <c r="AR744" s="76"/>
      <c r="AS744" s="76"/>
      <c r="AT744" s="76"/>
      <c r="AU744" s="76"/>
      <c r="AV744" s="76"/>
      <c r="AW744" s="76"/>
      <c r="AX744" s="76"/>
      <c r="AY744" s="76"/>
      <c r="AZ744" s="76"/>
      <c r="BA744" s="76"/>
      <c r="BB744" s="76"/>
      <c r="BC744" s="76"/>
      <c r="BD744" s="76"/>
      <c r="BE744" s="76"/>
      <c r="BF744" s="76"/>
      <c r="BG744" s="76"/>
      <c r="BH744" s="76"/>
      <c r="BI744" s="76"/>
      <c r="BJ744" s="76"/>
      <c r="BK744" s="76"/>
      <c r="BL744" s="76"/>
      <c r="BM744" s="76"/>
      <c r="BN744" s="76"/>
      <c r="BO744" s="76"/>
      <c r="BP744" s="76"/>
      <c r="BQ744" s="76"/>
      <c r="BR744" s="76"/>
      <c r="BS744" s="76"/>
      <c r="BT744" s="76"/>
      <c r="BU744" s="76"/>
      <c r="BV744" s="76"/>
      <c r="BW744" s="76"/>
      <c r="BX744" s="76"/>
      <c r="BY744" s="76"/>
      <c r="BZ744" s="76"/>
      <c r="CA744" s="76"/>
      <c r="CB744" s="76"/>
      <c r="CC744" s="76"/>
      <c r="CD744" s="76"/>
      <c r="CE744" s="76"/>
      <c r="CF744" s="76"/>
      <c r="CG744" s="76"/>
      <c r="CH744" s="76"/>
    </row>
    <row r="745" spans="29:86">
      <c r="AC745" s="76"/>
      <c r="AD745" s="76"/>
      <c r="AE745" s="76"/>
      <c r="AF745" s="76"/>
      <c r="AG745" s="76"/>
      <c r="AH745" s="76"/>
      <c r="AI745" s="76"/>
      <c r="AJ745" s="76"/>
      <c r="AK745" s="76"/>
      <c r="AL745" s="76"/>
      <c r="AM745" s="76"/>
      <c r="AN745" s="76"/>
      <c r="AO745" s="366"/>
      <c r="AP745" s="76"/>
      <c r="AQ745" s="76"/>
      <c r="AR745" s="76"/>
      <c r="AS745" s="76"/>
      <c r="AT745" s="76"/>
      <c r="AU745" s="76"/>
      <c r="AV745" s="76"/>
      <c r="AW745" s="76"/>
      <c r="AX745" s="76"/>
      <c r="AY745" s="76"/>
      <c r="AZ745" s="76"/>
      <c r="BA745" s="76"/>
      <c r="BB745" s="76"/>
      <c r="BC745" s="76"/>
      <c r="BD745" s="76"/>
      <c r="BE745" s="76"/>
      <c r="BF745" s="76"/>
      <c r="BG745" s="76"/>
      <c r="BH745" s="76"/>
      <c r="BI745" s="76"/>
      <c r="BJ745" s="76"/>
      <c r="BK745" s="76"/>
      <c r="BL745" s="76"/>
      <c r="BM745" s="76"/>
      <c r="BN745" s="76"/>
      <c r="BO745" s="76"/>
      <c r="BP745" s="76"/>
      <c r="BQ745" s="76"/>
      <c r="BR745" s="76"/>
      <c r="BS745" s="76"/>
      <c r="BT745" s="76"/>
      <c r="BU745" s="76"/>
      <c r="BV745" s="76"/>
      <c r="BW745" s="76"/>
      <c r="BX745" s="76"/>
      <c r="BY745" s="76"/>
      <c r="BZ745" s="76"/>
      <c r="CA745" s="76"/>
      <c r="CB745" s="76"/>
      <c r="CC745" s="76"/>
      <c r="CD745" s="76"/>
      <c r="CE745" s="76"/>
      <c r="CF745" s="76"/>
      <c r="CG745" s="76"/>
      <c r="CH745" s="76"/>
    </row>
    <row r="746" spans="29:86">
      <c r="AC746" s="76"/>
      <c r="AD746" s="76"/>
      <c r="AE746" s="76"/>
      <c r="AF746" s="76"/>
      <c r="AG746" s="76"/>
      <c r="AH746" s="76"/>
      <c r="AI746" s="76"/>
      <c r="AJ746" s="76"/>
      <c r="AK746" s="76"/>
      <c r="AL746" s="76"/>
      <c r="AM746" s="76"/>
      <c r="AN746" s="76"/>
      <c r="AO746" s="366"/>
      <c r="AP746" s="76"/>
      <c r="AQ746" s="76"/>
      <c r="AR746" s="76"/>
      <c r="AS746" s="76"/>
      <c r="AT746" s="76"/>
      <c r="AU746" s="76"/>
      <c r="AV746" s="76"/>
      <c r="AW746" s="76"/>
      <c r="AX746" s="76"/>
      <c r="AY746" s="76"/>
      <c r="AZ746" s="76"/>
      <c r="BA746" s="76"/>
      <c r="BB746" s="76"/>
      <c r="BC746" s="76"/>
      <c r="BD746" s="76"/>
      <c r="BE746" s="76"/>
      <c r="BF746" s="76"/>
      <c r="BG746" s="76"/>
      <c r="BH746" s="76"/>
      <c r="BI746" s="76"/>
      <c r="BJ746" s="76"/>
      <c r="BK746" s="76"/>
      <c r="BL746" s="76"/>
      <c r="BM746" s="76"/>
      <c r="BN746" s="76"/>
      <c r="BO746" s="76"/>
      <c r="BP746" s="76"/>
      <c r="BQ746" s="76"/>
      <c r="BR746" s="76"/>
      <c r="BS746" s="76"/>
      <c r="BT746" s="76"/>
      <c r="BU746" s="76"/>
      <c r="BV746" s="76"/>
      <c r="BW746" s="76"/>
      <c r="BX746" s="76"/>
      <c r="BY746" s="76"/>
      <c r="BZ746" s="76"/>
      <c r="CA746" s="76"/>
      <c r="CB746" s="76"/>
      <c r="CC746" s="76"/>
      <c r="CD746" s="76"/>
      <c r="CE746" s="76"/>
      <c r="CF746" s="76"/>
      <c r="CG746" s="76"/>
      <c r="CH746" s="76"/>
    </row>
    <row r="747" spans="29:86">
      <c r="AC747" s="76"/>
      <c r="AD747" s="76"/>
      <c r="AE747" s="76"/>
      <c r="AF747" s="76"/>
      <c r="AG747" s="76"/>
      <c r="AH747" s="76"/>
      <c r="AI747" s="76"/>
      <c r="AJ747" s="76"/>
      <c r="AK747" s="76"/>
      <c r="AL747" s="76"/>
      <c r="AM747" s="76"/>
      <c r="AN747" s="76"/>
      <c r="AO747" s="366"/>
      <c r="AP747" s="76"/>
      <c r="AQ747" s="76"/>
      <c r="AR747" s="76"/>
      <c r="AS747" s="76"/>
      <c r="AT747" s="76"/>
      <c r="AU747" s="76"/>
      <c r="AV747" s="76"/>
      <c r="AW747" s="76"/>
      <c r="AX747" s="76"/>
      <c r="AY747" s="76"/>
      <c r="AZ747" s="76"/>
      <c r="BA747" s="76"/>
      <c r="BB747" s="76"/>
      <c r="BC747" s="76"/>
      <c r="BD747" s="76"/>
      <c r="BE747" s="76"/>
      <c r="BF747" s="76"/>
      <c r="BG747" s="76"/>
      <c r="BH747" s="76"/>
      <c r="BI747" s="76"/>
      <c r="BJ747" s="76"/>
      <c r="BK747" s="76"/>
      <c r="BL747" s="76"/>
      <c r="BM747" s="76"/>
      <c r="BN747" s="76"/>
      <c r="BO747" s="76"/>
      <c r="BP747" s="76"/>
      <c r="BQ747" s="76"/>
      <c r="BR747" s="76"/>
      <c r="BS747" s="76"/>
      <c r="BT747" s="76"/>
      <c r="BU747" s="76"/>
      <c r="BV747" s="76"/>
      <c r="BW747" s="76"/>
      <c r="BX747" s="76"/>
      <c r="BY747" s="76"/>
      <c r="BZ747" s="76"/>
      <c r="CA747" s="76"/>
      <c r="CB747" s="76"/>
      <c r="CC747" s="76"/>
      <c r="CD747" s="76"/>
      <c r="CE747" s="76"/>
      <c r="CF747" s="76"/>
      <c r="CG747" s="76"/>
      <c r="CH747" s="76"/>
    </row>
    <row r="748" spans="29:86">
      <c r="AC748" s="76"/>
      <c r="AD748" s="76"/>
      <c r="AE748" s="76"/>
      <c r="AF748" s="76"/>
      <c r="AG748" s="76"/>
      <c r="AH748" s="76"/>
      <c r="AI748" s="76"/>
      <c r="AJ748" s="76"/>
      <c r="AK748" s="76"/>
      <c r="AL748" s="76"/>
      <c r="AM748" s="76"/>
      <c r="AN748" s="76"/>
      <c r="AO748" s="366"/>
      <c r="AP748" s="76"/>
      <c r="AQ748" s="76"/>
      <c r="AR748" s="76"/>
      <c r="AS748" s="76"/>
      <c r="AT748" s="76"/>
      <c r="AU748" s="76"/>
      <c r="AV748" s="76"/>
      <c r="AW748" s="76"/>
      <c r="AX748" s="76"/>
      <c r="AY748" s="76"/>
      <c r="AZ748" s="76"/>
      <c r="BA748" s="76"/>
      <c r="BB748" s="76"/>
      <c r="BC748" s="76"/>
      <c r="BD748" s="76"/>
      <c r="BE748" s="76"/>
      <c r="BF748" s="76"/>
      <c r="BG748" s="76"/>
      <c r="BH748" s="76"/>
      <c r="BI748" s="76"/>
      <c r="BJ748" s="76"/>
      <c r="BK748" s="76"/>
      <c r="BL748" s="76"/>
      <c r="BM748" s="76"/>
      <c r="BN748" s="76"/>
      <c r="BO748" s="76"/>
      <c r="BP748" s="76"/>
      <c r="BQ748" s="76"/>
      <c r="BR748" s="76"/>
      <c r="BS748" s="76"/>
      <c r="BT748" s="76"/>
      <c r="BU748" s="76"/>
      <c r="BV748" s="76"/>
      <c r="BW748" s="76"/>
      <c r="BX748" s="76"/>
      <c r="BY748" s="76"/>
      <c r="BZ748" s="76"/>
      <c r="CA748" s="76"/>
      <c r="CB748" s="76"/>
      <c r="CC748" s="76"/>
      <c r="CD748" s="76"/>
      <c r="CE748" s="76"/>
      <c r="CF748" s="76"/>
      <c r="CG748" s="76"/>
      <c r="CH748" s="76"/>
    </row>
    <row r="749" spans="29:86">
      <c r="AC749" s="76"/>
      <c r="AD749" s="76"/>
      <c r="AE749" s="76"/>
      <c r="AF749" s="76"/>
      <c r="AG749" s="76"/>
      <c r="AH749" s="76"/>
      <c r="AI749" s="76"/>
      <c r="AJ749" s="76"/>
      <c r="AK749" s="76"/>
      <c r="AL749" s="76"/>
      <c r="AM749" s="76"/>
      <c r="AN749" s="76"/>
      <c r="AO749" s="366"/>
      <c r="AP749" s="76"/>
      <c r="AQ749" s="76"/>
      <c r="AR749" s="76"/>
      <c r="AS749" s="76"/>
      <c r="AT749" s="76"/>
      <c r="AU749" s="76"/>
      <c r="AV749" s="76"/>
      <c r="AW749" s="76"/>
      <c r="AX749" s="76"/>
      <c r="AY749" s="76"/>
      <c r="AZ749" s="76"/>
      <c r="BA749" s="76"/>
      <c r="BB749" s="76"/>
      <c r="BC749" s="76"/>
      <c r="BD749" s="76"/>
      <c r="BE749" s="76"/>
      <c r="BF749" s="76"/>
      <c r="BG749" s="76"/>
      <c r="BH749" s="76"/>
      <c r="BI749" s="76"/>
      <c r="BJ749" s="76"/>
      <c r="BK749" s="76"/>
      <c r="BL749" s="76"/>
      <c r="BM749" s="76"/>
      <c r="BN749" s="76"/>
      <c r="BO749" s="76"/>
      <c r="BP749" s="76"/>
      <c r="BQ749" s="76"/>
      <c r="BR749" s="76"/>
      <c r="BS749" s="76"/>
      <c r="BT749" s="76"/>
      <c r="BU749" s="76"/>
      <c r="BV749" s="76"/>
      <c r="BW749" s="76"/>
      <c r="BX749" s="76"/>
      <c r="BY749" s="76"/>
      <c r="BZ749" s="76"/>
      <c r="CA749" s="76"/>
      <c r="CB749" s="76"/>
      <c r="CC749" s="76"/>
      <c r="CD749" s="76"/>
      <c r="CE749" s="76"/>
      <c r="CF749" s="76"/>
      <c r="CG749" s="76"/>
      <c r="CH749" s="76"/>
    </row>
    <row r="750" spans="29:86">
      <c r="AC750" s="76"/>
      <c r="AD750" s="76"/>
      <c r="AE750" s="76"/>
      <c r="AF750" s="76"/>
      <c r="AG750" s="76"/>
      <c r="AH750" s="76"/>
      <c r="AI750" s="76"/>
      <c r="AJ750" s="76"/>
      <c r="AK750" s="76"/>
      <c r="AL750" s="76"/>
      <c r="AM750" s="76"/>
      <c r="AN750" s="76"/>
      <c r="AO750" s="366"/>
      <c r="AP750" s="76"/>
      <c r="AQ750" s="76"/>
      <c r="AR750" s="76"/>
      <c r="AS750" s="76"/>
      <c r="AT750" s="76"/>
      <c r="AU750" s="76"/>
      <c r="AV750" s="76"/>
      <c r="AW750" s="76"/>
      <c r="AX750" s="76"/>
      <c r="AY750" s="76"/>
      <c r="AZ750" s="76"/>
      <c r="BA750" s="76"/>
      <c r="BB750" s="76"/>
      <c r="BC750" s="76"/>
      <c r="BD750" s="76"/>
      <c r="BE750" s="76"/>
      <c r="BF750" s="76"/>
      <c r="BG750" s="76"/>
      <c r="BH750" s="76"/>
      <c r="BI750" s="76"/>
      <c r="BJ750" s="76"/>
      <c r="BK750" s="76"/>
      <c r="BL750" s="76"/>
      <c r="BM750" s="76"/>
      <c r="BN750" s="76"/>
      <c r="BO750" s="76"/>
      <c r="BP750" s="76"/>
      <c r="BQ750" s="76"/>
      <c r="BR750" s="76"/>
      <c r="BS750" s="76"/>
      <c r="BT750" s="76"/>
      <c r="BU750" s="76"/>
      <c r="BV750" s="76"/>
      <c r="BW750" s="76"/>
      <c r="BX750" s="76"/>
      <c r="BY750" s="76"/>
      <c r="BZ750" s="76"/>
      <c r="CA750" s="76"/>
      <c r="CB750" s="76"/>
      <c r="CC750" s="76"/>
      <c r="CD750" s="76"/>
      <c r="CE750" s="76"/>
      <c r="CF750" s="76"/>
      <c r="CG750" s="76"/>
      <c r="CH750" s="76"/>
    </row>
    <row r="751" spans="29:86">
      <c r="AC751" s="76"/>
      <c r="AD751" s="76"/>
      <c r="AE751" s="76"/>
      <c r="AF751" s="76"/>
      <c r="AG751" s="76"/>
      <c r="AH751" s="76"/>
      <c r="AI751" s="76"/>
      <c r="AJ751" s="76"/>
      <c r="AK751" s="76"/>
      <c r="AL751" s="76"/>
      <c r="AM751" s="76"/>
      <c r="AN751" s="76"/>
      <c r="AO751" s="366"/>
      <c r="AP751" s="76"/>
      <c r="AQ751" s="76"/>
      <c r="AR751" s="76"/>
      <c r="AS751" s="76"/>
      <c r="AT751" s="76"/>
      <c r="AU751" s="76"/>
      <c r="AV751" s="76"/>
      <c r="AW751" s="76"/>
      <c r="AX751" s="76"/>
      <c r="AY751" s="76"/>
      <c r="AZ751" s="76"/>
      <c r="BA751" s="76"/>
      <c r="BB751" s="76"/>
      <c r="BC751" s="76"/>
      <c r="BD751" s="76"/>
      <c r="BE751" s="76"/>
      <c r="BF751" s="76"/>
      <c r="BG751" s="76"/>
      <c r="BH751" s="76"/>
      <c r="BI751" s="76"/>
      <c r="BJ751" s="76"/>
      <c r="BK751" s="76"/>
      <c r="BL751" s="76"/>
      <c r="BM751" s="76"/>
      <c r="BN751" s="76"/>
      <c r="BO751" s="76"/>
      <c r="BP751" s="76"/>
      <c r="BQ751" s="76"/>
      <c r="BR751" s="76"/>
      <c r="BS751" s="76"/>
      <c r="BT751" s="76"/>
      <c r="BU751" s="76"/>
      <c r="BV751" s="76"/>
      <c r="BW751" s="76"/>
      <c r="BX751" s="76"/>
      <c r="BY751" s="76"/>
      <c r="BZ751" s="76"/>
      <c r="CA751" s="76"/>
      <c r="CB751" s="76"/>
      <c r="CC751" s="76"/>
      <c r="CD751" s="76"/>
      <c r="CE751" s="76"/>
      <c r="CF751" s="76"/>
      <c r="CG751" s="76"/>
      <c r="CH751" s="76"/>
    </row>
    <row r="752" spans="29:86">
      <c r="AC752" s="76"/>
      <c r="AD752" s="76"/>
      <c r="AE752" s="76"/>
      <c r="AF752" s="76"/>
      <c r="AG752" s="76"/>
      <c r="AH752" s="76"/>
      <c r="AI752" s="76"/>
      <c r="AJ752" s="76"/>
      <c r="AK752" s="76"/>
      <c r="AL752" s="76"/>
      <c r="AM752" s="76"/>
      <c r="AN752" s="76"/>
      <c r="AO752" s="366"/>
      <c r="AP752" s="76"/>
      <c r="AQ752" s="76"/>
      <c r="AR752" s="76"/>
      <c r="AS752" s="76"/>
      <c r="AT752" s="76"/>
      <c r="AU752" s="76"/>
      <c r="AV752" s="76"/>
      <c r="AW752" s="76"/>
      <c r="AX752" s="76"/>
      <c r="AY752" s="76"/>
      <c r="AZ752" s="76"/>
      <c r="BA752" s="76"/>
      <c r="BB752" s="76"/>
      <c r="BC752" s="76"/>
      <c r="BD752" s="76"/>
      <c r="BE752" s="76"/>
      <c r="BF752" s="76"/>
      <c r="BG752" s="76"/>
      <c r="BH752" s="76"/>
      <c r="BI752" s="76"/>
      <c r="BJ752" s="76"/>
      <c r="BK752" s="76"/>
      <c r="BL752" s="76"/>
      <c r="BM752" s="76"/>
      <c r="BN752" s="76"/>
      <c r="BO752" s="76"/>
      <c r="BP752" s="76"/>
      <c r="BQ752" s="76"/>
      <c r="BR752" s="76"/>
      <c r="BS752" s="76"/>
      <c r="BT752" s="76"/>
      <c r="BU752" s="76"/>
      <c r="BV752" s="76"/>
      <c r="BW752" s="76"/>
      <c r="BX752" s="76"/>
      <c r="BY752" s="76"/>
      <c r="BZ752" s="76"/>
      <c r="CA752" s="76"/>
      <c r="CB752" s="76"/>
      <c r="CC752" s="76"/>
      <c r="CD752" s="76"/>
      <c r="CE752" s="76"/>
      <c r="CF752" s="76"/>
      <c r="CG752" s="76"/>
      <c r="CH752" s="76"/>
    </row>
    <row r="753" spans="29:86">
      <c r="AC753" s="76"/>
      <c r="AD753" s="76"/>
      <c r="AE753" s="76"/>
      <c r="AF753" s="76"/>
      <c r="AG753" s="76"/>
      <c r="AH753" s="76"/>
      <c r="AI753" s="76"/>
      <c r="AJ753" s="76"/>
      <c r="AK753" s="76"/>
      <c r="AL753" s="76"/>
      <c r="AM753" s="76"/>
      <c r="AN753" s="76"/>
      <c r="AO753" s="366"/>
      <c r="AP753" s="76"/>
      <c r="AQ753" s="76"/>
      <c r="AR753" s="76"/>
      <c r="AS753" s="76"/>
      <c r="AT753" s="76"/>
      <c r="AU753" s="76"/>
      <c r="AV753" s="76"/>
      <c r="AW753" s="76"/>
      <c r="AX753" s="76"/>
      <c r="AY753" s="76"/>
      <c r="AZ753" s="76"/>
      <c r="BA753" s="76"/>
      <c r="BB753" s="76"/>
      <c r="BC753" s="76"/>
      <c r="BD753" s="76"/>
      <c r="BE753" s="76"/>
      <c r="BF753" s="76"/>
      <c r="BG753" s="76"/>
      <c r="BH753" s="76"/>
      <c r="BI753" s="76"/>
      <c r="BJ753" s="76"/>
      <c r="BK753" s="76"/>
      <c r="BL753" s="76"/>
      <c r="BM753" s="76"/>
      <c r="BN753" s="76"/>
      <c r="BO753" s="76"/>
      <c r="BP753" s="76"/>
      <c r="BQ753" s="76"/>
      <c r="BR753" s="76"/>
      <c r="BS753" s="76"/>
      <c r="BT753" s="76"/>
      <c r="BU753" s="76"/>
      <c r="BV753" s="76"/>
      <c r="BW753" s="76"/>
      <c r="BX753" s="76"/>
      <c r="BY753" s="76"/>
      <c r="BZ753" s="76"/>
      <c r="CA753" s="76"/>
      <c r="CB753" s="76"/>
      <c r="CC753" s="76"/>
      <c r="CD753" s="76"/>
      <c r="CE753" s="76"/>
      <c r="CF753" s="76"/>
      <c r="CG753" s="76"/>
      <c r="CH753" s="76"/>
    </row>
    <row r="754" spans="29:86">
      <c r="AC754" s="76"/>
      <c r="AD754" s="76"/>
      <c r="AE754" s="76"/>
      <c r="AF754" s="76"/>
      <c r="AG754" s="76"/>
      <c r="AH754" s="76"/>
      <c r="AI754" s="76"/>
      <c r="AJ754" s="76"/>
      <c r="AK754" s="76"/>
      <c r="AL754" s="76"/>
      <c r="AM754" s="76"/>
      <c r="AN754" s="76"/>
      <c r="AO754" s="366"/>
      <c r="AP754" s="76"/>
      <c r="AQ754" s="76"/>
      <c r="AR754" s="76"/>
      <c r="AS754" s="76"/>
      <c r="AT754" s="76"/>
      <c r="AU754" s="76"/>
      <c r="AV754" s="76"/>
      <c r="AW754" s="76"/>
      <c r="AX754" s="76"/>
      <c r="AY754" s="76"/>
      <c r="AZ754" s="76"/>
      <c r="BA754" s="76"/>
      <c r="BB754" s="76"/>
      <c r="BC754" s="76"/>
      <c r="BD754" s="76"/>
      <c r="BE754" s="76"/>
      <c r="BF754" s="76"/>
      <c r="BG754" s="76"/>
      <c r="BH754" s="76"/>
      <c r="BI754" s="76"/>
      <c r="BJ754" s="76"/>
      <c r="BK754" s="76"/>
      <c r="BL754" s="76"/>
      <c r="BM754" s="76"/>
      <c r="BN754" s="76"/>
      <c r="BO754" s="76"/>
      <c r="BP754" s="76"/>
      <c r="BQ754" s="76"/>
      <c r="BR754" s="76"/>
      <c r="BS754" s="76"/>
      <c r="BT754" s="76"/>
      <c r="BU754" s="76"/>
      <c r="BV754" s="76"/>
      <c r="BW754" s="76"/>
      <c r="BX754" s="76"/>
      <c r="BY754" s="76"/>
      <c r="BZ754" s="76"/>
      <c r="CA754" s="76"/>
      <c r="CB754" s="76"/>
      <c r="CC754" s="76"/>
      <c r="CD754" s="76"/>
      <c r="CE754" s="76"/>
      <c r="CF754" s="76"/>
      <c r="CG754" s="76"/>
      <c r="CH754" s="76"/>
    </row>
    <row r="755" spans="29:86">
      <c r="AC755" s="76"/>
      <c r="AD755" s="76"/>
      <c r="AE755" s="76"/>
      <c r="AF755" s="76"/>
      <c r="AG755" s="76"/>
      <c r="AH755" s="76"/>
      <c r="AI755" s="76"/>
      <c r="AJ755" s="76"/>
      <c r="AK755" s="76"/>
      <c r="AL755" s="76"/>
      <c r="AM755" s="76"/>
      <c r="AN755" s="76"/>
      <c r="AO755" s="366"/>
      <c r="AP755" s="76"/>
      <c r="AQ755" s="76"/>
      <c r="AR755" s="76"/>
      <c r="AS755" s="76"/>
      <c r="AT755" s="76"/>
      <c r="AU755" s="76"/>
      <c r="AV755" s="76"/>
      <c r="AW755" s="76"/>
      <c r="AX755" s="76"/>
      <c r="AY755" s="76"/>
      <c r="AZ755" s="76"/>
      <c r="BA755" s="76"/>
      <c r="BB755" s="76"/>
      <c r="BC755" s="76"/>
      <c r="BD755" s="76"/>
      <c r="BE755" s="76"/>
      <c r="BF755" s="76"/>
      <c r="BG755" s="76"/>
      <c r="BH755" s="76"/>
      <c r="BI755" s="76"/>
      <c r="BJ755" s="76"/>
      <c r="BK755" s="76"/>
      <c r="BL755" s="76"/>
      <c r="BM755" s="76"/>
      <c r="BN755" s="76"/>
      <c r="BO755" s="76"/>
      <c r="BP755" s="76"/>
      <c r="BQ755" s="76"/>
      <c r="BR755" s="76"/>
      <c r="BS755" s="76"/>
      <c r="BT755" s="76"/>
      <c r="BU755" s="76"/>
      <c r="BV755" s="76"/>
      <c r="BW755" s="76"/>
      <c r="BX755" s="76"/>
      <c r="BY755" s="76"/>
      <c r="BZ755" s="76"/>
      <c r="CA755" s="76"/>
      <c r="CB755" s="76"/>
      <c r="CC755" s="76"/>
      <c r="CD755" s="76"/>
      <c r="CE755" s="76"/>
      <c r="CF755" s="76"/>
      <c r="CG755" s="76"/>
      <c r="CH755" s="76"/>
    </row>
    <row r="756" spans="29:86">
      <c r="AC756" s="76"/>
      <c r="AD756" s="76"/>
      <c r="AE756" s="76"/>
      <c r="AF756" s="76"/>
      <c r="AG756" s="76"/>
      <c r="AH756" s="76"/>
      <c r="AI756" s="76"/>
      <c r="AJ756" s="76"/>
      <c r="AK756" s="76"/>
      <c r="AL756" s="76"/>
      <c r="AM756" s="76"/>
      <c r="AN756" s="76"/>
      <c r="AO756" s="366"/>
      <c r="AP756" s="76"/>
      <c r="AQ756" s="76"/>
      <c r="AR756" s="76"/>
      <c r="AS756" s="76"/>
      <c r="AT756" s="76"/>
      <c r="AU756" s="76"/>
      <c r="AV756" s="76"/>
      <c r="AW756" s="76"/>
      <c r="AX756" s="76"/>
      <c r="AY756" s="76"/>
      <c r="AZ756" s="76"/>
      <c r="BA756" s="76"/>
      <c r="BB756" s="76"/>
      <c r="BC756" s="76"/>
      <c r="BD756" s="76"/>
      <c r="BE756" s="76"/>
      <c r="BF756" s="76"/>
      <c r="BG756" s="76"/>
      <c r="BH756" s="76"/>
      <c r="BI756" s="76"/>
      <c r="BJ756" s="76"/>
      <c r="BK756" s="76"/>
      <c r="BL756" s="76"/>
      <c r="BM756" s="76"/>
      <c r="BN756" s="76"/>
      <c r="BO756" s="76"/>
      <c r="BP756" s="76"/>
      <c r="BQ756" s="76"/>
      <c r="BR756" s="76"/>
      <c r="BS756" s="76"/>
      <c r="BT756" s="76"/>
      <c r="BU756" s="76"/>
      <c r="BV756" s="76"/>
      <c r="BW756" s="76"/>
      <c r="BX756" s="76"/>
      <c r="BY756" s="76"/>
      <c r="BZ756" s="76"/>
      <c r="CA756" s="76"/>
      <c r="CB756" s="76"/>
      <c r="CC756" s="76"/>
      <c r="CD756" s="76"/>
      <c r="CE756" s="76"/>
      <c r="CF756" s="76"/>
      <c r="CG756" s="76"/>
      <c r="CH756" s="76"/>
    </row>
    <row r="757" spans="29:86">
      <c r="AL757" s="76"/>
      <c r="AM757" s="76"/>
      <c r="AN757" s="76"/>
      <c r="AO757" s="366"/>
      <c r="AP757" s="76"/>
      <c r="AQ757" s="76"/>
      <c r="AR757" s="76"/>
      <c r="AS757" s="76"/>
      <c r="AT757" s="76"/>
      <c r="AU757" s="76"/>
      <c r="AV757" s="76"/>
      <c r="AW757" s="76"/>
      <c r="AX757" s="76"/>
      <c r="AY757" s="76"/>
      <c r="AZ757" s="76"/>
      <c r="BA757" s="76"/>
      <c r="BB757" s="76"/>
      <c r="BC757" s="76"/>
      <c r="BD757" s="76"/>
      <c r="BE757" s="76"/>
      <c r="BF757" s="76"/>
      <c r="BG757" s="76"/>
      <c r="BH757" s="76"/>
      <c r="BI757" s="76"/>
      <c r="BJ757" s="76"/>
      <c r="BK757" s="76"/>
      <c r="BL757" s="76"/>
      <c r="BM757" s="76"/>
      <c r="BN757" s="76"/>
      <c r="BO757" s="76"/>
      <c r="BP757" s="76"/>
      <c r="BQ757" s="76"/>
      <c r="BR757" s="76"/>
      <c r="BS757" s="76"/>
      <c r="BT757" s="76"/>
      <c r="BU757" s="76"/>
      <c r="BV757" s="76"/>
      <c r="BW757" s="76"/>
      <c r="BX757" s="76"/>
      <c r="BY757" s="76"/>
      <c r="BZ757" s="76"/>
      <c r="CA757" s="76"/>
      <c r="CB757" s="76"/>
      <c r="CC757" s="76"/>
      <c r="CD757" s="76"/>
      <c r="CE757" s="76"/>
      <c r="CF757" s="76"/>
      <c r="CG757" s="76"/>
      <c r="CH757" s="76"/>
    </row>
    <row r="758" spans="29:86">
      <c r="AL758" s="76"/>
      <c r="AM758" s="76"/>
      <c r="AN758" s="76"/>
      <c r="AO758" s="366"/>
      <c r="AP758" s="76"/>
      <c r="AQ758" s="76"/>
      <c r="AR758" s="76"/>
      <c r="AS758" s="76"/>
      <c r="AT758" s="76"/>
      <c r="AU758" s="76"/>
      <c r="AV758" s="76"/>
      <c r="AW758" s="76"/>
      <c r="AX758" s="76"/>
      <c r="AY758" s="76"/>
      <c r="AZ758" s="76"/>
      <c r="BA758" s="76"/>
      <c r="BB758" s="76"/>
      <c r="BC758" s="76"/>
      <c r="BD758" s="76"/>
      <c r="BE758" s="76"/>
      <c r="BF758" s="76"/>
      <c r="BG758" s="76"/>
      <c r="BH758" s="76"/>
      <c r="BI758" s="76"/>
      <c r="BJ758" s="76"/>
      <c r="BK758" s="76"/>
      <c r="BL758" s="76"/>
      <c r="BM758" s="76"/>
      <c r="BN758" s="76"/>
      <c r="BO758" s="76"/>
      <c r="BP758" s="76"/>
      <c r="BQ758" s="76"/>
      <c r="BR758" s="76"/>
      <c r="BS758" s="76"/>
      <c r="BT758" s="76"/>
      <c r="BU758" s="76"/>
      <c r="BV758" s="76"/>
      <c r="BW758" s="76"/>
      <c r="BX758" s="76"/>
      <c r="BY758" s="76"/>
      <c r="BZ758" s="76"/>
      <c r="CA758" s="76"/>
      <c r="CB758" s="76"/>
      <c r="CC758" s="76"/>
      <c r="CD758" s="76"/>
      <c r="CE758" s="76"/>
      <c r="CF758" s="76"/>
      <c r="CG758" s="76"/>
      <c r="CH758" s="76"/>
    </row>
    <row r="759" spans="29:86">
      <c r="AL759" s="76"/>
      <c r="AM759" s="76"/>
      <c r="AN759" s="76"/>
      <c r="AO759" s="366"/>
      <c r="AP759" s="76"/>
      <c r="AQ759" s="76"/>
      <c r="AR759" s="76"/>
      <c r="AS759" s="76"/>
      <c r="AT759" s="76"/>
      <c r="AU759" s="76"/>
      <c r="AV759" s="76"/>
      <c r="AW759" s="76"/>
      <c r="AX759" s="76"/>
      <c r="AY759" s="76"/>
      <c r="AZ759" s="76"/>
      <c r="BA759" s="76"/>
      <c r="BB759" s="76"/>
      <c r="BC759" s="76"/>
      <c r="BD759" s="76"/>
      <c r="BE759" s="76"/>
      <c r="BF759" s="76"/>
      <c r="BG759" s="76"/>
      <c r="BH759" s="76"/>
      <c r="BI759" s="76"/>
      <c r="BJ759" s="76"/>
      <c r="BK759" s="76"/>
      <c r="BL759" s="76"/>
      <c r="BM759" s="76"/>
      <c r="BN759" s="76"/>
      <c r="BO759" s="76"/>
      <c r="BP759" s="76"/>
      <c r="BQ759" s="76"/>
      <c r="BR759" s="76"/>
      <c r="BS759" s="76"/>
      <c r="BT759" s="76"/>
      <c r="BU759" s="76"/>
      <c r="BV759" s="76"/>
      <c r="BW759" s="76"/>
      <c r="BX759" s="76"/>
      <c r="BY759" s="76"/>
      <c r="BZ759" s="76"/>
      <c r="CA759" s="76"/>
      <c r="CB759" s="76"/>
      <c r="CC759" s="76"/>
      <c r="CD759" s="76"/>
      <c r="CE759" s="76"/>
      <c r="CF759" s="76"/>
      <c r="CG759" s="76"/>
      <c r="CH759" s="76"/>
    </row>
    <row r="760" spans="29:86">
      <c r="AL760" s="76"/>
      <c r="AM760" s="76"/>
      <c r="AN760" s="76"/>
      <c r="AO760" s="366"/>
      <c r="AP760" s="76"/>
      <c r="AQ760" s="76"/>
      <c r="AR760" s="76"/>
      <c r="AS760" s="76"/>
      <c r="AT760" s="76"/>
      <c r="AU760" s="76"/>
      <c r="AV760" s="76"/>
      <c r="AW760" s="76"/>
      <c r="AX760" s="76"/>
      <c r="AY760" s="76"/>
      <c r="AZ760" s="76"/>
      <c r="BA760" s="76"/>
      <c r="BB760" s="76"/>
      <c r="BC760" s="76"/>
      <c r="BD760" s="76"/>
      <c r="BE760" s="76"/>
      <c r="BF760" s="76"/>
      <c r="BG760" s="76"/>
      <c r="BH760" s="76"/>
      <c r="BI760" s="76"/>
      <c r="BJ760" s="76"/>
      <c r="BK760" s="76"/>
      <c r="BL760" s="76"/>
      <c r="BM760" s="76"/>
      <c r="BN760" s="76"/>
      <c r="BO760" s="76"/>
      <c r="BP760" s="76"/>
      <c r="BQ760" s="76"/>
      <c r="BR760" s="76"/>
      <c r="BS760" s="76"/>
      <c r="BT760" s="76"/>
      <c r="BU760" s="76"/>
      <c r="BV760" s="76"/>
      <c r="BW760" s="76"/>
      <c r="BX760" s="76"/>
      <c r="BY760" s="76"/>
      <c r="BZ760" s="76"/>
      <c r="CA760" s="76"/>
      <c r="CB760" s="76"/>
      <c r="CC760" s="76"/>
      <c r="CD760" s="76"/>
      <c r="CE760" s="76"/>
      <c r="CF760" s="76"/>
      <c r="CG760" s="76"/>
      <c r="CH760" s="76"/>
    </row>
    <row r="761" spans="29:86">
      <c r="AL761" s="76"/>
      <c r="AM761" s="76"/>
      <c r="AN761" s="76"/>
      <c r="AO761" s="366"/>
      <c r="AP761" s="76"/>
      <c r="AQ761" s="76"/>
      <c r="AR761" s="76"/>
      <c r="AS761" s="76"/>
      <c r="AT761" s="76"/>
      <c r="AU761" s="76"/>
      <c r="AV761" s="76"/>
      <c r="AW761" s="76"/>
      <c r="AX761" s="76"/>
      <c r="AY761" s="76"/>
      <c r="AZ761" s="76"/>
      <c r="BA761" s="76"/>
      <c r="BB761" s="76"/>
      <c r="BC761" s="76"/>
      <c r="BD761" s="76"/>
      <c r="BE761" s="76"/>
      <c r="BF761" s="76"/>
      <c r="BG761" s="76"/>
      <c r="BH761" s="76"/>
      <c r="BI761" s="76"/>
      <c r="BJ761" s="76"/>
      <c r="BK761" s="76"/>
      <c r="BL761" s="76"/>
      <c r="BM761" s="76"/>
      <c r="BN761" s="76"/>
      <c r="BO761" s="76"/>
      <c r="BP761" s="76"/>
      <c r="BQ761" s="76"/>
      <c r="BR761" s="76"/>
      <c r="BS761" s="76"/>
      <c r="BT761" s="76"/>
      <c r="BU761" s="76"/>
      <c r="BV761" s="76"/>
      <c r="BW761" s="76"/>
      <c r="BX761" s="76"/>
      <c r="BY761" s="76"/>
      <c r="BZ761" s="76"/>
      <c r="CA761" s="76"/>
      <c r="CB761" s="76"/>
      <c r="CC761" s="76"/>
      <c r="CD761" s="76"/>
      <c r="CE761" s="76"/>
      <c r="CF761" s="76"/>
      <c r="CG761" s="76"/>
      <c r="CH761" s="76"/>
    </row>
    <row r="762" spans="29:86">
      <c r="AL762" s="76"/>
      <c r="AM762" s="76"/>
      <c r="AN762" s="76"/>
      <c r="AO762" s="366"/>
      <c r="AP762" s="76"/>
      <c r="AQ762" s="76"/>
      <c r="AR762" s="76"/>
      <c r="AS762" s="76"/>
      <c r="AT762" s="76"/>
      <c r="AU762" s="76"/>
      <c r="AV762" s="76"/>
      <c r="AW762" s="76"/>
      <c r="AX762" s="76"/>
      <c r="AY762" s="76"/>
      <c r="AZ762" s="76"/>
      <c r="BA762" s="76"/>
      <c r="BB762" s="76"/>
      <c r="BC762" s="76"/>
      <c r="BD762" s="76"/>
      <c r="BE762" s="76"/>
      <c r="BF762" s="76"/>
      <c r="BG762" s="76"/>
      <c r="BH762" s="76"/>
      <c r="BI762" s="76"/>
      <c r="BJ762" s="76"/>
      <c r="BK762" s="76"/>
      <c r="BL762" s="76"/>
      <c r="BM762" s="76"/>
      <c r="BN762" s="76"/>
      <c r="BO762" s="76"/>
      <c r="BP762" s="76"/>
      <c r="BQ762" s="76"/>
      <c r="BR762" s="76"/>
      <c r="BS762" s="76"/>
      <c r="BT762" s="76"/>
      <c r="BU762" s="76"/>
      <c r="BV762" s="76"/>
      <c r="BW762" s="76"/>
      <c r="BX762" s="76"/>
      <c r="BY762" s="76"/>
      <c r="BZ762" s="76"/>
      <c r="CA762" s="76"/>
      <c r="CB762" s="76"/>
      <c r="CC762" s="76"/>
      <c r="CD762" s="76"/>
      <c r="CE762" s="76"/>
      <c r="CF762" s="76"/>
      <c r="CG762" s="76"/>
      <c r="CH762" s="76"/>
    </row>
    <row r="763" spans="29:86">
      <c r="AL763" s="76"/>
      <c r="AM763" s="76"/>
      <c r="AN763" s="76"/>
      <c r="AO763" s="366"/>
      <c r="AP763" s="76"/>
      <c r="AQ763" s="76"/>
      <c r="AR763" s="76"/>
      <c r="AS763" s="76"/>
      <c r="AT763" s="76"/>
      <c r="AU763" s="76"/>
      <c r="AV763" s="76"/>
      <c r="AW763" s="76"/>
      <c r="AX763" s="76"/>
      <c r="AY763" s="76"/>
      <c r="AZ763" s="76"/>
      <c r="BA763" s="76"/>
      <c r="BB763" s="76"/>
      <c r="BC763" s="76"/>
      <c r="BD763" s="76"/>
      <c r="BE763" s="76"/>
      <c r="BF763" s="76"/>
      <c r="BG763" s="76"/>
      <c r="BH763" s="76"/>
      <c r="BI763" s="76"/>
      <c r="BJ763" s="76"/>
      <c r="BK763" s="76"/>
      <c r="BL763" s="76"/>
      <c r="BM763" s="76"/>
      <c r="BN763" s="76"/>
      <c r="BO763" s="76"/>
      <c r="BP763" s="76"/>
      <c r="BQ763" s="76"/>
      <c r="BR763" s="76"/>
      <c r="BS763" s="76"/>
      <c r="BT763" s="76"/>
      <c r="BU763" s="76"/>
      <c r="BV763" s="76"/>
      <c r="BW763" s="76"/>
      <c r="BX763" s="76"/>
      <c r="BY763" s="76"/>
      <c r="BZ763" s="76"/>
      <c r="CA763" s="76"/>
      <c r="CB763" s="76"/>
      <c r="CC763" s="76"/>
      <c r="CD763" s="76"/>
      <c r="CE763" s="76"/>
      <c r="CF763" s="76"/>
      <c r="CG763" s="76"/>
      <c r="CH763" s="76"/>
    </row>
    <row r="764" spans="29:86">
      <c r="AL764" s="76"/>
      <c r="AM764" s="76"/>
      <c r="AN764" s="76"/>
      <c r="AO764" s="366"/>
      <c r="AP764" s="76"/>
      <c r="AQ764" s="76"/>
      <c r="AR764" s="76"/>
      <c r="AS764" s="76"/>
      <c r="AT764" s="76"/>
      <c r="AU764" s="76"/>
      <c r="AV764" s="76"/>
      <c r="AW764" s="76"/>
      <c r="AX764" s="76"/>
      <c r="AY764" s="76"/>
      <c r="AZ764" s="76"/>
      <c r="BA764" s="76"/>
      <c r="BB764" s="76"/>
      <c r="BC764" s="76"/>
      <c r="BD764" s="76"/>
      <c r="BE764" s="76"/>
      <c r="BF764" s="76"/>
      <c r="BG764" s="76"/>
      <c r="BH764" s="76"/>
      <c r="BI764" s="76"/>
      <c r="BJ764" s="76"/>
      <c r="BK764" s="76"/>
      <c r="BL764" s="76"/>
      <c r="BM764" s="76"/>
      <c r="BN764" s="76"/>
      <c r="BO764" s="76"/>
      <c r="BP764" s="76"/>
      <c r="BQ764" s="76"/>
      <c r="BR764" s="76"/>
      <c r="BS764" s="76"/>
      <c r="BT764" s="76"/>
      <c r="BU764" s="76"/>
      <c r="BV764" s="76"/>
      <c r="BW764" s="76"/>
      <c r="BX764" s="76"/>
      <c r="BY764" s="76"/>
      <c r="BZ764" s="76"/>
      <c r="CA764" s="76"/>
      <c r="CB764" s="76"/>
      <c r="CC764" s="76"/>
      <c r="CD764" s="76"/>
      <c r="CE764" s="76"/>
      <c r="CF764" s="76"/>
      <c r="CG764" s="76"/>
      <c r="CH764" s="76"/>
    </row>
    <row r="765" spans="29:86">
      <c r="AL765" s="76"/>
      <c r="AM765" s="76"/>
      <c r="AN765" s="76"/>
      <c r="AO765" s="366"/>
      <c r="AP765" s="76"/>
      <c r="AQ765" s="76"/>
      <c r="AR765" s="76"/>
      <c r="AS765" s="76"/>
      <c r="AT765" s="76"/>
      <c r="AU765" s="76"/>
      <c r="AV765" s="76"/>
      <c r="AW765" s="76"/>
      <c r="AX765" s="76"/>
      <c r="AY765" s="76"/>
      <c r="AZ765" s="76"/>
      <c r="BA765" s="76"/>
      <c r="BB765" s="76"/>
      <c r="BC765" s="76"/>
      <c r="BD765" s="76"/>
      <c r="BE765" s="76"/>
      <c r="BF765" s="76"/>
      <c r="BG765" s="76"/>
      <c r="BH765" s="76"/>
      <c r="BI765" s="76"/>
      <c r="BJ765" s="76"/>
      <c r="BK765" s="76"/>
      <c r="BL765" s="76"/>
      <c r="BM765" s="76"/>
      <c r="BN765" s="76"/>
      <c r="BO765" s="76"/>
      <c r="BP765" s="76"/>
      <c r="BQ765" s="76"/>
      <c r="BR765" s="76"/>
      <c r="BS765" s="76"/>
      <c r="BT765" s="76"/>
      <c r="BU765" s="76"/>
      <c r="BV765" s="76"/>
      <c r="BW765" s="76"/>
      <c r="BX765" s="76"/>
      <c r="BY765" s="76"/>
      <c r="BZ765" s="76"/>
      <c r="CA765" s="76"/>
      <c r="CB765" s="76"/>
      <c r="CC765" s="76"/>
      <c r="CD765" s="76"/>
      <c r="CE765" s="76"/>
      <c r="CF765" s="76"/>
      <c r="CG765" s="76"/>
      <c r="CH765" s="76"/>
    </row>
    <row r="766" spans="29:86">
      <c r="AL766" s="76"/>
      <c r="AM766" s="76"/>
      <c r="AN766" s="76"/>
      <c r="AO766" s="366"/>
      <c r="AP766" s="76"/>
      <c r="AQ766" s="76"/>
      <c r="AR766" s="76"/>
      <c r="AS766" s="76"/>
      <c r="AT766" s="76"/>
      <c r="AU766" s="76"/>
      <c r="AV766" s="76"/>
      <c r="AW766" s="76"/>
      <c r="AX766" s="76"/>
      <c r="AY766" s="76"/>
      <c r="AZ766" s="76"/>
      <c r="BA766" s="76"/>
      <c r="BB766" s="76"/>
      <c r="BC766" s="76"/>
      <c r="BD766" s="76"/>
      <c r="BE766" s="76"/>
      <c r="BF766" s="76"/>
      <c r="BG766" s="76"/>
      <c r="BH766" s="76"/>
      <c r="BI766" s="76"/>
      <c r="BJ766" s="76"/>
      <c r="BK766" s="76"/>
      <c r="BL766" s="76"/>
      <c r="BM766" s="76"/>
      <c r="BN766" s="76"/>
      <c r="BO766" s="76"/>
      <c r="BP766" s="76"/>
      <c r="BQ766" s="76"/>
      <c r="BR766" s="76"/>
      <c r="BS766" s="76"/>
      <c r="BT766" s="76"/>
      <c r="BU766" s="76"/>
      <c r="BV766" s="76"/>
      <c r="BW766" s="76"/>
      <c r="BX766" s="76"/>
      <c r="BY766" s="76"/>
      <c r="BZ766" s="76"/>
      <c r="CA766" s="76"/>
      <c r="CB766" s="76"/>
      <c r="CC766" s="76"/>
      <c r="CD766" s="76"/>
      <c r="CE766" s="76"/>
      <c r="CF766" s="76"/>
      <c r="CG766" s="76"/>
      <c r="CH766" s="76"/>
    </row>
  </sheetData>
  <sheetProtection algorithmName="SHA-512" hashValue="j/acmPeNUihuzSS7jHq4Gx8zwdF4SY+Qo5/bYDX56g7UHl/L3lIw62A6SHtUaxFhODEpY2a89Cc6ogMxPidMsg==" saltValue="eVRFN9G/Zgy++JohPkc7nw==" spinCount="100000" sheet="1" objects="1" scenarios="1" selectLockedCells="1"/>
  <mergeCells count="7">
    <mergeCell ref="D266:K269"/>
    <mergeCell ref="E11:F11"/>
    <mergeCell ref="E12:F12"/>
    <mergeCell ref="D253:K260"/>
    <mergeCell ref="E8:F8"/>
    <mergeCell ref="E9:F9"/>
    <mergeCell ref="E10:F10"/>
  </mergeCells>
  <conditionalFormatting sqref="C194:C196">
    <cfRule type="expression" dxfId="223" priority="90">
      <formula>$E$194&gt;$E$195</formula>
    </cfRule>
  </conditionalFormatting>
  <conditionalFormatting sqref="C196">
    <cfRule type="expression" dxfId="222" priority="91">
      <formula>$E$194&gt;$E$195</formula>
    </cfRule>
  </conditionalFormatting>
  <dataValidations disablePrompts="1" count="1">
    <dataValidation type="custom" allowBlank="1" showInputMessage="1" showErrorMessage="1" sqref="F1" xr:uid="{AFCCD946-9D82-4D44-B17D-5A6158E28A03}">
      <formula1>"&lt;0&gt;0"</formula1>
    </dataValidation>
  </dataValidations>
  <pageMargins left="0.25" right="0.25" top="0.75" bottom="0.75" header="0.3" footer="0.3"/>
  <pageSetup scale="21" fitToWidth="3" orientation="portrait" r:id="rId1"/>
  <headerFooter>
    <oddHeader>&amp;L&amp;G</oddHeader>
    <oddFooter>&amp;LVersion - 2023.0.01&amp;CWHEDA MULTIFAMILY APPLICATION&amp;R&amp;P of &amp;N</oddFooter>
  </headerFooter>
  <colBreaks count="1" manualBreakCount="1">
    <brk id="19" min="3" max="261" man="1"/>
  </colBreaks>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C9B-5843-4BAE-9F1B-C7245D0CFCB6}">
  <sheetPr codeName="Sheet17">
    <pageSetUpPr fitToPage="1"/>
  </sheetPr>
  <dimension ref="A1:U46"/>
  <sheetViews>
    <sheetView zoomScale="110" zoomScaleNormal="110" workbookViewId="0">
      <selection activeCell="G1" sqref="G1"/>
    </sheetView>
  </sheetViews>
  <sheetFormatPr baseColWidth="10" defaultColWidth="8.83203125" defaultRowHeight="15"/>
  <cols>
    <col min="1" max="1" width="4.5" style="3" customWidth="1"/>
    <col min="2" max="2" width="5.6640625" style="3" customWidth="1"/>
    <col min="3" max="3" width="57.1640625" style="3" customWidth="1"/>
    <col min="4" max="7" width="16.5" style="3" customWidth="1"/>
    <col min="8" max="9" width="3.6640625" style="3" customWidth="1"/>
    <col min="10" max="10" width="15.83203125" style="3" bestFit="1" customWidth="1"/>
    <col min="11" max="11" width="16" style="3" customWidth="1"/>
    <col min="12" max="12" width="19.5" style="3" bestFit="1" customWidth="1"/>
    <col min="13" max="13" width="8.83203125" style="3"/>
    <col min="14" max="14" width="23.83203125" style="3" bestFit="1" customWidth="1"/>
    <col min="15" max="15" width="16.1640625" style="3" customWidth="1"/>
    <col min="16" max="25" width="0" style="3" hidden="1" customWidth="1"/>
    <col min="26" max="16384" width="8.83203125" style="3"/>
  </cols>
  <sheetData>
    <row r="1" spans="1:9" ht="29">
      <c r="B1" s="4" t="str">
        <f>'1. TOC'!B1</f>
        <v>WHEDA 2025 Multifamily Application</v>
      </c>
      <c r="E1" s="540" t="str">
        <f>'1. TOC'!L1</f>
        <v>v25.1.9</v>
      </c>
      <c r="G1" s="1086" t="str">
        <f>HYPERLINK("#Table_of_Contents", Table_of_Contents)</f>
        <v>Table of Contents</v>
      </c>
    </row>
    <row r="2" spans="1:9" ht="19">
      <c r="B2" s="934" t="str">
        <f>_xlfn.CONCAT(IF(ISBLANK(WHEDA_Project_Number),"",_xlfn.CONCAT(WHEDA_Project_Number,"-")), Project_Name, IF(ISBLANK(Credit_percentage_applied_for),"",_xlfn.CONCAT(" (", Credit_percentage_applied_for," HTC)")))</f>
        <v/>
      </c>
      <c r="D2" s="5"/>
    </row>
    <row r="3" spans="1:9">
      <c r="A3" s="1072"/>
      <c r="B3" s="963"/>
      <c r="C3" s="963"/>
      <c r="D3" s="7"/>
      <c r="E3" s="7"/>
      <c r="F3" s="7"/>
      <c r="G3" s="7"/>
      <c r="H3" s="7"/>
      <c r="I3" s="7"/>
    </row>
    <row r="4" spans="1:9" ht="29">
      <c r="A4" s="1064"/>
      <c r="B4" s="4" t="s">
        <v>4692</v>
      </c>
      <c r="C4"/>
    </row>
    <row r="5" spans="1:9" ht="19">
      <c r="A5" s="1064"/>
      <c r="B5" s="8" t="s">
        <v>893</v>
      </c>
    </row>
    <row r="6" spans="1:9">
      <c r="A6" s="1065"/>
      <c r="B6" s="1167"/>
      <c r="C6" s="1167" t="s">
        <v>4693</v>
      </c>
      <c r="D6" s="1167"/>
      <c r="E6" s="1167"/>
      <c r="F6" s="1167"/>
      <c r="G6" s="1167"/>
      <c r="H6" s="1167"/>
      <c r="I6" s="1167"/>
    </row>
    <row r="7" spans="1:9">
      <c r="A7" s="1065"/>
      <c r="B7" s="1167"/>
      <c r="C7" s="1689" t="s">
        <v>4694</v>
      </c>
      <c r="D7" s="1167"/>
      <c r="E7" s="1167"/>
      <c r="F7" s="1167"/>
      <c r="G7" s="1167"/>
      <c r="H7" s="1167"/>
      <c r="I7" s="1167"/>
    </row>
    <row r="8" spans="1:9">
      <c r="A8" s="1065"/>
      <c r="B8" s="1167"/>
      <c r="C8" s="1689" t="s">
        <v>4695</v>
      </c>
      <c r="D8" s="1167"/>
      <c r="E8" s="1167"/>
      <c r="F8" s="1167"/>
      <c r="G8" s="1167"/>
      <c r="H8" s="1167"/>
      <c r="I8" s="1167"/>
    </row>
    <row r="9" spans="1:9">
      <c r="A9" s="1065"/>
      <c r="B9" s="1167"/>
      <c r="C9" s="1689" t="s">
        <v>4696</v>
      </c>
      <c r="D9" s="1167"/>
      <c r="E9" s="1167"/>
      <c r="F9" s="1167"/>
      <c r="G9" s="1167"/>
      <c r="H9" s="1167"/>
      <c r="I9" s="1167"/>
    </row>
    <row r="10" spans="1:9">
      <c r="A10" s="1065"/>
      <c r="B10" s="1167"/>
      <c r="C10" s="1689" t="s">
        <v>4697</v>
      </c>
      <c r="D10" s="1167"/>
      <c r="E10" s="1167"/>
      <c r="F10" s="1167"/>
      <c r="G10" s="1167"/>
      <c r="H10" s="1167"/>
      <c r="I10" s="1167"/>
    </row>
    <row r="11" spans="1:9">
      <c r="A11" s="1065"/>
      <c r="B11" s="1167"/>
      <c r="C11" s="1167"/>
      <c r="D11" s="1167"/>
      <c r="E11" s="1167"/>
      <c r="F11" s="1167"/>
      <c r="G11" s="1167"/>
      <c r="H11" s="1167"/>
      <c r="I11" s="1167"/>
    </row>
    <row r="12" spans="1:9">
      <c r="A12" s="1065"/>
      <c r="B12" s="1167"/>
      <c r="C12" s="1689" t="s">
        <v>4698</v>
      </c>
      <c r="D12" s="1167"/>
      <c r="E12" s="1167"/>
      <c r="F12" s="1167"/>
      <c r="G12" s="1167"/>
      <c r="H12" s="1167"/>
      <c r="I12" s="1167"/>
    </row>
    <row r="13" spans="1:9">
      <c r="A13" s="1065"/>
      <c r="B13" s="1167"/>
      <c r="C13" s="1689" t="s">
        <v>4699</v>
      </c>
      <c r="D13" s="1167"/>
      <c r="E13" s="1167"/>
      <c r="F13" s="1167"/>
      <c r="G13" s="1167"/>
      <c r="H13" s="1167"/>
      <c r="I13" s="1167"/>
    </row>
    <row r="14" spans="1:9">
      <c r="A14" s="1065"/>
      <c r="B14" s="1167"/>
      <c r="C14" s="1689" t="s">
        <v>4700</v>
      </c>
      <c r="D14" s="1167"/>
      <c r="E14" s="1167"/>
      <c r="F14" s="1167"/>
      <c r="G14" s="1167"/>
      <c r="H14" s="1167"/>
      <c r="I14" s="1167"/>
    </row>
    <row r="15" spans="1:9">
      <c r="A15" s="1065"/>
      <c r="B15" s="1167"/>
      <c r="C15" s="1167"/>
      <c r="D15" s="1167"/>
      <c r="E15" s="1167"/>
      <c r="F15" s="1167"/>
      <c r="G15" s="1167"/>
      <c r="H15" s="1167"/>
      <c r="I15" s="1167"/>
    </row>
    <row r="16" spans="1:9">
      <c r="A16" s="1065"/>
      <c r="B16" s="1167"/>
      <c r="C16" s="1689" t="s">
        <v>4701</v>
      </c>
      <c r="D16" s="1167"/>
      <c r="E16" s="1167"/>
      <c r="F16" s="1167"/>
      <c r="G16" s="1167"/>
      <c r="H16" s="1167"/>
      <c r="I16" s="1167"/>
    </row>
    <row r="17" spans="1:21">
      <c r="A17" s="1065"/>
      <c r="B17" s="1167"/>
      <c r="C17" s="1689" t="s">
        <v>4702</v>
      </c>
      <c r="D17" s="1167"/>
      <c r="E17" s="1167"/>
      <c r="F17" s="1167"/>
      <c r="G17" s="1167"/>
      <c r="H17" s="1167"/>
      <c r="I17" s="1167"/>
    </row>
    <row r="18" spans="1:21">
      <c r="A18" s="1065"/>
      <c r="B18" s="1167"/>
      <c r="C18" s="1167"/>
      <c r="D18" s="1167"/>
      <c r="E18" s="1167"/>
      <c r="F18" s="1167"/>
      <c r="G18" s="1167"/>
      <c r="H18" s="1167"/>
      <c r="I18" s="1167"/>
    </row>
    <row r="19" spans="1:21">
      <c r="A19" s="1065"/>
      <c r="B19" s="1167"/>
      <c r="C19" s="1689" t="s">
        <v>4703</v>
      </c>
      <c r="D19" s="1167"/>
      <c r="E19" s="1167"/>
      <c r="F19" s="1167"/>
      <c r="G19" s="1167"/>
      <c r="H19" s="1167"/>
      <c r="I19" s="1167"/>
    </row>
    <row r="20" spans="1:21">
      <c r="A20" s="1065"/>
      <c r="B20" s="1167"/>
      <c r="C20" s="1689" t="s">
        <v>4704</v>
      </c>
      <c r="D20" s="1167"/>
      <c r="E20" s="1167"/>
      <c r="F20" s="1167"/>
      <c r="G20" s="1167"/>
      <c r="H20" s="1167"/>
      <c r="I20" s="1167"/>
    </row>
    <row r="21" spans="1:21">
      <c r="A21" s="1065"/>
      <c r="B21" s="1167"/>
      <c r="C21" s="1362"/>
      <c r="D21" s="1167"/>
      <c r="E21" s="1167"/>
      <c r="F21" s="1167"/>
      <c r="G21" s="1167"/>
      <c r="H21" s="1167"/>
      <c r="I21" s="1167"/>
      <c r="P21" s="9" t="s">
        <v>4705</v>
      </c>
      <c r="Q21" s="9"/>
      <c r="R21" s="9"/>
    </row>
    <row r="22" spans="1:21">
      <c r="A22" s="1065"/>
      <c r="B22" s="1167"/>
      <c r="C22" s="698" t="s">
        <v>4706</v>
      </c>
      <c r="D22" s="1669"/>
      <c r="E22" s="1669" t="s">
        <v>4707</v>
      </c>
      <c r="F22" s="1722" t="s">
        <v>4708</v>
      </c>
      <c r="G22" s="1722" t="s">
        <v>1010</v>
      </c>
      <c r="H22" s="1167"/>
      <c r="I22" s="1167"/>
      <c r="P22" s="9" t="s">
        <v>4705</v>
      </c>
      <c r="Q22" s="9"/>
      <c r="R22" s="9"/>
    </row>
    <row r="23" spans="1:21">
      <c r="A23" s="1065"/>
      <c r="B23" s="1167"/>
      <c r="C23" s="1363" t="s">
        <v>4709</v>
      </c>
      <c r="D23" s="1364"/>
      <c r="E23" s="1370">
        <v>37</v>
      </c>
      <c r="F23" s="1736">
        <f>SUM(F24:F27)</f>
        <v>0</v>
      </c>
      <c r="G23" s="1736">
        <f>SUM(G24:G27)</f>
        <v>0</v>
      </c>
      <c r="H23" s="1167"/>
      <c r="I23" s="1167"/>
      <c r="P23" s="9" t="s">
        <v>4705</v>
      </c>
      <c r="Q23" s="9"/>
      <c r="R23" s="9"/>
    </row>
    <row r="24" spans="1:21">
      <c r="A24" s="1065"/>
      <c r="B24" s="1167"/>
      <c r="C24" s="1365" t="s">
        <v>4710</v>
      </c>
      <c r="D24" s="1364"/>
      <c r="E24" s="1371">
        <v>27</v>
      </c>
      <c r="F24" s="1724">
        <f>'21. Location Score'!D63</f>
        <v>0</v>
      </c>
      <c r="G24" s="1724">
        <f>'21. Location Score'!E63</f>
        <v>0</v>
      </c>
      <c r="H24" s="1167"/>
      <c r="I24" s="1167"/>
      <c r="P24" s="9" t="s">
        <v>4705</v>
      </c>
      <c r="Q24" s="9"/>
      <c r="R24" s="9"/>
    </row>
    <row r="25" spans="1:21">
      <c r="A25" s="1065"/>
      <c r="B25" s="1167"/>
      <c r="C25" s="1366" t="s">
        <v>4711</v>
      </c>
      <c r="D25" s="1364"/>
      <c r="E25" s="1371">
        <v>2</v>
      </c>
      <c r="F25" s="1724">
        <f>'21. Location Score'!D109</f>
        <v>0</v>
      </c>
      <c r="G25" s="1724">
        <f>'21. Location Score'!E109</f>
        <v>0</v>
      </c>
      <c r="H25" s="1167"/>
      <c r="I25" s="1167"/>
      <c r="P25" s="9" t="s">
        <v>4705</v>
      </c>
      <c r="Q25" s="9"/>
      <c r="R25" s="9"/>
    </row>
    <row r="26" spans="1:21">
      <c r="A26" s="1065"/>
      <c r="B26" s="1167"/>
      <c r="C26" s="1365" t="s">
        <v>4712</v>
      </c>
      <c r="D26" s="1364"/>
      <c r="E26" s="1371">
        <v>8</v>
      </c>
      <c r="F26" s="1724">
        <f>'21. Location Score'!D141</f>
        <v>0</v>
      </c>
      <c r="G26" s="1724">
        <f>'21. Location Score'!E141</f>
        <v>0</v>
      </c>
      <c r="H26" s="1167"/>
      <c r="I26" s="1167"/>
      <c r="O26" s="9"/>
      <c r="P26" s="9"/>
      <c r="Q26" s="9"/>
      <c r="R26" s="9"/>
      <c r="U26" s="9" t="s">
        <v>4705</v>
      </c>
    </row>
    <row r="27" spans="1:21">
      <c r="A27" s="1065"/>
      <c r="B27" s="1167"/>
      <c r="C27" s="1365" t="s">
        <v>4713</v>
      </c>
      <c r="D27" s="1367"/>
      <c r="E27" s="1371">
        <v>25</v>
      </c>
      <c r="F27" s="1724">
        <f>'21. Location Score'!D200</f>
        <v>0</v>
      </c>
      <c r="G27" s="1724">
        <f>'21. Location Score'!E200</f>
        <v>0</v>
      </c>
      <c r="H27" s="1167"/>
      <c r="I27" s="1167"/>
      <c r="P27" s="9" t="s">
        <v>4705</v>
      </c>
      <c r="Q27" s="9"/>
      <c r="R27" s="9"/>
    </row>
    <row r="28" spans="1:21">
      <c r="A28" s="1065"/>
      <c r="B28" s="1167"/>
      <c r="C28" s="1363" t="s">
        <v>4714</v>
      </c>
      <c r="D28" s="1364"/>
      <c r="E28" s="1370">
        <f>SUM(E29:E32)</f>
        <v>53</v>
      </c>
      <c r="F28" s="1002">
        <f>SUM(F29:F32)</f>
        <v>0</v>
      </c>
      <c r="G28" s="1002">
        <f>SUM(G29:G32)</f>
        <v>0</v>
      </c>
      <c r="H28" s="1167"/>
      <c r="I28" s="1167"/>
      <c r="J28" s="76"/>
      <c r="K28" s="945"/>
      <c r="L28" s="1711"/>
      <c r="M28" s="1711"/>
      <c r="N28" s="1711"/>
      <c r="P28" s="9"/>
      <c r="Q28" s="9"/>
      <c r="R28" s="9"/>
    </row>
    <row r="29" spans="1:21">
      <c r="A29" s="1065"/>
      <c r="B29" s="1167"/>
      <c r="C29" s="1365" t="s">
        <v>4715</v>
      </c>
      <c r="D29" s="1364"/>
      <c r="E29" s="1371">
        <v>5</v>
      </c>
      <c r="F29" s="426">
        <f>'22. Tenants Served Score'!D28</f>
        <v>0</v>
      </c>
      <c r="G29" s="1724">
        <f>'22. Tenants Served Score'!E28</f>
        <v>0</v>
      </c>
      <c r="H29" s="1167"/>
      <c r="I29" s="1167"/>
      <c r="J29" s="76"/>
      <c r="K29" s="945"/>
      <c r="L29" s="1711"/>
      <c r="M29" s="1711"/>
      <c r="N29" s="1711"/>
      <c r="P29" s="9"/>
      <c r="Q29" s="9"/>
      <c r="R29" s="9"/>
    </row>
    <row r="30" spans="1:21">
      <c r="A30" s="1065"/>
      <c r="B30" s="1167"/>
      <c r="C30" s="1365" t="s">
        <v>4716</v>
      </c>
      <c r="D30" s="1364"/>
      <c r="E30" s="1371">
        <v>35</v>
      </c>
      <c r="F30" s="1724">
        <f>'22. Tenants Served Score'!D59</f>
        <v>0</v>
      </c>
      <c r="G30" s="1724">
        <f>'22. Tenants Served Score'!E59</f>
        <v>0</v>
      </c>
      <c r="H30" s="1167"/>
      <c r="I30" s="1167"/>
      <c r="J30" s="76"/>
      <c r="K30" s="945"/>
      <c r="L30" s="1711"/>
      <c r="M30" s="1711"/>
      <c r="N30" s="1711"/>
      <c r="P30" s="9"/>
      <c r="Q30" s="9"/>
      <c r="R30" s="9"/>
    </row>
    <row r="31" spans="1:21">
      <c r="A31" s="1065"/>
      <c r="B31" s="1167"/>
      <c r="C31" s="1365" t="s">
        <v>4717</v>
      </c>
      <c r="D31" s="1364"/>
      <c r="E31" s="1371">
        <v>10</v>
      </c>
      <c r="F31" s="1724">
        <f>'22. Tenants Served Score'!D96</f>
        <v>0</v>
      </c>
      <c r="G31" s="1724">
        <f>'22. Tenants Served Score'!E96</f>
        <v>0</v>
      </c>
      <c r="H31" s="1167"/>
      <c r="I31" s="1167"/>
      <c r="J31" s="76"/>
      <c r="K31" s="945"/>
      <c r="L31" s="1711"/>
      <c r="M31" s="1711"/>
      <c r="N31" s="1711"/>
      <c r="P31" s="9"/>
      <c r="Q31" s="9"/>
      <c r="R31" s="9"/>
    </row>
    <row r="32" spans="1:21">
      <c r="A32" s="1065"/>
      <c r="B32" s="1167"/>
      <c r="C32" s="1365" t="s">
        <v>4718</v>
      </c>
      <c r="D32" s="1364"/>
      <c r="E32" s="1371">
        <v>3</v>
      </c>
      <c r="F32" s="1724">
        <f>'22. Tenants Served Score'!D132</f>
        <v>0</v>
      </c>
      <c r="G32" s="1724">
        <f>'22. Tenants Served Score'!E132</f>
        <v>0</v>
      </c>
      <c r="H32" s="1167"/>
      <c r="I32" s="1167"/>
      <c r="P32" s="9" t="s">
        <v>4705</v>
      </c>
      <c r="Q32" s="9"/>
      <c r="R32" s="9"/>
    </row>
    <row r="33" spans="1:18">
      <c r="A33" s="1065"/>
      <c r="B33" s="1167"/>
      <c r="C33" s="1363" t="s">
        <v>4719</v>
      </c>
      <c r="D33" s="1364"/>
      <c r="E33" s="1370">
        <f>SUM(E34:E38)</f>
        <v>45</v>
      </c>
      <c r="F33" s="1736">
        <f>SUM(F34:F38)</f>
        <v>0</v>
      </c>
      <c r="G33" s="1736">
        <f>SUM(G34:G38)</f>
        <v>0</v>
      </c>
      <c r="H33" s="1167"/>
      <c r="I33" s="1167"/>
      <c r="P33" s="9" t="s">
        <v>4705</v>
      </c>
      <c r="Q33" s="9"/>
      <c r="R33" s="9"/>
    </row>
    <row r="34" spans="1:18">
      <c r="A34" s="1065"/>
      <c r="B34" s="1167"/>
      <c r="C34" s="1365" t="s">
        <v>4720</v>
      </c>
      <c r="D34" s="1364"/>
      <c r="E34" s="1371">
        <v>25</v>
      </c>
      <c r="F34" s="1724">
        <f>'23. Building Design Score'!D66</f>
        <v>0</v>
      </c>
      <c r="G34" s="1724">
        <f>'23. Building Design Score'!E66</f>
        <v>0</v>
      </c>
      <c r="H34" s="1194"/>
      <c r="I34" s="1194"/>
      <c r="P34" s="9" t="s">
        <v>4705</v>
      </c>
      <c r="Q34" s="9"/>
      <c r="R34" s="9"/>
    </row>
    <row r="35" spans="1:18">
      <c r="A35" s="1067"/>
      <c r="B35" s="1167"/>
      <c r="C35" s="1365" t="s">
        <v>4721</v>
      </c>
      <c r="D35" s="1367"/>
      <c r="E35" s="1371">
        <v>13</v>
      </c>
      <c r="F35" s="1724">
        <f>'23. Building Design Score'!D143</f>
        <v>0</v>
      </c>
      <c r="G35" s="1724">
        <f>'23. Building Design Score'!E143</f>
        <v>0</v>
      </c>
      <c r="H35" s="1167"/>
      <c r="I35" s="1167"/>
      <c r="P35" s="9" t="s">
        <v>4705</v>
      </c>
      <c r="Q35" s="9"/>
      <c r="R35" s="9"/>
    </row>
    <row r="36" spans="1:18">
      <c r="A36" s="1067"/>
      <c r="B36" s="1167"/>
      <c r="C36" s="1365" t="s">
        <v>4722</v>
      </c>
      <c r="D36" s="1364"/>
      <c r="E36" s="1371">
        <v>3</v>
      </c>
      <c r="F36" s="1724">
        <f>'23. Building Design Score'!D188</f>
        <v>0</v>
      </c>
      <c r="G36" s="1724">
        <f>'23. Building Design Score'!E188</f>
        <v>0</v>
      </c>
      <c r="H36" s="1194"/>
      <c r="I36" s="1194"/>
      <c r="P36" s="9" t="s">
        <v>4705</v>
      </c>
      <c r="Q36" s="9"/>
      <c r="R36" s="9"/>
    </row>
    <row r="37" spans="1:18">
      <c r="A37" s="1067"/>
      <c r="B37" s="1167"/>
      <c r="C37" s="1365" t="s">
        <v>4723</v>
      </c>
      <c r="D37" s="1364"/>
      <c r="E37" s="1371">
        <v>2</v>
      </c>
      <c r="F37" s="1724">
        <f>'23. Building Design Score'!D227</f>
        <v>0</v>
      </c>
      <c r="G37" s="1724">
        <f>'23. Building Design Score'!E227</f>
        <v>0</v>
      </c>
      <c r="H37" s="1167"/>
      <c r="I37" s="1167"/>
      <c r="P37" s="9"/>
      <c r="Q37" s="9"/>
      <c r="R37" s="9"/>
    </row>
    <row r="38" spans="1:18">
      <c r="A38" s="1067"/>
      <c r="B38" s="1167"/>
      <c r="C38" s="1365" t="s">
        <v>4724</v>
      </c>
      <c r="D38" s="1364"/>
      <c r="E38" s="1371">
        <v>2</v>
      </c>
      <c r="F38" s="426">
        <f>'23. Building Design Score'!D253</f>
        <v>0</v>
      </c>
      <c r="G38" s="426">
        <f>'23. Building Design Score'!E253</f>
        <v>0</v>
      </c>
      <c r="H38" s="1167"/>
      <c r="I38" s="1167"/>
      <c r="P38" s="9"/>
      <c r="Q38" s="9"/>
      <c r="R38" s="9"/>
    </row>
    <row r="39" spans="1:18">
      <c r="A39" s="1067"/>
      <c r="B39" s="1167"/>
      <c r="C39" s="1363" t="s">
        <v>4725</v>
      </c>
      <c r="D39" s="1364"/>
      <c r="E39" s="1370">
        <f>SUM(E40:E42)</f>
        <v>44</v>
      </c>
      <c r="F39" s="1002">
        <f>SUM(F40,F42)</f>
        <v>0</v>
      </c>
      <c r="G39" s="1736">
        <f>SUM(G40:G42)</f>
        <v>0</v>
      </c>
      <c r="H39" s="1167"/>
      <c r="I39" s="1167"/>
    </row>
    <row r="40" spans="1:18">
      <c r="A40" s="1065"/>
      <c r="B40" s="1167"/>
      <c r="C40" s="1365" t="s">
        <v>4726</v>
      </c>
      <c r="D40" s="1364"/>
      <c r="E40" s="1371">
        <v>36</v>
      </c>
      <c r="F40" s="426">
        <f>'24. Development Process Score'!E50</f>
        <v>0</v>
      </c>
      <c r="G40" s="1724">
        <f>'24. Development Process Score'!G50</f>
        <v>0</v>
      </c>
      <c r="H40" s="1167"/>
      <c r="I40" s="1167"/>
    </row>
    <row r="41" spans="1:18">
      <c r="A41" s="1065"/>
      <c r="B41" s="1167"/>
      <c r="C41" s="1365" t="s">
        <v>4727</v>
      </c>
      <c r="D41" s="1364"/>
      <c r="E41" s="1371">
        <v>6</v>
      </c>
      <c r="F41" s="1372" t="s">
        <v>17</v>
      </c>
      <c r="G41" s="1724">
        <f>'24. Development Process Score'!O91</f>
        <v>0</v>
      </c>
      <c r="H41" s="1167"/>
      <c r="I41" s="1167"/>
    </row>
    <row r="42" spans="1:18">
      <c r="A42" s="1065"/>
      <c r="B42" s="1167"/>
      <c r="C42" s="1365" t="s">
        <v>4728</v>
      </c>
      <c r="D42" s="1364"/>
      <c r="E42" s="1371">
        <v>2</v>
      </c>
      <c r="F42" s="1724">
        <f>'24. Development Process Score'!E122</f>
        <v>0</v>
      </c>
      <c r="G42" s="1724">
        <f>'24. Development Process Score'!G122</f>
        <v>0</v>
      </c>
      <c r="H42" s="1167"/>
      <c r="I42" s="1167"/>
    </row>
    <row r="43" spans="1:18">
      <c r="B43" s="1167"/>
      <c r="C43" s="1368" t="s">
        <v>4729</v>
      </c>
      <c r="D43" s="1369"/>
      <c r="E43" s="1370">
        <f>SUM(E23,E28,E33,E39)</f>
        <v>179</v>
      </c>
      <c r="F43" s="1002">
        <f>SUM(F23,F28,F33,F39)</f>
        <v>0</v>
      </c>
      <c r="G43" s="1002">
        <f>SUM(G23,G28,G33,G39)</f>
        <v>0</v>
      </c>
      <c r="H43" s="1167"/>
      <c r="I43" s="1167"/>
    </row>
    <row r="44" spans="1:18">
      <c r="B44" s="1167"/>
      <c r="C44" s="1167"/>
      <c r="D44" s="1167"/>
      <c r="E44" s="1167"/>
      <c r="F44" s="1167"/>
      <c r="G44" s="1167"/>
      <c r="H44" s="1167"/>
      <c r="I44" s="1167"/>
    </row>
    <row r="45" spans="1:18">
      <c r="B45" s="1167"/>
      <c r="C45" s="1167" t="s">
        <v>4730</v>
      </c>
      <c r="D45" s="1167"/>
      <c r="E45" s="1167"/>
      <c r="F45" s="1167"/>
      <c r="G45" s="1167"/>
      <c r="H45" s="1167"/>
      <c r="I45" s="1167"/>
    </row>
    <row r="46" spans="1:18">
      <c r="B46" s="1167"/>
      <c r="C46" s="1167"/>
      <c r="D46" s="1167"/>
      <c r="E46" s="1167"/>
      <c r="F46" s="1167"/>
      <c r="G46" s="1167"/>
      <c r="H46" s="1167"/>
      <c r="I46" s="1167"/>
    </row>
  </sheetData>
  <sheetProtection algorithmName="SHA-512" hashValue="qLEpkLSd+0Ulw8AFMuDbuz/9aQ4ioH7om7T65GDM+oLVJfOp/SriRZUq+yl2d5CPY7uiZq9K70RdzoCEgrVWig==" saltValue="66ZTP3WdB3lz1dJHrW/rQw==" spinCount="100000" sheet="1" objects="1" scenarios="1" selectLockedCells="1"/>
  <dataValidations count="1">
    <dataValidation type="custom" allowBlank="1" showInputMessage="1" showErrorMessage="1" sqref="G1 A4:A41" xr:uid="{101B3A40-D90E-4B12-9D19-E23FBC484F4E}">
      <formula1>"&lt;0&gt;0"</formula1>
    </dataValidation>
  </dataValidations>
  <pageMargins left="0.7" right="0.7" top="0.75" bottom="0.75" header="0.3" footer="0.3"/>
  <pageSetup scale="66" orientation="portrait" r:id="rId1"/>
  <headerFooter>
    <oddHeader>&amp;L&amp;G</oddHeader>
    <oddFooter>&amp;LVersion - 2023.0.01&amp;CWHEDA MULTIFAMILY APPLICATION&amp;R&amp;P of &amp;N</oddFooter>
  </headerFooter>
  <colBreaks count="1" manualBreakCount="1">
    <brk id="9" min="4" max="48"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9AD4B-3A0E-4D99-BA3E-C193CAA23C3C}">
  <sheetPr codeName="Sheet36">
    <pageSetUpPr fitToPage="1"/>
  </sheetPr>
  <dimension ref="A1:CF216"/>
  <sheetViews>
    <sheetView zoomScaleNormal="100" workbookViewId="0">
      <selection activeCell="C67" sqref="C67:G75"/>
    </sheetView>
  </sheetViews>
  <sheetFormatPr baseColWidth="10" defaultColWidth="8.83203125" defaultRowHeight="15"/>
  <cols>
    <col min="1" max="1" width="4.5" style="3" customWidth="1"/>
    <col min="2" max="2" width="7" style="3" customWidth="1"/>
    <col min="3" max="3" width="18" style="3" customWidth="1"/>
    <col min="4" max="4" width="18.33203125" style="3" customWidth="1"/>
    <col min="5" max="5" width="16.33203125" style="3" customWidth="1"/>
    <col min="6" max="6" width="13.33203125" style="3" bestFit="1" customWidth="1"/>
    <col min="7" max="7" width="15.5" style="3" customWidth="1"/>
    <col min="8" max="8" width="8.1640625" style="3" customWidth="1"/>
    <col min="9" max="9" width="12" style="3" customWidth="1"/>
    <col min="10" max="11" width="12.83203125" style="3" customWidth="1"/>
    <col min="12" max="12" width="12.6640625" style="3" customWidth="1"/>
    <col min="13" max="13" width="19.1640625" style="3" customWidth="1"/>
    <col min="14" max="14" width="12.6640625" style="3" customWidth="1"/>
    <col min="15" max="15" width="7.6640625" style="3" customWidth="1"/>
    <col min="16" max="16" width="7.5" style="3" customWidth="1"/>
    <col min="17" max="17" width="4.5" style="149" customWidth="1"/>
    <col min="18" max="18" width="10.83203125" style="675" customWidth="1"/>
    <col min="19" max="22" width="8.83203125" style="9" customWidth="1"/>
    <col min="23" max="40" width="8.83203125" style="3" customWidth="1"/>
    <col min="41" max="16384" width="8.83203125" style="3"/>
  </cols>
  <sheetData>
    <row r="1" spans="1:84" ht="29">
      <c r="B1" s="4" t="str">
        <f>'1. TOC'!B1</f>
        <v>WHEDA 2025 Multifamily Application</v>
      </c>
      <c r="C1" s="4"/>
      <c r="D1" s="4"/>
      <c r="E1" s="4"/>
      <c r="F1" s="4"/>
      <c r="G1" s="4"/>
      <c r="H1" s="4"/>
      <c r="I1" s="149" t="str">
        <f>'1. TOC'!L1</f>
        <v>v25.1.9</v>
      </c>
      <c r="J1" s="4"/>
      <c r="K1" s="1086" t="str">
        <f>HYPERLINK("#Table_of_Contents", Table_of_Contents)</f>
        <v>Table of Contents</v>
      </c>
      <c r="L1" s="4"/>
      <c r="M1" s="4"/>
      <c r="N1" s="4"/>
      <c r="O1" s="4"/>
      <c r="P1" s="4"/>
      <c r="W1" s="131"/>
      <c r="X1" s="131"/>
      <c r="Y1" s="131"/>
      <c r="Z1" s="131"/>
      <c r="AA1" s="131"/>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84" ht="21">
      <c r="B2" s="1013" t="str">
        <f>_xlfn.CONCAT(IF(ISBLANK(WHEDA_Project_Number),"",_xlfn.CONCAT(WHEDA_Project_Number,"-")), Project_Name, IF(ISBLANK(Credit_percentage_applied_for),"",_xlfn.CONCAT(" (", Credit_percentage_applied_for," HTC)")))</f>
        <v/>
      </c>
      <c r="C2" s="934"/>
      <c r="D2" s="934"/>
      <c r="E2" s="934"/>
      <c r="F2" s="934"/>
      <c r="G2" s="934"/>
      <c r="H2" s="934"/>
      <c r="I2" s="5"/>
      <c r="J2" s="5"/>
      <c r="K2" s="5"/>
      <c r="L2" s="5"/>
      <c r="M2" s="5"/>
      <c r="N2" s="5"/>
      <c r="O2" s="5"/>
      <c r="P2"/>
      <c r="W2" s="131"/>
      <c r="X2" s="131"/>
      <c r="Y2" s="131"/>
      <c r="Z2" s="131"/>
      <c r="AA2" s="131"/>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84" s="217" customFormat="1" ht="16">
      <c r="A3" s="1017"/>
      <c r="B3" s="11" t="s">
        <v>4731</v>
      </c>
      <c r="I3" s="1019"/>
      <c r="J3" s="1019"/>
      <c r="K3" s="1019"/>
      <c r="L3" s="1019"/>
      <c r="M3" s="1019"/>
      <c r="N3" s="1019"/>
      <c r="O3" s="1019"/>
      <c r="P3" s="1019"/>
      <c r="Q3" s="973"/>
      <c r="R3" s="1518"/>
      <c r="S3" s="11"/>
      <c r="T3" s="11"/>
      <c r="U3" s="11"/>
      <c r="V3" s="11"/>
      <c r="W3" s="562"/>
      <c r="X3" s="562"/>
      <c r="Y3" s="562"/>
      <c r="Z3" s="562"/>
      <c r="AA3" s="56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row>
    <row r="4" spans="1:84" ht="29">
      <c r="B4" s="4" t="s">
        <v>4731</v>
      </c>
      <c r="C4" s="938"/>
      <c r="D4" s="938"/>
      <c r="E4" s="938"/>
      <c r="F4" s="938"/>
      <c r="G4" s="938"/>
      <c r="H4" s="938"/>
      <c r="W4" s="131"/>
      <c r="X4" s="131"/>
      <c r="Y4" s="131"/>
      <c r="Z4" s="131"/>
      <c r="AA4" s="131"/>
    </row>
    <row r="5" spans="1:84" ht="21">
      <c r="B5" s="977" t="s">
        <v>4732</v>
      </c>
      <c r="C5" s="8"/>
      <c r="D5" s="8"/>
      <c r="E5" s="8"/>
      <c r="F5" s="8"/>
      <c r="G5" s="8"/>
      <c r="H5" s="8"/>
      <c r="W5" s="131"/>
      <c r="X5" s="131"/>
      <c r="Y5" s="131"/>
      <c r="Z5" s="131"/>
      <c r="AA5" s="131"/>
    </row>
    <row r="6" spans="1:84" ht="19">
      <c r="B6" s="1373" t="s">
        <v>4733</v>
      </c>
      <c r="C6" s="1166"/>
      <c r="D6" s="1166"/>
      <c r="E6" s="1166"/>
      <c r="F6" s="1166"/>
      <c r="G6" s="1166"/>
      <c r="H6" s="1166"/>
      <c r="I6" s="1167"/>
      <c r="J6" s="1167"/>
      <c r="K6" s="1167"/>
      <c r="L6" s="1167"/>
      <c r="M6" s="1167"/>
      <c r="N6" s="1167"/>
      <c r="O6" s="1167"/>
      <c r="P6" s="1167"/>
      <c r="W6" s="131"/>
      <c r="X6" s="131"/>
      <c r="Y6" s="131"/>
      <c r="Z6" s="131"/>
      <c r="AA6" s="131"/>
    </row>
    <row r="7" spans="1:84" ht="19">
      <c r="B7" s="1373"/>
      <c r="C7" s="1166"/>
      <c r="D7" s="1166"/>
      <c r="E7" s="1166"/>
      <c r="F7" s="1166"/>
      <c r="G7" s="1166"/>
      <c r="H7" s="1166"/>
      <c r="I7" s="1167"/>
      <c r="J7" s="1167"/>
      <c r="K7" s="1167"/>
      <c r="L7" s="1167"/>
      <c r="M7" s="1167"/>
      <c r="N7" s="1167"/>
      <c r="O7" s="1167"/>
      <c r="P7" s="1167"/>
      <c r="W7" s="131"/>
      <c r="X7" s="131"/>
      <c r="Y7" s="131"/>
      <c r="Z7" s="131"/>
      <c r="AA7" s="131"/>
    </row>
    <row r="8" spans="1:84">
      <c r="B8" s="1167"/>
      <c r="C8" s="1722" t="s">
        <v>4734</v>
      </c>
      <c r="D8" s="1722" t="s">
        <v>4708</v>
      </c>
      <c r="E8" s="1722" t="s">
        <v>1010</v>
      </c>
      <c r="F8" s="1167"/>
      <c r="G8" s="1167"/>
      <c r="H8" s="1167"/>
      <c r="I8" s="1167"/>
      <c r="J8" s="1167"/>
      <c r="K8" s="1167"/>
      <c r="L8" s="1167"/>
      <c r="M8" s="1167"/>
      <c r="N8" s="1167"/>
      <c r="O8" s="1167"/>
      <c r="P8" s="1167"/>
      <c r="W8" s="131"/>
      <c r="X8" s="131"/>
      <c r="Y8" s="131"/>
      <c r="Z8" s="131"/>
      <c r="AA8" s="131"/>
    </row>
    <row r="9" spans="1:84">
      <c r="B9" s="1733"/>
      <c r="C9" s="749">
        <v>37</v>
      </c>
      <c r="D9" s="1736">
        <f>SUM(D63,D109,D141,D200)</f>
        <v>0</v>
      </c>
      <c r="E9" s="1736">
        <f>SUM(E63,E109,E141,E200)</f>
        <v>0</v>
      </c>
      <c r="F9" s="1374"/>
      <c r="G9" s="1374"/>
      <c r="H9" s="1374"/>
      <c r="I9" s="1167"/>
      <c r="J9" s="1167"/>
      <c r="K9" s="1167"/>
      <c r="L9" s="1167"/>
      <c r="M9" s="1167"/>
      <c r="N9" s="1167"/>
      <c r="O9" s="1167"/>
      <c r="P9" s="1167"/>
      <c r="W9" s="131"/>
      <c r="X9" s="131"/>
      <c r="Y9" s="131"/>
      <c r="Z9" s="131"/>
      <c r="AA9" s="131"/>
    </row>
    <row r="10" spans="1:84">
      <c r="B10" s="1167"/>
      <c r="C10" s="1167"/>
      <c r="D10" s="1167"/>
      <c r="E10" s="1167"/>
      <c r="F10" s="1167"/>
      <c r="G10" s="1167"/>
      <c r="H10" s="1167"/>
      <c r="I10" s="1167"/>
      <c r="J10" s="1167"/>
      <c r="K10" s="1167"/>
      <c r="L10" s="1167"/>
      <c r="M10" s="1167"/>
      <c r="N10" s="1167"/>
      <c r="O10" s="1167"/>
      <c r="P10" s="1167"/>
      <c r="W10" s="131"/>
      <c r="X10" s="131"/>
      <c r="Y10" s="131"/>
      <c r="Z10" s="131"/>
      <c r="AA10" s="131"/>
    </row>
    <row r="11" spans="1:84" s="944" customFormat="1" ht="21">
      <c r="B11" s="977" t="s">
        <v>4735</v>
      </c>
      <c r="C11" s="8"/>
      <c r="D11" s="8"/>
      <c r="E11" s="8"/>
      <c r="F11" s="8"/>
      <c r="G11" s="8"/>
      <c r="H11" s="8"/>
      <c r="Q11" s="1118"/>
      <c r="R11" s="1519"/>
      <c r="S11" s="972"/>
      <c r="T11" s="972"/>
      <c r="U11" s="972"/>
      <c r="V11" s="972"/>
      <c r="W11" s="974"/>
      <c r="X11" s="974"/>
      <c r="Y11" s="974"/>
      <c r="Z11" s="974"/>
      <c r="AA11" s="974"/>
      <c r="AK11" s="972"/>
      <c r="AL11" s="972"/>
      <c r="AM11" s="972"/>
      <c r="AN11" s="972"/>
      <c r="AO11" s="972"/>
      <c r="AP11" s="972"/>
      <c r="AQ11" s="972"/>
      <c r="AR11" s="972"/>
      <c r="AS11" s="972"/>
      <c r="AT11" s="972"/>
      <c r="AU11" s="972"/>
      <c r="AV11" s="972"/>
      <c r="AW11" s="972"/>
      <c r="AX11" s="972"/>
      <c r="AY11" s="972"/>
      <c r="AZ11" s="972"/>
      <c r="BA11" s="972"/>
      <c r="BB11" s="972"/>
      <c r="BC11" s="972"/>
      <c r="BD11" s="972"/>
      <c r="BE11" s="972"/>
      <c r="BF11" s="972"/>
      <c r="BG11" s="972"/>
      <c r="BH11" s="972"/>
      <c r="BI11" s="972"/>
      <c r="BJ11" s="972"/>
      <c r="BK11" s="972"/>
      <c r="BL11" s="972"/>
      <c r="BM11" s="972"/>
      <c r="BN11" s="972"/>
      <c r="BO11" s="972"/>
      <c r="BP11" s="972"/>
      <c r="BQ11" s="972"/>
      <c r="BR11" s="972"/>
      <c r="BS11" s="972"/>
      <c r="BT11" s="972"/>
      <c r="BU11" s="972"/>
      <c r="BV11" s="972"/>
      <c r="BW11" s="972"/>
      <c r="BX11" s="972"/>
      <c r="BY11" s="972"/>
      <c r="BZ11" s="972"/>
    </row>
    <row r="12" spans="1:84">
      <c r="B12" s="1373" t="str">
        <f>S13</f>
        <v>Census Tract , County</v>
      </c>
      <c r="C12" s="1167"/>
      <c r="D12" s="1167"/>
      <c r="E12" s="1167"/>
      <c r="F12" s="1167"/>
      <c r="G12" s="1167"/>
      <c r="H12" s="1167"/>
      <c r="I12" s="1167"/>
      <c r="J12" s="1167"/>
      <c r="K12" s="1167"/>
      <c r="L12" s="1167"/>
      <c r="M12" s="1167"/>
      <c r="N12" s="1167"/>
      <c r="O12" s="1167"/>
      <c r="P12" s="1167"/>
      <c r="S12" s="9" t="str">
        <f>'3. Project Location'!C14&amp;Property_Census_Tract&amp;", "&amp;Property_County&amp;'3. Project Location'!C12</f>
        <v xml:space="preserve">Census Tract ,  County </v>
      </c>
      <c r="W12" s="131"/>
      <c r="X12" s="131"/>
      <c r="Y12" s="131"/>
      <c r="Z12" s="131"/>
      <c r="AA12" s="131"/>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9"/>
      <c r="BL12" s="9"/>
      <c r="BM12" s="9"/>
      <c r="BN12" s="9"/>
      <c r="BO12" s="9"/>
      <c r="BP12" s="9"/>
      <c r="BQ12" s="9"/>
      <c r="BR12" s="9"/>
      <c r="BS12" s="9"/>
      <c r="BT12" s="9"/>
      <c r="BU12" s="9"/>
      <c r="BV12" s="9"/>
      <c r="BW12" s="9"/>
      <c r="BX12" s="9"/>
      <c r="BY12" s="9"/>
      <c r="BZ12" s="9"/>
    </row>
    <row r="13" spans="1:84">
      <c r="B13" s="1167" t="s">
        <v>4736</v>
      </c>
      <c r="C13" s="1167"/>
      <c r="D13" s="1167"/>
      <c r="E13" s="1167"/>
      <c r="F13" s="1167"/>
      <c r="G13" s="1167"/>
      <c r="H13" s="1167"/>
      <c r="I13" s="1167"/>
      <c r="J13" s="1167"/>
      <c r="K13" s="1167"/>
      <c r="L13" s="1167"/>
      <c r="M13" s="1167"/>
      <c r="N13" s="1167"/>
      <c r="O13" s="1167"/>
      <c r="P13" s="1167"/>
      <c r="S13" s="9" t="str">
        <f>TRIM(S12)</f>
        <v>Census Tract , County</v>
      </c>
      <c r="W13" s="131"/>
      <c r="X13" s="131"/>
      <c r="Y13" s="131"/>
      <c r="Z13" s="131"/>
      <c r="AA13" s="131"/>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9"/>
      <c r="BL13" s="9"/>
      <c r="BM13" s="9"/>
      <c r="BN13" s="9"/>
      <c r="BO13" s="9"/>
      <c r="BP13" s="9"/>
      <c r="BQ13" s="9"/>
      <c r="BR13" s="9"/>
      <c r="BS13" s="9"/>
      <c r="BT13" s="9"/>
      <c r="BU13" s="9"/>
      <c r="BV13" s="9"/>
      <c r="BW13" s="9"/>
      <c r="BX13" s="9"/>
      <c r="BY13" s="9"/>
      <c r="BZ13" s="9"/>
      <c r="CA13" s="9"/>
      <c r="CB13" s="9"/>
      <c r="CC13" s="9"/>
      <c r="CD13" s="9"/>
      <c r="CE13" s="9"/>
      <c r="CF13" s="9"/>
    </row>
    <row r="14" spans="1:84">
      <c r="B14" s="1689" t="s">
        <v>4737</v>
      </c>
      <c r="C14" s="1167"/>
      <c r="D14" s="1167"/>
      <c r="E14" s="1167"/>
      <c r="F14" s="1167"/>
      <c r="G14" s="1167"/>
      <c r="H14" s="1167"/>
      <c r="I14" s="1167"/>
      <c r="J14" s="1167"/>
      <c r="K14" s="1167"/>
      <c r="L14" s="1167"/>
      <c r="M14" s="1167"/>
      <c r="N14" s="1167"/>
      <c r="O14" s="1167"/>
      <c r="P14" s="1167"/>
      <c r="R14" s="675" t="s">
        <v>4738</v>
      </c>
      <c r="S14" s="9" t="b">
        <f>IF(F158="YES",TRUE,FALSE)</f>
        <v>0</v>
      </c>
      <c r="W14" s="131"/>
      <c r="X14" s="131"/>
      <c r="Y14" s="131"/>
      <c r="Z14" s="131"/>
      <c r="AA14" s="131"/>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9"/>
      <c r="BL14" s="9"/>
      <c r="BM14" s="9"/>
      <c r="BN14" s="9"/>
      <c r="BO14" s="9"/>
      <c r="BP14" s="9"/>
      <c r="BQ14" s="9"/>
      <c r="BR14" s="9"/>
      <c r="BS14" s="9"/>
      <c r="BT14" s="9"/>
      <c r="BU14" s="9"/>
      <c r="BV14" s="9"/>
      <c r="BW14" s="9"/>
      <c r="BX14" s="9"/>
      <c r="BY14" s="9"/>
      <c r="BZ14" s="9"/>
      <c r="CA14" s="9"/>
      <c r="CB14" s="9"/>
      <c r="CC14" s="9"/>
      <c r="CD14" s="9"/>
      <c r="CE14" s="9"/>
      <c r="CF14" s="9"/>
    </row>
    <row r="15" spans="1:84">
      <c r="B15" s="1167"/>
      <c r="C15" s="1167"/>
      <c r="D15" s="1167"/>
      <c r="E15" s="1167"/>
      <c r="F15" s="1167"/>
      <c r="G15" s="1167"/>
      <c r="H15" s="1167"/>
      <c r="I15" s="1167"/>
      <c r="J15" s="1167"/>
      <c r="K15" s="1167"/>
      <c r="L15" s="1167"/>
      <c r="M15" s="1167"/>
      <c r="N15" s="1167"/>
      <c r="O15" s="1167"/>
      <c r="P15" s="1167"/>
      <c r="W15" s="131"/>
      <c r="X15" s="131"/>
      <c r="Y15" s="131"/>
      <c r="Z15" s="131"/>
      <c r="AA15" s="131"/>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9"/>
      <c r="BL15" s="9"/>
      <c r="BM15" s="9"/>
      <c r="BN15" s="9"/>
      <c r="BO15" s="9"/>
      <c r="BP15" s="9"/>
      <c r="BQ15" s="9"/>
      <c r="BR15" s="9"/>
      <c r="BS15" s="9"/>
      <c r="BT15" s="9"/>
      <c r="BU15" s="9"/>
      <c r="BV15" s="9"/>
      <c r="BW15" s="9"/>
      <c r="BX15" s="9"/>
      <c r="BY15" s="9"/>
      <c r="BZ15" s="9"/>
      <c r="CA15" s="9"/>
      <c r="CB15" s="9"/>
      <c r="CC15" s="9"/>
      <c r="CD15" s="9"/>
      <c r="CE15" s="9"/>
      <c r="CF15" s="9"/>
    </row>
    <row r="16" spans="1:84">
      <c r="B16" s="1167"/>
      <c r="C16" s="1714" t="s">
        <v>4739</v>
      </c>
      <c r="D16" s="2436" t="s">
        <v>4740</v>
      </c>
      <c r="E16" s="2436"/>
      <c r="F16" s="2436"/>
      <c r="G16" s="2436"/>
      <c r="H16" s="2436"/>
      <c r="I16" s="2436"/>
      <c r="J16" s="2436"/>
      <c r="K16" s="1778"/>
      <c r="L16" s="1778" t="s">
        <v>4741</v>
      </c>
      <c r="M16" s="1779"/>
      <c r="N16" s="1779"/>
      <c r="O16" s="2250"/>
      <c r="P16" s="1167"/>
      <c r="W16" s="131"/>
      <c r="X16" s="131"/>
      <c r="Y16" s="131"/>
      <c r="Z16" s="131"/>
      <c r="AA16" s="131"/>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9"/>
      <c r="BL16" s="9"/>
      <c r="BM16" s="9"/>
      <c r="BN16" s="9"/>
      <c r="BO16" s="9"/>
      <c r="BP16" s="9"/>
      <c r="BQ16" s="9"/>
      <c r="BR16" s="9"/>
      <c r="BS16" s="9"/>
      <c r="BT16" s="9"/>
      <c r="BU16" s="9"/>
      <c r="BV16" s="9"/>
      <c r="BW16" s="9"/>
      <c r="BX16" s="9"/>
      <c r="BY16" s="9"/>
      <c r="BZ16" s="9"/>
      <c r="CA16" s="9"/>
      <c r="CB16" s="9"/>
      <c r="CC16" s="9"/>
      <c r="CD16" s="9"/>
      <c r="CE16" s="9"/>
      <c r="CF16" s="9"/>
    </row>
    <row r="17" spans="2:84">
      <c r="B17" s="1167"/>
      <c r="C17" s="2417">
        <f>IFERROR(VLOOKUP($B$12,'App R Data'!B7:C793,2,FALSE),0)</f>
        <v>0</v>
      </c>
      <c r="D17" s="2437" t="s">
        <v>4742</v>
      </c>
      <c r="E17" s="2438"/>
      <c r="F17" s="2438"/>
      <c r="G17" s="2438"/>
      <c r="H17" s="2438"/>
      <c r="I17" s="2438"/>
      <c r="J17" s="2438"/>
      <c r="K17" s="2438"/>
      <c r="L17" s="1800" t="str">
        <f>_xlfn.CONCAT("Census Tract from tab 3. Project Location: ",IF(Property_Census_Tract="","n/a",Property_Census_Tract),".")</f>
        <v>Census Tract from tab 3. Project Location: n/a.</v>
      </c>
      <c r="M17" s="1808"/>
      <c r="N17" s="1808"/>
      <c r="O17" s="1885"/>
      <c r="P17" s="1167"/>
      <c r="W17" s="131"/>
      <c r="X17" s="131"/>
      <c r="Y17" s="131"/>
      <c r="Z17" s="131"/>
      <c r="AA17" s="131"/>
    </row>
    <row r="18" spans="2:84">
      <c r="B18" s="1167"/>
      <c r="C18" s="2418"/>
      <c r="D18" s="2439"/>
      <c r="E18" s="2440"/>
      <c r="F18" s="2440"/>
      <c r="G18" s="2440"/>
      <c r="H18" s="2440"/>
      <c r="I18" s="2440"/>
      <c r="J18" s="2440"/>
      <c r="K18" s="2440"/>
      <c r="L18" s="1800" t="str">
        <f>_xlfn.CONCAT("County from tab 3. Project Location: ",IF(Property_County="","n/a",Property_County),".")</f>
        <v>County from tab 3. Project Location: n/a.</v>
      </c>
      <c r="M18" s="1808"/>
      <c r="N18" s="1808"/>
      <c r="O18" s="1885"/>
      <c r="P18" s="1167"/>
      <c r="W18" s="131"/>
      <c r="X18" s="131"/>
      <c r="Y18" s="131"/>
      <c r="Z18" s="131"/>
      <c r="AA18" s="131"/>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9"/>
      <c r="BL18" s="9"/>
      <c r="BM18" s="9"/>
      <c r="BN18" s="9"/>
      <c r="BO18" s="9"/>
      <c r="BP18" s="9"/>
      <c r="BQ18" s="9"/>
      <c r="BR18" s="9"/>
      <c r="BS18" s="9"/>
      <c r="BT18" s="9"/>
      <c r="BU18" s="9"/>
      <c r="BV18" s="9"/>
      <c r="BW18" s="9"/>
      <c r="BX18" s="9"/>
      <c r="BY18" s="9"/>
      <c r="BZ18" s="9"/>
      <c r="CA18" s="9"/>
      <c r="CB18" s="9"/>
      <c r="CC18" s="9"/>
      <c r="CD18" s="9"/>
      <c r="CE18" s="9"/>
      <c r="CF18" s="9"/>
    </row>
    <row r="19" spans="2:84" ht="19.5" customHeight="1">
      <c r="B19" s="1167"/>
      <c r="C19" s="2418"/>
      <c r="D19" s="2439"/>
      <c r="E19" s="2440"/>
      <c r="F19" s="2440"/>
      <c r="G19" s="2440"/>
      <c r="H19" s="2440"/>
      <c r="I19" s="2440"/>
      <c r="J19" s="2440"/>
      <c r="K19" s="2440"/>
      <c r="L19" s="1806" t="s">
        <v>4743</v>
      </c>
      <c r="M19" s="1818"/>
      <c r="N19" s="1818"/>
      <c r="O19" s="2428"/>
      <c r="P19" s="1167"/>
      <c r="W19" s="131"/>
      <c r="X19" s="131"/>
      <c r="Y19" s="131"/>
      <c r="Z19" s="131"/>
      <c r="AA19" s="131"/>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9"/>
      <c r="BL19" s="9"/>
      <c r="BM19" s="9"/>
      <c r="BN19" s="9"/>
      <c r="BO19" s="9"/>
      <c r="BP19" s="9"/>
      <c r="BQ19" s="9"/>
      <c r="BR19" s="9"/>
      <c r="BS19" s="9"/>
      <c r="BT19" s="9"/>
      <c r="BU19" s="9"/>
      <c r="BV19" s="9"/>
      <c r="BW19" s="9"/>
      <c r="BX19" s="9"/>
      <c r="BY19" s="9"/>
      <c r="BZ19" s="9"/>
      <c r="CA19" s="9"/>
      <c r="CB19" s="9"/>
      <c r="CC19" s="9"/>
      <c r="CD19" s="9"/>
      <c r="CE19" s="9"/>
      <c r="CF19" s="9"/>
    </row>
    <row r="20" spans="2:84">
      <c r="B20" s="1167"/>
      <c r="C20" s="2417">
        <f>IFERROR(VLOOKUP(Q20,'App R Data'!E7:F163,2,FALSE),0)</f>
        <v>0</v>
      </c>
      <c r="D20" s="2437" t="s">
        <v>4744</v>
      </c>
      <c r="E20" s="2438"/>
      <c r="F20" s="2438"/>
      <c r="G20" s="2438"/>
      <c r="H20" s="2438"/>
      <c r="I20" s="2438"/>
      <c r="J20" s="2438"/>
      <c r="K20" s="2441"/>
      <c r="L20" s="1800" t="str">
        <f>_xlfn.CONCAT("School District from tab 3. Project Location: ",IF('3. Project Location'!D15="","field is empty",'3. Project Location'!D15),".")</f>
        <v>School District from tab 3. Project Location: field is empty.</v>
      </c>
      <c r="M20" s="1808"/>
      <c r="N20" s="1808"/>
      <c r="O20" s="1885"/>
      <c r="P20" s="1167"/>
      <c r="W20" s="131"/>
      <c r="X20" s="131"/>
      <c r="Y20" s="131"/>
      <c r="Z20" s="131"/>
      <c r="AA20" s="131"/>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9"/>
      <c r="BL20" s="9"/>
      <c r="BM20" s="9"/>
      <c r="BN20" s="9"/>
      <c r="BO20" s="9"/>
      <c r="BP20" s="9"/>
      <c r="BQ20" s="9"/>
      <c r="BR20" s="9"/>
      <c r="BS20" s="9"/>
      <c r="BT20" s="9"/>
      <c r="BU20" s="9"/>
      <c r="BV20" s="9"/>
      <c r="BW20" s="9"/>
      <c r="BX20" s="9"/>
      <c r="BY20" s="9"/>
      <c r="BZ20" s="9"/>
      <c r="CA20" s="9"/>
      <c r="CB20" s="9"/>
      <c r="CC20" s="9"/>
      <c r="CD20" s="9"/>
      <c r="CE20" s="9"/>
      <c r="CF20" s="9"/>
    </row>
    <row r="21" spans="2:84">
      <c r="B21" s="1167"/>
      <c r="C21" s="2418"/>
      <c r="D21" s="2439"/>
      <c r="E21" s="2440"/>
      <c r="F21" s="2440"/>
      <c r="G21" s="2440"/>
      <c r="H21" s="2440"/>
      <c r="I21" s="2440"/>
      <c r="J21" s="2440"/>
      <c r="K21" s="2442"/>
      <c r="L21" s="1800" t="s">
        <v>4745</v>
      </c>
      <c r="M21" s="1808"/>
      <c r="N21" s="1808"/>
      <c r="O21" s="1885"/>
      <c r="P21" s="1167"/>
      <c r="W21" s="131"/>
      <c r="X21" s="131"/>
      <c r="Y21" s="131"/>
      <c r="Z21" s="131"/>
      <c r="AA21" s="131"/>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9"/>
      <c r="BL21" s="9"/>
      <c r="BM21" s="9"/>
      <c r="BN21" s="9"/>
      <c r="BO21" s="9"/>
      <c r="BP21" s="9"/>
      <c r="BQ21" s="9"/>
      <c r="BR21" s="9"/>
      <c r="BS21" s="9"/>
      <c r="BT21" s="9"/>
      <c r="BU21" s="9"/>
      <c r="BV21" s="9"/>
      <c r="BW21" s="9"/>
      <c r="BX21" s="9"/>
      <c r="BY21" s="9"/>
      <c r="BZ21" s="9"/>
      <c r="CA21" s="9"/>
      <c r="CB21" s="9"/>
      <c r="CC21" s="9"/>
      <c r="CD21" s="9"/>
      <c r="CE21" s="9"/>
      <c r="CF21" s="9"/>
    </row>
    <row r="22" spans="2:84">
      <c r="B22" s="1167"/>
      <c r="C22" s="2418"/>
      <c r="D22" s="2439"/>
      <c r="E22" s="2440"/>
      <c r="F22" s="2440"/>
      <c r="G22" s="2440"/>
      <c r="H22" s="2440"/>
      <c r="I22" s="2440"/>
      <c r="J22" s="2440"/>
      <c r="K22" s="2442"/>
      <c r="L22" s="1800"/>
      <c r="M22" s="1808"/>
      <c r="N22" s="1808"/>
      <c r="O22" s="1885"/>
      <c r="P22" s="1167"/>
      <c r="W22" s="131"/>
      <c r="X22" s="131"/>
      <c r="Y22" s="131"/>
      <c r="Z22" s="131"/>
      <c r="AA22" s="131"/>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9"/>
      <c r="BL22" s="9"/>
      <c r="BM22" s="9"/>
      <c r="BN22" s="9"/>
      <c r="BO22" s="9"/>
      <c r="BP22" s="9"/>
      <c r="BQ22" s="9"/>
      <c r="BR22" s="9"/>
      <c r="BS22" s="9"/>
      <c r="BT22" s="9"/>
      <c r="BU22" s="9"/>
      <c r="BV22" s="9"/>
      <c r="BW22" s="9"/>
      <c r="BX22" s="9"/>
      <c r="BY22" s="9"/>
      <c r="BZ22" s="9"/>
      <c r="CA22" s="9"/>
      <c r="CB22" s="9"/>
      <c r="CC22" s="9"/>
      <c r="CD22" s="9"/>
      <c r="CE22" s="9"/>
      <c r="CF22" s="9"/>
    </row>
    <row r="23" spans="2:84">
      <c r="B23" s="1167"/>
      <c r="C23" s="2418"/>
      <c r="D23" s="2439"/>
      <c r="E23" s="2440"/>
      <c r="F23" s="2440"/>
      <c r="G23" s="2440"/>
      <c r="H23" s="2440"/>
      <c r="I23" s="2440"/>
      <c r="J23" s="2440"/>
      <c r="K23" s="2442"/>
      <c r="L23" s="1800"/>
      <c r="M23" s="1808"/>
      <c r="N23" s="1808"/>
      <c r="O23" s="1885"/>
      <c r="P23" s="1167"/>
      <c r="W23" s="131"/>
      <c r="X23" s="131"/>
      <c r="Y23" s="131"/>
      <c r="Z23" s="131"/>
      <c r="AA23" s="131"/>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9"/>
      <c r="BL23" s="9"/>
      <c r="BM23" s="9"/>
      <c r="BN23" s="9"/>
      <c r="BO23" s="9"/>
      <c r="BP23" s="9"/>
      <c r="BQ23" s="9"/>
      <c r="BR23" s="9"/>
      <c r="BS23" s="9"/>
      <c r="BT23" s="9"/>
      <c r="BU23" s="9"/>
      <c r="BV23" s="9"/>
      <c r="BW23" s="9"/>
      <c r="BX23" s="9"/>
      <c r="BY23" s="9"/>
      <c r="BZ23" s="9"/>
      <c r="CA23" s="9"/>
      <c r="CB23" s="9"/>
      <c r="CC23" s="9"/>
      <c r="CD23" s="9"/>
      <c r="CE23" s="9"/>
      <c r="CF23" s="9"/>
    </row>
    <row r="24" spans="2:84">
      <c r="B24" s="1167"/>
      <c r="C24" s="2418"/>
      <c r="D24" s="2439"/>
      <c r="E24" s="2440"/>
      <c r="F24" s="2440"/>
      <c r="G24" s="2440"/>
      <c r="H24" s="2440"/>
      <c r="I24" s="2440"/>
      <c r="J24" s="2440"/>
      <c r="K24" s="2442"/>
      <c r="L24" s="1800"/>
      <c r="M24" s="1808"/>
      <c r="N24" s="1808"/>
      <c r="O24" s="1885"/>
      <c r="P24" s="1167"/>
      <c r="W24" s="131"/>
      <c r="X24" s="131"/>
      <c r="Y24" s="131"/>
      <c r="Z24" s="131"/>
      <c r="AA24" s="131"/>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9"/>
      <c r="BL24" s="9"/>
      <c r="BM24" s="9"/>
      <c r="BN24" s="9"/>
      <c r="BO24" s="9"/>
      <c r="BP24" s="9"/>
      <c r="BQ24" s="9"/>
      <c r="BR24" s="9"/>
      <c r="BS24" s="9"/>
      <c r="BT24" s="9"/>
      <c r="BU24" s="9"/>
      <c r="BV24" s="9"/>
      <c r="BW24" s="9"/>
      <c r="BX24" s="9"/>
      <c r="BY24" s="9"/>
      <c r="BZ24" s="9"/>
      <c r="CA24" s="9"/>
      <c r="CB24" s="9"/>
      <c r="CC24" s="9"/>
      <c r="CD24" s="9"/>
      <c r="CE24" s="9"/>
      <c r="CF24" s="9"/>
    </row>
    <row r="25" spans="2:84">
      <c r="B25" s="1167"/>
      <c r="C25" s="2418"/>
      <c r="D25" s="2439"/>
      <c r="E25" s="2440"/>
      <c r="F25" s="2440"/>
      <c r="G25" s="2440"/>
      <c r="H25" s="2440"/>
      <c r="I25" s="2440"/>
      <c r="J25" s="2440"/>
      <c r="K25" s="2442"/>
      <c r="L25" s="1800"/>
      <c r="M25" s="1808"/>
      <c r="N25" s="1808"/>
      <c r="O25" s="1885"/>
      <c r="P25" s="1167"/>
      <c r="W25" s="131"/>
      <c r="X25" s="131"/>
      <c r="Y25" s="131"/>
      <c r="Z25" s="131"/>
      <c r="AA25" s="131"/>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9"/>
      <c r="BL25" s="9"/>
      <c r="BM25" s="9"/>
      <c r="BN25" s="9"/>
      <c r="BO25" s="9"/>
      <c r="BP25" s="9"/>
      <c r="BQ25" s="9"/>
      <c r="BR25" s="9"/>
      <c r="BS25" s="9"/>
      <c r="BT25" s="9"/>
      <c r="BU25" s="9"/>
      <c r="BV25" s="9"/>
      <c r="BW25" s="9"/>
      <c r="BX25" s="9"/>
      <c r="BY25" s="9"/>
      <c r="BZ25" s="9"/>
      <c r="CA25" s="9"/>
      <c r="CB25" s="9"/>
      <c r="CC25" s="9"/>
      <c r="CD25" s="9"/>
      <c r="CE25" s="9"/>
      <c r="CF25" s="9"/>
    </row>
    <row r="26" spans="2:84">
      <c r="B26" s="1167"/>
      <c r="C26" s="2418"/>
      <c r="D26" s="2439"/>
      <c r="E26" s="2440"/>
      <c r="F26" s="2440"/>
      <c r="G26" s="2440"/>
      <c r="H26" s="2440"/>
      <c r="I26" s="2440"/>
      <c r="J26" s="2440"/>
      <c r="K26" s="2442"/>
      <c r="L26" s="1800"/>
      <c r="M26" s="1808"/>
      <c r="N26" s="1808"/>
      <c r="O26" s="1885"/>
      <c r="P26" s="1167"/>
      <c r="W26" s="131"/>
      <c r="X26" s="131"/>
      <c r="Y26" s="131"/>
      <c r="Z26" s="131"/>
      <c r="AA26" s="131"/>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9"/>
      <c r="BL26" s="9"/>
      <c r="BM26" s="9"/>
      <c r="BN26" s="9"/>
      <c r="BO26" s="9"/>
      <c r="BP26" s="9"/>
      <c r="BQ26" s="9"/>
      <c r="BR26" s="9"/>
      <c r="BS26" s="9"/>
      <c r="BT26" s="9"/>
      <c r="BU26" s="9"/>
      <c r="BV26" s="9"/>
      <c r="BW26" s="9"/>
      <c r="BX26" s="9"/>
      <c r="BY26" s="9"/>
      <c r="BZ26" s="9"/>
      <c r="CA26" s="9"/>
      <c r="CB26" s="9"/>
      <c r="CC26" s="9"/>
      <c r="CD26" s="9"/>
      <c r="CE26" s="9"/>
      <c r="CF26" s="9"/>
    </row>
    <row r="27" spans="2:84" ht="24" customHeight="1">
      <c r="B27" s="1167"/>
      <c r="C27" s="2418"/>
      <c r="D27" s="2439"/>
      <c r="E27" s="2440"/>
      <c r="F27" s="2440"/>
      <c r="G27" s="2440"/>
      <c r="H27" s="2440"/>
      <c r="I27" s="2440"/>
      <c r="J27" s="2440"/>
      <c r="K27" s="2442"/>
      <c r="L27" s="1806"/>
      <c r="M27" s="1818"/>
      <c r="N27" s="1818"/>
      <c r="O27" s="2428"/>
      <c r="P27" s="1167"/>
      <c r="W27" s="131"/>
      <c r="X27" s="131"/>
      <c r="Y27" s="131"/>
      <c r="Z27" s="131"/>
      <c r="AA27" s="131"/>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9"/>
      <c r="BL27" s="9"/>
      <c r="BM27" s="9"/>
      <c r="BN27" s="9"/>
      <c r="BO27" s="9"/>
      <c r="BP27" s="9"/>
      <c r="BQ27" s="9"/>
      <c r="BR27" s="9"/>
      <c r="BS27" s="9"/>
      <c r="BT27" s="9"/>
      <c r="BU27" s="9"/>
      <c r="BV27" s="9"/>
      <c r="BW27" s="9"/>
      <c r="BX27" s="9"/>
      <c r="BY27" s="9"/>
      <c r="BZ27" s="9"/>
      <c r="CA27" s="9"/>
      <c r="CB27" s="9"/>
      <c r="CC27" s="9"/>
      <c r="CD27" s="9"/>
      <c r="CE27" s="9"/>
      <c r="CF27" s="9"/>
    </row>
    <row r="28" spans="2:84">
      <c r="B28" s="1167"/>
      <c r="C28" s="2443">
        <f>IFERROR(VLOOKUP($B$12,'App R Data'!H7:I655,2,FALSE),0)</f>
        <v>0</v>
      </c>
      <c r="D28" s="2437" t="s">
        <v>4746</v>
      </c>
      <c r="E28" s="2438"/>
      <c r="F28" s="2438"/>
      <c r="G28" s="2438"/>
      <c r="H28" s="2438"/>
      <c r="I28" s="2438"/>
      <c r="J28" s="2438"/>
      <c r="K28" s="2438"/>
      <c r="L28" s="1800" t="str">
        <f>_xlfn.CONCAT("Census Tract from tab 3. Project Location: ",IF(Property_Census_Tract="","n/a",Property_Census_Tract),".")</f>
        <v>Census Tract from tab 3. Project Location: n/a.</v>
      </c>
      <c r="M28" s="1808"/>
      <c r="N28" s="1808"/>
      <c r="O28" s="1885"/>
      <c r="P28" s="1167"/>
      <c r="W28" s="131"/>
      <c r="X28" s="131"/>
      <c r="Y28" s="131"/>
      <c r="Z28" s="131"/>
      <c r="AA28" s="131"/>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9"/>
      <c r="BL28" s="9"/>
      <c r="BM28" s="9"/>
      <c r="BN28" s="9"/>
      <c r="BO28" s="9"/>
      <c r="BP28" s="9"/>
      <c r="BQ28" s="9"/>
      <c r="BR28" s="9"/>
      <c r="BS28" s="9"/>
      <c r="BT28" s="9"/>
      <c r="BU28" s="9"/>
      <c r="BV28" s="9"/>
      <c r="BW28" s="9"/>
      <c r="BX28" s="9"/>
      <c r="BY28" s="9"/>
      <c r="BZ28" s="9"/>
      <c r="CA28" s="9"/>
      <c r="CB28" s="9"/>
      <c r="CC28" s="9"/>
      <c r="CD28" s="9"/>
      <c r="CE28" s="9"/>
      <c r="CF28" s="9"/>
    </row>
    <row r="29" spans="2:84">
      <c r="B29" s="1167"/>
      <c r="C29" s="2444"/>
      <c r="D29" s="2439"/>
      <c r="E29" s="2440"/>
      <c r="F29" s="2440"/>
      <c r="G29" s="2440"/>
      <c r="H29" s="2440"/>
      <c r="I29" s="2440"/>
      <c r="J29" s="2440"/>
      <c r="K29" s="2440"/>
      <c r="L29" s="1800" t="str">
        <f>_xlfn.CONCAT("County from tab 3. Project Location: ",IF(Property_County="","n/a",Property_County),".")</f>
        <v>County from tab 3. Project Location: n/a.</v>
      </c>
      <c r="M29" s="1808"/>
      <c r="N29" s="1808"/>
      <c r="O29" s="1885"/>
      <c r="P29" s="1167"/>
      <c r="W29" s="131"/>
      <c r="X29" s="131"/>
      <c r="Y29" s="131"/>
      <c r="Z29" s="131"/>
      <c r="AA29" s="131"/>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9"/>
      <c r="BL29" s="9"/>
      <c r="BM29" s="9"/>
      <c r="BN29" s="9"/>
      <c r="BO29" s="9"/>
      <c r="BP29" s="9"/>
      <c r="BQ29" s="9"/>
      <c r="BR29" s="9"/>
      <c r="BS29" s="9"/>
      <c r="BT29" s="9"/>
      <c r="BU29" s="9"/>
      <c r="BV29" s="9"/>
      <c r="BW29" s="9"/>
      <c r="BX29" s="9"/>
      <c r="BY29" s="9"/>
      <c r="BZ29" s="9"/>
      <c r="CA29" s="9"/>
      <c r="CB29" s="9"/>
      <c r="CC29" s="9"/>
      <c r="CD29" s="9"/>
      <c r="CE29" s="9"/>
      <c r="CF29" s="9"/>
    </row>
    <row r="30" spans="2:84">
      <c r="B30" s="1167"/>
      <c r="C30" s="2444"/>
      <c r="D30" s="2439"/>
      <c r="E30" s="2440"/>
      <c r="F30" s="2440"/>
      <c r="G30" s="2440"/>
      <c r="H30" s="2440"/>
      <c r="I30" s="2440"/>
      <c r="J30" s="2440"/>
      <c r="K30" s="2440"/>
      <c r="L30" s="1800" t="s">
        <v>4747</v>
      </c>
      <c r="M30" s="1808"/>
      <c r="N30" s="1808"/>
      <c r="O30" s="1885"/>
      <c r="P30" s="1167"/>
      <c r="W30" s="131"/>
      <c r="X30" s="131"/>
      <c r="Y30" s="131"/>
      <c r="Z30" s="131"/>
      <c r="AA30" s="131"/>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9"/>
      <c r="BL30" s="9"/>
      <c r="BM30" s="9"/>
      <c r="BN30" s="9"/>
      <c r="BO30" s="9"/>
      <c r="BP30" s="9"/>
      <c r="BQ30" s="9"/>
      <c r="BR30" s="9"/>
      <c r="BS30" s="9"/>
      <c r="BT30" s="9"/>
      <c r="BU30" s="9"/>
      <c r="BV30" s="9"/>
      <c r="BW30" s="9"/>
      <c r="BX30" s="9"/>
      <c r="BY30" s="9"/>
      <c r="BZ30" s="9"/>
      <c r="CA30" s="9"/>
      <c r="CB30" s="9"/>
      <c r="CC30" s="9"/>
      <c r="CD30" s="9"/>
      <c r="CE30" s="9"/>
      <c r="CF30" s="9"/>
    </row>
    <row r="31" spans="2:84">
      <c r="B31" s="1167"/>
      <c r="C31" s="2444"/>
      <c r="D31" s="2439"/>
      <c r="E31" s="2440"/>
      <c r="F31" s="2440"/>
      <c r="G31" s="2440"/>
      <c r="H31" s="2440"/>
      <c r="I31" s="2440"/>
      <c r="J31" s="2440"/>
      <c r="K31" s="2440"/>
      <c r="L31" s="150"/>
      <c r="O31" s="1383"/>
      <c r="P31" s="1167"/>
      <c r="W31" s="131"/>
      <c r="X31" s="131"/>
      <c r="Y31" s="131"/>
      <c r="Z31" s="131"/>
      <c r="AA31" s="131"/>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9"/>
      <c r="BL31" s="9"/>
      <c r="BM31" s="9"/>
      <c r="BN31" s="9"/>
      <c r="BO31" s="9"/>
      <c r="BP31" s="9"/>
      <c r="BQ31" s="9"/>
      <c r="BR31" s="9"/>
      <c r="BS31" s="9"/>
      <c r="BT31" s="9"/>
      <c r="BU31" s="9"/>
      <c r="BV31" s="9"/>
      <c r="BW31" s="9"/>
      <c r="BX31" s="9"/>
      <c r="BY31" s="9"/>
      <c r="BZ31" s="9"/>
      <c r="CA31" s="9"/>
      <c r="CB31" s="9"/>
      <c r="CC31" s="9"/>
      <c r="CD31" s="9"/>
      <c r="CE31" s="9"/>
      <c r="CF31" s="9"/>
    </row>
    <row r="32" spans="2:84" ht="19.5" customHeight="1">
      <c r="B32" s="1167"/>
      <c r="C32" s="2445"/>
      <c r="D32" s="2450"/>
      <c r="E32" s="2451"/>
      <c r="F32" s="2451"/>
      <c r="G32" s="2451"/>
      <c r="H32" s="2451"/>
      <c r="I32" s="2451"/>
      <c r="J32" s="2451"/>
      <c r="K32" s="2451"/>
      <c r="L32" s="2447"/>
      <c r="M32" s="2448"/>
      <c r="N32" s="2448"/>
      <c r="O32" s="2449"/>
      <c r="P32" s="1167"/>
      <c r="W32" s="131"/>
      <c r="X32" s="131"/>
      <c r="Y32" s="131"/>
      <c r="Z32" s="131"/>
      <c r="AA32" s="131"/>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9"/>
      <c r="BL32" s="9"/>
      <c r="BM32" s="9"/>
      <c r="BN32" s="9"/>
      <c r="BO32" s="9"/>
      <c r="BP32" s="9"/>
      <c r="BQ32" s="9"/>
      <c r="BR32" s="9"/>
      <c r="BS32" s="9"/>
      <c r="BT32" s="9"/>
      <c r="BU32" s="9"/>
      <c r="BV32" s="9"/>
      <c r="BW32" s="9"/>
      <c r="BX32" s="9"/>
      <c r="BY32" s="9"/>
      <c r="BZ32" s="9"/>
      <c r="CA32" s="9"/>
      <c r="CB32" s="9"/>
      <c r="CC32" s="9"/>
      <c r="CD32" s="9"/>
      <c r="CE32" s="9"/>
      <c r="CF32" s="9"/>
    </row>
    <row r="33" spans="2:84">
      <c r="B33" s="1167"/>
      <c r="C33" s="1167"/>
      <c r="D33" s="1167"/>
      <c r="E33" s="1167"/>
      <c r="F33" s="1167"/>
      <c r="G33" s="1167"/>
      <c r="H33" s="1167"/>
      <c r="I33" s="1167"/>
      <c r="J33" s="1167"/>
      <c r="K33" s="1167"/>
      <c r="L33" s="1167"/>
      <c r="M33" s="1167"/>
      <c r="N33" s="1167"/>
      <c r="O33" s="1167"/>
      <c r="P33" s="1167"/>
      <c r="W33" s="131"/>
      <c r="X33" s="131"/>
      <c r="Y33" s="131"/>
      <c r="Z33" s="131"/>
      <c r="AA33" s="131"/>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9"/>
      <c r="BL33" s="9"/>
      <c r="BM33" s="9"/>
      <c r="BN33" s="9"/>
      <c r="BO33" s="9"/>
      <c r="BP33" s="9"/>
      <c r="BQ33" s="9"/>
      <c r="BR33" s="9"/>
      <c r="BS33" s="9"/>
      <c r="BT33" s="9"/>
      <c r="BU33" s="9"/>
      <c r="BV33" s="9"/>
      <c r="BW33" s="9"/>
      <c r="BX33" s="9"/>
      <c r="BY33" s="9"/>
      <c r="BZ33" s="9"/>
      <c r="CA33" s="9"/>
      <c r="CB33" s="9"/>
      <c r="CC33" s="9"/>
      <c r="CD33" s="9"/>
      <c r="CE33" s="9"/>
      <c r="CF33" s="9"/>
    </row>
    <row r="34" spans="2:84" ht="21" hidden="1">
      <c r="B34" s="1376"/>
      <c r="C34" s="1167"/>
      <c r="D34" s="1167"/>
      <c r="E34" s="1167"/>
      <c r="F34" s="1167"/>
      <c r="G34" s="1167"/>
      <c r="H34" s="1167"/>
      <c r="I34" s="1167"/>
      <c r="J34" s="1167"/>
      <c r="K34" s="1167"/>
      <c r="L34" s="1167"/>
      <c r="M34" s="1167"/>
      <c r="N34" s="1167"/>
      <c r="O34" s="1167"/>
      <c r="P34" s="1167"/>
      <c r="Q34" s="1119"/>
      <c r="W34" s="131"/>
      <c r="X34" s="131"/>
      <c r="Y34" s="131"/>
      <c r="Z34" s="131"/>
      <c r="AA34" s="131"/>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9"/>
      <c r="BL34" s="9"/>
      <c r="BM34" s="9"/>
      <c r="BN34" s="9"/>
      <c r="BO34" s="9"/>
      <c r="BP34" s="9"/>
      <c r="BQ34" s="9"/>
      <c r="BR34" s="9"/>
      <c r="BS34" s="9"/>
      <c r="BT34" s="9"/>
      <c r="BU34" s="9"/>
      <c r="BV34" s="9"/>
      <c r="BW34" s="9"/>
      <c r="BX34" s="9"/>
      <c r="BY34" s="9"/>
      <c r="BZ34" s="9"/>
      <c r="CA34" s="9"/>
      <c r="CB34" s="9"/>
      <c r="CC34" s="9"/>
      <c r="CD34" s="9"/>
      <c r="CE34" s="9"/>
      <c r="CF34" s="9"/>
    </row>
    <row r="35" spans="2:84">
      <c r="B35" s="1689" t="s">
        <v>4748</v>
      </c>
      <c r="C35" s="1167"/>
      <c r="D35" s="1167"/>
      <c r="E35" s="1167"/>
      <c r="F35" s="1167"/>
      <c r="G35" s="1167"/>
      <c r="H35" s="1167"/>
      <c r="I35" s="1167"/>
      <c r="J35" s="1167"/>
      <c r="K35" s="1167"/>
      <c r="L35" s="1167"/>
      <c r="M35" s="1167"/>
      <c r="N35" s="1167"/>
      <c r="O35" s="1167"/>
      <c r="P35" s="1167"/>
      <c r="W35" s="131"/>
      <c r="X35" s="131"/>
      <c r="Y35" s="131"/>
      <c r="Z35" s="131"/>
      <c r="AA35" s="131"/>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9"/>
      <c r="BL35" s="9"/>
      <c r="BM35" s="9"/>
      <c r="BN35" s="9"/>
      <c r="BO35" s="9"/>
      <c r="BP35" s="9"/>
      <c r="BQ35" s="9"/>
      <c r="BR35" s="9"/>
      <c r="BS35" s="9"/>
      <c r="BT35" s="9"/>
      <c r="BU35" s="9"/>
      <c r="BV35" s="9"/>
      <c r="BW35" s="9"/>
      <c r="BX35" s="9"/>
      <c r="BY35" s="9"/>
      <c r="BZ35" s="9"/>
      <c r="CA35" s="9"/>
      <c r="CB35" s="9"/>
      <c r="CC35" s="9"/>
      <c r="CD35" s="9"/>
      <c r="CE35" s="9"/>
      <c r="CF35" s="9"/>
    </row>
    <row r="36" spans="2:84">
      <c r="B36" s="1167"/>
      <c r="C36" s="1167" t="s">
        <v>4749</v>
      </c>
      <c r="D36" s="1167"/>
      <c r="E36" s="1167"/>
      <c r="F36" s="1167"/>
      <c r="G36" s="1167"/>
      <c r="H36" s="1167"/>
      <c r="I36" s="1167"/>
      <c r="J36" s="1167"/>
      <c r="K36" s="1167"/>
      <c r="L36" s="1167"/>
      <c r="M36" s="1167"/>
      <c r="N36" s="1167"/>
      <c r="O36" s="1167"/>
      <c r="P36" s="1167"/>
      <c r="Q36" s="462"/>
      <c r="W36" s="131"/>
      <c r="X36" s="131"/>
      <c r="Y36" s="131"/>
      <c r="Z36" s="131"/>
      <c r="AA36" s="131"/>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9"/>
      <c r="BL36" s="9"/>
      <c r="BM36" s="9"/>
      <c r="BN36" s="9"/>
      <c r="BO36" s="9"/>
      <c r="BP36" s="9"/>
      <c r="BQ36" s="9"/>
      <c r="BR36" s="9"/>
      <c r="BS36" s="9"/>
      <c r="BT36" s="9"/>
      <c r="BU36" s="9"/>
      <c r="BV36" s="9"/>
      <c r="BW36" s="9"/>
      <c r="BX36" s="9"/>
      <c r="BY36" s="9"/>
      <c r="BZ36" s="9"/>
      <c r="CA36" s="9"/>
      <c r="CB36" s="9"/>
      <c r="CC36" s="9"/>
      <c r="CD36" s="9"/>
      <c r="CE36" s="9"/>
      <c r="CF36" s="9"/>
    </row>
    <row r="37" spans="2:84">
      <c r="B37" s="1167"/>
      <c r="C37" s="1167" t="s">
        <v>4750</v>
      </c>
      <c r="D37" s="1167"/>
      <c r="E37" s="1167"/>
      <c r="F37" s="1167"/>
      <c r="G37" s="1167"/>
      <c r="H37" s="1167"/>
      <c r="I37" s="1167"/>
      <c r="J37" s="1167"/>
      <c r="K37" s="1167"/>
      <c r="L37" s="1167"/>
      <c r="M37" s="1167"/>
      <c r="N37" s="1167"/>
      <c r="O37" s="1167"/>
      <c r="P37" s="1167"/>
      <c r="W37" s="131"/>
      <c r="X37" s="131"/>
      <c r="Y37" s="131"/>
      <c r="Z37" s="131"/>
      <c r="AA37" s="131"/>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9"/>
      <c r="BL37" s="9"/>
      <c r="BM37" s="9"/>
      <c r="BN37" s="9"/>
      <c r="BO37" s="9"/>
      <c r="BP37" s="9"/>
      <c r="BQ37" s="9"/>
      <c r="BR37" s="9"/>
      <c r="BS37" s="9"/>
      <c r="BT37" s="9"/>
      <c r="BU37" s="9"/>
      <c r="BV37" s="9"/>
      <c r="BW37" s="9"/>
      <c r="BX37" s="9"/>
      <c r="BY37" s="9"/>
      <c r="BZ37" s="9"/>
      <c r="CA37" s="9"/>
      <c r="CB37" s="9"/>
      <c r="CC37" s="9"/>
      <c r="CD37" s="9"/>
      <c r="CE37" s="9"/>
      <c r="CF37" s="9"/>
    </row>
    <row r="38" spans="2:84">
      <c r="B38" s="1167"/>
      <c r="C38" s="1689" t="s">
        <v>4751</v>
      </c>
      <c r="D38" s="1167"/>
      <c r="E38" s="1167"/>
      <c r="F38" s="1167"/>
      <c r="G38" s="1167"/>
      <c r="H38" s="1167"/>
      <c r="I38" s="1167"/>
      <c r="J38" s="1167"/>
      <c r="K38" s="1167"/>
      <c r="L38" s="1167"/>
      <c r="M38" s="1167"/>
      <c r="N38" s="1167"/>
      <c r="O38" s="1167"/>
      <c r="P38" s="1167"/>
      <c r="W38" s="131"/>
      <c r="X38" s="131"/>
      <c r="Y38" s="131"/>
      <c r="Z38" s="131"/>
      <c r="AA38" s="131"/>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9"/>
      <c r="BL38" s="9"/>
      <c r="BM38" s="9"/>
      <c r="BN38" s="9"/>
      <c r="BO38" s="9"/>
      <c r="BP38" s="9"/>
      <c r="BQ38" s="9"/>
      <c r="BR38" s="9"/>
      <c r="BS38" s="9"/>
      <c r="BT38" s="9"/>
      <c r="BU38" s="9"/>
      <c r="BV38" s="9"/>
      <c r="BW38" s="9"/>
      <c r="BX38" s="9"/>
      <c r="BY38" s="9"/>
      <c r="BZ38" s="9"/>
      <c r="CA38" s="9"/>
      <c r="CB38" s="9"/>
      <c r="CC38" s="9"/>
      <c r="CD38" s="9"/>
      <c r="CE38" s="9"/>
      <c r="CF38" s="9"/>
    </row>
    <row r="39" spans="2:84">
      <c r="B39" s="1167"/>
      <c r="C39" s="1689" t="s">
        <v>4752</v>
      </c>
      <c r="D39" s="1167"/>
      <c r="E39" s="1167"/>
      <c r="F39" s="1167"/>
      <c r="G39" s="1167"/>
      <c r="H39" s="1167"/>
      <c r="I39" s="1167"/>
      <c r="J39" s="1167"/>
      <c r="K39" s="1167"/>
      <c r="L39" s="1167"/>
      <c r="M39" s="1167"/>
      <c r="N39" s="1167"/>
      <c r="O39" s="1167"/>
      <c r="P39" s="1167"/>
      <c r="W39" s="131"/>
      <c r="X39" s="131"/>
      <c r="Y39" s="131"/>
      <c r="Z39" s="131"/>
      <c r="AA39" s="131"/>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9"/>
      <c r="BL39" s="9"/>
      <c r="BM39" s="9"/>
      <c r="BN39" s="9"/>
      <c r="BO39" s="9"/>
      <c r="BP39" s="9"/>
      <c r="BQ39" s="9"/>
      <c r="BR39" s="9"/>
      <c r="BS39" s="9"/>
      <c r="BT39" s="9"/>
      <c r="BU39" s="9"/>
      <c r="BV39" s="9"/>
      <c r="BW39" s="9"/>
      <c r="BX39" s="9"/>
      <c r="BY39" s="9"/>
      <c r="BZ39" s="9"/>
      <c r="CA39" s="9"/>
      <c r="CB39" s="9"/>
      <c r="CC39" s="9"/>
      <c r="CD39" s="9"/>
      <c r="CE39" s="9"/>
      <c r="CF39" s="9"/>
    </row>
    <row r="40" spans="2:84">
      <c r="B40" s="1167"/>
      <c r="C40" s="1167"/>
      <c r="D40" s="1167"/>
      <c r="E40" s="1167"/>
      <c r="F40" s="1167"/>
      <c r="G40" s="1167"/>
      <c r="H40" s="1167"/>
      <c r="I40" s="1167"/>
      <c r="J40" s="1167"/>
      <c r="K40" s="1167"/>
      <c r="L40" s="1167"/>
      <c r="M40" s="1167"/>
      <c r="N40" s="1167"/>
      <c r="O40" s="1167"/>
      <c r="P40" s="1167"/>
      <c r="W40" s="131"/>
      <c r="X40" s="131"/>
      <c r="Y40" s="131"/>
      <c r="Z40" s="131"/>
      <c r="AA40" s="131"/>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9"/>
      <c r="BL40" s="9"/>
      <c r="BM40" s="9"/>
      <c r="BN40" s="9"/>
      <c r="BO40" s="9"/>
      <c r="BP40" s="9"/>
      <c r="BQ40" s="9"/>
      <c r="BR40" s="9"/>
      <c r="BS40" s="9"/>
      <c r="BT40" s="9"/>
      <c r="BU40" s="9"/>
      <c r="BV40" s="9"/>
      <c r="BW40" s="9"/>
      <c r="BX40" s="9"/>
      <c r="BY40" s="9"/>
      <c r="BZ40" s="9"/>
      <c r="CA40" s="9"/>
      <c r="CB40" s="9"/>
      <c r="CC40" s="9"/>
      <c r="CD40" s="9"/>
      <c r="CE40" s="9"/>
      <c r="CF40" s="9"/>
    </row>
    <row r="41" spans="2:84">
      <c r="B41" s="1914" t="s">
        <v>4753</v>
      </c>
      <c r="C41" s="1914"/>
      <c r="D41" s="1914"/>
      <c r="E41" s="1914"/>
      <c r="F41" s="1914"/>
      <c r="G41" s="1914"/>
      <c r="H41" s="1914"/>
      <c r="I41" s="1914"/>
      <c r="J41" s="1914"/>
      <c r="K41" s="1914"/>
      <c r="L41" s="1914"/>
      <c r="M41" s="1914"/>
      <c r="N41" s="1914"/>
      <c r="O41" s="1914"/>
      <c r="P41" s="1167"/>
      <c r="W41" s="131"/>
      <c r="X41" s="131"/>
      <c r="Y41" s="131"/>
      <c r="Z41" s="131"/>
      <c r="AA41" s="131"/>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9"/>
      <c r="BL41" s="9"/>
      <c r="BM41" s="9"/>
      <c r="BN41" s="9"/>
      <c r="BO41" s="9"/>
      <c r="BP41" s="9"/>
      <c r="BQ41" s="9"/>
      <c r="BR41" s="9"/>
      <c r="BS41" s="9"/>
      <c r="BT41" s="9"/>
      <c r="BU41" s="9"/>
      <c r="BV41" s="9"/>
      <c r="BW41" s="9"/>
      <c r="BX41" s="9"/>
      <c r="BY41" s="9"/>
      <c r="BZ41" s="9"/>
      <c r="CA41" s="9"/>
      <c r="CB41" s="9"/>
      <c r="CC41" s="9"/>
      <c r="CD41" s="9"/>
      <c r="CE41" s="9"/>
      <c r="CF41" s="9"/>
    </row>
    <row r="42" spans="2:84">
      <c r="B42" s="1914"/>
      <c r="C42" s="1914"/>
      <c r="D42" s="1914"/>
      <c r="E42" s="1914"/>
      <c r="F42" s="1914"/>
      <c r="G42" s="1914"/>
      <c r="H42" s="1914"/>
      <c r="I42" s="1914"/>
      <c r="J42" s="1914"/>
      <c r="K42" s="1914"/>
      <c r="L42" s="1914"/>
      <c r="M42" s="1914"/>
      <c r="N42" s="1914"/>
      <c r="O42" s="1914"/>
      <c r="P42" s="1167"/>
      <c r="W42" s="131"/>
      <c r="X42" s="131"/>
      <c r="Y42" s="131"/>
      <c r="Z42" s="131"/>
      <c r="AA42" s="131"/>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9"/>
      <c r="BL42" s="9"/>
      <c r="BM42" s="9"/>
      <c r="BN42" s="9"/>
      <c r="BO42" s="9"/>
      <c r="BP42" s="9"/>
      <c r="BQ42" s="9"/>
      <c r="BR42" s="9"/>
      <c r="BS42" s="9"/>
      <c r="BT42" s="9"/>
      <c r="BU42" s="9"/>
      <c r="BV42" s="9"/>
      <c r="BW42" s="9"/>
      <c r="BX42" s="9"/>
      <c r="BY42" s="9"/>
      <c r="BZ42" s="9"/>
      <c r="CA42" s="9"/>
      <c r="CB42" s="9"/>
      <c r="CC42" s="9"/>
      <c r="CD42" s="9"/>
      <c r="CE42" s="9"/>
      <c r="CF42" s="9"/>
    </row>
    <row r="43" spans="2:84">
      <c r="B43" s="1689"/>
      <c r="C43" s="1167"/>
      <c r="D43" s="1167"/>
      <c r="E43" s="1167"/>
      <c r="F43" s="1167"/>
      <c r="G43" s="1167"/>
      <c r="H43" s="1167"/>
      <c r="I43" s="1167"/>
      <c r="J43" s="1167"/>
      <c r="K43" s="1167"/>
      <c r="L43" s="1167"/>
      <c r="M43" s="1167"/>
      <c r="N43" s="1167"/>
      <c r="O43" s="1167"/>
      <c r="P43" s="1167"/>
      <c r="W43" s="131"/>
      <c r="X43" s="131"/>
      <c r="Y43" s="131"/>
      <c r="Z43" s="131"/>
      <c r="AA43" s="131"/>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9"/>
      <c r="BL43" s="9"/>
      <c r="BM43" s="9"/>
      <c r="BN43" s="9"/>
      <c r="BO43" s="9"/>
      <c r="BP43" s="9"/>
      <c r="BQ43" s="9"/>
      <c r="BR43" s="9"/>
      <c r="BS43" s="9"/>
      <c r="BT43" s="9"/>
      <c r="BU43" s="9"/>
      <c r="BV43" s="9"/>
      <c r="BW43" s="9"/>
      <c r="BX43" s="9"/>
      <c r="BY43" s="9"/>
      <c r="BZ43" s="9"/>
      <c r="CA43" s="9"/>
      <c r="CB43" s="9"/>
      <c r="CC43" s="9"/>
      <c r="CD43" s="9"/>
      <c r="CE43" s="9"/>
      <c r="CF43" s="9"/>
    </row>
    <row r="44" spans="2:84">
      <c r="B44" s="1167" t="s">
        <v>4754</v>
      </c>
      <c r="C44" s="1167"/>
      <c r="D44" s="1167"/>
      <c r="E44" s="1167"/>
      <c r="F44" s="1167"/>
      <c r="G44" s="1167"/>
      <c r="H44" s="1167"/>
      <c r="I44" s="1167"/>
      <c r="J44" s="1167"/>
      <c r="K44" s="1167"/>
      <c r="L44" s="1167"/>
      <c r="M44" s="1167"/>
      <c r="N44" s="1167"/>
      <c r="O44" s="1167"/>
      <c r="P44" s="1167"/>
      <c r="W44" s="131"/>
      <c r="X44" s="131"/>
      <c r="Y44" s="131"/>
      <c r="Z44" s="131"/>
      <c r="AA44" s="131"/>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9"/>
      <c r="BL44" s="9"/>
      <c r="BM44" s="9"/>
      <c r="BN44" s="9"/>
      <c r="BO44" s="9"/>
      <c r="BP44" s="9"/>
      <c r="BQ44" s="9"/>
      <c r="BR44" s="9"/>
      <c r="BS44" s="9"/>
      <c r="BT44" s="9"/>
      <c r="BU44" s="9"/>
      <c r="BV44" s="9"/>
      <c r="BW44" s="9"/>
      <c r="BX44" s="9"/>
      <c r="BY44" s="9"/>
      <c r="BZ44" s="9"/>
      <c r="CA44" s="9"/>
      <c r="CB44" s="9"/>
      <c r="CC44" s="9"/>
      <c r="CD44" s="9"/>
      <c r="CE44" s="9"/>
      <c r="CF44" s="9"/>
    </row>
    <row r="45" spans="2:84">
      <c r="B45" s="1167"/>
      <c r="C45" s="1167"/>
      <c r="D45" s="1167"/>
      <c r="E45" s="1167"/>
      <c r="F45" s="1167"/>
      <c r="G45" s="1167"/>
      <c r="H45" s="1167"/>
      <c r="I45" s="1167"/>
      <c r="J45" s="1167"/>
      <c r="K45" s="1167"/>
      <c r="L45" s="1167"/>
      <c r="M45" s="1167"/>
      <c r="N45" s="1167"/>
      <c r="O45" s="1167"/>
      <c r="P45" s="1167"/>
      <c r="W45" s="131"/>
      <c r="X45" s="131"/>
      <c r="Y45" s="131"/>
      <c r="Z45" s="131"/>
      <c r="AA45" s="131"/>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9"/>
      <c r="BL45" s="9"/>
      <c r="BM45" s="9"/>
      <c r="BN45" s="9"/>
      <c r="BO45" s="9"/>
      <c r="BP45" s="9"/>
      <c r="BQ45" s="9"/>
      <c r="BR45" s="9"/>
      <c r="BS45" s="9"/>
      <c r="BT45" s="9"/>
      <c r="BU45" s="9"/>
      <c r="BV45" s="9"/>
      <c r="BW45" s="9"/>
      <c r="BX45" s="9"/>
      <c r="BY45" s="9"/>
      <c r="BZ45" s="9"/>
      <c r="CA45" s="9"/>
      <c r="CB45" s="9"/>
      <c r="CC45" s="9"/>
      <c r="CD45" s="9"/>
      <c r="CE45" s="9"/>
      <c r="CF45" s="9"/>
    </row>
    <row r="46" spans="2:84">
      <c r="B46" s="1377" t="s">
        <v>4755</v>
      </c>
      <c r="C46" s="1167"/>
      <c r="D46" s="1167"/>
      <c r="E46" s="1167"/>
      <c r="F46" s="1167"/>
      <c r="G46" s="1167"/>
      <c r="H46" s="1167"/>
      <c r="I46" s="1167"/>
      <c r="J46" s="1167"/>
      <c r="K46" s="1167"/>
      <c r="L46" s="1167"/>
      <c r="M46" s="1167"/>
      <c r="N46" s="1167"/>
      <c r="O46" s="1167"/>
      <c r="P46" s="1167"/>
      <c r="W46" s="131"/>
      <c r="X46" s="131"/>
      <c r="Y46" s="131"/>
      <c r="Z46" s="131"/>
      <c r="AA46" s="131"/>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9"/>
      <c r="BL46" s="9"/>
      <c r="BM46" s="9"/>
      <c r="BN46" s="9"/>
      <c r="BO46" s="9"/>
      <c r="BP46" s="9"/>
      <c r="BQ46" s="9"/>
      <c r="BR46" s="9"/>
      <c r="BS46" s="9"/>
      <c r="BT46" s="9"/>
      <c r="BU46" s="9"/>
      <c r="BV46" s="9"/>
      <c r="BW46" s="9"/>
      <c r="BX46" s="9"/>
      <c r="BY46" s="9"/>
      <c r="BZ46" s="9"/>
      <c r="CA46" s="9"/>
      <c r="CB46" s="9"/>
      <c r="CC46" s="9"/>
      <c r="CD46" s="9"/>
      <c r="CE46" s="9"/>
      <c r="CF46" s="9"/>
    </row>
    <row r="47" spans="2:84">
      <c r="B47" s="1689"/>
      <c r="C47" s="1167"/>
      <c r="D47" s="1167"/>
      <c r="E47" s="1167"/>
      <c r="F47" s="1167"/>
      <c r="G47" s="1167"/>
      <c r="H47" s="1167"/>
      <c r="I47" s="1167"/>
      <c r="J47" s="1167"/>
      <c r="K47" s="1167"/>
      <c r="L47" s="1167"/>
      <c r="M47" s="1167"/>
      <c r="N47" s="1167"/>
      <c r="O47" s="1167"/>
      <c r="P47" s="1167"/>
      <c r="W47" s="131"/>
      <c r="X47" s="131"/>
      <c r="Y47" s="131"/>
      <c r="Z47" s="131"/>
      <c r="AA47" s="131"/>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9"/>
      <c r="BL47" s="9"/>
      <c r="BM47" s="9"/>
      <c r="BN47" s="9"/>
      <c r="BO47" s="9"/>
      <c r="BP47" s="9"/>
      <c r="BQ47" s="9"/>
      <c r="BR47" s="9"/>
      <c r="BS47" s="9"/>
      <c r="BT47" s="9"/>
      <c r="BU47" s="9"/>
      <c r="BV47" s="9"/>
      <c r="BW47" s="9"/>
      <c r="BX47" s="9"/>
      <c r="BY47" s="9"/>
      <c r="BZ47" s="9"/>
      <c r="CA47" s="9"/>
      <c r="CB47" s="9"/>
      <c r="CC47" s="9"/>
      <c r="CD47" s="9"/>
      <c r="CE47" s="9"/>
      <c r="CF47" s="9"/>
    </row>
    <row r="48" spans="2:84">
      <c r="B48" s="1167"/>
      <c r="C48" s="698" t="s">
        <v>4739</v>
      </c>
      <c r="D48" s="2446" t="s">
        <v>4740</v>
      </c>
      <c r="E48" s="2446"/>
      <c r="F48" s="2446"/>
      <c r="G48" s="2446"/>
      <c r="H48" s="2446"/>
      <c r="I48" s="2446"/>
      <c r="J48" s="1778" t="s">
        <v>4741</v>
      </c>
      <c r="K48" s="1779"/>
      <c r="L48" s="1779"/>
      <c r="M48" s="2250"/>
      <c r="N48" s="1167"/>
      <c r="O48" s="1167"/>
      <c r="P48" s="1167"/>
      <c r="W48" s="131"/>
      <c r="X48" s="131"/>
      <c r="Y48" s="131"/>
      <c r="Z48" s="131"/>
      <c r="AA48" s="131"/>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9"/>
      <c r="BL48" s="9"/>
      <c r="BM48" s="9"/>
      <c r="BN48" s="9"/>
      <c r="BO48" s="9"/>
      <c r="BP48" s="9"/>
      <c r="BQ48" s="9"/>
      <c r="BR48" s="9"/>
      <c r="BS48" s="9"/>
      <c r="BT48" s="9"/>
      <c r="BU48" s="9"/>
      <c r="BV48" s="9"/>
      <c r="BW48" s="9"/>
      <c r="BX48" s="9"/>
      <c r="BY48" s="9"/>
      <c r="BZ48" s="9"/>
      <c r="CA48" s="9"/>
      <c r="CB48" s="9"/>
      <c r="CC48" s="9"/>
      <c r="CD48" s="9"/>
      <c r="CE48" s="9"/>
      <c r="CF48" s="9"/>
    </row>
    <row r="49" spans="2:84">
      <c r="B49" s="1167"/>
      <c r="C49" s="1740">
        <f>IF(AND(IF(ISBLANK(Tribal_Name),FALSE,TRUE),'6. Site Description'!F93&lt;=4,'6. Site Description'!F93&gt;0),2,IF(AND(Set_Aside="Rural Set-Aside",'6. Site Description'!F93&lt;=2,'6. Site Description'!F93&gt;0),2,IF(AND(Set_Aside="Small Urban Set-Aside",'6. Site Description'!F93&lt;=1.5,'6. Site Description'!F93&gt;0),2,IF(AND('6. Site Description'!F93&lt;=1,'6. Site Description'!F93&gt;0),2,0))))</f>
        <v>0</v>
      </c>
      <c r="D49" s="2434" t="s">
        <v>4756</v>
      </c>
      <c r="E49" s="2434"/>
      <c r="F49" s="2434"/>
      <c r="G49" s="2434"/>
      <c r="H49" s="2434"/>
      <c r="I49" s="2434"/>
      <c r="J49" s="2434" t="str">
        <f>_xlfn.CONCAT("Full Service Grocery Store, tab 6. Site Description: ",IF('6. Site Description'!F93="","",'6. Site Description'!F93&amp;" miles"),".")</f>
        <v>Full Service Grocery Store, tab 6. Site Description: .</v>
      </c>
      <c r="K49" s="2434"/>
      <c r="L49" s="2434"/>
      <c r="M49" s="2434"/>
      <c r="N49" s="1167"/>
      <c r="O49" s="1167"/>
      <c r="P49" s="1167"/>
      <c r="W49" s="131"/>
      <c r="X49" s="131"/>
      <c r="Y49" s="131"/>
      <c r="Z49" s="131"/>
      <c r="AA49" s="131"/>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9"/>
      <c r="BL49" s="9"/>
      <c r="BM49" s="9"/>
      <c r="BN49" s="9"/>
      <c r="BO49" s="9"/>
      <c r="BP49" s="9"/>
      <c r="BQ49" s="9"/>
      <c r="BR49" s="9"/>
      <c r="BS49" s="9"/>
      <c r="BT49" s="9"/>
      <c r="BU49" s="9"/>
      <c r="BV49" s="9"/>
      <c r="BW49" s="9"/>
      <c r="BX49" s="9"/>
      <c r="BY49" s="9"/>
      <c r="BZ49" s="9"/>
      <c r="CA49" s="9"/>
      <c r="CB49" s="9"/>
      <c r="CC49" s="9"/>
      <c r="CD49" s="9"/>
      <c r="CE49" s="9"/>
      <c r="CF49" s="9"/>
    </row>
    <row r="50" spans="2:84">
      <c r="B50" s="1167"/>
      <c r="C50" s="1740">
        <f>IF(isQualifiedSenior="no",IF(AND(IF(ISBLANK(Tribal_Name),FALSE,TRUE),'6. Site Description'!F96&lt;=4,'6. Site Description'!F96&gt;0),1,IF(AND(Set_Aside="Rural Set-Aside",'6. Site Description'!F96&lt;=2,'6. Site Description'!F96&gt;0),1,IF(AND(Set_Aside="Small Urban Set-Aside",'6. Site Description'!F96&lt;=1.5,'6. Site Description'!F96&gt;0),1,IF(AND('6. Site Description'!F96&lt;=1,'6. Site Description'!F96&gt;0),1,0)))),"N/A")</f>
        <v>0</v>
      </c>
      <c r="D50" s="2434" t="s">
        <v>4757</v>
      </c>
      <c r="E50" s="2434"/>
      <c r="F50" s="2434"/>
      <c r="G50" s="2434"/>
      <c r="H50" s="2434"/>
      <c r="I50" s="2434"/>
      <c r="J50" s="2434" t="str">
        <f>_xlfn.CONCAT("Public School, tab 6. Site Description: ",IF('6. Site Description'!F96="","",'6. Site Description'!F96&amp;" miles"),".")</f>
        <v>Public School, tab 6. Site Description: .</v>
      </c>
      <c r="K50" s="2434"/>
      <c r="L50" s="2434"/>
      <c r="M50" s="2434"/>
      <c r="N50" s="1167"/>
      <c r="O50" s="1167"/>
      <c r="P50" s="1167"/>
      <c r="W50" s="131"/>
      <c r="X50" s="131"/>
      <c r="Y50" s="131"/>
      <c r="Z50" s="131"/>
      <c r="AA50" s="131"/>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9"/>
      <c r="BL50" s="9"/>
      <c r="BM50" s="9"/>
      <c r="BN50" s="9"/>
      <c r="BO50" s="9"/>
      <c r="BP50" s="9"/>
      <c r="BQ50" s="9"/>
      <c r="BR50" s="9"/>
      <c r="BS50" s="9"/>
      <c r="BT50" s="9"/>
      <c r="BU50" s="9"/>
      <c r="BV50" s="9"/>
      <c r="BW50" s="9"/>
      <c r="BX50" s="9"/>
      <c r="BY50" s="9"/>
      <c r="BZ50" s="9"/>
      <c r="CA50" s="9"/>
      <c r="CB50" s="9"/>
      <c r="CC50" s="9"/>
      <c r="CD50" s="9"/>
      <c r="CE50" s="9"/>
      <c r="CF50" s="9"/>
    </row>
    <row r="51" spans="2:84">
      <c r="B51" s="1167"/>
      <c r="C51" s="1740" t="str">
        <f>IF(isQualifiedSenior="Yes",IF(AND(IF(ISBLANK(Tribal_Name),FALSE,TRUE),'6. Site Description'!F95&lt;=4,'6. Site Description'!F95&gt;0),1,IF(AND(Set_Aside="Rural Set-Aside",'6. Site Description'!F95&lt;=2,'6. Site Description'!F95&gt;0),1,IF(AND(Set_Aside="Small Urban Set-Aside",'6. Site Description'!F95&lt;=1.5,'6. Site Description'!F95&gt;0),1,IF(AND('6. Site Description'!F95&lt;=1,'6. Site Description'!F95&gt;0),1,0)))),"N/A")</f>
        <v>N/A</v>
      </c>
      <c r="D51" s="1829" t="s">
        <v>4758</v>
      </c>
      <c r="E51" s="1830"/>
      <c r="F51" s="1830"/>
      <c r="G51" s="1830"/>
      <c r="H51" s="1830"/>
      <c r="I51" s="1831"/>
      <c r="J51" s="2434" t="str">
        <f>_xlfn.CONCAT("Senior Center, tab 6. Site Description: ",IF('6. Site Description'!F95="","",'6. Site Description'!F95&amp;" miles"),".")</f>
        <v>Senior Center, tab 6. Site Description: .</v>
      </c>
      <c r="K51" s="2434"/>
      <c r="L51" s="2434"/>
      <c r="M51" s="2434"/>
      <c r="N51" s="1167"/>
      <c r="O51" s="1167"/>
      <c r="P51" s="1167"/>
      <c r="W51" s="131"/>
      <c r="X51" s="131"/>
      <c r="Y51" s="131"/>
      <c r="Z51" s="131"/>
      <c r="AA51" s="131"/>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9"/>
      <c r="BL51" s="9"/>
      <c r="BM51" s="9"/>
      <c r="BN51" s="9"/>
      <c r="BO51" s="9"/>
      <c r="BP51" s="9"/>
      <c r="BQ51" s="9"/>
      <c r="BR51" s="9"/>
      <c r="BS51" s="9"/>
      <c r="BT51" s="9"/>
      <c r="BU51" s="9"/>
      <c r="BV51" s="9"/>
      <c r="BW51" s="9"/>
      <c r="BX51" s="9"/>
      <c r="BY51" s="9"/>
      <c r="BZ51" s="9"/>
      <c r="CA51" s="9"/>
      <c r="CB51" s="9"/>
      <c r="CC51" s="9"/>
      <c r="CD51" s="9"/>
      <c r="CE51" s="9"/>
      <c r="CF51" s="9"/>
    </row>
    <row r="52" spans="2:84">
      <c r="B52" s="1167"/>
      <c r="C52" s="1740">
        <f>IF(AND(IF(ISBLANK(Tribal_Name),FALSE,TRUE),'6. Site Description'!F99&lt;=4,'6. Site Description'!F99&gt;0),1,IF(AND(Set_Aside="Rural Set-Aside",'6. Site Description'!F99&lt;=2,'6. Site Description'!F99&gt;0),1,IF(AND(Set_Aside="Small Urban Set-Aside",'6. Site Description'!F99&lt;=1.5,'6. Site Description'!F99&gt;0),1,IF(AND('6. Site Description'!F99&lt;=1,'6. Site Description'!F99&gt;0),1,0))))</f>
        <v>0</v>
      </c>
      <c r="D52" s="2434" t="s">
        <v>4759</v>
      </c>
      <c r="E52" s="2434"/>
      <c r="F52" s="2434"/>
      <c r="G52" s="2434"/>
      <c r="H52" s="2434"/>
      <c r="I52" s="2434"/>
      <c r="J52" s="2434" t="str">
        <f>_xlfn.CONCAT("Medical Clinic or Hospital, tab 6. Site Description: ",IF('6. Site Description'!F99="","",'6. Site Description'!F99&amp;" miles"),".")</f>
        <v>Medical Clinic or Hospital, tab 6. Site Description: .</v>
      </c>
      <c r="K52" s="2434"/>
      <c r="L52" s="2434"/>
      <c r="M52" s="2434"/>
      <c r="N52" s="1167"/>
      <c r="O52" s="1167"/>
      <c r="P52" s="1167"/>
      <c r="W52" s="131"/>
      <c r="X52" s="131"/>
      <c r="Y52" s="131"/>
      <c r="Z52" s="131"/>
      <c r="AA52" s="131"/>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9"/>
      <c r="BL52" s="9"/>
      <c r="BM52" s="9"/>
      <c r="BN52" s="9"/>
      <c r="BO52" s="9"/>
      <c r="BP52" s="9"/>
      <c r="BQ52" s="9"/>
      <c r="BR52" s="9"/>
      <c r="BS52" s="9"/>
      <c r="BT52" s="9"/>
      <c r="BU52" s="9"/>
      <c r="BV52" s="9"/>
      <c r="BW52" s="9"/>
      <c r="BX52" s="9"/>
      <c r="BY52" s="9"/>
      <c r="BZ52" s="9"/>
      <c r="CA52" s="9"/>
      <c r="CB52" s="9"/>
      <c r="CC52" s="9"/>
      <c r="CD52" s="9"/>
      <c r="CE52" s="9"/>
      <c r="CF52" s="9"/>
    </row>
    <row r="53" spans="2:84">
      <c r="B53" s="1167"/>
      <c r="C53" s="1740">
        <f>IF(AND(IF(ISBLANK(Tribal_Name),FALSE,TRUE),'6. Site Description'!F97&lt;=4,'6. Site Description'!F97&gt;0),1,IF(AND(Set_Aside="Rural Set-Aside",'6. Site Description'!F97&lt;=2,'6. Site Description'!F97&gt;0),1,IF(AND(Set_Aside="Small Urban Set-Aside",'6. Site Description'!F97&lt;=1.5,'6. Site Description'!F97&gt;0),1,IF(AND('6. Site Description'!F97&lt;=1,'6. Site Description'!F97&gt;0),1,0))))</f>
        <v>0</v>
      </c>
      <c r="D53" s="2434" t="s">
        <v>4760</v>
      </c>
      <c r="E53" s="2434"/>
      <c r="F53" s="2434"/>
      <c r="G53" s="2434"/>
      <c r="H53" s="2434"/>
      <c r="I53" s="2434"/>
      <c r="J53" s="2434" t="str">
        <f>_xlfn.CONCAT("Public Library, tab 6. Site Description: ",IF('6. Site Description'!F97="","",'6. Site Description'!F97&amp;" miles"),".")</f>
        <v>Public Library, tab 6. Site Description: .</v>
      </c>
      <c r="K53" s="2434"/>
      <c r="L53" s="2434"/>
      <c r="M53" s="2434"/>
      <c r="N53" s="1167"/>
      <c r="O53" s="1167"/>
      <c r="P53" s="1167"/>
      <c r="Q53" s="351"/>
      <c r="W53" s="131"/>
      <c r="X53" s="131"/>
      <c r="Y53" s="131"/>
      <c r="Z53" s="131"/>
      <c r="AA53" s="131"/>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9"/>
      <c r="BL53" s="9"/>
      <c r="BM53" s="9"/>
      <c r="BN53" s="9"/>
      <c r="BO53" s="9"/>
      <c r="BP53" s="9"/>
      <c r="BQ53" s="9"/>
      <c r="BR53" s="9"/>
      <c r="BS53" s="9"/>
      <c r="BT53" s="9"/>
      <c r="BU53" s="9"/>
      <c r="BV53" s="9"/>
      <c r="BW53" s="9"/>
      <c r="BX53" s="9"/>
      <c r="BY53" s="9"/>
      <c r="BZ53" s="9"/>
      <c r="CA53" s="9"/>
      <c r="CB53" s="9"/>
      <c r="CC53" s="9"/>
      <c r="CD53" s="9"/>
      <c r="CE53" s="9"/>
      <c r="CF53" s="9"/>
    </row>
    <row r="54" spans="2:84">
      <c r="B54" s="1167"/>
      <c r="C54" s="1740">
        <f>IF(AND(IF(ISBLANK(Tribal_Name),FALSE,TRUE),'6. Site Description'!F94&lt;=4,'6. Site Description'!F94&gt;0),1,IF(AND(Set_Aside="Rural Set-Aside",'6. Site Description'!F94&lt;=2,'6. Site Description'!F94&gt;0),1,IF(AND(Set_Aside="Small Urban Set-Aside",'6. Site Description'!F94&lt;=1.5,'6. Site Description'!F94&gt;0),1,IF(AND('6. Site Description'!F94&lt;=1,'6. Site Description'!F94&gt;0),1,0))))</f>
        <v>0</v>
      </c>
      <c r="D54" s="2434" t="s">
        <v>3496</v>
      </c>
      <c r="E54" s="2434"/>
      <c r="F54" s="2434"/>
      <c r="G54" s="2434"/>
      <c r="H54" s="2434"/>
      <c r="I54" s="2434"/>
      <c r="J54" s="2434" t="str">
        <f>_xlfn.CONCAT("Public Park or Playground, tab 6. Site Description: ",IF('6. Site Description'!F94="","",'6. Site Description'!F94&amp;" miles"),".")</f>
        <v>Public Park or Playground, tab 6. Site Description: .</v>
      </c>
      <c r="K54" s="2434"/>
      <c r="L54" s="2434"/>
      <c r="M54" s="2434"/>
      <c r="N54" s="1167"/>
      <c r="O54" s="1167"/>
      <c r="P54" s="1167"/>
      <c r="W54" s="131"/>
      <c r="X54" s="131"/>
      <c r="Y54" s="131"/>
      <c r="Z54" s="131"/>
      <c r="AA54" s="131"/>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9"/>
      <c r="BL54" s="9"/>
      <c r="BM54" s="9"/>
      <c r="BN54" s="9"/>
      <c r="BO54" s="9"/>
      <c r="BP54" s="9"/>
      <c r="BQ54" s="9"/>
      <c r="BR54" s="9"/>
      <c r="BS54" s="9"/>
      <c r="BT54" s="9"/>
      <c r="BU54" s="9"/>
      <c r="BV54" s="9"/>
      <c r="BW54" s="9"/>
      <c r="BX54" s="9"/>
      <c r="BY54" s="9"/>
      <c r="BZ54" s="9"/>
      <c r="CA54" s="9"/>
      <c r="CB54" s="9"/>
      <c r="CC54" s="9"/>
      <c r="CD54" s="9"/>
      <c r="CE54" s="9"/>
      <c r="CF54" s="9"/>
    </row>
    <row r="55" spans="2:84">
      <c r="B55" s="1167"/>
      <c r="C55" s="1740">
        <f>IF(AND(IF(ISBLANK(Tribal_Name),FALSE,TRUE),'6. Site Description'!F98&lt;=4,'6. Site Description'!F98&gt;0),1,IF(AND(Set_Aside="Rural Set-Aside",'6. Site Description'!F98&lt;=2,'6. Site Description'!F98&gt;0),1,IF(AND(Set_Aside="Small Urban Set-Aside",'6. Site Description'!F98&lt;=1.5,'6. Site Description'!F98&gt;0),1,IF(AND('6. Site Description'!F98&lt;=1,'6. Site Description'!F98&gt;0),1,0))))</f>
        <v>0</v>
      </c>
      <c r="D55" s="2434" t="s">
        <v>4761</v>
      </c>
      <c r="E55" s="2434"/>
      <c r="F55" s="2434"/>
      <c r="G55" s="2434"/>
      <c r="H55" s="2434"/>
      <c r="I55" s="2434"/>
      <c r="J55" s="2434" t="str">
        <f>_xlfn.CONCAT("Job Training Facility, tab 6. Site Description: ",IF('6. Site Description'!F98="","",'6. Site Description'!F98&amp;" miles"),".")</f>
        <v>Job Training Facility, tab 6. Site Description: .</v>
      </c>
      <c r="K55" s="2434"/>
      <c r="L55" s="2434"/>
      <c r="M55" s="2434"/>
      <c r="N55" s="1167"/>
      <c r="O55" s="1167"/>
      <c r="P55" s="1167"/>
      <c r="W55" s="131"/>
      <c r="X55" s="131"/>
      <c r="Y55" s="131"/>
      <c r="Z55" s="131"/>
      <c r="AA55" s="131"/>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9"/>
      <c r="BL55" s="9"/>
      <c r="BM55" s="9"/>
      <c r="BN55" s="9"/>
      <c r="BO55" s="9"/>
      <c r="BP55" s="9"/>
      <c r="BQ55" s="9"/>
      <c r="BR55" s="9"/>
      <c r="BS55" s="9"/>
      <c r="BT55" s="9"/>
      <c r="BU55" s="9"/>
      <c r="BV55" s="9"/>
      <c r="BW55" s="9"/>
      <c r="BX55" s="9"/>
      <c r="BY55" s="9"/>
      <c r="BZ55" s="9"/>
      <c r="CA55" s="9"/>
      <c r="CB55" s="9"/>
      <c r="CC55" s="9"/>
      <c r="CD55" s="9"/>
      <c r="CE55" s="9"/>
      <c r="CF55" s="9"/>
    </row>
    <row r="56" spans="2:84">
      <c r="B56" s="1167"/>
      <c r="C56" s="1167"/>
      <c r="D56" s="1167"/>
      <c r="E56" s="1167"/>
      <c r="F56" s="1167"/>
      <c r="G56" s="1167"/>
      <c r="H56" s="1167"/>
      <c r="I56" s="1167"/>
      <c r="J56" s="1167"/>
      <c r="K56" s="1167"/>
      <c r="L56" s="1167"/>
      <c r="M56" s="1167"/>
      <c r="N56" s="1167"/>
      <c r="O56" s="1167"/>
      <c r="P56" s="1167"/>
      <c r="W56" s="131"/>
      <c r="X56" s="131"/>
      <c r="Y56" s="131"/>
      <c r="Z56" s="131"/>
      <c r="AA56" s="131"/>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9"/>
      <c r="BL56" s="9"/>
      <c r="BM56" s="9"/>
      <c r="BN56" s="9"/>
      <c r="BO56" s="9"/>
      <c r="BP56" s="9"/>
      <c r="BQ56" s="9"/>
      <c r="BR56" s="9"/>
      <c r="BS56" s="9"/>
      <c r="BT56" s="9"/>
      <c r="BU56" s="9"/>
      <c r="BV56" s="9"/>
      <c r="BW56" s="9"/>
      <c r="BX56" s="9"/>
      <c r="BY56" s="9"/>
      <c r="BZ56" s="9"/>
      <c r="CA56" s="9"/>
      <c r="CB56" s="9"/>
      <c r="CC56" s="9"/>
      <c r="CD56" s="9"/>
      <c r="CE56" s="9"/>
      <c r="CF56" s="9"/>
    </row>
    <row r="57" spans="2:84">
      <c r="B57" s="1167" t="s">
        <v>4762</v>
      </c>
      <c r="C57" s="1167"/>
      <c r="D57" s="1167"/>
      <c r="E57" s="1167"/>
      <c r="F57" s="1167"/>
      <c r="G57" s="1167"/>
      <c r="H57" s="1167"/>
      <c r="I57" s="1167"/>
      <c r="J57" s="1167"/>
      <c r="K57" s="1167"/>
      <c r="L57" s="1167"/>
      <c r="M57" s="1167"/>
      <c r="N57" s="1167"/>
      <c r="O57" s="1167"/>
      <c r="P57" s="1167"/>
      <c r="W57" s="131"/>
      <c r="X57" s="131"/>
      <c r="Y57" s="131"/>
      <c r="Z57" s="131"/>
      <c r="AA57" s="131"/>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9"/>
      <c r="BL57" s="9"/>
      <c r="BM57" s="9"/>
      <c r="BN57" s="9"/>
      <c r="BO57" s="9"/>
      <c r="BP57" s="9"/>
      <c r="BQ57" s="9"/>
      <c r="BR57" s="9"/>
      <c r="BS57" s="9"/>
      <c r="BT57" s="9"/>
      <c r="BU57" s="9"/>
      <c r="BV57" s="9"/>
      <c r="BW57" s="9"/>
      <c r="BX57" s="9"/>
      <c r="BY57" s="9"/>
      <c r="BZ57" s="9"/>
      <c r="CA57" s="9"/>
      <c r="CB57" s="9"/>
      <c r="CC57" s="9"/>
      <c r="CD57" s="9"/>
      <c r="CE57" s="9"/>
      <c r="CF57" s="9"/>
    </row>
    <row r="58" spans="2:84">
      <c r="B58" s="1167" t="s">
        <v>4763</v>
      </c>
      <c r="C58" s="1167"/>
      <c r="D58" s="1167"/>
      <c r="E58" s="1167"/>
      <c r="F58" s="1167"/>
      <c r="G58" s="1167"/>
      <c r="H58" s="1167"/>
      <c r="I58" s="1167"/>
      <c r="J58" s="1167"/>
      <c r="K58" s="1167"/>
      <c r="L58" s="1167"/>
      <c r="M58" s="1167"/>
      <c r="N58" s="1167"/>
      <c r="O58" s="1167"/>
      <c r="P58" s="1167"/>
      <c r="W58" s="131"/>
      <c r="X58" s="131"/>
      <c r="Y58" s="131"/>
      <c r="Z58" s="131"/>
      <c r="AA58" s="131"/>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9"/>
      <c r="BL58" s="9"/>
      <c r="BM58" s="9"/>
      <c r="BN58" s="9"/>
      <c r="BO58" s="9"/>
      <c r="BP58" s="9"/>
      <c r="BQ58" s="9"/>
      <c r="BR58" s="9"/>
      <c r="BS58" s="9"/>
      <c r="BT58" s="9"/>
      <c r="BU58" s="9"/>
      <c r="BV58" s="9"/>
      <c r="BW58" s="9"/>
      <c r="BX58" s="9"/>
      <c r="BY58" s="9"/>
      <c r="BZ58" s="9"/>
      <c r="CA58" s="9"/>
      <c r="CB58" s="9"/>
      <c r="CC58" s="9"/>
      <c r="CD58" s="9"/>
      <c r="CE58" s="9"/>
      <c r="CF58" s="9"/>
    </row>
    <row r="59" spans="2:84">
      <c r="B59" s="1167" t="s">
        <v>4764</v>
      </c>
      <c r="C59" s="1167"/>
      <c r="D59" s="1167"/>
      <c r="E59" s="1167"/>
      <c r="F59" s="1167"/>
      <c r="G59" s="1167"/>
      <c r="H59" s="1167"/>
      <c r="I59" s="1167"/>
      <c r="J59" s="1167"/>
      <c r="K59" s="1167"/>
      <c r="L59" s="1167"/>
      <c r="M59" s="1167"/>
      <c r="N59" s="1167"/>
      <c r="O59" s="1167"/>
      <c r="P59" s="1167"/>
      <c r="W59" s="131"/>
      <c r="X59" s="131"/>
      <c r="Y59" s="131"/>
      <c r="Z59" s="131"/>
      <c r="AA59" s="131"/>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row>
    <row r="60" spans="2:84">
      <c r="B60" s="1167" t="s">
        <v>4765</v>
      </c>
      <c r="C60" s="1167"/>
      <c r="D60" s="1167"/>
      <c r="E60" s="1167"/>
      <c r="F60" s="1167"/>
      <c r="G60" s="1167"/>
      <c r="H60" s="1167"/>
      <c r="I60" s="1167"/>
      <c r="J60" s="1167"/>
      <c r="K60" s="1167"/>
      <c r="L60" s="1167"/>
      <c r="M60" s="1167"/>
      <c r="N60" s="1167"/>
      <c r="O60" s="1167"/>
      <c r="P60" s="1167"/>
      <c r="W60" s="131"/>
      <c r="X60" s="131"/>
      <c r="Y60" s="131"/>
      <c r="Z60" s="131"/>
      <c r="AA60" s="131"/>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row>
    <row r="61" spans="2:84">
      <c r="B61" s="1167"/>
      <c r="C61" s="1167"/>
      <c r="D61" s="1167"/>
      <c r="E61" s="1167"/>
      <c r="F61" s="1167"/>
      <c r="G61" s="1167"/>
      <c r="H61" s="1167"/>
      <c r="I61" s="1167"/>
      <c r="J61" s="1167"/>
      <c r="K61" s="1167"/>
      <c r="L61" s="1167"/>
      <c r="M61" s="1167"/>
      <c r="N61" s="1167"/>
      <c r="O61" s="1167"/>
      <c r="P61" s="1167"/>
      <c r="W61" s="131"/>
      <c r="X61" s="131"/>
      <c r="Y61" s="131"/>
      <c r="Z61" s="131"/>
      <c r="AA61" s="131"/>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row>
    <row r="62" spans="2:84" s="217" customFormat="1" ht="16">
      <c r="B62" s="1179"/>
      <c r="C62" s="1375" t="s">
        <v>4734</v>
      </c>
      <c r="D62" s="1375" t="s">
        <v>4708</v>
      </c>
      <c r="E62" s="1375" t="s">
        <v>1010</v>
      </c>
      <c r="F62" s="1179"/>
      <c r="G62" s="1179"/>
      <c r="H62" s="1179"/>
      <c r="I62" s="1179"/>
      <c r="J62" s="1179"/>
      <c r="K62" s="1179"/>
      <c r="L62" s="1179"/>
      <c r="M62" s="1179"/>
      <c r="N62" s="1179"/>
      <c r="O62" s="1179"/>
      <c r="P62" s="1179"/>
      <c r="Q62" s="1036"/>
      <c r="R62" s="1518"/>
      <c r="S62" s="11"/>
      <c r="T62" s="11"/>
      <c r="U62" s="11"/>
      <c r="V62" s="11"/>
      <c r="W62" s="562"/>
      <c r="X62" s="562"/>
      <c r="Y62" s="562"/>
      <c r="Z62" s="562"/>
      <c r="AA62" s="562"/>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row>
    <row r="63" spans="2:84" s="217" customFormat="1" ht="16">
      <c r="B63" s="1185"/>
      <c r="C63" s="1734">
        <v>27</v>
      </c>
      <c r="D63" s="1735">
        <f>IF(F158="Yes", 0, MIN(MIN(SUM(C49:C55),7)+SUM(C17:C32),27))</f>
        <v>0</v>
      </c>
      <c r="E63" s="1734"/>
      <c r="F63" s="1179"/>
      <c r="G63" s="1179"/>
      <c r="H63" s="1179"/>
      <c r="I63" s="1179"/>
      <c r="J63" s="1179"/>
      <c r="K63" s="1179"/>
      <c r="L63" s="1179"/>
      <c r="M63" s="1179"/>
      <c r="N63" s="1179"/>
      <c r="O63" s="1179"/>
      <c r="P63" s="1179"/>
      <c r="Q63" s="1036"/>
      <c r="R63" s="1518"/>
      <c r="S63" s="11"/>
      <c r="T63" s="11"/>
      <c r="U63" s="11"/>
      <c r="V63" s="11"/>
      <c r="W63" s="562"/>
      <c r="X63" s="562"/>
      <c r="Y63" s="562"/>
      <c r="Z63" s="562"/>
      <c r="AA63" s="562"/>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row>
    <row r="64" spans="2:84">
      <c r="B64" s="1167"/>
      <c r="C64" s="1167"/>
      <c r="D64" s="1167"/>
      <c r="E64" s="1167"/>
      <c r="F64" s="1167"/>
      <c r="G64" s="1167"/>
      <c r="H64" s="1167"/>
      <c r="I64" s="1167"/>
      <c r="J64" s="1167"/>
      <c r="K64" s="1167"/>
      <c r="L64" s="1167"/>
      <c r="M64" s="1167"/>
      <c r="N64" s="1167"/>
      <c r="O64" s="1167"/>
      <c r="P64" s="1167"/>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2:84" ht="19">
      <c r="B65" s="2184" t="s">
        <v>3364</v>
      </c>
      <c r="C65" s="2184"/>
      <c r="D65" s="8"/>
      <c r="E65" s="8"/>
      <c r="F65" s="8"/>
      <c r="G65" s="8"/>
      <c r="H65" s="8"/>
      <c r="I65" s="2184" t="s">
        <v>3372</v>
      </c>
      <c r="J65" s="2184"/>
      <c r="K65" s="17"/>
      <c r="L65" s="17"/>
      <c r="M65" s="17"/>
      <c r="N65" s="17"/>
      <c r="O65" s="17"/>
      <c r="P65" s="17"/>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2:84">
      <c r="B66" s="1170" t="s">
        <v>3852</v>
      </c>
      <c r="C66" s="1167"/>
      <c r="D66" s="1167"/>
      <c r="E66" s="1167"/>
      <c r="F66" s="1167"/>
      <c r="G66" s="1167"/>
      <c r="H66" s="1167"/>
      <c r="I66" s="1172" t="s">
        <v>4434</v>
      </c>
      <c r="J66" s="1170"/>
      <c r="K66" s="1170"/>
      <c r="L66" s="1170"/>
      <c r="M66" s="1170"/>
      <c r="N66" s="1170"/>
      <c r="O66" s="1170"/>
      <c r="P66" s="1170"/>
      <c r="Q66" s="1120"/>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row>
    <row r="67" spans="2:84" ht="16">
      <c r="B67" s="1179"/>
      <c r="C67" s="1981"/>
      <c r="D67" s="1981"/>
      <c r="E67" s="1981"/>
      <c r="F67" s="1981"/>
      <c r="G67" s="1981"/>
      <c r="H67" s="1167"/>
      <c r="I67" s="1981"/>
      <c r="J67" s="1981"/>
      <c r="K67" s="1981"/>
      <c r="L67" s="1981"/>
      <c r="M67" s="1981"/>
      <c r="N67" s="1981"/>
      <c r="O67" s="1981"/>
      <c r="P67" s="1170"/>
      <c r="Q67" s="1120"/>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row>
    <row r="68" spans="2:84" ht="16">
      <c r="B68" s="1179"/>
      <c r="C68" s="1981"/>
      <c r="D68" s="1981"/>
      <c r="E68" s="1981"/>
      <c r="F68" s="1981"/>
      <c r="G68" s="1981"/>
      <c r="H68" s="1167"/>
      <c r="I68" s="1981"/>
      <c r="J68" s="1981"/>
      <c r="K68" s="1981"/>
      <c r="L68" s="1981"/>
      <c r="M68" s="1981"/>
      <c r="N68" s="1981"/>
      <c r="O68" s="1981"/>
      <c r="P68" s="1170"/>
      <c r="Q68" s="1120"/>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2:84" ht="16">
      <c r="B69" s="1179"/>
      <c r="C69" s="1981"/>
      <c r="D69" s="1981"/>
      <c r="E69" s="1981"/>
      <c r="F69" s="1981"/>
      <c r="G69" s="1981"/>
      <c r="H69" s="1167"/>
      <c r="I69" s="1981"/>
      <c r="J69" s="1981"/>
      <c r="K69" s="1981"/>
      <c r="L69" s="1981"/>
      <c r="M69" s="1981"/>
      <c r="N69" s="1981"/>
      <c r="O69" s="1981"/>
      <c r="P69" s="1170"/>
      <c r="Q69" s="1120"/>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2:84" ht="16">
      <c r="B70" s="1179"/>
      <c r="C70" s="1981"/>
      <c r="D70" s="1981"/>
      <c r="E70" s="1981"/>
      <c r="F70" s="1981"/>
      <c r="G70" s="1981"/>
      <c r="H70" s="1167"/>
      <c r="I70" s="1981"/>
      <c r="J70" s="1981"/>
      <c r="K70" s="1981"/>
      <c r="L70" s="1981"/>
      <c r="M70" s="1981"/>
      <c r="N70" s="1981"/>
      <c r="O70" s="1981"/>
      <c r="P70" s="1170"/>
      <c r="Q70" s="1120"/>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2:84" ht="16">
      <c r="B71" s="1179"/>
      <c r="C71" s="1981"/>
      <c r="D71" s="1981"/>
      <c r="E71" s="1981"/>
      <c r="F71" s="1981"/>
      <c r="G71" s="1981"/>
      <c r="H71" s="1167"/>
      <c r="I71" s="1981"/>
      <c r="J71" s="1981"/>
      <c r="K71" s="1981"/>
      <c r="L71" s="1981"/>
      <c r="M71" s="1981"/>
      <c r="N71" s="1981"/>
      <c r="O71" s="1981"/>
      <c r="P71" s="1170"/>
      <c r="Q71" s="1120"/>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2:84" ht="16">
      <c r="B72" s="1179"/>
      <c r="C72" s="1981"/>
      <c r="D72" s="1981"/>
      <c r="E72" s="1981"/>
      <c r="F72" s="1981"/>
      <c r="G72" s="1981"/>
      <c r="H72" s="1167"/>
      <c r="I72" s="1981"/>
      <c r="J72" s="1981"/>
      <c r="K72" s="1981"/>
      <c r="L72" s="1981"/>
      <c r="M72" s="1981"/>
      <c r="N72" s="1981"/>
      <c r="O72" s="1981"/>
      <c r="P72" s="1170"/>
      <c r="Q72" s="1120"/>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2:84" ht="16">
      <c r="B73" s="1179"/>
      <c r="C73" s="1981"/>
      <c r="D73" s="1981"/>
      <c r="E73" s="1981"/>
      <c r="F73" s="1981"/>
      <c r="G73" s="1981"/>
      <c r="H73" s="1167"/>
      <c r="I73" s="1981"/>
      <c r="J73" s="1981"/>
      <c r="K73" s="1981"/>
      <c r="L73" s="1981"/>
      <c r="M73" s="1981"/>
      <c r="N73" s="1981"/>
      <c r="O73" s="1981"/>
      <c r="P73" s="1170"/>
      <c r="Q73" s="1120"/>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2:84" ht="16">
      <c r="B74" s="1179"/>
      <c r="C74" s="1981"/>
      <c r="D74" s="1981"/>
      <c r="E74" s="1981"/>
      <c r="F74" s="1981"/>
      <c r="G74" s="1981"/>
      <c r="H74" s="1167"/>
      <c r="I74" s="1981"/>
      <c r="J74" s="1981"/>
      <c r="K74" s="1981"/>
      <c r="L74" s="1981"/>
      <c r="M74" s="1981"/>
      <c r="N74" s="1981"/>
      <c r="O74" s="1981"/>
      <c r="P74" s="1170"/>
      <c r="Q74" s="1120"/>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2:84">
      <c r="B75" s="1167"/>
      <c r="C75" s="1981"/>
      <c r="D75" s="1981"/>
      <c r="E75" s="1981"/>
      <c r="F75" s="1981"/>
      <c r="G75" s="1981"/>
      <c r="H75" s="1167"/>
      <c r="I75" s="1981"/>
      <c r="J75" s="1981"/>
      <c r="K75" s="1981"/>
      <c r="L75" s="1981"/>
      <c r="M75" s="1981"/>
      <c r="N75" s="1981"/>
      <c r="O75" s="1981"/>
      <c r="P75" s="1170"/>
      <c r="Q75" s="1120"/>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2:84">
      <c r="B76" s="1167"/>
      <c r="C76" s="1170"/>
      <c r="D76" s="1170"/>
      <c r="E76" s="1170"/>
      <c r="F76" s="1170"/>
      <c r="G76" s="1170"/>
      <c r="H76" s="1167"/>
      <c r="I76" s="1733" t="s">
        <v>4766</v>
      </c>
      <c r="J76" s="1170"/>
      <c r="K76" s="1170"/>
      <c r="L76" s="1170"/>
      <c r="M76" s="1170"/>
      <c r="N76" s="1170"/>
      <c r="O76" s="1170"/>
      <c r="P76" s="1170"/>
      <c r="Q76" s="1120"/>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2:84">
      <c r="B77" s="1167"/>
      <c r="C77" s="1170"/>
      <c r="D77" s="1170"/>
      <c r="E77" s="1170"/>
      <c r="F77" s="1170"/>
      <c r="G77" s="1170"/>
      <c r="H77" s="1167"/>
      <c r="I77" s="2416"/>
      <c r="J77" s="2416"/>
      <c r="K77" s="2416"/>
      <c r="L77" s="2416"/>
      <c r="M77" s="2416"/>
      <c r="N77" s="2416"/>
      <c r="O77" s="2416"/>
      <c r="P77" s="1170"/>
      <c r="Q77" s="1120"/>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2:84">
      <c r="B78" s="1170"/>
      <c r="C78" s="1170"/>
      <c r="D78" s="1170"/>
      <c r="E78" s="1170"/>
      <c r="F78" s="1170"/>
      <c r="G78" s="1170"/>
      <c r="H78" s="1167"/>
      <c r="I78" s="1170"/>
      <c r="J78" s="1170"/>
      <c r="K78" s="1170"/>
      <c r="L78" s="1170"/>
      <c r="M78" s="1170"/>
      <c r="N78" s="1170"/>
      <c r="O78" s="1170"/>
      <c r="P78" s="1170"/>
      <c r="Q78" s="1120"/>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2:84" ht="29">
      <c r="B79" s="977" t="s">
        <v>4767</v>
      </c>
      <c r="C79" s="896"/>
      <c r="D79" s="896"/>
      <c r="E79" s="896"/>
      <c r="F79" s="896"/>
      <c r="G79" s="896"/>
      <c r="H79" s="896"/>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2:84">
      <c r="B80" s="1170" t="s">
        <v>4768</v>
      </c>
      <c r="C80" s="1167"/>
      <c r="D80" s="1167"/>
      <c r="E80" s="1167"/>
      <c r="F80" s="1167"/>
      <c r="G80" s="1167"/>
      <c r="H80" s="1167"/>
      <c r="I80" s="1167"/>
      <c r="J80" s="1167"/>
      <c r="K80" s="1167"/>
      <c r="L80" s="1167"/>
      <c r="M80" s="1167"/>
      <c r="N80" s="1167"/>
      <c r="O80" s="1167"/>
      <c r="P80" s="1167"/>
      <c r="W80" s="149"/>
      <c r="X80" s="149"/>
      <c r="Y80" s="149"/>
      <c r="Z80" s="149"/>
      <c r="AA80" s="149"/>
      <c r="AB80" s="149"/>
      <c r="AC80" s="149"/>
      <c r="AD80" s="149"/>
      <c r="AE80" s="149"/>
      <c r="AF80" s="149"/>
      <c r="AG80" s="149"/>
      <c r="AH80" s="149"/>
      <c r="AI80" s="14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2:81">
      <c r="B81" s="1167" t="s">
        <v>4769</v>
      </c>
      <c r="C81" s="1167"/>
      <c r="D81" s="1167"/>
      <c r="E81" s="1167"/>
      <c r="F81" s="1167"/>
      <c r="G81" s="1167"/>
      <c r="H81" s="1167"/>
      <c r="I81" s="1167"/>
      <c r="J81" s="1167"/>
      <c r="K81" s="1167"/>
      <c r="L81" s="1167"/>
      <c r="M81" s="1167"/>
      <c r="N81" s="1167"/>
      <c r="O81" s="1167"/>
      <c r="P81" s="1167"/>
      <c r="W81" s="149"/>
      <c r="X81" s="149"/>
      <c r="Y81" s="149"/>
      <c r="Z81" s="149"/>
      <c r="AA81" s="149"/>
      <c r="AB81" s="149"/>
      <c r="AC81" s="149"/>
      <c r="AD81" s="149"/>
      <c r="AE81" s="149"/>
      <c r="AF81" s="149"/>
      <c r="AG81" s="149"/>
      <c r="AH81" s="149"/>
      <c r="AI81" s="14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2:81">
      <c r="B82" s="1167"/>
      <c r="C82" s="1167"/>
      <c r="D82" s="1167"/>
      <c r="E82" s="1167"/>
      <c r="F82" s="1167"/>
      <c r="G82" s="1167"/>
      <c r="H82" s="1167"/>
      <c r="I82" s="1167"/>
      <c r="J82" s="1167"/>
      <c r="K82" s="1167"/>
      <c r="L82" s="1167"/>
      <c r="M82" s="1167"/>
      <c r="N82" s="1167"/>
      <c r="O82" s="1167"/>
      <c r="P82" s="1167"/>
      <c r="W82" s="149"/>
      <c r="X82" s="149"/>
      <c r="Y82" s="149"/>
      <c r="Z82" s="149"/>
      <c r="AA82" s="149"/>
      <c r="AB82" s="149"/>
      <c r="AC82" s="149"/>
      <c r="AD82" s="149"/>
      <c r="AE82" s="149"/>
      <c r="AF82" s="149"/>
      <c r="AG82" s="149"/>
      <c r="AH82" s="149"/>
      <c r="AI82" s="14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2:81" ht="16">
      <c r="B83" s="1167"/>
      <c r="C83" s="1384" t="s">
        <v>205</v>
      </c>
      <c r="D83" s="2430" t="s">
        <v>4770</v>
      </c>
      <c r="E83" s="2431"/>
      <c r="F83" s="2431"/>
      <c r="G83" s="2431"/>
      <c r="H83" s="2431"/>
      <c r="I83" s="2431"/>
      <c r="J83" s="2431"/>
      <c r="K83" s="2432"/>
      <c r="L83" s="1167"/>
      <c r="M83" s="1167"/>
      <c r="N83" s="1167"/>
      <c r="O83" s="1167"/>
      <c r="P83" s="1167"/>
      <c r="W83" s="149"/>
      <c r="X83" s="149"/>
      <c r="Y83" s="149"/>
      <c r="Z83" s="149"/>
      <c r="AA83" s="149"/>
      <c r="AB83" s="149"/>
      <c r="AC83" s="149"/>
      <c r="AD83" s="149"/>
      <c r="AE83" s="149"/>
      <c r="AF83" s="149"/>
      <c r="AG83" s="149"/>
      <c r="AH83" s="149"/>
      <c r="AI83" s="14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2:81">
      <c r="B84" s="1167"/>
      <c r="C84" s="970" t="s">
        <v>4771</v>
      </c>
      <c r="D84" s="2433" t="s">
        <v>4772</v>
      </c>
      <c r="E84" s="1808"/>
      <c r="F84" s="1808"/>
      <c r="G84" s="1808"/>
      <c r="H84" s="1808"/>
      <c r="I84" s="1808"/>
      <c r="J84" s="1808"/>
      <c r="K84" s="1885"/>
      <c r="L84" s="1167"/>
      <c r="M84" s="1167"/>
      <c r="N84" s="1167"/>
      <c r="O84" s="1167"/>
      <c r="P84" s="1167"/>
      <c r="W84" s="149"/>
      <c r="X84" s="149"/>
      <c r="Y84" s="149"/>
      <c r="Z84" s="149"/>
      <c r="AA84" s="149"/>
      <c r="AB84" s="149"/>
      <c r="AC84" s="149"/>
      <c r="AD84" s="149"/>
      <c r="AE84" s="149"/>
      <c r="AF84" s="149"/>
      <c r="AG84" s="149"/>
      <c r="AH84" s="149"/>
      <c r="AI84" s="14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2:81">
      <c r="B85" s="1167"/>
      <c r="C85" s="971" t="s">
        <v>205</v>
      </c>
      <c r="D85" s="1808" t="s">
        <v>4773</v>
      </c>
      <c r="E85" s="1808"/>
      <c r="F85" s="1808"/>
      <c r="G85" s="1808"/>
      <c r="H85" s="1808"/>
      <c r="I85" s="1808"/>
      <c r="J85" s="1808"/>
      <c r="K85" s="1885"/>
      <c r="L85" s="1167"/>
      <c r="M85" s="1167"/>
      <c r="N85" s="1167"/>
      <c r="O85" s="1167"/>
      <c r="P85" s="1167"/>
      <c r="W85" s="149"/>
      <c r="X85" s="149"/>
      <c r="Y85" s="149"/>
      <c r="Z85" s="149"/>
      <c r="AA85" s="149"/>
      <c r="AB85" s="149"/>
      <c r="AC85" s="149"/>
      <c r="AD85" s="149"/>
      <c r="AE85" s="149"/>
      <c r="AF85" s="149"/>
      <c r="AG85" s="149"/>
      <c r="AH85" s="149"/>
      <c r="AI85" s="14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2:81">
      <c r="B86" s="1167"/>
      <c r="C86" s="1040"/>
      <c r="D86" s="2425" t="s">
        <v>4774</v>
      </c>
      <c r="E86" s="1808"/>
      <c r="F86" s="1808"/>
      <c r="G86" s="1808"/>
      <c r="H86" s="1808"/>
      <c r="I86" s="1808"/>
      <c r="J86" s="1808"/>
      <c r="K86" s="1885"/>
      <c r="L86" s="1167"/>
      <c r="M86" s="1167"/>
      <c r="N86" s="1167"/>
      <c r="O86" s="1167"/>
      <c r="P86" s="1167"/>
      <c r="W86" s="149"/>
      <c r="X86" s="149"/>
      <c r="Y86" s="149"/>
      <c r="Z86" s="149"/>
      <c r="AA86" s="149"/>
      <c r="AB86" s="149"/>
      <c r="AC86" s="149"/>
      <c r="AD86" s="149"/>
      <c r="AE86" s="149"/>
      <c r="AF86" s="149"/>
      <c r="AG86" s="149"/>
      <c r="AH86" s="149"/>
      <c r="AI86" s="14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2:81">
      <c r="B87" s="1167"/>
      <c r="C87" s="1386"/>
      <c r="D87" s="2425" t="s">
        <v>4775</v>
      </c>
      <c r="E87" s="1808"/>
      <c r="F87" s="1808"/>
      <c r="G87" s="1808"/>
      <c r="H87" s="1808"/>
      <c r="I87" s="1808"/>
      <c r="J87" s="1808"/>
      <c r="K87" s="1885"/>
      <c r="L87" s="1167"/>
      <c r="M87" s="1167"/>
      <c r="N87" s="1167"/>
      <c r="O87" s="1167"/>
      <c r="P87" s="1167"/>
      <c r="W87" s="149"/>
      <c r="X87" s="149"/>
      <c r="Y87" s="149"/>
      <c r="Z87" s="149"/>
      <c r="AA87" s="149"/>
      <c r="AB87" s="149"/>
      <c r="AC87" s="149"/>
      <c r="AD87" s="149"/>
      <c r="AE87" s="149"/>
      <c r="AF87" s="149"/>
      <c r="AG87" s="149"/>
      <c r="AH87" s="149"/>
      <c r="AI87" s="14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2:81">
      <c r="B88" s="1167"/>
      <c r="C88" s="1386"/>
      <c r="D88" s="2425" t="s">
        <v>4776</v>
      </c>
      <c r="E88" s="1808"/>
      <c r="F88" s="1808"/>
      <c r="G88" s="1808"/>
      <c r="H88" s="1808"/>
      <c r="I88" s="1808"/>
      <c r="J88" s="1808"/>
      <c r="K88" s="1885"/>
      <c r="L88" s="1167"/>
      <c r="M88" s="1167"/>
      <c r="N88" s="1167"/>
      <c r="O88" s="1167"/>
      <c r="P88" s="1167"/>
      <c r="W88" s="149"/>
      <c r="X88" s="149"/>
      <c r="Y88" s="149"/>
      <c r="Z88" s="149"/>
      <c r="AA88" s="149"/>
      <c r="AB88" s="149"/>
      <c r="AC88" s="149"/>
      <c r="AD88" s="149"/>
      <c r="AE88" s="149"/>
      <c r="AF88" s="149"/>
      <c r="AG88" s="149"/>
      <c r="AH88" s="149"/>
      <c r="AI88" s="14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2:81">
      <c r="B89" s="1167"/>
      <c r="C89" s="1386"/>
      <c r="D89" s="1808"/>
      <c r="E89" s="1808"/>
      <c r="F89" s="1808"/>
      <c r="G89" s="1808"/>
      <c r="H89" s="1808"/>
      <c r="I89" s="1808"/>
      <c r="J89" s="1808"/>
      <c r="K89" s="1885"/>
      <c r="L89" s="1167"/>
      <c r="M89" s="1167"/>
      <c r="N89" s="1167"/>
      <c r="O89" s="1167"/>
      <c r="P89" s="1167"/>
      <c r="W89" s="149"/>
      <c r="X89" s="149"/>
      <c r="Y89" s="149"/>
      <c r="Z89" s="149"/>
      <c r="AA89" s="149"/>
      <c r="AB89" s="149"/>
      <c r="AC89" s="149"/>
      <c r="AD89" s="149"/>
      <c r="AE89" s="149"/>
      <c r="AF89" s="149"/>
      <c r="AG89" s="149"/>
      <c r="AH89" s="149"/>
      <c r="AI89" s="14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2:81">
      <c r="B90" s="1167"/>
      <c r="C90" s="1386"/>
      <c r="D90" s="1808" t="s">
        <v>4777</v>
      </c>
      <c r="E90" s="1808"/>
      <c r="F90" s="1808"/>
      <c r="G90" s="1808"/>
      <c r="H90" s="1808"/>
      <c r="I90" s="1808"/>
      <c r="J90" s="1808"/>
      <c r="K90" s="1885"/>
      <c r="L90" s="1167"/>
      <c r="M90" s="1167"/>
      <c r="N90" s="1167"/>
      <c r="O90" s="1167"/>
      <c r="P90" s="1167"/>
      <c r="R90" s="675" t="b">
        <f>C86="Yes"</f>
        <v>0</v>
      </c>
      <c r="S90" s="9" t="str" cm="1">
        <f t="array" ref="S90:S91">_xlfn._xlws.FILTER(T90:T91,COUNTIF(Q90:Q98,T90:T91)=0,"No")</f>
        <v>Yes</v>
      </c>
      <c r="T90" s="9" t="s">
        <v>19</v>
      </c>
      <c r="W90" s="149"/>
      <c r="X90" s="149"/>
      <c r="Y90" s="149"/>
      <c r="Z90" s="149"/>
      <c r="AA90" s="149"/>
      <c r="AB90" s="149"/>
      <c r="AC90" s="149"/>
      <c r="AD90" s="149"/>
      <c r="AE90" s="149"/>
      <c r="AF90" s="149"/>
      <c r="AG90" s="149"/>
      <c r="AH90" s="149"/>
      <c r="AI90" s="14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2:81">
      <c r="B91" s="1167"/>
      <c r="C91" s="1387"/>
      <c r="D91" s="1808"/>
      <c r="E91" s="1808"/>
      <c r="F91" s="1808"/>
      <c r="G91" s="1808"/>
      <c r="H91" s="1808"/>
      <c r="I91" s="1808"/>
      <c r="J91" s="1808"/>
      <c r="K91" s="1885"/>
      <c r="L91" s="1167"/>
      <c r="M91" s="1167"/>
      <c r="N91" s="1167"/>
      <c r="O91" s="1167"/>
      <c r="P91" s="1167"/>
      <c r="S91" s="9" t="str">
        <v>No</v>
      </c>
      <c r="T91" s="9" t="s">
        <v>13</v>
      </c>
      <c r="W91" s="149"/>
      <c r="X91" s="149"/>
      <c r="Y91" s="149"/>
      <c r="Z91" s="149"/>
      <c r="AA91" s="149"/>
      <c r="AB91" s="149"/>
      <c r="AC91" s="149"/>
      <c r="AD91" s="149"/>
      <c r="AE91" s="149"/>
      <c r="AF91" s="149"/>
      <c r="AG91" s="149"/>
      <c r="AH91" s="149"/>
      <c r="AI91" s="14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2:81">
      <c r="B92" s="1167"/>
      <c r="C92" s="150" t="s">
        <v>4771</v>
      </c>
      <c r="D92" s="2429" t="s">
        <v>4778</v>
      </c>
      <c r="E92" s="1799"/>
      <c r="F92" s="1799"/>
      <c r="G92" s="1799"/>
      <c r="H92" s="1799"/>
      <c r="I92" s="1799"/>
      <c r="J92" s="1799"/>
      <c r="K92" s="1910"/>
      <c r="L92" s="1167"/>
      <c r="M92" s="1167"/>
      <c r="N92" s="1167"/>
      <c r="O92" s="1167"/>
      <c r="P92" s="1167"/>
      <c r="S92" s="9" t="str">
        <f>IF(OR(C86="No",C94="No"),"No","")</f>
        <v/>
      </c>
      <c r="W92" s="149"/>
      <c r="X92" s="149"/>
      <c r="Y92" s="149"/>
      <c r="Z92" s="149"/>
      <c r="AA92" s="149"/>
      <c r="AB92" s="149"/>
      <c r="AC92" s="149"/>
      <c r="AD92" s="149"/>
      <c r="AE92" s="149"/>
      <c r="AF92" s="149"/>
      <c r="AG92" s="149"/>
      <c r="AH92" s="149"/>
      <c r="AI92" s="14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2:81">
      <c r="B93" s="1167"/>
      <c r="C93" s="151" t="s">
        <v>205</v>
      </c>
      <c r="D93" s="1800"/>
      <c r="E93" s="1808"/>
      <c r="F93" s="1808"/>
      <c r="G93" s="1808"/>
      <c r="H93" s="1808"/>
      <c r="I93" s="1808"/>
      <c r="J93" s="1808"/>
      <c r="K93" s="1885"/>
      <c r="L93" s="1167"/>
      <c r="M93" s="1167"/>
      <c r="N93" s="1167"/>
      <c r="O93" s="1167"/>
      <c r="P93" s="1167"/>
      <c r="W93" s="149"/>
      <c r="X93" s="149"/>
      <c r="Y93" s="149"/>
      <c r="Z93" s="149"/>
      <c r="AA93" s="149"/>
      <c r="AB93" s="149"/>
      <c r="AC93" s="149"/>
      <c r="AD93" s="149"/>
      <c r="AE93" s="149"/>
      <c r="AF93" s="149"/>
      <c r="AG93" s="149"/>
      <c r="AH93" s="149"/>
      <c r="AI93" s="14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2:81">
      <c r="B94" s="1167"/>
      <c r="C94" s="1040"/>
      <c r="D94" s="1800" t="s">
        <v>4779</v>
      </c>
      <c r="E94" s="1808"/>
      <c r="F94" s="1808"/>
      <c r="G94" s="1808"/>
      <c r="H94" s="1808"/>
      <c r="I94" s="1808"/>
      <c r="J94" s="1808"/>
      <c r="K94" s="1885"/>
      <c r="L94" s="1167"/>
      <c r="M94" s="1167"/>
      <c r="N94" s="1167"/>
      <c r="O94" s="1167"/>
      <c r="P94" s="1167"/>
      <c r="W94" s="149"/>
      <c r="X94" s="149"/>
      <c r="Y94" s="149"/>
      <c r="Z94" s="149"/>
      <c r="AA94" s="149"/>
      <c r="AB94" s="149"/>
      <c r="AC94" s="149"/>
      <c r="AD94" s="149"/>
      <c r="AE94" s="149"/>
      <c r="AF94" s="149"/>
      <c r="AG94" s="149"/>
      <c r="AH94" s="149"/>
      <c r="AI94" s="14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2:81">
      <c r="B95" s="1167"/>
      <c r="C95" s="1304"/>
      <c r="D95" s="2426" t="s">
        <v>4780</v>
      </c>
      <c r="E95" s="1808"/>
      <c r="F95" s="1808"/>
      <c r="G95" s="1808"/>
      <c r="H95" s="1808"/>
      <c r="I95" s="1808"/>
      <c r="J95" s="1808"/>
      <c r="K95" s="1885"/>
      <c r="L95" s="1167"/>
      <c r="M95" s="1167"/>
      <c r="N95" s="1167"/>
      <c r="O95" s="1167"/>
      <c r="P95" s="1167"/>
      <c r="W95" s="149"/>
      <c r="X95" s="149"/>
      <c r="Y95" s="149"/>
      <c r="Z95" s="149"/>
      <c r="AA95" s="149"/>
      <c r="AB95" s="149"/>
      <c r="AC95" s="149"/>
      <c r="AD95" s="149"/>
      <c r="AE95" s="149"/>
      <c r="AF95" s="149"/>
      <c r="AG95" s="149"/>
      <c r="AH95" s="149"/>
      <c r="AI95" s="14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2:81">
      <c r="B96" s="1167"/>
      <c r="C96" s="1388"/>
      <c r="D96" s="2427" t="s">
        <v>4781</v>
      </c>
      <c r="E96" s="1818"/>
      <c r="F96" s="1818"/>
      <c r="G96" s="1818"/>
      <c r="H96" s="1818"/>
      <c r="I96" s="1818"/>
      <c r="J96" s="1818"/>
      <c r="K96" s="2428"/>
      <c r="L96" s="1167"/>
      <c r="M96" s="1167"/>
      <c r="N96" s="1167"/>
      <c r="O96" s="1167"/>
      <c r="P96" s="1167"/>
      <c r="W96" s="149"/>
      <c r="X96" s="149"/>
      <c r="Y96" s="149"/>
      <c r="Z96" s="149"/>
      <c r="AA96" s="149"/>
      <c r="AB96" s="149"/>
      <c r="AC96" s="149"/>
      <c r="AD96" s="149"/>
      <c r="AE96" s="149"/>
      <c r="AF96" s="149"/>
      <c r="AG96" s="149"/>
      <c r="AH96" s="149"/>
      <c r="AI96" s="14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2:84">
      <c r="B97" s="1167"/>
      <c r="C97" s="1167"/>
      <c r="D97" s="1167"/>
      <c r="E97" s="1167"/>
      <c r="F97" s="1167"/>
      <c r="G97" s="1167"/>
      <c r="H97" s="1167"/>
      <c r="I97" s="1167"/>
      <c r="J97" s="1167"/>
      <c r="K97" s="1167"/>
      <c r="L97" s="1167"/>
      <c r="M97" s="1167"/>
      <c r="N97" s="1167"/>
      <c r="O97" s="1167"/>
      <c r="P97" s="1167"/>
      <c r="R97" s="675" t="b">
        <f>C94="Yes"</f>
        <v>0</v>
      </c>
      <c r="W97" s="149"/>
      <c r="X97" s="149"/>
      <c r="Y97" s="149"/>
      <c r="Z97" s="149"/>
      <c r="AA97" s="149"/>
      <c r="AB97" s="149"/>
      <c r="AC97" s="149"/>
      <c r="AD97" s="149"/>
      <c r="AE97" s="149"/>
      <c r="AF97" s="149"/>
      <c r="AG97" s="149"/>
      <c r="AH97" s="149"/>
      <c r="AI97" s="14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2:84">
      <c r="B98" s="1167"/>
      <c r="C98" s="1167" t="s">
        <v>4782</v>
      </c>
      <c r="D98" s="1167"/>
      <c r="E98" s="1167"/>
      <c r="F98" s="1167"/>
      <c r="G98" s="1167"/>
      <c r="H98" s="1167"/>
      <c r="I98" s="1167"/>
      <c r="J98" s="1167"/>
      <c r="K98" s="1167"/>
      <c r="L98" s="1167"/>
      <c r="M98" s="1167"/>
      <c r="N98" s="1167"/>
      <c r="O98" s="1167"/>
      <c r="P98" s="1167"/>
      <c r="W98" s="149"/>
      <c r="X98" s="149"/>
      <c r="Y98" s="149"/>
      <c r="Z98" s="149"/>
      <c r="AA98" s="149"/>
      <c r="AB98" s="149"/>
      <c r="AC98" s="149"/>
      <c r="AD98" s="149"/>
      <c r="AE98" s="149"/>
      <c r="AF98" s="149"/>
      <c r="AG98" s="149"/>
      <c r="AH98" s="149"/>
      <c r="AI98" s="14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2:84">
      <c r="B99" s="1167"/>
      <c r="C99" s="1167" t="s">
        <v>4783</v>
      </c>
      <c r="D99" s="1167"/>
      <c r="E99" s="1167"/>
      <c r="F99" s="1167"/>
      <c r="G99" s="1167"/>
      <c r="H99" s="1167"/>
      <c r="I99" s="1167"/>
      <c r="J99" s="1167"/>
      <c r="K99" s="1167"/>
      <c r="L99" s="1167"/>
      <c r="M99" s="1167"/>
      <c r="N99" s="1167"/>
      <c r="O99" s="1167"/>
      <c r="P99" s="1167"/>
      <c r="W99" s="149"/>
      <c r="X99" s="149"/>
      <c r="Y99" s="149"/>
      <c r="Z99" s="149"/>
      <c r="AA99" s="149"/>
      <c r="AB99" s="149"/>
      <c r="AC99" s="149"/>
      <c r="AD99" s="149"/>
      <c r="AE99" s="149"/>
      <c r="AF99" s="149"/>
      <c r="AG99" s="149"/>
      <c r="AH99" s="149"/>
      <c r="AI99" s="14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2:84">
      <c r="B100" s="1167"/>
      <c r="C100" s="1689" t="s">
        <v>4784</v>
      </c>
      <c r="D100" s="1167"/>
      <c r="E100" s="1167"/>
      <c r="F100" s="1167"/>
      <c r="G100" s="1167"/>
      <c r="H100" s="1167"/>
      <c r="I100" s="1167"/>
      <c r="J100" s="1167"/>
      <c r="K100" s="1167"/>
      <c r="L100" s="1167"/>
      <c r="M100" s="1167"/>
      <c r="N100" s="1167"/>
      <c r="O100" s="1167"/>
      <c r="P100" s="1167"/>
      <c r="W100" s="149"/>
      <c r="X100" s="149"/>
      <c r="Y100" s="149"/>
      <c r="Z100" s="149"/>
      <c r="AA100" s="149"/>
      <c r="AB100" s="149"/>
      <c r="AC100" s="149"/>
      <c r="AD100" s="149"/>
      <c r="AE100" s="149"/>
      <c r="AF100" s="149"/>
      <c r="AG100" s="149"/>
      <c r="AH100" s="149"/>
      <c r="AI100" s="14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2:84">
      <c r="B101" s="1167"/>
      <c r="C101" s="1689" t="s">
        <v>4785</v>
      </c>
      <c r="D101" s="1167"/>
      <c r="E101" s="1167"/>
      <c r="F101" s="1167"/>
      <c r="G101" s="1167"/>
      <c r="H101" s="1167"/>
      <c r="I101" s="1167"/>
      <c r="J101" s="1167"/>
      <c r="K101" s="1167"/>
      <c r="L101" s="1167"/>
      <c r="M101" s="1167"/>
      <c r="N101" s="1167"/>
      <c r="O101" s="1167"/>
      <c r="P101" s="1167"/>
      <c r="W101" s="149"/>
      <c r="X101" s="149"/>
      <c r="Y101" s="149"/>
      <c r="Z101" s="149"/>
      <c r="AA101" s="149"/>
      <c r="AB101" s="149"/>
      <c r="AC101" s="149"/>
      <c r="AD101" s="149"/>
      <c r="AE101" s="149"/>
      <c r="AF101" s="149"/>
      <c r="AG101" s="149"/>
      <c r="AH101" s="149"/>
      <c r="AI101" s="14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2:84">
      <c r="B102" s="1167"/>
      <c r="C102" s="1689" t="s">
        <v>4786</v>
      </c>
      <c r="D102" s="1167"/>
      <c r="E102" s="1167"/>
      <c r="F102" s="1167"/>
      <c r="G102" s="1167"/>
      <c r="H102" s="1167"/>
      <c r="I102" s="1167"/>
      <c r="J102" s="1167"/>
      <c r="K102" s="1167"/>
      <c r="L102" s="1167"/>
      <c r="M102" s="1167"/>
      <c r="N102" s="1167"/>
      <c r="O102" s="1167"/>
      <c r="P102" s="1167"/>
      <c r="W102" s="149"/>
      <c r="X102" s="149"/>
      <c r="Y102" s="149"/>
      <c r="Z102" s="149"/>
      <c r="AA102" s="149"/>
      <c r="AB102" s="149"/>
      <c r="AC102" s="149"/>
      <c r="AD102" s="149"/>
      <c r="AE102" s="149"/>
      <c r="AF102" s="149"/>
      <c r="AG102" s="149"/>
      <c r="AH102" s="149"/>
      <c r="AI102" s="14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2:84">
      <c r="B103" s="1167"/>
      <c r="C103" s="1689" t="s">
        <v>4787</v>
      </c>
      <c r="D103" s="1167"/>
      <c r="E103" s="1167"/>
      <c r="F103" s="1167"/>
      <c r="G103" s="1167"/>
      <c r="H103" s="1167"/>
      <c r="I103" s="1167"/>
      <c r="J103" s="1167"/>
      <c r="K103" s="1167"/>
      <c r="L103" s="1167"/>
      <c r="M103" s="1167"/>
      <c r="N103" s="1167"/>
      <c r="O103" s="1167"/>
      <c r="P103" s="1167"/>
      <c r="W103" s="149"/>
      <c r="X103" s="149"/>
      <c r="Y103" s="149"/>
      <c r="Z103" s="149"/>
      <c r="AA103" s="149"/>
      <c r="AB103" s="149"/>
      <c r="AC103" s="149"/>
      <c r="AD103" s="149"/>
      <c r="AE103" s="149"/>
      <c r="AF103" s="149"/>
      <c r="AG103" s="149"/>
      <c r="AH103" s="149"/>
      <c r="AI103" s="14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2:84" ht="19">
      <c r="B104" s="1167"/>
      <c r="C104" s="1167"/>
      <c r="D104" s="1167"/>
      <c r="E104" s="1167"/>
      <c r="F104" s="1167"/>
      <c r="G104" s="1167"/>
      <c r="H104" s="1167"/>
      <c r="I104" s="1167"/>
      <c r="J104" s="1167"/>
      <c r="K104" s="1167"/>
      <c r="L104" s="1167"/>
      <c r="M104" s="1167"/>
      <c r="N104" s="1167"/>
      <c r="O104" s="1167"/>
      <c r="P104" s="1167"/>
      <c r="Q104" s="1119"/>
      <c r="W104" s="149"/>
      <c r="X104" s="149"/>
      <c r="Y104" s="149"/>
      <c r="Z104" s="149"/>
      <c r="AA104" s="149"/>
      <c r="AB104" s="149"/>
      <c r="AC104" s="149"/>
      <c r="AD104" s="149"/>
      <c r="AE104" s="149"/>
      <c r="AF104" s="149"/>
      <c r="AG104" s="149"/>
      <c r="AH104" s="149"/>
      <c r="AI104" s="14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2:84" ht="19">
      <c r="B105" s="1167"/>
      <c r="C105" s="1167" t="s">
        <v>4788</v>
      </c>
      <c r="D105" s="1167"/>
      <c r="E105" s="1167"/>
      <c r="F105" s="1167"/>
      <c r="G105" s="1167"/>
      <c r="H105" s="1167"/>
      <c r="I105" s="1167"/>
      <c r="J105" s="1167"/>
      <c r="K105" s="1167"/>
      <c r="L105" s="1167"/>
      <c r="M105" s="1167"/>
      <c r="N105" s="1167"/>
      <c r="O105" s="1167"/>
      <c r="P105" s="1167"/>
      <c r="Q105" s="1119"/>
      <c r="W105" s="149"/>
      <c r="X105" s="149"/>
      <c r="Y105" s="149"/>
      <c r="Z105" s="149"/>
      <c r="AA105" s="149"/>
      <c r="AB105" s="149"/>
      <c r="AC105" s="149"/>
      <c r="AD105" s="149"/>
      <c r="AE105" s="149"/>
      <c r="AF105" s="149"/>
      <c r="AG105" s="149"/>
      <c r="AH105" s="149"/>
      <c r="AI105" s="14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2:84" ht="19">
      <c r="B106" s="1167"/>
      <c r="C106" s="1689" t="s">
        <v>4789</v>
      </c>
      <c r="D106" s="1167"/>
      <c r="E106" s="1167"/>
      <c r="F106" s="1167"/>
      <c r="G106" s="1167"/>
      <c r="H106" s="1167"/>
      <c r="I106" s="1167"/>
      <c r="J106" s="1167"/>
      <c r="K106" s="1167"/>
      <c r="L106" s="1167"/>
      <c r="M106" s="1167"/>
      <c r="N106" s="1167"/>
      <c r="O106" s="1167"/>
      <c r="P106" s="1167"/>
      <c r="Q106" s="1119"/>
      <c r="W106" s="149"/>
      <c r="X106" s="149"/>
      <c r="Y106" s="149"/>
      <c r="Z106" s="149"/>
      <c r="AA106" s="149"/>
      <c r="AB106" s="149"/>
      <c r="AC106" s="149"/>
      <c r="AD106" s="149"/>
      <c r="AE106" s="149"/>
      <c r="AF106" s="149"/>
      <c r="AG106" s="149"/>
      <c r="AH106" s="149"/>
      <c r="AI106" s="14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2:84" ht="19">
      <c r="B107" s="1167"/>
      <c r="C107" s="1167"/>
      <c r="D107" s="1167"/>
      <c r="E107" s="1167"/>
      <c r="F107" s="1167"/>
      <c r="G107" s="1167"/>
      <c r="H107" s="1167"/>
      <c r="I107" s="1167"/>
      <c r="J107" s="1167"/>
      <c r="K107" s="1167"/>
      <c r="L107" s="1167"/>
      <c r="M107" s="1167"/>
      <c r="N107" s="1167"/>
      <c r="O107" s="1167"/>
      <c r="P107" s="1167"/>
      <c r="Q107" s="1119"/>
      <c r="W107" s="149"/>
      <c r="X107" s="149"/>
      <c r="Y107" s="149"/>
      <c r="Z107" s="149"/>
      <c r="AA107" s="149"/>
      <c r="AB107" s="149"/>
      <c r="AC107" s="149"/>
      <c r="AD107" s="149"/>
      <c r="AE107" s="149"/>
      <c r="AF107" s="149"/>
      <c r="AG107" s="149"/>
      <c r="AH107" s="149"/>
      <c r="AI107" s="14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2:84" ht="19">
      <c r="B108" s="1167"/>
      <c r="C108" s="1375" t="s">
        <v>4734</v>
      </c>
      <c r="D108" s="1375" t="s">
        <v>4708</v>
      </c>
      <c r="E108" s="1375" t="s">
        <v>1010</v>
      </c>
      <c r="F108" s="1167"/>
      <c r="G108" s="1167"/>
      <c r="H108" s="1167"/>
      <c r="I108" s="1167"/>
      <c r="J108" s="1167"/>
      <c r="K108" s="1167"/>
      <c r="L108" s="1167"/>
      <c r="M108" s="1167"/>
      <c r="N108" s="1167"/>
      <c r="O108" s="1167"/>
      <c r="P108" s="1167"/>
      <c r="Q108" s="1119"/>
      <c r="W108" s="149"/>
      <c r="X108" s="149"/>
      <c r="Y108" s="149"/>
      <c r="Z108" s="149"/>
      <c r="AA108" s="149"/>
      <c r="AB108" s="149"/>
      <c r="AC108" s="149"/>
      <c r="AD108" s="149"/>
      <c r="AE108" s="149"/>
      <c r="AF108" s="149"/>
      <c r="AG108" s="149"/>
      <c r="AH108" s="149"/>
      <c r="AI108" s="14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2:84" ht="19">
      <c r="B109" s="1167"/>
      <c r="C109" s="1734">
        <v>2</v>
      </c>
      <c r="D109" s="1735">
        <f>R109</f>
        <v>0</v>
      </c>
      <c r="E109" s="1734"/>
      <c r="F109" s="1167"/>
      <c r="G109" s="1167"/>
      <c r="H109" s="1167"/>
      <c r="I109" s="1167"/>
      <c r="J109" s="1167"/>
      <c r="K109" s="1167"/>
      <c r="L109" s="1167"/>
      <c r="M109" s="1167"/>
      <c r="N109" s="1167"/>
      <c r="O109" s="1167"/>
      <c r="P109" s="1167"/>
      <c r="Q109" s="1119"/>
      <c r="R109" s="675">
        <f>IF(R90, 2, IF(R97, 1, 0))</f>
        <v>0</v>
      </c>
      <c r="W109" s="149"/>
      <c r="X109" s="149"/>
      <c r="Y109" s="149"/>
      <c r="Z109" s="149"/>
      <c r="AA109" s="149"/>
      <c r="AB109" s="149"/>
      <c r="AC109" s="149"/>
      <c r="AD109" s="149"/>
      <c r="AE109" s="149"/>
      <c r="AF109" s="149"/>
      <c r="AG109" s="149"/>
      <c r="AH109" s="149"/>
      <c r="AI109" s="14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2:84" s="217" customFormat="1" ht="16">
      <c r="B110" s="1179"/>
      <c r="C110" s="1167"/>
      <c r="D110" s="1167"/>
      <c r="E110" s="1167"/>
      <c r="F110" s="1179"/>
      <c r="G110" s="1179"/>
      <c r="H110" s="1179"/>
      <c r="I110" s="1179"/>
      <c r="J110" s="1179"/>
      <c r="K110" s="1179"/>
      <c r="L110" s="1179"/>
      <c r="M110" s="1179"/>
      <c r="N110" s="1179"/>
      <c r="O110" s="1179"/>
      <c r="P110" s="1179"/>
      <c r="Q110" s="973"/>
      <c r="R110" s="1518"/>
      <c r="S110" s="11"/>
      <c r="T110" s="11"/>
      <c r="U110" s="11"/>
      <c r="V110" s="11"/>
      <c r="W110" s="973"/>
      <c r="X110" s="973"/>
      <c r="Y110" s="973"/>
      <c r="Z110" s="973"/>
      <c r="AA110" s="973"/>
      <c r="AB110" s="973"/>
      <c r="AC110" s="973"/>
      <c r="AD110" s="973"/>
      <c r="AE110" s="973"/>
      <c r="AF110" s="973"/>
      <c r="AG110" s="973"/>
      <c r="AH110" s="973"/>
      <c r="AI110" s="973"/>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row>
    <row r="111" spans="2:84" ht="19">
      <c r="B111" s="2184" t="s">
        <v>3364</v>
      </c>
      <c r="C111" s="2184"/>
      <c r="D111" s="8"/>
      <c r="E111" s="8"/>
      <c r="F111" s="8"/>
      <c r="G111" s="8"/>
      <c r="H111" s="8"/>
      <c r="I111" s="2184" t="s">
        <v>3372</v>
      </c>
      <c r="J111" s="2184"/>
      <c r="K111" s="17"/>
      <c r="L111" s="17"/>
      <c r="M111" s="17"/>
      <c r="N111" s="17"/>
      <c r="O111" s="17"/>
      <c r="P111" s="17"/>
      <c r="W111" s="149"/>
      <c r="X111" s="149"/>
      <c r="Y111" s="149"/>
      <c r="Z111" s="149"/>
      <c r="AA111" s="149"/>
      <c r="AB111" s="149"/>
      <c r="AC111" s="149"/>
      <c r="AD111" s="149"/>
      <c r="AE111" s="149"/>
      <c r="AF111" s="149"/>
      <c r="AG111" s="149"/>
      <c r="AH111" s="149"/>
      <c r="AI111" s="14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2:84">
      <c r="B112" s="1170" t="s">
        <v>3852</v>
      </c>
      <c r="C112" s="1167"/>
      <c r="D112" s="1167"/>
      <c r="E112" s="1167"/>
      <c r="F112" s="1167"/>
      <c r="G112" s="1167"/>
      <c r="H112" s="1167"/>
      <c r="I112" s="1172" t="s">
        <v>4434</v>
      </c>
      <c r="J112" s="1170"/>
      <c r="K112" s="1170"/>
      <c r="L112" s="1170"/>
      <c r="M112" s="1170"/>
      <c r="N112" s="1170"/>
      <c r="O112" s="1170"/>
      <c r="P112" s="1170"/>
      <c r="W112" s="149"/>
      <c r="X112" s="149"/>
      <c r="Y112" s="149"/>
      <c r="Z112" s="149"/>
      <c r="AA112" s="149"/>
      <c r="AB112" s="149"/>
      <c r="AC112" s="149"/>
      <c r="AD112" s="149"/>
      <c r="AE112" s="149"/>
      <c r="AF112" s="149"/>
      <c r="AG112" s="149"/>
      <c r="AH112" s="149"/>
      <c r="AI112" s="14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row>
    <row r="113" spans="2:84" ht="16">
      <c r="B113" s="1179"/>
      <c r="C113" s="1981"/>
      <c r="D113" s="1981"/>
      <c r="E113" s="1981"/>
      <c r="F113" s="1981"/>
      <c r="G113" s="1981"/>
      <c r="H113" s="1167"/>
      <c r="I113" s="1981"/>
      <c r="J113" s="1981"/>
      <c r="K113" s="1981"/>
      <c r="L113" s="1981"/>
      <c r="M113" s="1981"/>
      <c r="N113" s="1981"/>
      <c r="O113" s="1981"/>
      <c r="P113" s="1170"/>
      <c r="W113" s="149"/>
      <c r="X113" s="149"/>
      <c r="Y113" s="149"/>
      <c r="Z113" s="149"/>
      <c r="AA113" s="149"/>
      <c r="AB113" s="149"/>
      <c r="AC113" s="149"/>
      <c r="AD113" s="149"/>
      <c r="AE113" s="149"/>
      <c r="AF113" s="149"/>
      <c r="AG113" s="149"/>
      <c r="AH113" s="149"/>
      <c r="AI113" s="14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row>
    <row r="114" spans="2:84" ht="16">
      <c r="B114" s="1179"/>
      <c r="C114" s="1981"/>
      <c r="D114" s="1981"/>
      <c r="E114" s="1981"/>
      <c r="F114" s="1981"/>
      <c r="G114" s="1981"/>
      <c r="H114" s="1167"/>
      <c r="I114" s="1981"/>
      <c r="J114" s="1981"/>
      <c r="K114" s="1981"/>
      <c r="L114" s="1981"/>
      <c r="M114" s="1981"/>
      <c r="N114" s="1981"/>
      <c r="O114" s="1981"/>
      <c r="P114" s="1170"/>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row>
    <row r="115" spans="2:84" ht="16">
      <c r="B115" s="1179"/>
      <c r="C115" s="1981"/>
      <c r="D115" s="1981"/>
      <c r="E115" s="1981"/>
      <c r="F115" s="1981"/>
      <c r="G115" s="1981"/>
      <c r="H115" s="1167"/>
      <c r="I115" s="1981"/>
      <c r="J115" s="1981"/>
      <c r="K115" s="1981"/>
      <c r="L115" s="1981"/>
      <c r="M115" s="1981"/>
      <c r="N115" s="1981"/>
      <c r="O115" s="1981"/>
      <c r="P115" s="1170"/>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2:84" ht="16">
      <c r="B116" s="1179"/>
      <c r="C116" s="1981"/>
      <c r="D116" s="1981"/>
      <c r="E116" s="1981"/>
      <c r="F116" s="1981"/>
      <c r="G116" s="1981"/>
      <c r="H116" s="1167"/>
      <c r="I116" s="1981"/>
      <c r="J116" s="1981"/>
      <c r="K116" s="1981"/>
      <c r="L116" s="1981"/>
      <c r="M116" s="1981"/>
      <c r="N116" s="1981"/>
      <c r="O116" s="1981"/>
      <c r="P116" s="1170"/>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2:84" ht="16">
      <c r="B117" s="1179"/>
      <c r="C117" s="1981"/>
      <c r="D117" s="1981"/>
      <c r="E117" s="1981"/>
      <c r="F117" s="1981"/>
      <c r="G117" s="1981"/>
      <c r="H117" s="1167"/>
      <c r="I117" s="1981"/>
      <c r="J117" s="1981"/>
      <c r="K117" s="1981"/>
      <c r="L117" s="1981"/>
      <c r="M117" s="1981"/>
      <c r="N117" s="1981"/>
      <c r="O117" s="1981"/>
      <c r="P117" s="1170"/>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row>
    <row r="118" spans="2:84" ht="16">
      <c r="B118" s="1179"/>
      <c r="C118" s="1981"/>
      <c r="D118" s="1981"/>
      <c r="E118" s="1981"/>
      <c r="F118" s="1981"/>
      <c r="G118" s="1981"/>
      <c r="H118" s="1167"/>
      <c r="I118" s="1981"/>
      <c r="J118" s="1981"/>
      <c r="K118" s="1981"/>
      <c r="L118" s="1981"/>
      <c r="M118" s="1981"/>
      <c r="N118" s="1981"/>
      <c r="O118" s="1981"/>
      <c r="P118" s="1170"/>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row>
    <row r="119" spans="2:84" ht="16">
      <c r="B119" s="1179"/>
      <c r="C119" s="1981"/>
      <c r="D119" s="1981"/>
      <c r="E119" s="1981"/>
      <c r="F119" s="1981"/>
      <c r="G119" s="1981"/>
      <c r="H119" s="1167"/>
      <c r="I119" s="1981"/>
      <c r="J119" s="1981"/>
      <c r="K119" s="1981"/>
      <c r="L119" s="1981"/>
      <c r="M119" s="1981"/>
      <c r="N119" s="1981"/>
      <c r="O119" s="1981"/>
      <c r="P119" s="1170"/>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row>
    <row r="120" spans="2:84" ht="16">
      <c r="B120" s="1179"/>
      <c r="C120" s="1981"/>
      <c r="D120" s="1981"/>
      <c r="E120" s="1981"/>
      <c r="F120" s="1981"/>
      <c r="G120" s="1981"/>
      <c r="H120" s="1167"/>
      <c r="I120" s="1981"/>
      <c r="J120" s="1981"/>
      <c r="K120" s="1981"/>
      <c r="L120" s="1981"/>
      <c r="M120" s="1981"/>
      <c r="N120" s="1981"/>
      <c r="O120" s="1981"/>
      <c r="P120" s="1170"/>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row>
    <row r="121" spans="2:84">
      <c r="B121" s="1167"/>
      <c r="C121" s="1981"/>
      <c r="D121" s="1981"/>
      <c r="E121" s="1981"/>
      <c r="F121" s="1981"/>
      <c r="G121" s="1981"/>
      <c r="H121" s="1167"/>
      <c r="I121" s="1981"/>
      <c r="J121" s="1981"/>
      <c r="K121" s="1981"/>
      <c r="L121" s="1981"/>
      <c r="M121" s="1981"/>
      <c r="N121" s="1981"/>
      <c r="O121" s="1981"/>
      <c r="P121" s="1170"/>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row>
    <row r="122" spans="2:84">
      <c r="B122" s="1167"/>
      <c r="C122" s="1170"/>
      <c r="D122" s="1170"/>
      <c r="E122" s="1170"/>
      <c r="F122" s="1170"/>
      <c r="G122" s="1170"/>
      <c r="H122" s="1167"/>
      <c r="I122" s="1733" t="s">
        <v>4766</v>
      </c>
      <c r="J122" s="1170"/>
      <c r="K122" s="1170"/>
      <c r="L122" s="1170"/>
      <c r="M122" s="1170"/>
      <c r="N122" s="1170"/>
      <c r="O122" s="1170"/>
      <c r="P122" s="1170"/>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row>
    <row r="123" spans="2:84" ht="16.25" customHeight="1">
      <c r="B123" s="1167"/>
      <c r="C123" s="1170"/>
      <c r="D123" s="1170"/>
      <c r="E123" s="1170"/>
      <c r="F123" s="1170"/>
      <c r="G123" s="1170"/>
      <c r="H123" s="1167"/>
      <c r="I123" s="2416"/>
      <c r="J123" s="2416"/>
      <c r="K123" s="2416"/>
      <c r="L123" s="2416"/>
      <c r="M123" s="2416"/>
      <c r="N123" s="2416"/>
      <c r="O123" s="2416"/>
      <c r="P123" s="1170"/>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row>
    <row r="124" spans="2:84" ht="23.5" customHeight="1">
      <c r="B124" s="977" t="s">
        <v>4712</v>
      </c>
      <c r="C124" s="977"/>
      <c r="D124" s="977"/>
      <c r="E124" s="896"/>
      <c r="F124" s="896"/>
      <c r="G124" s="896"/>
      <c r="H124" s="896"/>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row>
    <row r="125" spans="2:84" ht="17.5" customHeight="1">
      <c r="B125" s="1167" t="s">
        <v>4790</v>
      </c>
      <c r="C125" s="1167"/>
      <c r="D125" s="1167"/>
      <c r="E125" s="1167"/>
      <c r="F125" s="1167"/>
      <c r="G125" s="1167"/>
      <c r="H125" s="1167"/>
      <c r="I125" s="1167"/>
      <c r="J125" s="1167"/>
      <c r="K125" s="1167"/>
      <c r="L125" s="1167"/>
      <c r="M125" s="1167"/>
      <c r="N125" s="1167"/>
      <c r="O125" s="1167"/>
      <c r="P125" s="1167"/>
      <c r="W125" s="149"/>
      <c r="X125" s="149"/>
      <c r="Y125" s="149"/>
      <c r="Z125" s="149"/>
      <c r="AA125" s="149"/>
      <c r="AB125" s="149"/>
      <c r="AC125" s="149"/>
      <c r="AD125" s="149"/>
      <c r="AE125" s="149"/>
      <c r="AF125" s="149"/>
      <c r="AG125" s="149"/>
      <c r="AH125" s="149"/>
      <c r="AI125" s="149"/>
      <c r="AJ125" s="149"/>
      <c r="AK125" s="149"/>
      <c r="AL125" s="149"/>
      <c r="AM125" s="149"/>
      <c r="AN125" s="149"/>
      <c r="AO125" s="14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row>
    <row r="126" spans="2:84">
      <c r="B126" s="1167" t="s">
        <v>4791</v>
      </c>
      <c r="C126" s="1167"/>
      <c r="D126" s="1167"/>
      <c r="E126" s="1167"/>
      <c r="F126" s="1167"/>
      <c r="G126" s="1167"/>
      <c r="H126" s="1167"/>
      <c r="I126" s="1167"/>
      <c r="J126" s="1167"/>
      <c r="K126" s="1167"/>
      <c r="L126" s="1167"/>
      <c r="M126" s="1167"/>
      <c r="N126" s="1167"/>
      <c r="O126" s="1167"/>
      <c r="P126" s="1167"/>
      <c r="W126" s="149"/>
      <c r="X126" s="149"/>
      <c r="Y126" s="149"/>
      <c r="Z126" s="149"/>
      <c r="AA126" s="149"/>
      <c r="AB126" s="149"/>
      <c r="AC126" s="149"/>
      <c r="AD126" s="149"/>
      <c r="AE126" s="149"/>
      <c r="AF126" s="149"/>
      <c r="AG126" s="149"/>
      <c r="AH126" s="149"/>
      <c r="AI126" s="149"/>
      <c r="AJ126" s="149"/>
      <c r="AK126" s="149"/>
      <c r="AL126" s="149"/>
      <c r="AM126" s="149"/>
      <c r="AN126" s="149"/>
      <c r="AO126" s="14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row>
    <row r="127" spans="2:84">
      <c r="B127" s="1167"/>
      <c r="C127" s="1167"/>
      <c r="D127" s="1167"/>
      <c r="E127" s="1167"/>
      <c r="F127" s="1167"/>
      <c r="G127" s="1167"/>
      <c r="H127" s="1167"/>
      <c r="I127" s="1167"/>
      <c r="J127" s="1167"/>
      <c r="K127" s="1167"/>
      <c r="L127" s="1167"/>
      <c r="M127" s="1167"/>
      <c r="N127" s="1167"/>
      <c r="O127" s="1167"/>
      <c r="P127" s="1167"/>
      <c r="W127" s="149"/>
      <c r="X127" s="149"/>
      <c r="Y127" s="149"/>
      <c r="Z127" s="149"/>
      <c r="AA127" s="149"/>
      <c r="AB127" s="149"/>
      <c r="AC127" s="149"/>
      <c r="AD127" s="149"/>
      <c r="AE127" s="149"/>
      <c r="AF127" s="149"/>
      <c r="AG127" s="149"/>
      <c r="AH127" s="149"/>
      <c r="AI127" s="149"/>
      <c r="AJ127" s="149"/>
      <c r="AK127" s="149"/>
      <c r="AL127" s="149"/>
      <c r="AM127" s="149"/>
      <c r="AN127" s="149"/>
      <c r="AO127" s="14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row>
    <row r="128" spans="2:84">
      <c r="B128" s="1167"/>
      <c r="C128" s="1385" t="s">
        <v>4739</v>
      </c>
      <c r="D128" s="2435" t="s">
        <v>4740</v>
      </c>
      <c r="E128" s="1779"/>
      <c r="F128" s="1779"/>
      <c r="G128" s="1779"/>
      <c r="H128" s="1779"/>
      <c r="I128" s="1779"/>
      <c r="J128" s="1779"/>
      <c r="K128" s="1779"/>
      <c r="L128" s="2250"/>
      <c r="M128" s="1167"/>
      <c r="N128" s="1167"/>
      <c r="O128" s="1167"/>
      <c r="P128" s="1167"/>
      <c r="W128" s="149"/>
      <c r="X128" s="149"/>
      <c r="Y128" s="149"/>
      <c r="Z128" s="149"/>
      <c r="AA128" s="149"/>
      <c r="AB128" s="149"/>
      <c r="AC128" s="149"/>
      <c r="AD128" s="149"/>
      <c r="AE128" s="149"/>
      <c r="AF128" s="149"/>
      <c r="AG128" s="149"/>
      <c r="AH128" s="149"/>
      <c r="AI128" s="149"/>
      <c r="AJ128" s="149"/>
      <c r="AK128" s="149"/>
      <c r="AL128" s="149"/>
      <c r="AM128" s="149"/>
      <c r="AN128" s="149"/>
      <c r="AO128" s="14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row>
    <row r="129" spans="2:71">
      <c r="B129" s="1167"/>
      <c r="C129" s="2417">
        <f>IFERROR(VLOOKUP($B$12,'App R Data'!P7:Q1151,2,FALSE),0)</f>
        <v>0</v>
      </c>
      <c r="D129" s="2406" t="s">
        <v>4792</v>
      </c>
      <c r="E129" s="2407"/>
      <c r="F129" s="2407"/>
      <c r="G129" s="2407"/>
      <c r="H129" s="2407"/>
      <c r="I129" s="2407"/>
      <c r="J129" s="2407"/>
      <c r="K129" s="2407"/>
      <c r="L129" s="2408"/>
      <c r="M129" s="1167"/>
      <c r="N129" s="1167"/>
      <c r="O129" s="1167"/>
      <c r="P129" s="1167"/>
      <c r="W129" s="149"/>
      <c r="X129" s="149"/>
      <c r="Y129" s="149"/>
      <c r="Z129" s="149"/>
      <c r="AA129" s="149"/>
      <c r="AB129" s="149"/>
      <c r="AC129" s="149"/>
      <c r="AD129" s="149"/>
      <c r="AE129" s="149"/>
      <c r="AF129" s="149"/>
      <c r="AG129" s="149"/>
      <c r="AH129" s="149"/>
      <c r="AI129" s="149"/>
      <c r="AJ129" s="149"/>
      <c r="AK129" s="149"/>
      <c r="AL129" s="149"/>
      <c r="AM129" s="149"/>
      <c r="AN129" s="149"/>
      <c r="AO129" s="14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row>
    <row r="130" spans="2:71">
      <c r="B130" s="1167"/>
      <c r="C130" s="2418"/>
      <c r="D130" s="2409"/>
      <c r="E130" s="2410"/>
      <c r="F130" s="2410"/>
      <c r="G130" s="2410"/>
      <c r="H130" s="2410"/>
      <c r="I130" s="2410"/>
      <c r="J130" s="2410"/>
      <c r="K130" s="2410"/>
      <c r="L130" s="2411"/>
      <c r="M130" s="1167"/>
      <c r="N130" s="1167"/>
      <c r="O130" s="1167"/>
      <c r="P130" s="1167"/>
      <c r="W130" s="149"/>
      <c r="X130" s="149"/>
      <c r="Y130" s="149"/>
      <c r="Z130" s="149"/>
      <c r="AA130" s="149"/>
      <c r="AB130" s="149"/>
      <c r="AC130" s="149"/>
      <c r="AD130" s="149"/>
      <c r="AE130" s="149"/>
      <c r="AF130" s="149"/>
      <c r="AG130" s="149"/>
      <c r="AH130" s="149"/>
      <c r="AI130" s="149"/>
      <c r="AJ130" s="149"/>
      <c r="AK130" s="149"/>
      <c r="AL130" s="149"/>
      <c r="AM130" s="149"/>
      <c r="AN130" s="149"/>
      <c r="AO130" s="14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row>
    <row r="131" spans="2:71">
      <c r="B131" s="1167"/>
      <c r="C131" s="2418"/>
      <c r="D131" s="2409"/>
      <c r="E131" s="2410"/>
      <c r="F131" s="2410"/>
      <c r="G131" s="2410"/>
      <c r="H131" s="2410"/>
      <c r="I131" s="2410"/>
      <c r="J131" s="2410"/>
      <c r="K131" s="2410"/>
      <c r="L131" s="2411"/>
      <c r="M131" s="1167"/>
      <c r="N131" s="1167"/>
      <c r="O131" s="1167"/>
      <c r="P131" s="1167"/>
      <c r="W131" s="149"/>
      <c r="X131" s="149"/>
      <c r="Y131" s="149"/>
      <c r="Z131" s="149"/>
      <c r="AA131" s="149"/>
      <c r="AB131" s="149"/>
      <c r="AC131" s="149"/>
      <c r="AD131" s="149"/>
      <c r="AE131" s="149"/>
      <c r="AF131" s="149"/>
      <c r="AG131" s="149"/>
      <c r="AH131" s="149"/>
      <c r="AI131" s="149"/>
      <c r="AJ131" s="149"/>
      <c r="AK131" s="149"/>
      <c r="AL131" s="149"/>
      <c r="AM131" s="149"/>
      <c r="AN131" s="149"/>
      <c r="AO131" s="14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row>
    <row r="132" spans="2:71">
      <c r="B132" s="1167"/>
      <c r="C132" s="2419"/>
      <c r="D132" s="2412"/>
      <c r="E132" s="2413"/>
      <c r="F132" s="2413"/>
      <c r="G132" s="2413"/>
      <c r="H132" s="2413"/>
      <c r="I132" s="2413"/>
      <c r="J132" s="2413"/>
      <c r="K132" s="2413"/>
      <c r="L132" s="2414"/>
      <c r="M132" s="1167"/>
      <c r="N132" s="1167"/>
      <c r="O132" s="1167"/>
      <c r="P132" s="1167"/>
      <c r="W132" s="149"/>
      <c r="X132" s="149"/>
      <c r="Y132" s="149"/>
      <c r="Z132" s="149"/>
      <c r="AA132" s="149"/>
      <c r="AB132" s="149"/>
      <c r="AC132" s="149"/>
      <c r="AD132" s="149"/>
      <c r="AE132" s="149"/>
      <c r="AF132" s="149"/>
      <c r="AG132" s="149"/>
      <c r="AH132" s="149"/>
      <c r="AI132" s="149"/>
      <c r="AJ132" s="149"/>
      <c r="AK132" s="149"/>
      <c r="AL132" s="149"/>
      <c r="AM132" s="149"/>
      <c r="AN132" s="149"/>
      <c r="AO132" s="14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row>
    <row r="133" spans="2:71" ht="15" customHeight="1">
      <c r="B133" s="1167"/>
      <c r="C133" s="2421">
        <f>IFERROR(VLOOKUP($B$12,'App R Data'!K6:L894,2,FALSE),0)</f>
        <v>0</v>
      </c>
      <c r="D133" s="2422" t="s">
        <v>4793</v>
      </c>
      <c r="E133" s="2422"/>
      <c r="F133" s="2422"/>
      <c r="G133" s="2422"/>
      <c r="H133" s="2422"/>
      <c r="I133" s="2422"/>
      <c r="J133" s="2422"/>
      <c r="K133" s="2422"/>
      <c r="L133" s="2422"/>
      <c r="M133" s="1167"/>
      <c r="N133" s="1167"/>
      <c r="O133" s="1167"/>
      <c r="P133" s="1167"/>
      <c r="W133" s="149"/>
      <c r="X133" s="149"/>
      <c r="Y133" s="149"/>
      <c r="Z133" s="149"/>
      <c r="AA133" s="149"/>
      <c r="AB133" s="149"/>
      <c r="AC133" s="149"/>
      <c r="AD133" s="149"/>
      <c r="AE133" s="149"/>
      <c r="AF133" s="149"/>
      <c r="AG133" s="149"/>
      <c r="AH133" s="149"/>
      <c r="AI133" s="149"/>
      <c r="AJ133" s="149"/>
      <c r="AK133" s="149"/>
      <c r="AL133" s="149"/>
      <c r="AM133" s="149"/>
      <c r="AN133" s="149"/>
      <c r="AO133" s="14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row>
    <row r="134" spans="2:71">
      <c r="B134" s="1167"/>
      <c r="C134" s="2421"/>
      <c r="D134" s="2422"/>
      <c r="E134" s="2422"/>
      <c r="F134" s="2422"/>
      <c r="G134" s="2422"/>
      <c r="H134" s="2422"/>
      <c r="I134" s="2422"/>
      <c r="J134" s="2422"/>
      <c r="K134" s="2422"/>
      <c r="L134" s="2422"/>
      <c r="M134" s="1167"/>
      <c r="N134" s="1167"/>
      <c r="O134" s="1167"/>
      <c r="P134" s="1167"/>
      <c r="W134" s="149"/>
      <c r="X134" s="149"/>
      <c r="Y134" s="149"/>
      <c r="Z134" s="149"/>
      <c r="AA134" s="149"/>
      <c r="AB134" s="149"/>
      <c r="AC134" s="149"/>
      <c r="AD134" s="149"/>
      <c r="AE134" s="149"/>
      <c r="AF134" s="149"/>
      <c r="AG134" s="149"/>
      <c r="AH134" s="149"/>
      <c r="AI134" s="149"/>
      <c r="AJ134" s="149"/>
      <c r="AK134" s="149"/>
      <c r="AL134" s="149"/>
      <c r="AM134" s="149"/>
      <c r="AN134" s="149"/>
      <c r="AO134" s="14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row>
    <row r="135" spans="2:71">
      <c r="B135" s="1167"/>
      <c r="C135" s="2421"/>
      <c r="D135" s="2422"/>
      <c r="E135" s="2422"/>
      <c r="F135" s="2422"/>
      <c r="G135" s="2422"/>
      <c r="H135" s="2422"/>
      <c r="I135" s="2422"/>
      <c r="J135" s="2422"/>
      <c r="K135" s="2422"/>
      <c r="L135" s="2422"/>
      <c r="M135" s="1167"/>
      <c r="N135" s="1167"/>
      <c r="O135" s="1167"/>
      <c r="P135" s="1167"/>
      <c r="W135" s="149"/>
      <c r="X135" s="149"/>
      <c r="Y135" s="149"/>
      <c r="Z135" s="149"/>
      <c r="AA135" s="149"/>
      <c r="AB135" s="149"/>
      <c r="AC135" s="149"/>
      <c r="AD135" s="149"/>
      <c r="AE135" s="149"/>
      <c r="AF135" s="149"/>
      <c r="AG135" s="149"/>
      <c r="AH135" s="149"/>
      <c r="AI135" s="149"/>
      <c r="AJ135" s="149"/>
      <c r="AK135" s="149"/>
      <c r="AL135" s="149"/>
      <c r="AM135" s="149"/>
      <c r="AN135" s="149"/>
      <c r="AO135" s="14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row>
    <row r="136" spans="2:71">
      <c r="B136" s="1167"/>
      <c r="C136" s="2421"/>
      <c r="D136" s="2422"/>
      <c r="E136" s="2422"/>
      <c r="F136" s="2422"/>
      <c r="G136" s="2422"/>
      <c r="H136" s="2422"/>
      <c r="I136" s="2422"/>
      <c r="J136" s="2422"/>
      <c r="K136" s="2422"/>
      <c r="L136" s="2422"/>
      <c r="M136" s="1167"/>
      <c r="N136" s="1167"/>
      <c r="O136" s="1167"/>
      <c r="P136" s="1167"/>
      <c r="W136" s="149"/>
      <c r="X136" s="149"/>
      <c r="Y136" s="149"/>
      <c r="Z136" s="149"/>
      <c r="AA136" s="149"/>
      <c r="AB136" s="149"/>
      <c r="AC136" s="149"/>
      <c r="AD136" s="149"/>
      <c r="AE136" s="149"/>
      <c r="AF136" s="149"/>
      <c r="AG136" s="149"/>
      <c r="AH136" s="149"/>
      <c r="AI136" s="149"/>
      <c r="AJ136" s="149"/>
      <c r="AK136" s="149"/>
      <c r="AL136" s="149"/>
      <c r="AM136" s="149"/>
      <c r="AN136" s="149"/>
      <c r="AO136" s="14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row>
    <row r="137" spans="2:71">
      <c r="B137" s="1167"/>
      <c r="C137" s="2421"/>
      <c r="D137" s="2422"/>
      <c r="E137" s="2422"/>
      <c r="F137" s="2422"/>
      <c r="G137" s="2422"/>
      <c r="H137" s="2422"/>
      <c r="I137" s="2422"/>
      <c r="J137" s="2422"/>
      <c r="K137" s="2422"/>
      <c r="L137" s="2422"/>
      <c r="M137" s="1167"/>
      <c r="N137" s="1167"/>
      <c r="O137" s="1167"/>
      <c r="P137" s="1167"/>
      <c r="W137" s="149"/>
      <c r="X137" s="149"/>
      <c r="Y137" s="149"/>
      <c r="Z137" s="149"/>
      <c r="AA137" s="149"/>
      <c r="AB137" s="149"/>
      <c r="AC137" s="149"/>
      <c r="AD137" s="149"/>
      <c r="AE137" s="149"/>
      <c r="AF137" s="149"/>
      <c r="AG137" s="149"/>
      <c r="AH137" s="149"/>
      <c r="AI137" s="149"/>
      <c r="AJ137" s="149"/>
      <c r="AK137" s="149"/>
      <c r="AL137" s="149"/>
      <c r="AM137" s="149"/>
      <c r="AN137" s="149"/>
      <c r="AO137" s="14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row>
    <row r="138" spans="2:71">
      <c r="B138" s="1167"/>
      <c r="C138" s="1167"/>
      <c r="D138" s="1167"/>
      <c r="E138" s="1167"/>
      <c r="F138" s="1167"/>
      <c r="G138" s="1167"/>
      <c r="H138" s="1167"/>
      <c r="I138" s="1167"/>
      <c r="J138" s="1167"/>
      <c r="K138" s="1167"/>
      <c r="L138" s="1167"/>
      <c r="M138" s="1167"/>
      <c r="N138" s="1167"/>
      <c r="O138" s="1167"/>
      <c r="P138" s="1167"/>
      <c r="W138" s="149"/>
      <c r="X138" s="149"/>
      <c r="Y138" s="149"/>
      <c r="Z138" s="149"/>
      <c r="AA138" s="149"/>
      <c r="AB138" s="149"/>
      <c r="AC138" s="149"/>
      <c r="AD138" s="149"/>
      <c r="AE138" s="149"/>
      <c r="AF138" s="149"/>
      <c r="AG138" s="149"/>
      <c r="AH138" s="149"/>
      <c r="AI138" s="149"/>
      <c r="AJ138" s="149"/>
      <c r="AK138" s="149"/>
      <c r="AL138" s="149"/>
      <c r="AM138" s="149"/>
      <c r="AN138" s="149"/>
      <c r="AO138" s="14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row>
    <row r="139" spans="2:71" ht="19">
      <c r="B139" s="1167"/>
      <c r="C139" s="1167"/>
      <c r="D139" s="1167"/>
      <c r="E139" s="1167"/>
      <c r="F139" s="1167"/>
      <c r="G139" s="1167"/>
      <c r="H139" s="1167"/>
      <c r="I139" s="1378"/>
      <c r="J139" s="1378"/>
      <c r="K139" s="1378"/>
      <c r="L139" s="1378"/>
      <c r="M139" s="1378"/>
      <c r="N139" s="1378"/>
      <c r="O139" s="1378"/>
      <c r="P139" s="1378"/>
      <c r="W139" s="149"/>
      <c r="X139" s="149"/>
      <c r="Y139" s="149"/>
      <c r="Z139" s="149"/>
      <c r="AA139" s="149"/>
      <c r="AB139" s="149"/>
      <c r="AC139" s="149"/>
      <c r="AD139" s="149"/>
      <c r="AE139" s="149"/>
      <c r="AF139" s="149"/>
      <c r="AG139" s="149"/>
      <c r="AH139" s="149"/>
      <c r="AI139" s="149"/>
      <c r="AJ139" s="149"/>
      <c r="AK139" s="149"/>
      <c r="AL139" s="149"/>
      <c r="AM139" s="149"/>
      <c r="AN139" s="149"/>
      <c r="AO139" s="14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row>
    <row r="140" spans="2:71" ht="19">
      <c r="B140" s="1378"/>
      <c r="C140" s="1375" t="s">
        <v>4734</v>
      </c>
      <c r="D140" s="1375" t="s">
        <v>4708</v>
      </c>
      <c r="E140" s="1375" t="s">
        <v>1010</v>
      </c>
      <c r="F140" s="1378"/>
      <c r="G140" s="1378"/>
      <c r="H140" s="1378"/>
      <c r="I140" s="1378"/>
      <c r="J140" s="1378"/>
      <c r="K140" s="1378"/>
      <c r="L140" s="1378"/>
      <c r="M140" s="1378"/>
      <c r="N140" s="1378"/>
      <c r="O140" s="1378"/>
      <c r="P140" s="1378"/>
      <c r="W140" s="149"/>
      <c r="X140" s="149"/>
      <c r="Y140" s="149"/>
      <c r="Z140" s="149"/>
      <c r="AA140" s="149"/>
      <c r="AB140" s="149"/>
      <c r="AC140" s="149"/>
      <c r="AD140" s="149"/>
      <c r="AE140" s="149"/>
      <c r="AF140" s="149"/>
      <c r="AG140" s="149"/>
      <c r="AH140" s="149"/>
      <c r="AI140" s="149"/>
      <c r="AJ140" s="149"/>
      <c r="AK140" s="149"/>
      <c r="AL140" s="149"/>
      <c r="AM140" s="149"/>
      <c r="AN140" s="149"/>
      <c r="AO140" s="14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row>
    <row r="141" spans="2:71" ht="19">
      <c r="B141" s="1167"/>
      <c r="C141" s="1734">
        <v>8</v>
      </c>
      <c r="D141" s="1735">
        <f>SUM(C129:C136)</f>
        <v>0</v>
      </c>
      <c r="E141" s="1734"/>
      <c r="F141" s="1167"/>
      <c r="G141" s="1167"/>
      <c r="H141" s="1167"/>
      <c r="I141" s="1378"/>
      <c r="J141" s="1378"/>
      <c r="K141" s="1378"/>
      <c r="L141" s="1378"/>
      <c r="M141" s="1378"/>
      <c r="N141" s="1378"/>
      <c r="O141" s="1378"/>
      <c r="P141" s="1378"/>
      <c r="W141" s="149"/>
      <c r="X141" s="149"/>
      <c r="Y141" s="149"/>
      <c r="Z141" s="149"/>
      <c r="AA141" s="149"/>
      <c r="AB141" s="149"/>
      <c r="AC141" s="149"/>
      <c r="AD141" s="149"/>
      <c r="AE141" s="149"/>
      <c r="AF141" s="149"/>
      <c r="AG141" s="149"/>
      <c r="AH141" s="149"/>
      <c r="AI141" s="149"/>
      <c r="AJ141" s="149"/>
      <c r="AK141" s="149"/>
      <c r="AL141" s="149"/>
      <c r="AM141" s="149"/>
      <c r="AN141" s="149"/>
      <c r="AO141" s="14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row>
    <row r="142" spans="2:71">
      <c r="B142" s="1167"/>
      <c r="C142" s="1167"/>
      <c r="D142" s="1167"/>
      <c r="E142" s="1167"/>
      <c r="F142" s="1167"/>
      <c r="G142" s="1167"/>
      <c r="H142" s="1167"/>
      <c r="I142" s="1167"/>
      <c r="J142" s="1167"/>
      <c r="K142" s="1167"/>
      <c r="L142" s="1167"/>
      <c r="M142" s="1167"/>
      <c r="N142" s="1167"/>
      <c r="O142" s="1167"/>
      <c r="P142" s="1167"/>
      <c r="W142" s="149"/>
      <c r="X142" s="149"/>
      <c r="Y142" s="149"/>
      <c r="Z142" s="149"/>
      <c r="AA142" s="149"/>
      <c r="AB142" s="149"/>
      <c r="AC142" s="149"/>
      <c r="AD142" s="149"/>
      <c r="AE142" s="149"/>
      <c r="AF142" s="149"/>
      <c r="AG142" s="149"/>
      <c r="AH142" s="149"/>
      <c r="AI142" s="149"/>
      <c r="AJ142" s="149"/>
      <c r="AK142" s="149"/>
      <c r="AL142" s="149"/>
      <c r="AM142" s="149"/>
      <c r="AN142" s="149"/>
      <c r="AO142" s="14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row>
    <row r="143" spans="2:71" ht="19">
      <c r="B143" s="2184" t="s">
        <v>3364</v>
      </c>
      <c r="C143" s="2184"/>
      <c r="D143" s="8"/>
      <c r="E143" s="8"/>
      <c r="F143" s="8"/>
      <c r="G143" s="8"/>
      <c r="H143" s="8"/>
      <c r="I143" s="2184" t="s">
        <v>3372</v>
      </c>
      <c r="J143" s="2184"/>
      <c r="K143" s="17"/>
      <c r="L143" s="17"/>
      <c r="M143" s="17"/>
      <c r="N143" s="17"/>
      <c r="O143" s="17"/>
      <c r="P143" s="17"/>
      <c r="W143" s="149"/>
      <c r="X143" s="149"/>
      <c r="Y143" s="149"/>
      <c r="Z143" s="149"/>
      <c r="AA143" s="149"/>
      <c r="AB143" s="149"/>
      <c r="AC143" s="149"/>
      <c r="AD143" s="149"/>
      <c r="AE143" s="149"/>
      <c r="AF143" s="149"/>
      <c r="AG143" s="149"/>
      <c r="AH143" s="149"/>
      <c r="AI143" s="149"/>
      <c r="AJ143" s="149"/>
      <c r="AK143" s="149"/>
      <c r="AL143" s="149"/>
      <c r="AM143" s="149"/>
      <c r="AN143" s="149"/>
      <c r="AO143" s="14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row>
    <row r="144" spans="2:71">
      <c r="B144" s="1170" t="s">
        <v>3852</v>
      </c>
      <c r="C144" s="1167"/>
      <c r="D144" s="1167"/>
      <c r="E144" s="1167"/>
      <c r="F144" s="1167"/>
      <c r="G144" s="1167"/>
      <c r="H144" s="1167"/>
      <c r="I144" s="1172" t="s">
        <v>4434</v>
      </c>
      <c r="J144" s="1170"/>
      <c r="K144" s="1170"/>
      <c r="L144" s="1170"/>
      <c r="M144" s="1170"/>
      <c r="N144" s="1170"/>
      <c r="O144" s="1170"/>
      <c r="P144" s="1170"/>
      <c r="W144" s="149"/>
      <c r="X144" s="149"/>
      <c r="Y144" s="507"/>
      <c r="Z144" s="149"/>
      <c r="AA144" s="149"/>
      <c r="AB144" s="149"/>
      <c r="AC144" s="149"/>
      <c r="AD144" s="149"/>
      <c r="AE144" s="149"/>
      <c r="AF144" s="149"/>
      <c r="AG144" s="149"/>
      <c r="AH144" s="149"/>
      <c r="AI144" s="149"/>
      <c r="AJ144" s="149"/>
      <c r="AK144" s="149"/>
      <c r="AL144" s="149"/>
      <c r="AM144" s="149"/>
      <c r="AN144" s="149"/>
      <c r="AO144" s="14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row>
    <row r="145" spans="2:71" ht="16">
      <c r="B145" s="1179"/>
      <c r="C145" s="1981"/>
      <c r="D145" s="1981"/>
      <c r="E145" s="1981"/>
      <c r="F145" s="1981"/>
      <c r="G145" s="1981"/>
      <c r="H145" s="1167"/>
      <c r="I145" s="1981"/>
      <c r="J145" s="1981"/>
      <c r="K145" s="1981"/>
      <c r="L145" s="1981"/>
      <c r="M145" s="1981"/>
      <c r="N145" s="1981"/>
      <c r="O145" s="1981"/>
      <c r="P145" s="1170"/>
      <c r="Q145" s="1120"/>
      <c r="W145" s="149"/>
      <c r="X145" s="149"/>
      <c r="Y145" s="507"/>
      <c r="Z145" s="149"/>
      <c r="AA145" s="149"/>
      <c r="AB145" s="149"/>
      <c r="AC145" s="149"/>
      <c r="AD145" s="149"/>
      <c r="AE145" s="149"/>
      <c r="AF145" s="149"/>
      <c r="AG145" s="149"/>
      <c r="AH145" s="149"/>
      <c r="AI145" s="149"/>
      <c r="AJ145" s="149"/>
      <c r="AK145" s="149"/>
      <c r="AL145" s="149"/>
      <c r="AM145" s="149"/>
      <c r="AN145" s="149"/>
      <c r="AO145" s="14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row>
    <row r="146" spans="2:71" ht="16">
      <c r="B146" s="1179"/>
      <c r="C146" s="1981"/>
      <c r="D146" s="1981"/>
      <c r="E146" s="1981"/>
      <c r="F146" s="1981"/>
      <c r="G146" s="1981"/>
      <c r="H146" s="1167"/>
      <c r="I146" s="1981"/>
      <c r="J146" s="1981"/>
      <c r="K146" s="1981"/>
      <c r="L146" s="1981"/>
      <c r="M146" s="1981"/>
      <c r="N146" s="1981"/>
      <c r="O146" s="1981"/>
      <c r="P146" s="1170"/>
      <c r="Q146" s="1120"/>
      <c r="W146" s="149"/>
      <c r="X146" s="149"/>
      <c r="Y146" s="149"/>
      <c r="Z146" s="149"/>
      <c r="AA146" s="149"/>
      <c r="AB146" s="149"/>
      <c r="AC146" s="149"/>
      <c r="AD146" s="149"/>
      <c r="AE146" s="149"/>
      <c r="AF146" s="149"/>
      <c r="AG146" s="149"/>
      <c r="AH146" s="149"/>
      <c r="AI146" s="149"/>
      <c r="AJ146" s="149"/>
      <c r="AK146" s="149"/>
      <c r="AL146" s="149"/>
      <c r="AM146" s="149"/>
      <c r="AN146" s="149"/>
      <c r="AO146" s="14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row>
    <row r="147" spans="2:71" ht="16">
      <c r="B147" s="1179"/>
      <c r="C147" s="1981"/>
      <c r="D147" s="1981"/>
      <c r="E147" s="1981"/>
      <c r="F147" s="1981"/>
      <c r="G147" s="1981"/>
      <c r="H147" s="1167"/>
      <c r="I147" s="1981"/>
      <c r="J147" s="1981"/>
      <c r="K147" s="1981"/>
      <c r="L147" s="1981"/>
      <c r="M147" s="1981"/>
      <c r="N147" s="1981"/>
      <c r="O147" s="1981"/>
      <c r="P147" s="1170"/>
      <c r="Q147" s="1120"/>
      <c r="W147" s="149"/>
      <c r="X147" s="149"/>
      <c r="Y147" s="507"/>
      <c r="Z147" s="149"/>
      <c r="AA147" s="149"/>
      <c r="AB147" s="149"/>
      <c r="AC147" s="149"/>
      <c r="AD147" s="149"/>
      <c r="AE147" s="149"/>
      <c r="AF147" s="149"/>
      <c r="AG147" s="149"/>
      <c r="AH147" s="149"/>
      <c r="AI147" s="149"/>
      <c r="AJ147" s="149"/>
      <c r="AK147" s="149"/>
      <c r="AL147" s="149"/>
      <c r="AM147" s="149"/>
      <c r="AN147" s="149"/>
      <c r="AO147" s="14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row>
    <row r="148" spans="2:71" ht="16">
      <c r="B148" s="1179"/>
      <c r="C148" s="1981"/>
      <c r="D148" s="1981"/>
      <c r="E148" s="1981"/>
      <c r="F148" s="1981"/>
      <c r="G148" s="1981"/>
      <c r="H148" s="1167"/>
      <c r="I148" s="1981"/>
      <c r="J148" s="1981"/>
      <c r="K148" s="1981"/>
      <c r="L148" s="1981"/>
      <c r="M148" s="1981"/>
      <c r="N148" s="1981"/>
      <c r="O148" s="1981"/>
      <c r="P148" s="1170"/>
      <c r="Q148" s="1120"/>
      <c r="W148" s="149"/>
      <c r="X148" s="149"/>
      <c r="Y148" s="507"/>
      <c r="Z148" s="149"/>
      <c r="AA148" s="149"/>
      <c r="AB148" s="149"/>
      <c r="AC148" s="149"/>
      <c r="AD148" s="149"/>
      <c r="AE148" s="149"/>
      <c r="AF148" s="149"/>
      <c r="AG148" s="149"/>
      <c r="AH148" s="149"/>
      <c r="AI148" s="149"/>
      <c r="AJ148" s="149"/>
      <c r="AK148" s="149"/>
      <c r="AL148" s="149"/>
      <c r="AM148" s="149"/>
      <c r="AN148" s="149"/>
      <c r="AO148" s="14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row>
    <row r="149" spans="2:71" ht="16">
      <c r="B149" s="1179"/>
      <c r="C149" s="1981"/>
      <c r="D149" s="1981"/>
      <c r="E149" s="1981"/>
      <c r="F149" s="1981"/>
      <c r="G149" s="1981"/>
      <c r="H149" s="1167"/>
      <c r="I149" s="1981"/>
      <c r="J149" s="1981"/>
      <c r="K149" s="1981"/>
      <c r="L149" s="1981"/>
      <c r="M149" s="1981"/>
      <c r="N149" s="1981"/>
      <c r="O149" s="1981"/>
      <c r="P149" s="1170"/>
      <c r="Q149" s="1120"/>
      <c r="W149" s="149"/>
      <c r="X149" s="149"/>
      <c r="Y149" s="507"/>
      <c r="Z149" s="149"/>
      <c r="AA149" s="149"/>
      <c r="AB149" s="149"/>
      <c r="AC149" s="149"/>
      <c r="AD149" s="149"/>
      <c r="AE149" s="149"/>
      <c r="AF149" s="149"/>
      <c r="AG149" s="149"/>
      <c r="AH149" s="149"/>
      <c r="AI149" s="149"/>
      <c r="AJ149" s="149"/>
      <c r="AK149" s="149"/>
      <c r="AL149" s="149"/>
      <c r="AM149" s="149"/>
      <c r="AN149" s="149"/>
      <c r="AO149" s="14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row>
    <row r="150" spans="2:71" ht="16">
      <c r="B150" s="1179"/>
      <c r="C150" s="1981"/>
      <c r="D150" s="1981"/>
      <c r="E150" s="1981"/>
      <c r="F150" s="1981"/>
      <c r="G150" s="1981"/>
      <c r="H150" s="1167"/>
      <c r="I150" s="1981"/>
      <c r="J150" s="1981"/>
      <c r="K150" s="1981"/>
      <c r="L150" s="1981"/>
      <c r="M150" s="1981"/>
      <c r="N150" s="1981"/>
      <c r="O150" s="1981"/>
      <c r="P150" s="1170"/>
      <c r="Q150" s="1120"/>
      <c r="W150" s="149"/>
      <c r="X150" s="149"/>
      <c r="Y150" s="507"/>
      <c r="Z150" s="149"/>
      <c r="AA150" s="149"/>
      <c r="AB150" s="149"/>
      <c r="AC150" s="149"/>
      <c r="AD150" s="149"/>
      <c r="AE150" s="149"/>
      <c r="AF150" s="149"/>
      <c r="AG150" s="149"/>
      <c r="AH150" s="149"/>
      <c r="AI150" s="149"/>
      <c r="AJ150" s="149"/>
      <c r="AK150" s="149"/>
      <c r="AL150" s="149"/>
      <c r="AM150" s="149"/>
      <c r="AN150" s="149"/>
      <c r="AO150" s="14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row>
    <row r="151" spans="2:71" ht="16">
      <c r="B151" s="1179"/>
      <c r="C151" s="1981"/>
      <c r="D151" s="1981"/>
      <c r="E151" s="1981"/>
      <c r="F151" s="1981"/>
      <c r="G151" s="1981"/>
      <c r="H151" s="1167"/>
      <c r="I151" s="1981"/>
      <c r="J151" s="1981"/>
      <c r="K151" s="1981"/>
      <c r="L151" s="1981"/>
      <c r="M151" s="1981"/>
      <c r="N151" s="1981"/>
      <c r="O151" s="1981"/>
      <c r="P151" s="1170"/>
      <c r="Q151" s="1120"/>
      <c r="W151" s="149"/>
      <c r="X151" s="149"/>
      <c r="Y151" s="149"/>
      <c r="Z151" s="149"/>
      <c r="AA151" s="149"/>
      <c r="AB151" s="149"/>
      <c r="AC151" s="149"/>
      <c r="AD151" s="149"/>
      <c r="AE151" s="149"/>
      <c r="AF151" s="149"/>
      <c r="AG151" s="149"/>
      <c r="AH151" s="149"/>
      <c r="AI151" s="149"/>
      <c r="AJ151" s="149"/>
      <c r="AK151" s="149"/>
      <c r="AL151" s="149"/>
      <c r="AM151" s="149"/>
      <c r="AN151" s="149"/>
      <c r="AO151" s="14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row>
    <row r="152" spans="2:71" ht="16">
      <c r="B152" s="1179"/>
      <c r="C152" s="1981"/>
      <c r="D152" s="1981"/>
      <c r="E152" s="1981"/>
      <c r="F152" s="1981"/>
      <c r="G152" s="1981"/>
      <c r="H152" s="1167"/>
      <c r="I152" s="1981"/>
      <c r="J152" s="1981"/>
      <c r="K152" s="1981"/>
      <c r="L152" s="1981"/>
      <c r="M152" s="1981"/>
      <c r="N152" s="1981"/>
      <c r="O152" s="1981"/>
      <c r="P152" s="1170"/>
      <c r="Q152" s="1120"/>
      <c r="W152" s="149"/>
      <c r="X152" s="149"/>
      <c r="Y152" s="149"/>
      <c r="Z152" s="149"/>
      <c r="AA152" s="149"/>
      <c r="AB152" s="149"/>
      <c r="AC152" s="149"/>
      <c r="AD152" s="149"/>
      <c r="AE152" s="149"/>
      <c r="AF152" s="149"/>
      <c r="AG152" s="149"/>
      <c r="AH152" s="149"/>
      <c r="AI152" s="149"/>
      <c r="AJ152" s="149"/>
      <c r="AK152" s="149"/>
      <c r="AL152" s="149"/>
      <c r="AM152" s="149"/>
      <c r="AN152" s="149"/>
      <c r="AO152" s="14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row>
    <row r="153" spans="2:71">
      <c r="B153" s="1167"/>
      <c r="C153" s="1981"/>
      <c r="D153" s="1981"/>
      <c r="E153" s="1981"/>
      <c r="F153" s="1981"/>
      <c r="G153" s="1981"/>
      <c r="H153" s="1167"/>
      <c r="I153" s="1981"/>
      <c r="J153" s="1981"/>
      <c r="K153" s="1981"/>
      <c r="L153" s="1981"/>
      <c r="M153" s="1981"/>
      <c r="N153" s="1981"/>
      <c r="O153" s="1981"/>
      <c r="P153" s="1170"/>
      <c r="W153" s="149"/>
      <c r="X153" s="149"/>
      <c r="Y153" s="149"/>
      <c r="Z153" s="149"/>
      <c r="AA153" s="149"/>
      <c r="AB153" s="149"/>
      <c r="AC153" s="149"/>
      <c r="AD153" s="149"/>
      <c r="AE153" s="149"/>
      <c r="AF153" s="149"/>
      <c r="AG153" s="149"/>
      <c r="AH153" s="149"/>
      <c r="AI153" s="149"/>
      <c r="AJ153" s="149"/>
      <c r="AK153" s="149"/>
      <c r="AL153" s="149"/>
      <c r="AM153" s="149"/>
      <c r="AN153" s="149"/>
      <c r="AO153" s="14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row>
    <row r="154" spans="2:71">
      <c r="B154" s="1167"/>
      <c r="C154" s="1170"/>
      <c r="D154" s="1170"/>
      <c r="E154" s="1170"/>
      <c r="F154" s="1170"/>
      <c r="G154" s="1170"/>
      <c r="H154" s="1167"/>
      <c r="I154" s="1733" t="s">
        <v>4766</v>
      </c>
      <c r="J154" s="1170"/>
      <c r="K154" s="1170"/>
      <c r="L154" s="1170"/>
      <c r="M154" s="1170"/>
      <c r="N154" s="1170"/>
      <c r="O154" s="1170"/>
      <c r="P154" s="1170"/>
      <c r="W154" s="149"/>
      <c r="X154" s="149"/>
      <c r="Y154" s="149"/>
      <c r="Z154" s="149"/>
      <c r="AA154" s="149"/>
      <c r="AB154" s="149"/>
      <c r="AC154" s="149"/>
      <c r="AD154" s="149"/>
      <c r="AE154" s="149"/>
      <c r="AF154" s="149"/>
      <c r="AG154" s="149"/>
      <c r="AH154" s="149"/>
      <c r="AI154" s="149"/>
      <c r="AJ154" s="149"/>
      <c r="AK154" s="149"/>
      <c r="AL154" s="149"/>
      <c r="AM154" s="149"/>
      <c r="AN154" s="149"/>
      <c r="AO154" s="14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row>
    <row r="155" spans="2:71">
      <c r="B155" s="1167"/>
      <c r="C155" s="1170"/>
      <c r="D155" s="1170"/>
      <c r="E155" s="1170"/>
      <c r="F155" s="1170"/>
      <c r="G155" s="1170"/>
      <c r="H155" s="1167"/>
      <c r="I155" s="2416"/>
      <c r="J155" s="2416"/>
      <c r="K155" s="2416"/>
      <c r="L155" s="2416"/>
      <c r="M155" s="2416"/>
      <c r="N155" s="2416"/>
      <c r="O155" s="2416"/>
      <c r="P155" s="1170"/>
      <c r="W155" s="131"/>
      <c r="X155" s="131"/>
      <c r="Y155" s="131"/>
      <c r="Z155" s="131"/>
      <c r="AA155" s="131"/>
      <c r="AB155" s="131"/>
      <c r="AC155" s="131"/>
      <c r="AD155" s="131"/>
      <c r="AE155" s="9"/>
      <c r="AF155" s="9"/>
      <c r="AG155" s="9"/>
      <c r="AH155" s="9"/>
      <c r="AI155" s="9"/>
      <c r="AJ155" s="9"/>
      <c r="AK155" s="9"/>
      <c r="AL155" s="9"/>
      <c r="AM155" s="9"/>
      <c r="AN155" s="9"/>
      <c r="AO155" s="9"/>
      <c r="AP155" s="9"/>
      <c r="AQ155" s="9"/>
      <c r="AR155" s="9"/>
      <c r="AS155" s="9"/>
      <c r="AT155" s="9"/>
      <c r="AU155" s="9"/>
      <c r="AV155" s="9"/>
      <c r="AW155" s="9"/>
      <c r="AX155" s="9"/>
      <c r="AY155" s="9"/>
      <c r="AZ155" s="9"/>
    </row>
    <row r="156" spans="2:71" s="987" customFormat="1" ht="21">
      <c r="B156" s="977" t="s">
        <v>4794</v>
      </c>
      <c r="C156" s="977"/>
      <c r="D156" s="977"/>
      <c r="E156" s="977"/>
      <c r="F156" s="977"/>
      <c r="G156" s="977"/>
      <c r="H156" s="977"/>
      <c r="Q156" s="999"/>
      <c r="R156" s="1520"/>
      <c r="S156" s="997"/>
      <c r="T156" s="997"/>
      <c r="U156" s="997"/>
      <c r="V156" s="997"/>
      <c r="W156" s="1100"/>
      <c r="X156" s="1100"/>
      <c r="Y156" s="1100"/>
      <c r="Z156" s="1100"/>
      <c r="AA156" s="1100"/>
      <c r="AB156" s="1100"/>
      <c r="AC156" s="1100"/>
      <c r="AD156" s="1100"/>
      <c r="AE156" s="997"/>
      <c r="AF156" s="997"/>
      <c r="AG156" s="997"/>
      <c r="AH156" s="997"/>
      <c r="AI156" s="997"/>
      <c r="AJ156" s="997"/>
      <c r="AK156" s="997"/>
      <c r="AL156" s="997"/>
      <c r="AM156" s="997"/>
      <c r="AN156" s="997"/>
      <c r="AO156" s="997"/>
      <c r="AP156" s="997"/>
      <c r="AQ156" s="997"/>
      <c r="AR156" s="997"/>
      <c r="AS156" s="997"/>
      <c r="AT156" s="997"/>
      <c r="AU156" s="997"/>
      <c r="AV156" s="997"/>
      <c r="AW156" s="997"/>
      <c r="AX156" s="997"/>
      <c r="AY156" s="997"/>
      <c r="AZ156" s="997"/>
    </row>
    <row r="157" spans="2:71">
      <c r="B157" s="1167"/>
      <c r="C157" s="1167"/>
      <c r="D157" s="1167"/>
      <c r="E157" s="1167"/>
      <c r="F157" s="1167"/>
      <c r="G157" s="1167"/>
      <c r="H157" s="1167"/>
      <c r="I157" s="1167"/>
      <c r="J157" s="1167"/>
      <c r="K157" s="1167"/>
      <c r="L157" s="1167"/>
      <c r="M157" s="1167"/>
      <c r="N157" s="1167"/>
      <c r="O157" s="1167"/>
      <c r="P157" s="1167"/>
      <c r="R157" s="1521" t="s">
        <v>4794</v>
      </c>
      <c r="W157" s="149"/>
      <c r="X157" s="149"/>
      <c r="Y157" s="149"/>
      <c r="Z157" s="149"/>
      <c r="AA157" s="131"/>
      <c r="AB157" s="131"/>
      <c r="AC157" s="131"/>
      <c r="AD157" s="131"/>
      <c r="AE157" s="131"/>
      <c r="AF157" s="131"/>
      <c r="AG157" s="131"/>
      <c r="AH157" s="131"/>
      <c r="AI157" s="149"/>
      <c r="AJ157" s="149"/>
      <c r="AK157" s="149"/>
      <c r="AL157" s="149"/>
      <c r="AM157" s="149"/>
      <c r="AN157" s="149"/>
      <c r="AO157" s="149"/>
      <c r="AP157" s="9"/>
      <c r="AQ157" s="9"/>
      <c r="AR157" s="9"/>
      <c r="AS157" s="9"/>
      <c r="AT157" s="9"/>
      <c r="AU157" s="9"/>
      <c r="AV157" s="9"/>
      <c r="AW157" s="9"/>
      <c r="AX157" s="9"/>
      <c r="AY157" s="9"/>
      <c r="AZ157" s="9"/>
    </row>
    <row r="158" spans="2:71">
      <c r="B158" s="1733" t="s">
        <v>4795</v>
      </c>
      <c r="C158" s="1167"/>
      <c r="D158" s="1167"/>
      <c r="E158" s="1167"/>
      <c r="F158" s="914"/>
      <c r="G158" s="1167"/>
      <c r="H158" s="1167"/>
      <c r="I158" s="1167"/>
      <c r="J158" s="1167"/>
      <c r="K158" s="1167"/>
      <c r="L158" s="1167"/>
      <c r="M158" s="1167"/>
      <c r="N158" s="1167"/>
      <c r="O158" s="1167"/>
      <c r="P158" s="1167"/>
      <c r="R158" s="675" t="s">
        <v>4796</v>
      </c>
      <c r="S158" s="1522" t="b">
        <f>IF(F158="Yes",TRUE,FALSE)</f>
        <v>0</v>
      </c>
      <c r="W158" s="149"/>
      <c r="X158" s="149"/>
      <c r="Y158" s="149"/>
      <c r="Z158" s="149"/>
      <c r="AA158" s="131"/>
      <c r="AB158" s="131"/>
      <c r="AC158" s="131"/>
      <c r="AD158" s="131"/>
      <c r="AE158" s="131"/>
      <c r="AF158" s="131"/>
      <c r="AG158" s="131"/>
      <c r="AH158" s="131"/>
      <c r="AI158" s="149"/>
      <c r="AJ158" s="149"/>
      <c r="AK158" s="149"/>
      <c r="AL158" s="149"/>
      <c r="AM158" s="149"/>
      <c r="AN158" s="149"/>
      <c r="AO158" s="149"/>
      <c r="AP158" s="9"/>
      <c r="AQ158" s="9"/>
      <c r="AR158" s="9"/>
      <c r="AS158" s="9"/>
      <c r="AT158" s="9"/>
      <c r="AU158" s="9"/>
      <c r="AV158" s="9"/>
      <c r="AW158" s="9"/>
      <c r="AX158" s="9"/>
      <c r="AY158" s="9"/>
      <c r="AZ158" s="9"/>
    </row>
    <row r="159" spans="2:71" s="76" customFormat="1">
      <c r="B159" s="1689"/>
      <c r="C159" s="1689"/>
      <c r="D159" s="1689"/>
      <c r="E159" s="1689"/>
      <c r="F159" s="1689"/>
      <c r="G159" s="1689"/>
      <c r="H159" s="1689"/>
      <c r="I159" s="1689"/>
      <c r="J159" s="1689"/>
      <c r="K159" s="1689"/>
      <c r="L159" s="1689"/>
      <c r="M159" s="1689"/>
      <c r="N159" s="1689"/>
      <c r="O159" s="1689"/>
      <c r="P159" s="1689"/>
      <c r="Q159" s="462"/>
      <c r="R159" s="1523"/>
      <c r="S159" s="98"/>
      <c r="T159" s="9"/>
      <c r="U159" s="9"/>
      <c r="V159" s="9"/>
      <c r="W159" s="149"/>
      <c r="X159" s="149"/>
      <c r="Y159" s="149"/>
      <c r="Z159" s="149"/>
      <c r="AA159" s="131"/>
      <c r="AB159" s="131"/>
      <c r="AC159" s="131"/>
      <c r="AD159" s="131"/>
      <c r="AE159" s="131"/>
      <c r="AF159" s="131"/>
      <c r="AG159" s="131"/>
      <c r="AH159" s="131"/>
      <c r="AI159" s="149"/>
      <c r="AJ159" s="149"/>
      <c r="AK159" s="149"/>
      <c r="AL159" s="149"/>
      <c r="AM159" s="149"/>
      <c r="AN159" s="149"/>
      <c r="AO159" s="149"/>
      <c r="AP159" s="9"/>
      <c r="AQ159" s="9"/>
      <c r="AR159" s="9"/>
      <c r="AS159" s="9"/>
      <c r="AT159" s="9"/>
      <c r="AU159" s="9"/>
      <c r="AV159" s="9"/>
      <c r="AW159" s="9"/>
      <c r="AX159" s="9"/>
      <c r="AY159" s="9"/>
      <c r="AZ159" s="9"/>
    </row>
    <row r="160" spans="2:71" s="76" customFormat="1">
      <c r="B160" s="1717" t="s">
        <v>3736</v>
      </c>
      <c r="C160" s="1689"/>
      <c r="D160" s="1689"/>
      <c r="E160" s="1689"/>
      <c r="F160" s="1689"/>
      <c r="G160" s="1689"/>
      <c r="H160" s="1689"/>
      <c r="I160" s="1689"/>
      <c r="J160" s="1689"/>
      <c r="K160" s="1689"/>
      <c r="L160" s="1689"/>
      <c r="M160" s="1689"/>
      <c r="N160" s="1689"/>
      <c r="O160" s="1689"/>
      <c r="P160" s="1689"/>
      <c r="Q160" s="462"/>
      <c r="R160" s="1523"/>
      <c r="S160" s="98"/>
      <c r="T160" s="9"/>
      <c r="U160" s="9"/>
      <c r="V160" s="9"/>
      <c r="W160" s="149"/>
      <c r="X160" s="149"/>
      <c r="Y160" s="149"/>
      <c r="Z160" s="149"/>
      <c r="AA160" s="131"/>
      <c r="AB160" s="131"/>
      <c r="AC160" s="131"/>
      <c r="AD160" s="131"/>
      <c r="AE160" s="131"/>
      <c r="AF160" s="131"/>
      <c r="AG160" s="131"/>
      <c r="AH160" s="131"/>
      <c r="AI160" s="149"/>
      <c r="AJ160" s="149"/>
      <c r="AK160" s="149"/>
      <c r="AL160" s="149"/>
      <c r="AM160" s="149"/>
      <c r="AN160" s="149"/>
      <c r="AO160" s="149"/>
      <c r="AP160" s="9"/>
      <c r="AQ160" s="9"/>
      <c r="AR160" s="9"/>
      <c r="AS160" s="9"/>
      <c r="AT160" s="9"/>
      <c r="AU160" s="9"/>
      <c r="AV160" s="9"/>
      <c r="AW160" s="9"/>
      <c r="AX160" s="9"/>
      <c r="AY160" s="9"/>
      <c r="AZ160" s="9"/>
    </row>
    <row r="161" spans="2:52" s="76" customFormat="1">
      <c r="B161" s="2420" t="s">
        <v>4797</v>
      </c>
      <c r="C161" s="2420"/>
      <c r="D161" s="2420"/>
      <c r="E161" s="2420"/>
      <c r="F161" s="2420"/>
      <c r="G161" s="2420"/>
      <c r="H161" s="2420"/>
      <c r="I161" s="2420"/>
      <c r="J161" s="2420"/>
      <c r="K161" s="2420"/>
      <c r="L161" s="2420"/>
      <c r="M161" s="2420"/>
      <c r="N161" s="2420"/>
      <c r="O161" s="2420"/>
      <c r="P161" s="1689"/>
      <c r="Q161" s="462"/>
      <c r="R161" s="675"/>
      <c r="S161" s="1046"/>
      <c r="T161" s="9"/>
      <c r="U161" s="9"/>
      <c r="V161" s="9"/>
      <c r="W161" s="149"/>
      <c r="X161" s="149"/>
      <c r="Y161" s="149"/>
      <c r="Z161" s="149"/>
      <c r="AA161" s="131"/>
      <c r="AB161" s="131"/>
      <c r="AC161" s="131"/>
      <c r="AD161" s="131"/>
      <c r="AE161" s="131"/>
      <c r="AF161" s="131"/>
      <c r="AG161" s="131"/>
      <c r="AH161" s="131"/>
      <c r="AI161" s="149"/>
      <c r="AJ161" s="149"/>
      <c r="AK161" s="149"/>
      <c r="AL161" s="149"/>
      <c r="AM161" s="149"/>
      <c r="AN161" s="149"/>
      <c r="AO161" s="149"/>
      <c r="AP161" s="9"/>
      <c r="AQ161" s="9"/>
      <c r="AR161" s="9"/>
      <c r="AS161" s="9"/>
      <c r="AT161" s="9"/>
      <c r="AU161" s="9"/>
      <c r="AV161" s="9"/>
      <c r="AW161" s="9"/>
      <c r="AX161" s="9"/>
      <c r="AY161" s="9"/>
      <c r="AZ161" s="9"/>
    </row>
    <row r="162" spans="2:52" s="76" customFormat="1">
      <c r="B162" s="1689"/>
      <c r="C162" s="1689"/>
      <c r="D162" s="1689"/>
      <c r="E162" s="1689"/>
      <c r="F162" s="1689"/>
      <c r="G162" s="1689"/>
      <c r="H162" s="1689"/>
      <c r="I162" s="1689"/>
      <c r="J162" s="1689"/>
      <c r="K162" s="1689"/>
      <c r="L162" s="1689"/>
      <c r="M162" s="1689"/>
      <c r="N162" s="1689"/>
      <c r="O162" s="1689"/>
      <c r="P162" s="1689"/>
      <c r="Q162" s="462"/>
      <c r="R162" s="675"/>
      <c r="S162" s="9"/>
      <c r="T162" s="9"/>
      <c r="U162" s="9"/>
      <c r="V162" s="9"/>
      <c r="W162" s="149"/>
      <c r="X162" s="149"/>
      <c r="Y162" s="149"/>
      <c r="Z162" s="149"/>
      <c r="AA162" s="131"/>
      <c r="AB162" s="131"/>
      <c r="AC162" s="131"/>
      <c r="AD162" s="131"/>
      <c r="AE162" s="131"/>
      <c r="AF162" s="131"/>
      <c r="AG162" s="131"/>
      <c r="AH162" s="131"/>
      <c r="AI162" s="149"/>
      <c r="AJ162" s="149"/>
      <c r="AK162" s="149"/>
      <c r="AL162" s="149"/>
      <c r="AM162" s="149"/>
      <c r="AN162" s="149"/>
      <c r="AO162" s="149"/>
      <c r="AP162" s="9"/>
      <c r="AQ162" s="9"/>
      <c r="AR162" s="9"/>
      <c r="AS162" s="9"/>
      <c r="AT162" s="9"/>
      <c r="AU162" s="9"/>
      <c r="AV162" s="9"/>
      <c r="AW162" s="9"/>
      <c r="AX162" s="9"/>
      <c r="AY162" s="9"/>
      <c r="AZ162" s="9"/>
    </row>
    <row r="163" spans="2:52" s="76" customFormat="1">
      <c r="B163" s="2423" t="s">
        <v>4798</v>
      </c>
      <c r="C163" s="2423"/>
      <c r="D163" s="2423"/>
      <c r="E163" s="2423"/>
      <c r="F163" s="2423"/>
      <c r="G163" s="2423"/>
      <c r="H163" s="2423"/>
      <c r="I163" s="2423"/>
      <c r="J163" s="2423"/>
      <c r="K163" s="2423"/>
      <c r="L163" s="2423"/>
      <c r="M163" s="2423"/>
      <c r="N163" s="2423"/>
      <c r="O163" s="2423"/>
      <c r="P163" s="1689"/>
      <c r="Q163" s="462"/>
      <c r="R163" s="675" t="s">
        <v>2574</v>
      </c>
      <c r="S163" s="1524">
        <f>'11. Unit Mix'!F130</f>
        <v>0</v>
      </c>
      <c r="T163" s="9" t="s">
        <v>4799</v>
      </c>
      <c r="U163" s="9"/>
      <c r="V163" s="9"/>
      <c r="W163" s="149"/>
      <c r="X163" s="149"/>
      <c r="Y163" s="149"/>
      <c r="Z163" s="149"/>
      <c r="AA163" s="131"/>
      <c r="AB163" s="131"/>
      <c r="AC163" s="131"/>
      <c r="AD163" s="131"/>
      <c r="AE163" s="131"/>
      <c r="AF163" s="131"/>
      <c r="AG163" s="131"/>
      <c r="AH163" s="131"/>
      <c r="AI163" s="149"/>
      <c r="AJ163" s="149"/>
      <c r="AK163" s="149"/>
      <c r="AL163" s="149"/>
      <c r="AM163" s="149"/>
      <c r="AN163" s="149"/>
      <c r="AO163" s="149"/>
      <c r="AP163" s="9"/>
      <c r="AQ163" s="9"/>
      <c r="AR163" s="9"/>
      <c r="AS163" s="9"/>
      <c r="AT163" s="9"/>
      <c r="AU163" s="9"/>
      <c r="AV163" s="9"/>
      <c r="AW163" s="9"/>
      <c r="AX163" s="9"/>
      <c r="AY163" s="9"/>
      <c r="AZ163" s="9"/>
    </row>
    <row r="164" spans="2:52" s="76" customFormat="1" ht="45" customHeight="1">
      <c r="B164" s="2423"/>
      <c r="C164" s="2423"/>
      <c r="D164" s="2423"/>
      <c r="E164" s="2423"/>
      <c r="F164" s="2423"/>
      <c r="G164" s="2423"/>
      <c r="H164" s="2423"/>
      <c r="I164" s="2423"/>
      <c r="J164" s="2423"/>
      <c r="K164" s="2423"/>
      <c r="L164" s="2423"/>
      <c r="M164" s="2423"/>
      <c r="N164" s="2423"/>
      <c r="O164" s="2423"/>
      <c r="P164" s="1689"/>
      <c r="Q164" s="462"/>
      <c r="R164" s="1523" t="s">
        <v>4800</v>
      </c>
      <c r="S164" s="94" t="b">
        <f>S163&gt;=24</f>
        <v>0</v>
      </c>
      <c r="T164" s="9"/>
      <c r="U164" s="9"/>
      <c r="V164" s="9"/>
      <c r="W164" s="149"/>
      <c r="X164" s="149"/>
      <c r="Y164" s="149"/>
      <c r="Z164" s="149"/>
      <c r="AA164" s="131"/>
      <c r="AB164" s="131"/>
      <c r="AC164" s="131"/>
      <c r="AD164" s="131"/>
      <c r="AE164" s="131"/>
      <c r="AF164" s="131"/>
      <c r="AG164" s="131"/>
      <c r="AH164" s="131"/>
      <c r="AI164" s="149"/>
      <c r="AJ164" s="149"/>
      <c r="AK164" s="149"/>
      <c r="AL164" s="149"/>
      <c r="AM164" s="149"/>
      <c r="AN164" s="149"/>
      <c r="AO164" s="149"/>
      <c r="AP164" s="9"/>
      <c r="AQ164" s="9"/>
      <c r="AR164" s="9"/>
      <c r="AS164" s="9"/>
      <c r="AT164" s="9"/>
      <c r="AU164" s="9"/>
      <c r="AV164" s="9"/>
      <c r="AW164" s="9"/>
      <c r="AX164" s="9"/>
      <c r="AY164" s="9"/>
      <c r="AZ164" s="9"/>
    </row>
    <row r="165" spans="2:52" s="76" customFormat="1">
      <c r="B165" s="1716"/>
      <c r="C165" s="1716"/>
      <c r="D165" s="1716"/>
      <c r="E165" s="1716"/>
      <c r="F165" s="1716"/>
      <c r="G165" s="1716"/>
      <c r="H165" s="1716"/>
      <c r="I165" s="1716"/>
      <c r="J165" s="1379"/>
      <c r="K165" s="1379"/>
      <c r="L165" s="1379"/>
      <c r="M165" s="1689"/>
      <c r="N165" s="1689"/>
      <c r="O165" s="1689"/>
      <c r="P165" s="1689"/>
      <c r="Q165" s="462"/>
      <c r="R165" s="1523"/>
      <c r="S165" s="9"/>
      <c r="T165" s="9"/>
      <c r="U165" s="9"/>
      <c r="V165" s="9"/>
      <c r="W165" s="149"/>
      <c r="X165" s="149"/>
      <c r="Y165" s="149"/>
      <c r="Z165" s="149"/>
      <c r="AA165" s="131"/>
      <c r="AB165" s="131"/>
      <c r="AC165" s="131"/>
      <c r="AD165" s="131"/>
      <c r="AE165" s="131"/>
      <c r="AF165" s="131"/>
      <c r="AG165" s="131"/>
      <c r="AH165" s="131"/>
      <c r="AI165" s="149"/>
      <c r="AJ165" s="149"/>
      <c r="AK165" s="149"/>
      <c r="AL165" s="149"/>
      <c r="AM165" s="149"/>
      <c r="AN165" s="149"/>
      <c r="AO165" s="149"/>
      <c r="AP165" s="9"/>
      <c r="AQ165" s="9"/>
      <c r="AR165" s="9"/>
      <c r="AS165" s="9"/>
      <c r="AT165" s="9"/>
      <c r="AU165" s="9"/>
      <c r="AV165" s="9"/>
      <c r="AW165" s="9"/>
      <c r="AX165" s="9"/>
      <c r="AY165" s="9"/>
      <c r="AZ165" s="9"/>
    </row>
    <row r="166" spans="2:52" s="76" customFormat="1">
      <c r="B166" s="1231" t="s">
        <v>4801</v>
      </c>
      <c r="C166" s="1689"/>
      <c r="D166" s="1689"/>
      <c r="E166" s="1689"/>
      <c r="F166" s="1689"/>
      <c r="G166" s="1689"/>
      <c r="H166" s="1689"/>
      <c r="I166" s="1689"/>
      <c r="J166" s="1689"/>
      <c r="K166" s="1689"/>
      <c r="L166" s="1689"/>
      <c r="M166" s="1689"/>
      <c r="N166" s="1689"/>
      <c r="O166" s="1689"/>
      <c r="P166" s="1689"/>
      <c r="Q166" s="462"/>
      <c r="R166" s="1523"/>
      <c r="S166" s="98"/>
      <c r="T166" s="9"/>
      <c r="U166" s="9"/>
      <c r="V166" s="9"/>
      <c r="W166" s="149"/>
      <c r="X166" s="149"/>
      <c r="Y166" s="149"/>
      <c r="Z166" s="149"/>
      <c r="AA166" s="149"/>
      <c r="AB166" s="149"/>
      <c r="AC166" s="149"/>
      <c r="AD166" s="149"/>
      <c r="AE166" s="149"/>
      <c r="AF166" s="149"/>
      <c r="AG166" s="149"/>
      <c r="AH166" s="149"/>
      <c r="AI166" s="149"/>
      <c r="AJ166" s="149"/>
      <c r="AK166" s="149"/>
      <c r="AL166" s="149"/>
      <c r="AM166" s="149"/>
      <c r="AN166" s="149"/>
      <c r="AO166" s="149"/>
      <c r="AP166" s="9"/>
      <c r="AQ166" s="9"/>
      <c r="AR166" s="9"/>
      <c r="AS166" s="9"/>
      <c r="AT166" s="9"/>
      <c r="AU166" s="9"/>
      <c r="AV166" s="9"/>
      <c r="AW166" s="9"/>
      <c r="AX166" s="9"/>
      <c r="AY166" s="9"/>
      <c r="AZ166" s="9"/>
    </row>
    <row r="167" spans="2:52" s="76" customFormat="1">
      <c r="B167" s="1689"/>
      <c r="C167" s="1689"/>
      <c r="D167" s="1689"/>
      <c r="E167" s="1689"/>
      <c r="F167" s="1689"/>
      <c r="G167" s="1689"/>
      <c r="H167" s="1689"/>
      <c r="I167" s="1689"/>
      <c r="J167" s="1689"/>
      <c r="K167" s="1689"/>
      <c r="L167" s="1689"/>
      <c r="M167" s="1689"/>
      <c r="N167" s="1689"/>
      <c r="O167" s="1689"/>
      <c r="P167" s="1689"/>
      <c r="Q167" s="462"/>
      <c r="R167" s="1523"/>
      <c r="S167" s="98"/>
      <c r="T167" s="9"/>
      <c r="U167" s="9"/>
      <c r="V167" s="9"/>
      <c r="W167" s="149"/>
      <c r="X167" s="149"/>
      <c r="Y167" s="149"/>
      <c r="Z167" s="149"/>
      <c r="AA167" s="149"/>
      <c r="AB167" s="149"/>
      <c r="AC167" s="149"/>
      <c r="AD167" s="149"/>
      <c r="AE167" s="149"/>
      <c r="AF167" s="149"/>
      <c r="AG167" s="149"/>
      <c r="AH167" s="149"/>
      <c r="AI167" s="149"/>
      <c r="AJ167" s="149"/>
      <c r="AK167" s="149"/>
      <c r="AL167" s="149"/>
      <c r="AM167" s="149"/>
      <c r="AN167" s="149"/>
      <c r="AO167" s="149"/>
      <c r="AP167" s="9"/>
      <c r="AQ167" s="9"/>
      <c r="AR167" s="9"/>
      <c r="AS167" s="9"/>
      <c r="AT167" s="9"/>
      <c r="AU167" s="9"/>
      <c r="AV167" s="9"/>
      <c r="AW167" s="9"/>
      <c r="AX167" s="9"/>
      <c r="AY167" s="9"/>
      <c r="AZ167" s="9"/>
    </row>
    <row r="168" spans="2:52" s="76" customFormat="1">
      <c r="B168" s="2415" t="s">
        <v>4802</v>
      </c>
      <c r="C168" s="2415"/>
      <c r="D168" s="1689"/>
      <c r="E168" s="1689"/>
      <c r="F168" s="1689"/>
      <c r="G168" s="1689"/>
      <c r="H168" s="1689"/>
      <c r="I168" s="1689"/>
      <c r="J168" s="1689"/>
      <c r="K168" s="1689"/>
      <c r="L168" s="1689"/>
      <c r="M168" s="1689"/>
      <c r="N168" s="1689"/>
      <c r="O168" s="1689"/>
      <c r="P168" s="1689"/>
      <c r="Q168" s="462"/>
      <c r="R168" s="1523"/>
      <c r="S168" s="98"/>
      <c r="T168" s="9"/>
      <c r="U168" s="9"/>
      <c r="V168" s="9"/>
      <c r="W168" s="149"/>
      <c r="X168" s="149"/>
      <c r="Y168" s="149"/>
      <c r="Z168" s="149"/>
      <c r="AA168" s="149"/>
      <c r="AB168" s="149"/>
      <c r="AC168" s="149"/>
      <c r="AD168" s="149"/>
      <c r="AE168" s="149"/>
      <c r="AF168" s="149"/>
      <c r="AG168" s="149"/>
      <c r="AH168" s="149"/>
      <c r="AI168" s="149"/>
      <c r="AJ168" s="149"/>
      <c r="AK168" s="149"/>
      <c r="AL168" s="149"/>
      <c r="AM168" s="149"/>
      <c r="AN168" s="149"/>
      <c r="AO168" s="149"/>
      <c r="AP168" s="9"/>
      <c r="AQ168" s="9"/>
      <c r="AR168" s="9"/>
      <c r="AS168" s="9"/>
      <c r="AT168" s="9"/>
      <c r="AU168" s="9"/>
      <c r="AV168" s="9"/>
      <c r="AW168" s="9"/>
      <c r="AX168" s="9"/>
      <c r="AY168" s="9"/>
      <c r="AZ168" s="9"/>
    </row>
    <row r="169" spans="2:52" s="76" customFormat="1">
      <c r="B169" s="2423" t="s">
        <v>4803</v>
      </c>
      <c r="C169" s="2423"/>
      <c r="D169" s="2423"/>
      <c r="E169" s="2423"/>
      <c r="F169" s="2423"/>
      <c r="G169" s="2423"/>
      <c r="H169" s="2423"/>
      <c r="I169" s="2423"/>
      <c r="J169" s="2423"/>
      <c r="K169" s="2423"/>
      <c r="L169" s="2423"/>
      <c r="M169" s="2423"/>
      <c r="N169" s="2423"/>
      <c r="O169" s="2423"/>
      <c r="P169" s="1689"/>
      <c r="Q169" s="462"/>
      <c r="R169" s="1523"/>
      <c r="S169" s="98"/>
      <c r="T169" s="9"/>
      <c r="U169" s="9"/>
      <c r="V169" s="9"/>
      <c r="W169" s="149"/>
      <c r="X169" s="149"/>
      <c r="Y169" s="149"/>
      <c r="Z169" s="149"/>
      <c r="AA169" s="149"/>
      <c r="AB169" s="149"/>
      <c r="AC169" s="149"/>
      <c r="AD169" s="149"/>
      <c r="AE169" s="149"/>
      <c r="AF169" s="149"/>
      <c r="AG169" s="149"/>
      <c r="AH169" s="149"/>
      <c r="AI169" s="149"/>
      <c r="AJ169" s="149"/>
      <c r="AK169" s="149"/>
      <c r="AL169" s="149"/>
      <c r="AM169" s="149"/>
      <c r="AN169" s="149"/>
      <c r="AO169" s="149"/>
      <c r="AP169" s="9"/>
      <c r="AQ169" s="9"/>
      <c r="AR169" s="9"/>
      <c r="AS169" s="9"/>
      <c r="AT169" s="9"/>
      <c r="AU169" s="9"/>
      <c r="AV169" s="9"/>
      <c r="AW169" s="9"/>
      <c r="AX169" s="9"/>
      <c r="AY169" s="9"/>
      <c r="AZ169" s="9"/>
    </row>
    <row r="170" spans="2:52" s="76" customFormat="1">
      <c r="B170" s="1379"/>
      <c r="C170" s="1379"/>
      <c r="D170" s="1379"/>
      <c r="E170" s="1379"/>
      <c r="F170" s="1379"/>
      <c r="G170" s="1379"/>
      <c r="H170" s="1379"/>
      <c r="I170" s="1379"/>
      <c r="J170" s="1379"/>
      <c r="K170" s="1379"/>
      <c r="L170" s="1379"/>
      <c r="M170" s="1379"/>
      <c r="N170" s="1689"/>
      <c r="O170" s="1689"/>
      <c r="P170" s="1689"/>
      <c r="Q170" s="462"/>
      <c r="R170" s="675" t="s">
        <v>2574</v>
      </c>
      <c r="S170" s="1524">
        <f>'11. Unit Mix'!F130</f>
        <v>0</v>
      </c>
      <c r="T170" s="9"/>
      <c r="U170" s="9"/>
      <c r="V170" s="9"/>
      <c r="W170" s="149"/>
      <c r="X170" s="149"/>
      <c r="Y170" s="149"/>
      <c r="Z170" s="149"/>
      <c r="AA170" s="149"/>
      <c r="AB170" s="149"/>
      <c r="AC170" s="149"/>
      <c r="AD170" s="149"/>
      <c r="AE170" s="149"/>
      <c r="AF170" s="149"/>
      <c r="AG170" s="149"/>
      <c r="AH170" s="149"/>
      <c r="AI170" s="149"/>
      <c r="AJ170" s="149"/>
      <c r="AK170" s="149"/>
      <c r="AL170" s="149"/>
      <c r="AM170" s="149"/>
      <c r="AN170" s="149"/>
      <c r="AO170" s="149"/>
      <c r="AP170" s="9"/>
      <c r="AQ170" s="9"/>
      <c r="AR170" s="9"/>
      <c r="AS170" s="9"/>
      <c r="AT170" s="9"/>
      <c r="AU170" s="9"/>
      <c r="AV170" s="9"/>
      <c r="AW170" s="9"/>
      <c r="AX170" s="9"/>
      <c r="AY170" s="9"/>
      <c r="AZ170" s="9"/>
    </row>
    <row r="171" spans="2:52" s="76" customFormat="1">
      <c r="B171" s="1717" t="s">
        <v>4804</v>
      </c>
      <c r="C171" s="1717"/>
      <c r="D171" s="2415"/>
      <c r="E171" s="2415"/>
      <c r="F171" s="2415"/>
      <c r="G171" s="2415"/>
      <c r="H171" s="2415"/>
      <c r="I171" s="2415"/>
      <c r="J171" s="2415"/>
      <c r="K171" s="2415"/>
      <c r="L171" s="2415"/>
      <c r="M171" s="2415"/>
      <c r="N171" s="1689"/>
      <c r="O171" s="1689"/>
      <c r="P171" s="1689"/>
      <c r="Q171" s="462"/>
      <c r="R171" s="675" t="s">
        <v>4805</v>
      </c>
      <c r="S171" s="1525">
        <f>PC_CST_Building_Total+PC_CST_Accessory_Building_Total+PC_CST_Personal_Property_Total+PC_CST_General_Requirements_Total+PC_CST_Builders_Overhead_Total+PC_CST_Builders_Profit_Total+PC_CST_Constr_Mgmt_Fee_Total+PC_CST_Other_New_Construction_Total</f>
        <v>0</v>
      </c>
      <c r="T171" s="9"/>
      <c r="U171" s="9"/>
      <c r="V171" s="9"/>
      <c r="W171" s="149"/>
      <c r="X171" s="149"/>
      <c r="Y171" s="149"/>
      <c r="Z171" s="149"/>
      <c r="AA171" s="149"/>
      <c r="AB171" s="149"/>
      <c r="AC171" s="149"/>
      <c r="AD171" s="149"/>
      <c r="AE171" s="149"/>
      <c r="AF171" s="149"/>
      <c r="AG171" s="149"/>
      <c r="AH171" s="149"/>
      <c r="AI171" s="149"/>
      <c r="AJ171" s="149"/>
      <c r="AK171" s="149"/>
      <c r="AL171" s="149"/>
      <c r="AM171" s="149"/>
      <c r="AN171" s="149"/>
      <c r="AO171" s="149"/>
      <c r="AP171" s="9"/>
      <c r="AQ171" s="9"/>
      <c r="AR171" s="9"/>
      <c r="AS171" s="9"/>
      <c r="AT171" s="9"/>
      <c r="AU171" s="9"/>
      <c r="AV171" s="9"/>
      <c r="AW171" s="9"/>
      <c r="AX171" s="9"/>
      <c r="AY171" s="9"/>
      <c r="AZ171" s="9"/>
    </row>
    <row r="172" spans="2:52" s="76" customFormat="1">
      <c r="B172" s="2424" t="s">
        <v>4806</v>
      </c>
      <c r="C172" s="2424"/>
      <c r="D172" s="2424"/>
      <c r="E172" s="2424"/>
      <c r="F172" s="2424"/>
      <c r="G172" s="2424"/>
      <c r="H172" s="2424"/>
      <c r="I172" s="2424"/>
      <c r="J172" s="2424"/>
      <c r="K172" s="2424"/>
      <c r="L172" s="2424"/>
      <c r="M172" s="2424"/>
      <c r="N172" s="2424"/>
      <c r="O172" s="2424"/>
      <c r="P172" s="1689"/>
      <c r="Q172" s="462"/>
      <c r="R172" s="675" t="s">
        <v>4807</v>
      </c>
      <c r="S172" s="1525">
        <f>IF(S170=0, 0, S171/S170)</f>
        <v>0</v>
      </c>
      <c r="T172" s="98"/>
      <c r="U172" s="9"/>
      <c r="V172" s="9"/>
      <c r="W172" s="149"/>
      <c r="Z172" s="149"/>
      <c r="AA172" s="149"/>
      <c r="AD172" s="149"/>
      <c r="AE172" s="149"/>
      <c r="AF172" s="149"/>
      <c r="AG172" s="149"/>
      <c r="AH172" s="149"/>
      <c r="AI172" s="149"/>
      <c r="AJ172" s="149"/>
      <c r="AK172" s="149"/>
      <c r="AL172" s="149"/>
      <c r="AM172" s="149"/>
      <c r="AN172" s="149"/>
      <c r="AO172" s="149"/>
      <c r="AP172" s="9"/>
      <c r="AQ172" s="9"/>
      <c r="AR172" s="9"/>
      <c r="AS172" s="9"/>
      <c r="AT172" s="9"/>
      <c r="AU172" s="9"/>
      <c r="AV172" s="9"/>
      <c r="AW172" s="9"/>
      <c r="AX172" s="9"/>
      <c r="AY172" s="9"/>
      <c r="AZ172" s="9"/>
    </row>
    <row r="173" spans="2:52" s="76" customFormat="1">
      <c r="B173" s="2424"/>
      <c r="C173" s="2424"/>
      <c r="D173" s="2424"/>
      <c r="E173" s="2424"/>
      <c r="F173" s="2424"/>
      <c r="G173" s="2424"/>
      <c r="H173" s="2424"/>
      <c r="I173" s="2424"/>
      <c r="J173" s="2424"/>
      <c r="K173" s="2424"/>
      <c r="L173" s="2424"/>
      <c r="M173" s="2424"/>
      <c r="N173" s="2424"/>
      <c r="O173" s="2424"/>
      <c r="P173" s="1689"/>
      <c r="Q173" s="462"/>
      <c r="R173" s="1523" t="s">
        <v>4808</v>
      </c>
      <c r="S173" s="94" t="b">
        <f>S172&gt;25000</f>
        <v>0</v>
      </c>
      <c r="T173" s="9"/>
      <c r="U173" s="9"/>
      <c r="V173" s="9"/>
      <c r="W173" s="149"/>
      <c r="Z173" s="149"/>
      <c r="AA173" s="149"/>
      <c r="AB173" s="149"/>
      <c r="AC173" s="149"/>
      <c r="AD173" s="149"/>
      <c r="AE173" s="149"/>
      <c r="AF173" s="149"/>
      <c r="AG173" s="149"/>
      <c r="AH173" s="149"/>
      <c r="AI173" s="149"/>
      <c r="AJ173" s="149"/>
      <c r="AK173" s="149"/>
      <c r="AL173" s="149"/>
      <c r="AM173" s="149"/>
      <c r="AN173" s="149"/>
      <c r="AO173" s="149"/>
      <c r="AP173" s="9"/>
      <c r="AQ173" s="9"/>
      <c r="AR173" s="9"/>
      <c r="AS173" s="9"/>
      <c r="AT173" s="9"/>
      <c r="AU173" s="9"/>
      <c r="AV173" s="9"/>
      <c r="AW173" s="9"/>
      <c r="AX173" s="9"/>
      <c r="AY173" s="9"/>
      <c r="AZ173" s="9"/>
    </row>
    <row r="174" spans="2:52" s="76" customFormat="1">
      <c r="B174" s="1380"/>
      <c r="C174" s="1380"/>
      <c r="D174" s="1380"/>
      <c r="E174" s="1380"/>
      <c r="F174" s="1380"/>
      <c r="G174" s="1380"/>
      <c r="H174" s="1717"/>
      <c r="I174" s="1379"/>
      <c r="J174" s="1379"/>
      <c r="K174" s="1379"/>
      <c r="L174" s="1379"/>
      <c r="M174" s="1379"/>
      <c r="N174" s="1689"/>
      <c r="O174" s="1689"/>
      <c r="P174" s="1689"/>
      <c r="Q174" s="462"/>
      <c r="R174" s="675"/>
      <c r="S174" s="9"/>
      <c r="T174" s="9"/>
      <c r="U174" s="9"/>
      <c r="V174" s="9"/>
      <c r="W174" s="149"/>
      <c r="X174" s="149"/>
      <c r="Y174" s="149"/>
      <c r="Z174" s="149"/>
      <c r="AA174" s="149"/>
      <c r="AB174" s="149"/>
      <c r="AC174" s="149"/>
      <c r="AD174" s="149"/>
      <c r="AE174" s="149"/>
      <c r="AF174" s="149"/>
      <c r="AG174" s="149"/>
      <c r="AH174" s="149"/>
      <c r="AI174" s="149"/>
      <c r="AJ174" s="149"/>
      <c r="AK174" s="149"/>
      <c r="AL174" s="149"/>
      <c r="AM174" s="149"/>
      <c r="AN174" s="149"/>
      <c r="AO174" s="149"/>
      <c r="AP174" s="9"/>
      <c r="AQ174" s="9"/>
      <c r="AR174" s="9"/>
      <c r="AS174" s="9"/>
      <c r="AT174" s="9"/>
      <c r="AU174" s="9"/>
      <c r="AV174" s="9"/>
      <c r="AW174" s="9"/>
      <c r="AX174" s="9"/>
      <c r="AY174" s="9"/>
      <c r="AZ174" s="9"/>
    </row>
    <row r="175" spans="2:52" s="76" customFormat="1">
      <c r="B175" s="2423" t="s">
        <v>4809</v>
      </c>
      <c r="C175" s="2423"/>
      <c r="D175" s="2423"/>
      <c r="E175" s="2423"/>
      <c r="F175" s="2423"/>
      <c r="G175" s="2423"/>
      <c r="H175" s="2423"/>
      <c r="I175" s="2423"/>
      <c r="J175" s="2423"/>
      <c r="K175" s="2423"/>
      <c r="L175" s="2423"/>
      <c r="M175" s="2423"/>
      <c r="N175" s="2423"/>
      <c r="O175" s="2423"/>
      <c r="P175" s="1689"/>
      <c r="Q175" s="462"/>
      <c r="R175" s="1523" t="s">
        <v>4810</v>
      </c>
      <c r="S175" s="94" t="b">
        <f>IF('14. Project Costs'!D9&gt;=50%,TRUE,IF(ISTEXT(Tribal_Name),TRUE,FALSE))</f>
        <v>1</v>
      </c>
      <c r="T175" s="9"/>
      <c r="U175" s="9"/>
      <c r="V175" s="9"/>
      <c r="W175" s="149"/>
      <c r="X175" s="149"/>
      <c r="Y175" s="149"/>
      <c r="Z175" s="149"/>
      <c r="AA175" s="149"/>
      <c r="AB175" s="149"/>
      <c r="AC175" s="149"/>
      <c r="AD175" s="149"/>
      <c r="AE175" s="149"/>
      <c r="AF175" s="149"/>
      <c r="AG175" s="149"/>
      <c r="AH175" s="149"/>
      <c r="AI175" s="149"/>
      <c r="AJ175" s="149"/>
      <c r="AK175" s="149"/>
      <c r="AL175" s="149"/>
      <c r="AM175" s="149"/>
      <c r="AN175" s="149"/>
      <c r="AO175" s="149"/>
      <c r="AP175" s="9"/>
      <c r="AQ175" s="9"/>
      <c r="AR175" s="9"/>
      <c r="AS175" s="9"/>
      <c r="AT175" s="9"/>
      <c r="AU175" s="9"/>
      <c r="AV175" s="9"/>
      <c r="AW175" s="9"/>
      <c r="AX175" s="9"/>
      <c r="AY175" s="9"/>
      <c r="AZ175" s="9"/>
    </row>
    <row r="176" spans="2:52" s="76" customFormat="1">
      <c r="B176" s="2423"/>
      <c r="C176" s="2423"/>
      <c r="D176" s="2423"/>
      <c r="E176" s="2423"/>
      <c r="F176" s="2423"/>
      <c r="G176" s="2423"/>
      <c r="H176" s="2423"/>
      <c r="I176" s="2423"/>
      <c r="J176" s="2423"/>
      <c r="K176" s="2423"/>
      <c r="L176" s="2423"/>
      <c r="M176" s="2423"/>
      <c r="N176" s="2423"/>
      <c r="O176" s="2423"/>
      <c r="P176" s="1689"/>
      <c r="Q176" s="462"/>
      <c r="R176" s="675"/>
      <c r="S176" s="9"/>
      <c r="T176" s="9"/>
      <c r="U176" s="9"/>
      <c r="V176" s="9"/>
      <c r="W176" s="149"/>
      <c r="X176" s="149"/>
      <c r="Y176" s="149"/>
      <c r="Z176" s="149"/>
      <c r="AA176" s="149"/>
      <c r="AB176" s="149"/>
      <c r="AC176" s="149"/>
      <c r="AD176" s="149"/>
      <c r="AE176" s="149"/>
      <c r="AF176" s="149"/>
      <c r="AG176" s="149"/>
      <c r="AH176" s="149"/>
      <c r="AI176" s="149"/>
      <c r="AJ176" s="149"/>
      <c r="AK176" s="149"/>
      <c r="AL176" s="149"/>
      <c r="AM176" s="149"/>
      <c r="AN176" s="149"/>
      <c r="AO176" s="149"/>
      <c r="AP176" s="9"/>
      <c r="AQ176" s="9"/>
      <c r="AR176" s="9"/>
      <c r="AS176" s="9"/>
      <c r="AT176" s="9"/>
      <c r="AU176" s="9"/>
      <c r="AV176" s="9"/>
      <c r="AW176" s="9"/>
      <c r="AX176" s="9"/>
      <c r="AY176" s="9"/>
      <c r="AZ176" s="9"/>
    </row>
    <row r="177" spans="2:52" s="76" customFormat="1">
      <c r="B177" s="1379"/>
      <c r="C177" s="1379"/>
      <c r="D177" s="1379"/>
      <c r="E177" s="1379"/>
      <c r="F177" s="1379"/>
      <c r="G177" s="1379"/>
      <c r="H177" s="1379"/>
      <c r="I177" s="1379"/>
      <c r="J177" s="1379"/>
      <c r="K177" s="1379"/>
      <c r="L177" s="1379"/>
      <c r="M177" s="1379"/>
      <c r="N177" s="1689"/>
      <c r="O177" s="1689"/>
      <c r="P177" s="1689"/>
      <c r="Q177" s="462"/>
      <c r="R177" s="675"/>
      <c r="S177" s="9"/>
      <c r="T177" s="9"/>
      <c r="U177" s="9"/>
      <c r="V177" s="9"/>
      <c r="W177" s="149"/>
      <c r="X177" s="149"/>
      <c r="Y177" s="149"/>
      <c r="Z177" s="149"/>
      <c r="AA177" s="149"/>
      <c r="AB177" s="149"/>
      <c r="AC177" s="149"/>
      <c r="AD177" s="149"/>
      <c r="AE177" s="149"/>
      <c r="AF177" s="149"/>
      <c r="AG177" s="149"/>
      <c r="AH177" s="149"/>
      <c r="AI177" s="149"/>
      <c r="AJ177" s="149"/>
      <c r="AK177" s="149"/>
      <c r="AL177" s="149"/>
      <c r="AM177" s="149"/>
      <c r="AN177" s="149"/>
      <c r="AO177" s="149"/>
      <c r="AP177" s="9"/>
      <c r="AQ177" s="9"/>
      <c r="AR177" s="9"/>
      <c r="AS177" s="9"/>
      <c r="AT177" s="9"/>
      <c r="AU177" s="9"/>
      <c r="AV177" s="9"/>
      <c r="AW177" s="9"/>
      <c r="AX177" s="9"/>
      <c r="AY177" s="9"/>
      <c r="AZ177" s="9"/>
    </row>
    <row r="178" spans="2:52" s="76" customFormat="1">
      <c r="B178" s="2423" t="s">
        <v>4811</v>
      </c>
      <c r="C178" s="2423"/>
      <c r="D178" s="2423"/>
      <c r="E178" s="2423"/>
      <c r="F178" s="2423"/>
      <c r="G178" s="2423"/>
      <c r="H178" s="2423"/>
      <c r="I178" s="2423"/>
      <c r="J178" s="2423"/>
      <c r="K178" s="2423"/>
      <c r="L178" s="2423"/>
      <c r="M178" s="2423"/>
      <c r="N178" s="2423"/>
      <c r="O178" s="2423"/>
      <c r="P178" s="1689"/>
      <c r="Q178" s="462"/>
      <c r="R178" s="675"/>
      <c r="S178" s="9"/>
      <c r="T178" s="9"/>
      <c r="U178" s="9"/>
      <c r="V178" s="9"/>
      <c r="W178" s="149"/>
      <c r="X178" s="149"/>
      <c r="Y178" s="149"/>
      <c r="Z178" s="149"/>
      <c r="AA178" s="149"/>
      <c r="AB178" s="149"/>
      <c r="AC178" s="149"/>
      <c r="AD178" s="149"/>
      <c r="AE178" s="149"/>
      <c r="AF178" s="149"/>
      <c r="AG178" s="149"/>
      <c r="AH178" s="149"/>
      <c r="AI178" s="149"/>
      <c r="AJ178" s="149"/>
      <c r="AK178" s="149"/>
      <c r="AL178" s="149"/>
      <c r="AM178" s="149"/>
      <c r="AN178" s="149"/>
      <c r="AO178" s="149"/>
      <c r="AP178" s="9"/>
      <c r="AQ178" s="9"/>
      <c r="AR178" s="9"/>
      <c r="AS178" s="9"/>
      <c r="AT178" s="9"/>
      <c r="AU178" s="9"/>
      <c r="AV178" s="9"/>
      <c r="AW178" s="9"/>
      <c r="AX178" s="9"/>
      <c r="AY178" s="9"/>
      <c r="AZ178" s="9"/>
    </row>
    <row r="179" spans="2:52" s="76" customFormat="1">
      <c r="B179" s="2423"/>
      <c r="C179" s="2423"/>
      <c r="D179" s="2423"/>
      <c r="E179" s="2423"/>
      <c r="F179" s="2423"/>
      <c r="G179" s="2423"/>
      <c r="H179" s="2423"/>
      <c r="I179" s="2423"/>
      <c r="J179" s="2423"/>
      <c r="K179" s="2423"/>
      <c r="L179" s="2423"/>
      <c r="M179" s="2423"/>
      <c r="N179" s="2423"/>
      <c r="O179" s="2423"/>
      <c r="P179" s="1689"/>
      <c r="Q179" s="462"/>
      <c r="R179" s="675"/>
      <c r="S179" s="9"/>
      <c r="T179" s="9"/>
      <c r="U179" s="9"/>
      <c r="V179" s="9"/>
      <c r="W179" s="149"/>
      <c r="X179" s="149"/>
      <c r="Y179" s="149"/>
      <c r="Z179" s="149"/>
      <c r="AA179" s="149"/>
      <c r="AB179" s="149"/>
      <c r="AC179" s="149"/>
      <c r="AD179" s="149"/>
      <c r="AE179" s="149"/>
      <c r="AF179" s="149"/>
      <c r="AG179" s="149"/>
      <c r="AH179" s="149"/>
      <c r="AI179" s="149"/>
      <c r="AJ179" s="149"/>
      <c r="AK179" s="149"/>
      <c r="AL179" s="149"/>
      <c r="AM179" s="149"/>
      <c r="AN179" s="149"/>
      <c r="AO179" s="149"/>
      <c r="AP179" s="9"/>
      <c r="AQ179" s="9"/>
      <c r="AR179" s="9"/>
      <c r="AS179" s="9"/>
      <c r="AT179" s="9"/>
      <c r="AU179" s="9"/>
      <c r="AV179" s="9"/>
      <c r="AW179" s="9"/>
      <c r="AX179" s="9"/>
      <c r="AY179" s="9"/>
      <c r="AZ179" s="9"/>
    </row>
    <row r="180" spans="2:52" s="76" customFormat="1">
      <c r="B180" s="2423"/>
      <c r="C180" s="2423"/>
      <c r="D180" s="2423"/>
      <c r="E180" s="2423"/>
      <c r="F180" s="2423"/>
      <c r="G180" s="2423"/>
      <c r="H180" s="2423"/>
      <c r="I180" s="2423"/>
      <c r="J180" s="2423"/>
      <c r="K180" s="2423"/>
      <c r="L180" s="2423"/>
      <c r="M180" s="2423"/>
      <c r="N180" s="2423"/>
      <c r="O180" s="2423"/>
      <c r="P180" s="1689"/>
      <c r="Q180" s="462"/>
      <c r="R180" s="675"/>
      <c r="S180" s="9"/>
      <c r="T180" s="9"/>
      <c r="U180" s="9"/>
      <c r="V180" s="9"/>
      <c r="W180" s="149"/>
      <c r="X180" s="149"/>
      <c r="Y180" s="149"/>
      <c r="Z180" s="149"/>
      <c r="AA180" s="149"/>
      <c r="AB180" s="149"/>
      <c r="AC180" s="149"/>
      <c r="AD180" s="149"/>
      <c r="AE180" s="149"/>
      <c r="AF180" s="149"/>
      <c r="AG180" s="149"/>
      <c r="AH180" s="149"/>
      <c r="AI180" s="149"/>
      <c r="AJ180" s="149"/>
      <c r="AK180" s="149"/>
      <c r="AL180" s="149"/>
      <c r="AM180" s="149"/>
      <c r="AN180" s="149"/>
      <c r="AO180" s="149"/>
      <c r="AP180" s="9"/>
      <c r="AQ180" s="9"/>
      <c r="AR180" s="9"/>
      <c r="AS180" s="9"/>
      <c r="AT180" s="9"/>
      <c r="AU180" s="9"/>
      <c r="AV180" s="9"/>
      <c r="AW180" s="9"/>
      <c r="AX180" s="9"/>
      <c r="AY180" s="9"/>
      <c r="AZ180" s="9"/>
    </row>
    <row r="181" spans="2:52" s="76" customFormat="1">
      <c r="B181" s="1379"/>
      <c r="C181" s="1379"/>
      <c r="D181" s="1379"/>
      <c r="E181" s="1379"/>
      <c r="F181" s="1379"/>
      <c r="G181" s="1379"/>
      <c r="H181" s="1379"/>
      <c r="I181" s="1379"/>
      <c r="J181" s="1379"/>
      <c r="K181" s="1379"/>
      <c r="L181" s="1379"/>
      <c r="M181" s="1379"/>
      <c r="N181" s="1689"/>
      <c r="O181" s="1689"/>
      <c r="P181" s="1689"/>
      <c r="Q181" s="462"/>
      <c r="R181" s="675"/>
      <c r="S181" s="9"/>
      <c r="T181" s="9"/>
      <c r="U181" s="9"/>
      <c r="V181" s="9"/>
      <c r="W181" s="149"/>
      <c r="X181" s="149"/>
      <c r="Y181" s="149"/>
      <c r="Z181" s="149"/>
      <c r="AA181" s="149"/>
      <c r="AB181" s="149"/>
      <c r="AC181" s="149"/>
      <c r="AD181" s="149"/>
      <c r="AE181" s="149"/>
      <c r="AF181" s="149"/>
      <c r="AG181" s="149"/>
      <c r="AH181" s="149"/>
      <c r="AI181" s="149"/>
      <c r="AJ181" s="149"/>
      <c r="AK181" s="149"/>
      <c r="AL181" s="149"/>
      <c r="AM181" s="149"/>
      <c r="AN181" s="149"/>
      <c r="AO181" s="149"/>
      <c r="AP181" s="9"/>
      <c r="AQ181" s="9"/>
      <c r="AR181" s="9"/>
      <c r="AS181" s="9"/>
      <c r="AT181" s="9"/>
      <c r="AU181" s="9"/>
      <c r="AV181" s="9"/>
      <c r="AW181" s="9"/>
      <c r="AX181" s="9"/>
      <c r="AY181" s="9"/>
      <c r="AZ181" s="9"/>
    </row>
    <row r="182" spans="2:52" s="76" customFormat="1">
      <c r="B182" s="2423" t="s">
        <v>4812</v>
      </c>
      <c r="C182" s="2423"/>
      <c r="D182" s="2423"/>
      <c r="E182" s="2423"/>
      <c r="F182" s="2423"/>
      <c r="G182" s="2423"/>
      <c r="H182" s="2423"/>
      <c r="I182" s="2423"/>
      <c r="J182" s="2423"/>
      <c r="K182" s="2423"/>
      <c r="L182" s="2423"/>
      <c r="M182" s="2423"/>
      <c r="N182" s="2423"/>
      <c r="O182" s="2423"/>
      <c r="P182" s="1689"/>
      <c r="Q182" s="462"/>
      <c r="R182" s="675"/>
      <c r="S182" s="9"/>
      <c r="T182" s="9"/>
      <c r="U182" s="9"/>
      <c r="V182" s="9"/>
      <c r="W182" s="149"/>
      <c r="X182" s="149"/>
      <c r="Y182" s="149"/>
      <c r="Z182" s="149"/>
      <c r="AA182" s="149"/>
      <c r="AB182" s="149"/>
      <c r="AC182" s="149"/>
      <c r="AD182" s="149"/>
      <c r="AE182" s="149"/>
      <c r="AF182" s="149"/>
      <c r="AG182" s="149"/>
      <c r="AH182" s="149"/>
      <c r="AI182" s="149"/>
      <c r="AJ182" s="149"/>
      <c r="AK182" s="149"/>
      <c r="AL182" s="149"/>
      <c r="AM182" s="149"/>
      <c r="AN182" s="149"/>
      <c r="AO182" s="149"/>
      <c r="AP182" s="9"/>
      <c r="AQ182" s="9"/>
      <c r="AR182" s="9"/>
      <c r="AS182" s="9"/>
      <c r="AT182" s="9"/>
      <c r="AU182" s="9"/>
      <c r="AV182" s="9"/>
      <c r="AW182" s="9"/>
      <c r="AX182" s="9"/>
      <c r="AY182" s="9"/>
      <c r="AZ182" s="9"/>
    </row>
    <row r="183" spans="2:52" s="76" customFormat="1">
      <c r="B183" s="1716"/>
      <c r="C183" s="1716"/>
      <c r="D183" s="1716"/>
      <c r="E183" s="1716"/>
      <c r="F183" s="1716"/>
      <c r="G183" s="1716"/>
      <c r="H183" s="1716"/>
      <c r="I183" s="1716"/>
      <c r="J183" s="1716"/>
      <c r="K183" s="1716"/>
      <c r="L183" s="1716"/>
      <c r="M183" s="1716"/>
      <c r="N183" s="1716"/>
      <c r="O183" s="1716"/>
      <c r="P183" s="1689"/>
      <c r="Q183" s="462"/>
      <c r="R183" s="675"/>
      <c r="S183" s="9"/>
      <c r="T183" s="9"/>
      <c r="U183" s="9"/>
      <c r="V183" s="9"/>
      <c r="W183" s="149"/>
      <c r="X183" s="149"/>
      <c r="Y183" s="149"/>
      <c r="Z183" s="149"/>
      <c r="AA183" s="149"/>
      <c r="AB183" s="149"/>
      <c r="AC183" s="149"/>
      <c r="AD183" s="149"/>
      <c r="AE183" s="149"/>
      <c r="AF183" s="149"/>
      <c r="AG183" s="149"/>
      <c r="AH183" s="149"/>
      <c r="AI183" s="149"/>
      <c r="AJ183" s="149"/>
      <c r="AK183" s="149"/>
      <c r="AL183" s="149"/>
      <c r="AM183" s="149"/>
      <c r="AN183" s="149"/>
      <c r="AO183" s="149"/>
      <c r="AP183" s="9"/>
      <c r="AQ183" s="9"/>
      <c r="AR183" s="9"/>
      <c r="AS183" s="9"/>
      <c r="AT183" s="9"/>
      <c r="AU183" s="9"/>
      <c r="AV183" s="9"/>
      <c r="AW183" s="9"/>
      <c r="AX183" s="9"/>
      <c r="AY183" s="9"/>
      <c r="AZ183" s="9"/>
    </row>
    <row r="184" spans="2:52" s="76" customFormat="1">
      <c r="B184" s="2423" t="s">
        <v>4813</v>
      </c>
      <c r="C184" s="2423"/>
      <c r="D184" s="2423"/>
      <c r="E184" s="2423"/>
      <c r="F184" s="2423"/>
      <c r="G184" s="2423"/>
      <c r="H184" s="2423"/>
      <c r="I184" s="2423"/>
      <c r="J184" s="2423"/>
      <c r="K184" s="2423"/>
      <c r="L184" s="2423"/>
      <c r="M184" s="2423"/>
      <c r="N184" s="2423"/>
      <c r="O184" s="2423"/>
      <c r="P184" s="1689"/>
      <c r="Q184" s="462"/>
      <c r="R184" s="675"/>
      <c r="S184" s="9"/>
      <c r="T184" s="9"/>
      <c r="U184" s="9"/>
      <c r="V184" s="9"/>
      <c r="W184" s="149"/>
      <c r="X184" s="149"/>
      <c r="Y184" s="149"/>
      <c r="Z184" s="149"/>
      <c r="AA184" s="149"/>
      <c r="AB184" s="149"/>
      <c r="AC184" s="149"/>
      <c r="AD184" s="149"/>
      <c r="AE184" s="149"/>
      <c r="AF184" s="149"/>
      <c r="AG184" s="149"/>
      <c r="AH184" s="149"/>
      <c r="AI184" s="149"/>
      <c r="AJ184" s="149"/>
      <c r="AK184" s="149"/>
      <c r="AL184" s="149"/>
      <c r="AM184" s="149"/>
      <c r="AN184" s="149"/>
      <c r="AO184" s="149"/>
      <c r="AP184" s="9"/>
      <c r="AQ184" s="9"/>
      <c r="AR184" s="9"/>
      <c r="AS184" s="9"/>
      <c r="AT184" s="9"/>
      <c r="AU184" s="9"/>
      <c r="AV184" s="9"/>
      <c r="AW184" s="9"/>
      <c r="AX184" s="9"/>
      <c r="AY184" s="9"/>
      <c r="AZ184" s="9"/>
    </row>
    <row r="185" spans="2:52" s="76" customFormat="1">
      <c r="B185" s="1379"/>
      <c r="C185" s="1379"/>
      <c r="D185" s="1379"/>
      <c r="E185" s="1379"/>
      <c r="F185" s="1379"/>
      <c r="G185" s="1379"/>
      <c r="H185" s="1379"/>
      <c r="I185" s="1379"/>
      <c r="J185" s="1379"/>
      <c r="K185" s="1379"/>
      <c r="L185" s="1379"/>
      <c r="M185" s="1379"/>
      <c r="N185" s="1689"/>
      <c r="O185" s="1689"/>
      <c r="P185" s="1689"/>
      <c r="Q185" s="462"/>
      <c r="R185" s="675"/>
      <c r="S185" s="9"/>
      <c r="T185" s="9"/>
      <c r="U185" s="9"/>
      <c r="V185" s="9"/>
      <c r="W185" s="149"/>
      <c r="X185" s="149"/>
      <c r="Y185" s="149"/>
      <c r="Z185" s="149"/>
      <c r="AA185" s="149"/>
      <c r="AB185" s="149"/>
      <c r="AC185" s="149"/>
      <c r="AD185" s="149"/>
      <c r="AE185" s="149"/>
      <c r="AF185" s="149"/>
      <c r="AG185" s="149"/>
      <c r="AH185" s="149"/>
      <c r="AI185" s="149"/>
      <c r="AJ185" s="149"/>
      <c r="AK185" s="149"/>
      <c r="AL185" s="149"/>
      <c r="AM185" s="149"/>
      <c r="AN185" s="149"/>
      <c r="AO185" s="149"/>
      <c r="AP185" s="9"/>
      <c r="AQ185" s="9"/>
      <c r="AR185" s="9"/>
      <c r="AS185" s="9"/>
      <c r="AT185" s="9"/>
      <c r="AU185" s="9"/>
      <c r="AV185" s="9"/>
      <c r="AW185" s="9"/>
      <c r="AX185" s="9"/>
      <c r="AY185" s="9"/>
      <c r="AZ185" s="9"/>
    </row>
    <row r="186" spans="2:52" s="76" customFormat="1">
      <c r="B186" s="2423" t="s">
        <v>4814</v>
      </c>
      <c r="C186" s="2423"/>
      <c r="D186" s="2423"/>
      <c r="E186" s="2423"/>
      <c r="F186" s="2423"/>
      <c r="G186" s="2423"/>
      <c r="H186" s="2423"/>
      <c r="I186" s="2423"/>
      <c r="J186" s="2423"/>
      <c r="K186" s="2423"/>
      <c r="L186" s="2423"/>
      <c r="M186" s="2423"/>
      <c r="N186" s="2423"/>
      <c r="O186" s="2423"/>
      <c r="P186" s="1689"/>
      <c r="Q186" s="462"/>
      <c r="R186" s="675" t="s">
        <v>4815</v>
      </c>
      <c r="S186" s="929">
        <f>'11. Unit Mix'!F130</f>
        <v>0</v>
      </c>
      <c r="T186" s="9"/>
      <c r="U186" s="9"/>
      <c r="V186" s="9"/>
      <c r="W186" s="149"/>
      <c r="X186" s="149"/>
      <c r="Y186" s="149"/>
      <c r="Z186" s="149"/>
      <c r="AA186" s="149"/>
      <c r="AB186" s="149"/>
      <c r="AC186" s="149"/>
      <c r="AD186" s="149"/>
      <c r="AE186" s="149"/>
      <c r="AF186" s="149"/>
      <c r="AG186" s="149"/>
      <c r="AH186" s="149"/>
      <c r="AI186" s="149"/>
      <c r="AJ186" s="149"/>
      <c r="AK186" s="149"/>
      <c r="AL186" s="149"/>
      <c r="AM186" s="149"/>
      <c r="AN186" s="149"/>
      <c r="AO186" s="149"/>
      <c r="AP186" s="9"/>
      <c r="AQ186" s="9"/>
      <c r="AR186" s="9"/>
      <c r="AS186" s="9"/>
      <c r="AT186" s="9"/>
      <c r="AU186" s="9"/>
      <c r="AV186" s="9"/>
      <c r="AW186" s="9"/>
      <c r="AX186" s="9"/>
      <c r="AY186" s="9"/>
      <c r="AZ186" s="9"/>
    </row>
    <row r="187" spans="2:52" s="76" customFormat="1">
      <c r="B187" s="1379"/>
      <c r="C187" s="1379"/>
      <c r="D187" s="1379"/>
      <c r="E187" s="1379"/>
      <c r="F187" s="1379"/>
      <c r="G187" s="1379"/>
      <c r="H187" s="1379"/>
      <c r="I187" s="1379"/>
      <c r="J187" s="1379"/>
      <c r="K187" s="1379"/>
      <c r="L187" s="1379"/>
      <c r="M187" s="1379"/>
      <c r="N187" s="1689"/>
      <c r="O187" s="1689"/>
      <c r="P187" s="1689"/>
      <c r="Q187" s="462"/>
      <c r="R187" s="1523" t="s">
        <v>4816</v>
      </c>
      <c r="S187" s="94">
        <f>'11. Unit Mix'!BE66</f>
        <v>0</v>
      </c>
      <c r="T187" s="9"/>
      <c r="U187" s="9"/>
      <c r="V187" s="9"/>
      <c r="W187" s="149"/>
      <c r="X187" s="149"/>
      <c r="Y187" s="149"/>
      <c r="Z187" s="149"/>
      <c r="AA187" s="149"/>
      <c r="AB187" s="149"/>
      <c r="AC187" s="149"/>
      <c r="AD187" s="149"/>
      <c r="AE187" s="149"/>
      <c r="AF187" s="149"/>
      <c r="AG187" s="149"/>
      <c r="AH187" s="149"/>
      <c r="AI187" s="149"/>
      <c r="AJ187" s="149"/>
      <c r="AK187" s="149"/>
      <c r="AL187" s="149"/>
      <c r="AM187" s="149"/>
      <c r="AN187" s="149"/>
      <c r="AO187" s="149"/>
      <c r="AP187" s="9"/>
      <c r="AQ187" s="9"/>
      <c r="AR187" s="9"/>
      <c r="AS187" s="9"/>
      <c r="AT187" s="9"/>
      <c r="AU187" s="9"/>
      <c r="AV187" s="9"/>
      <c r="AW187" s="9"/>
      <c r="AX187" s="9"/>
      <c r="AY187" s="9"/>
      <c r="AZ187" s="9"/>
    </row>
    <row r="188" spans="2:52" s="76" customFormat="1">
      <c r="B188" s="1381" t="s">
        <v>4817</v>
      </c>
      <c r="C188" s="1381"/>
      <c r="D188" s="1381"/>
      <c r="E188" s="1381"/>
      <c r="F188" s="1381"/>
      <c r="G188" s="1381"/>
      <c r="H188" s="1381"/>
      <c r="I188" s="1381"/>
      <c r="J188" s="1381"/>
      <c r="K188" s="1381"/>
      <c r="L188" s="1381"/>
      <c r="M188" s="1381"/>
      <c r="N188" s="1227"/>
      <c r="O188" s="1227"/>
      <c r="P188" s="1689"/>
      <c r="Q188" s="462"/>
      <c r="R188" s="1526" t="s">
        <v>4818</v>
      </c>
      <c r="S188" s="94" t="b">
        <f>IF(S186=0, FALSE, (S187/S186)&gt;=50%)</f>
        <v>0</v>
      </c>
      <c r="T188" s="9"/>
      <c r="U188" s="9"/>
      <c r="V188" s="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9"/>
      <c r="AS188" s="9"/>
      <c r="AT188" s="9"/>
      <c r="AU188" s="9"/>
      <c r="AV188" s="9"/>
      <c r="AW188" s="9"/>
      <c r="AX188" s="9"/>
      <c r="AY188" s="9"/>
      <c r="AZ188" s="9"/>
    </row>
    <row r="189" spans="2:52" s="76" customFormat="1">
      <c r="B189" s="1379"/>
      <c r="C189" s="1379"/>
      <c r="D189" s="1379"/>
      <c r="E189" s="1379"/>
      <c r="F189" s="1379"/>
      <c r="G189" s="1379"/>
      <c r="H189" s="1379"/>
      <c r="I189" s="1379"/>
      <c r="J189" s="1379"/>
      <c r="K189" s="1379"/>
      <c r="L189" s="1379"/>
      <c r="M189" s="1379"/>
      <c r="N189" s="1689"/>
      <c r="O189" s="1689"/>
      <c r="P189" s="1689"/>
      <c r="Q189" s="462"/>
      <c r="R189" s="1523"/>
      <c r="S189" s="98"/>
      <c r="T189" s="9"/>
      <c r="U189" s="9"/>
      <c r="V189" s="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9"/>
      <c r="AS189" s="9"/>
      <c r="AT189" s="9"/>
      <c r="AU189" s="9"/>
      <c r="AV189" s="9"/>
      <c r="AW189" s="9"/>
      <c r="AX189" s="9"/>
      <c r="AY189" s="9"/>
      <c r="AZ189" s="9"/>
    </row>
    <row r="190" spans="2:52" s="76" customFormat="1">
      <c r="B190" s="1381" t="s">
        <v>4819</v>
      </c>
      <c r="C190" s="1381"/>
      <c r="D190" s="1381"/>
      <c r="E190" s="1381"/>
      <c r="F190" s="1381"/>
      <c r="G190" s="1381"/>
      <c r="H190" s="1381"/>
      <c r="I190" s="1381"/>
      <c r="J190" s="1381"/>
      <c r="K190" s="1381"/>
      <c r="L190" s="1381"/>
      <c r="M190" s="1381"/>
      <c r="N190" s="1227"/>
      <c r="O190" s="1227"/>
      <c r="P190" s="1689"/>
      <c r="Q190" s="462"/>
      <c r="R190" s="1526" t="s">
        <v>4820</v>
      </c>
      <c r="S190" s="1527">
        <f>IF('11. Unit Mix'!F130=0, 0, Annual_Replacement_Reserve/'11. Unit Mix'!F130)</f>
        <v>0</v>
      </c>
      <c r="T190" s="9"/>
      <c r="U190" s="9"/>
      <c r="V190" s="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9"/>
      <c r="AS190" s="9"/>
      <c r="AT190" s="9"/>
      <c r="AU190" s="9"/>
      <c r="AV190" s="9"/>
      <c r="AW190" s="9"/>
      <c r="AX190" s="9"/>
      <c r="AY190" s="9"/>
      <c r="AZ190" s="9"/>
    </row>
    <row r="191" spans="2:52" s="76" customFormat="1">
      <c r="B191" s="1689"/>
      <c r="C191" s="1689"/>
      <c r="D191" s="1689"/>
      <c r="E191" s="1689"/>
      <c r="F191" s="1689"/>
      <c r="G191" s="1689"/>
      <c r="H191" s="1689"/>
      <c r="I191" s="1689"/>
      <c r="J191" s="1689"/>
      <c r="K191" s="1689"/>
      <c r="L191" s="1689"/>
      <c r="M191" s="1689"/>
      <c r="N191" s="1689"/>
      <c r="O191" s="1689"/>
      <c r="P191" s="1689"/>
      <c r="Q191" s="462"/>
      <c r="R191" s="675" t="s">
        <v>4821</v>
      </c>
      <c r="S191" s="94" t="b">
        <f>S190&gt;=400</f>
        <v>0</v>
      </c>
      <c r="T191" s="9"/>
      <c r="U191" s="9"/>
      <c r="V191" s="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9"/>
      <c r="AS191" s="9"/>
      <c r="AT191" s="9"/>
      <c r="AU191" s="9"/>
      <c r="AV191" s="9"/>
      <c r="AW191" s="9"/>
      <c r="AX191" s="9"/>
      <c r="AY191" s="9"/>
      <c r="AZ191" s="9"/>
    </row>
    <row r="192" spans="2:52" s="76" customFormat="1">
      <c r="B192" s="2423" t="s">
        <v>4822</v>
      </c>
      <c r="C192" s="2423"/>
      <c r="D192" s="2423"/>
      <c r="E192" s="2423"/>
      <c r="F192" s="2423"/>
      <c r="G192" s="2423"/>
      <c r="H192" s="2423"/>
      <c r="I192" s="2423"/>
      <c r="J192" s="2423"/>
      <c r="K192" s="2423"/>
      <c r="L192" s="2423"/>
      <c r="M192" s="2423"/>
      <c r="N192" s="2423"/>
      <c r="O192" s="2423"/>
      <c r="P192" s="1689"/>
      <c r="Q192" s="462"/>
      <c r="R192" s="675"/>
      <c r="S192" s="98"/>
      <c r="T192" s="9"/>
      <c r="U192" s="9"/>
      <c r="V192" s="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9"/>
      <c r="AS192" s="9"/>
      <c r="AT192" s="9"/>
      <c r="AU192" s="9"/>
      <c r="AV192" s="9"/>
      <c r="AW192" s="9"/>
      <c r="AX192" s="9"/>
      <c r="AY192" s="9"/>
      <c r="AZ192" s="9"/>
    </row>
    <row r="193" spans="2:78" s="76" customFormat="1">
      <c r="B193" s="2423"/>
      <c r="C193" s="2423"/>
      <c r="D193" s="2423"/>
      <c r="E193" s="2423"/>
      <c r="F193" s="2423"/>
      <c r="G193" s="2423"/>
      <c r="H193" s="2423"/>
      <c r="I193" s="2423"/>
      <c r="J193" s="2423"/>
      <c r="K193" s="2423"/>
      <c r="L193" s="2423"/>
      <c r="M193" s="2423"/>
      <c r="N193" s="2423"/>
      <c r="O193" s="2423"/>
      <c r="P193" s="1689"/>
      <c r="Q193" s="462"/>
      <c r="R193" s="675"/>
      <c r="S193" s="9"/>
      <c r="T193" s="9"/>
      <c r="U193" s="9"/>
      <c r="V193" s="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9"/>
      <c r="AS193" s="9"/>
      <c r="AT193" s="9"/>
      <c r="AU193" s="9"/>
      <c r="AV193" s="9"/>
      <c r="AW193" s="9"/>
      <c r="AX193" s="9"/>
      <c r="AY193" s="9"/>
      <c r="AZ193" s="9"/>
    </row>
    <row r="194" spans="2:78" s="76" customFormat="1">
      <c r="B194" s="2423"/>
      <c r="C194" s="2423"/>
      <c r="D194" s="2423"/>
      <c r="E194" s="2423"/>
      <c r="F194" s="2423"/>
      <c r="G194" s="2423"/>
      <c r="H194" s="2423"/>
      <c r="I194" s="2423"/>
      <c r="J194" s="2423"/>
      <c r="K194" s="2423"/>
      <c r="L194" s="2423"/>
      <c r="M194" s="2423"/>
      <c r="N194" s="2423"/>
      <c r="O194" s="2423"/>
      <c r="P194" s="1689"/>
      <c r="Q194" s="462"/>
      <c r="R194" s="675"/>
      <c r="S194" s="9"/>
      <c r="T194" s="9"/>
      <c r="U194" s="9"/>
      <c r="V194" s="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9"/>
      <c r="AS194" s="9"/>
      <c r="AT194" s="9"/>
      <c r="AU194" s="9"/>
      <c r="AV194" s="9"/>
      <c r="AW194" s="9"/>
      <c r="AX194" s="9"/>
      <c r="AY194" s="9"/>
      <c r="AZ194" s="9"/>
    </row>
    <row r="195" spans="2:78" s="76" customFormat="1">
      <c r="B195" s="1716"/>
      <c r="C195" s="1716"/>
      <c r="D195" s="1716"/>
      <c r="E195" s="1716"/>
      <c r="F195" s="1716"/>
      <c r="G195" s="1716"/>
      <c r="H195" s="1716"/>
      <c r="I195" s="1716"/>
      <c r="J195" s="1379"/>
      <c r="K195" s="1379"/>
      <c r="L195" s="1379"/>
      <c r="M195" s="1379"/>
      <c r="N195" s="1689"/>
      <c r="O195" s="1689"/>
      <c r="P195" s="1689"/>
      <c r="Q195" s="462"/>
      <c r="R195" s="675"/>
      <c r="S195" s="9"/>
      <c r="T195" s="9"/>
      <c r="U195" s="9"/>
      <c r="V195" s="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9"/>
      <c r="AS195" s="9"/>
      <c r="AT195" s="9"/>
      <c r="AU195" s="9"/>
      <c r="AV195" s="9"/>
      <c r="AW195" s="9"/>
      <c r="AX195" s="9"/>
      <c r="AY195" s="9"/>
      <c r="AZ195" s="9"/>
    </row>
    <row r="196" spans="2:78" s="76" customFormat="1">
      <c r="B196" s="2423" t="s">
        <v>4823</v>
      </c>
      <c r="C196" s="2423"/>
      <c r="D196" s="2423"/>
      <c r="E196" s="2423"/>
      <c r="F196" s="2423"/>
      <c r="G196" s="2423"/>
      <c r="H196" s="2423"/>
      <c r="I196" s="2423"/>
      <c r="J196" s="2423"/>
      <c r="K196" s="2423"/>
      <c r="L196" s="2423"/>
      <c r="M196" s="2423"/>
      <c r="N196" s="2423"/>
      <c r="O196" s="2423"/>
      <c r="P196" s="1689"/>
      <c r="Q196" s="462"/>
      <c r="R196" s="675" t="s">
        <v>4824</v>
      </c>
      <c r="S196" s="9" t="b">
        <f>COUNTIF('Dropdown Lists'!AC2:AC12,Tribal_Name)=1</f>
        <v>0</v>
      </c>
      <c r="T196" s="9"/>
      <c r="U196" s="9"/>
      <c r="V196" s="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9"/>
      <c r="AS196" s="9"/>
      <c r="AT196" s="9"/>
      <c r="AU196" s="9"/>
      <c r="AV196" s="9"/>
      <c r="AW196" s="9"/>
      <c r="AX196" s="9"/>
      <c r="AY196" s="9"/>
      <c r="AZ196" s="9"/>
    </row>
    <row r="197" spans="2:78" s="76" customFormat="1">
      <c r="B197" s="2423"/>
      <c r="C197" s="2423"/>
      <c r="D197" s="2423"/>
      <c r="E197" s="2423"/>
      <c r="F197" s="2423"/>
      <c r="G197" s="2423"/>
      <c r="H197" s="2423"/>
      <c r="I197" s="2423"/>
      <c r="J197" s="2423"/>
      <c r="K197" s="2423"/>
      <c r="L197" s="2423"/>
      <c r="M197" s="2423"/>
      <c r="N197" s="2423"/>
      <c r="O197" s="2423"/>
      <c r="P197" s="1689"/>
      <c r="Q197" s="462"/>
      <c r="R197" s="675"/>
      <c r="S197" s="9"/>
      <c r="T197" s="9"/>
      <c r="U197" s="9"/>
      <c r="V197" s="9"/>
      <c r="W197" s="149"/>
      <c r="X197" s="149"/>
      <c r="Y197" s="149"/>
      <c r="Z197" s="149"/>
      <c r="AA197" s="149"/>
      <c r="AB197" s="149"/>
      <c r="AC197" s="149"/>
      <c r="AD197" s="149"/>
      <c r="AE197" s="149"/>
      <c r="AF197" s="149"/>
      <c r="AG197" s="149"/>
      <c r="AH197" s="149"/>
      <c r="AI197" s="149"/>
      <c r="AJ197" s="149"/>
      <c r="AK197" s="149"/>
      <c r="AL197" s="149"/>
      <c r="AM197" s="149"/>
      <c r="AN197" s="149"/>
      <c r="AO197" s="149"/>
      <c r="AP197" s="9"/>
      <c r="AQ197" s="9"/>
      <c r="AR197" s="9"/>
      <c r="AS197" s="9"/>
      <c r="AT197" s="9"/>
      <c r="AU197" s="9"/>
      <c r="AV197" s="9"/>
      <c r="AW197" s="9"/>
      <c r="AX197" s="9"/>
      <c r="AY197" s="9"/>
      <c r="AZ197" s="9"/>
    </row>
    <row r="198" spans="2:78" s="76" customFormat="1">
      <c r="B198" s="1689"/>
      <c r="C198" s="1689"/>
      <c r="D198" s="1689"/>
      <c r="E198" s="1689"/>
      <c r="F198" s="1689"/>
      <c r="G198" s="1689"/>
      <c r="H198" s="1689"/>
      <c r="I198" s="1716"/>
      <c r="J198" s="1716"/>
      <c r="K198" s="1716"/>
      <c r="L198" s="1716"/>
      <c r="M198" s="1716"/>
      <c r="N198" s="1716"/>
      <c r="O198" s="1716"/>
      <c r="P198" s="1716"/>
      <c r="Q198" s="1121"/>
      <c r="R198" s="675"/>
      <c r="S198" s="9"/>
      <c r="T198" s="9"/>
      <c r="U198" s="9"/>
      <c r="V198" s="9"/>
      <c r="W198" s="149"/>
      <c r="X198" s="149"/>
      <c r="Y198" s="149"/>
      <c r="Z198" s="149"/>
      <c r="AA198" s="149"/>
      <c r="AB198" s="149"/>
      <c r="AC198" s="149"/>
      <c r="AD198" s="149"/>
      <c r="AE198" s="149"/>
      <c r="AF198" s="149"/>
      <c r="AG198" s="149"/>
      <c r="AH198" s="149"/>
      <c r="AI198" s="149"/>
      <c r="AJ198" s="149"/>
      <c r="AK198" s="149"/>
      <c r="AL198" s="149"/>
      <c r="AM198" s="149"/>
      <c r="AN198" s="149"/>
      <c r="AO198" s="149"/>
      <c r="AP198" s="9"/>
      <c r="AQ198" s="9"/>
      <c r="AR198" s="9"/>
      <c r="AS198" s="9"/>
      <c r="AT198" s="9"/>
      <c r="AU198" s="9"/>
      <c r="AV198" s="9"/>
      <c r="AW198" s="9"/>
      <c r="AX198" s="9"/>
      <c r="AY198" s="9"/>
      <c r="AZ198" s="9"/>
    </row>
    <row r="199" spans="2:78" s="76" customFormat="1" ht="19">
      <c r="B199" s="1167"/>
      <c r="C199" s="1375" t="s">
        <v>4734</v>
      </c>
      <c r="D199" s="1375" t="s">
        <v>4708</v>
      </c>
      <c r="E199" s="1375" t="s">
        <v>1010</v>
      </c>
      <c r="F199" s="1167"/>
      <c r="G199" s="1167"/>
      <c r="H199" s="1378"/>
      <c r="I199" s="1378"/>
      <c r="J199" s="1378"/>
      <c r="K199" s="1378"/>
      <c r="L199" s="1378"/>
      <c r="M199" s="1378"/>
      <c r="N199" s="1378"/>
      <c r="O199" s="1378"/>
      <c r="P199" s="1378"/>
      <c r="Q199" s="1119"/>
      <c r="R199" s="675"/>
      <c r="S199" s="9"/>
      <c r="T199" s="9"/>
      <c r="U199" s="9"/>
      <c r="V199" s="9"/>
      <c r="W199" s="149"/>
      <c r="X199" s="149"/>
      <c r="Y199" s="149"/>
      <c r="Z199" s="149"/>
      <c r="AA199" s="149"/>
      <c r="AB199" s="149"/>
      <c r="AC199" s="149"/>
      <c r="AD199" s="149"/>
      <c r="AE199" s="149"/>
      <c r="AF199" s="149"/>
      <c r="AG199" s="149"/>
      <c r="AH199" s="149"/>
      <c r="AI199" s="149"/>
      <c r="AJ199" s="149"/>
      <c r="AK199" s="149"/>
      <c r="AL199" s="149"/>
      <c r="AM199" s="149"/>
      <c r="AN199" s="149"/>
      <c r="AO199" s="149"/>
      <c r="AP199" s="9"/>
      <c r="AQ199" s="9"/>
      <c r="AR199" s="9"/>
      <c r="AS199" s="9"/>
      <c r="AT199" s="9"/>
      <c r="AU199" s="9"/>
      <c r="AV199" s="9"/>
      <c r="AW199" s="9"/>
      <c r="AX199" s="9"/>
      <c r="AY199" s="9"/>
      <c r="AZ199" s="9"/>
    </row>
    <row r="200" spans="2:78" s="76" customFormat="1" ht="19">
      <c r="B200" s="1378"/>
      <c r="C200" s="1734">
        <v>25</v>
      </c>
      <c r="D200" s="1735">
        <f>S201</f>
        <v>0</v>
      </c>
      <c r="E200" s="1734"/>
      <c r="F200" s="1378"/>
      <c r="G200" s="1378"/>
      <c r="H200" s="1378"/>
      <c r="I200" s="1378"/>
      <c r="J200" s="1378"/>
      <c r="K200" s="1378"/>
      <c r="L200" s="1378"/>
      <c r="M200" s="1378"/>
      <c r="N200" s="1378"/>
      <c r="O200" s="1378"/>
      <c r="P200" s="1378"/>
      <c r="Q200" s="462"/>
      <c r="R200" s="1523" t="s">
        <v>4734</v>
      </c>
      <c r="S200" s="94">
        <v>25</v>
      </c>
      <c r="T200" s="9" t="s">
        <v>4825</v>
      </c>
      <c r="U200" s="9"/>
      <c r="V200" s="9"/>
      <c r="W200" s="149"/>
      <c r="X200" s="149"/>
      <c r="Y200" s="149"/>
      <c r="Z200" s="149"/>
      <c r="AA200" s="149"/>
      <c r="AB200" s="149"/>
      <c r="AC200" s="149"/>
      <c r="AD200" s="149"/>
      <c r="AE200" s="149"/>
      <c r="AF200" s="149"/>
      <c r="AG200" s="149"/>
      <c r="AH200" s="149"/>
      <c r="AI200" s="149"/>
      <c r="AJ200" s="149"/>
      <c r="AK200" s="149"/>
      <c r="AL200" s="149"/>
      <c r="AM200" s="149"/>
      <c r="AN200" s="149"/>
      <c r="AO200" s="149"/>
      <c r="AP200" s="9"/>
      <c r="AQ200" s="9"/>
      <c r="AR200" s="9"/>
      <c r="AS200" s="9"/>
      <c r="AT200" s="9"/>
      <c r="AU200" s="9"/>
      <c r="AV200" s="9"/>
      <c r="AW200" s="9"/>
      <c r="AX200" s="9"/>
      <c r="AY200" s="9"/>
      <c r="AZ200" s="9"/>
    </row>
    <row r="201" spans="2:78" s="76" customFormat="1" ht="19">
      <c r="B201" s="1689"/>
      <c r="C201" s="1689"/>
      <c r="D201" s="1689"/>
      <c r="E201" s="1689"/>
      <c r="F201" s="1689"/>
      <c r="G201" s="1689"/>
      <c r="H201" s="1378"/>
      <c r="I201" s="1378"/>
      <c r="J201" s="1378"/>
      <c r="K201" s="1378"/>
      <c r="L201" s="1378"/>
      <c r="M201" s="1378"/>
      <c r="N201" s="1378"/>
      <c r="O201" s="1378"/>
      <c r="P201" s="1378"/>
      <c r="Q201" s="462"/>
      <c r="R201" s="675" t="s">
        <v>4826</v>
      </c>
      <c r="S201" s="94">
        <f>IF(S158,IF(OR(S196,AND(S171,S173,S175,S188,S191)),S200,0),0)</f>
        <v>0</v>
      </c>
      <c r="T201" s="1046" t="s">
        <v>4827</v>
      </c>
      <c r="U201" s="9"/>
      <c r="V201" s="9"/>
      <c r="W201" s="149"/>
      <c r="X201" s="149"/>
      <c r="Y201" s="149"/>
      <c r="Z201" s="149"/>
      <c r="AA201" s="149"/>
      <c r="AB201" s="149"/>
      <c r="AC201" s="149"/>
      <c r="AD201" s="149"/>
      <c r="AE201" s="149"/>
      <c r="AF201" s="149"/>
      <c r="AG201" s="149"/>
      <c r="AH201" s="149"/>
      <c r="AI201" s="149"/>
      <c r="AJ201" s="149"/>
      <c r="AK201" s="149"/>
      <c r="AL201" s="149"/>
      <c r="AM201" s="149"/>
      <c r="AN201" s="149"/>
      <c r="AO201" s="149"/>
      <c r="AP201" s="9"/>
      <c r="AQ201" s="9"/>
      <c r="AR201" s="9"/>
      <c r="AS201" s="9"/>
      <c r="AT201" s="9"/>
      <c r="AU201" s="9"/>
      <c r="AV201" s="9"/>
      <c r="AW201" s="9"/>
      <c r="AX201" s="9"/>
      <c r="AY201" s="9"/>
      <c r="AZ201" s="9"/>
    </row>
    <row r="202" spans="2:78">
      <c r="B202" s="1167"/>
      <c r="C202" s="1167"/>
      <c r="D202" s="1167"/>
      <c r="E202" s="1167"/>
      <c r="F202" s="1167"/>
      <c r="G202" s="1167"/>
      <c r="H202" s="1167"/>
      <c r="I202" s="1167"/>
      <c r="J202" s="1167"/>
      <c r="K202" s="1167"/>
      <c r="L202" s="1167"/>
      <c r="M202" s="1167"/>
      <c r="N202" s="1167"/>
      <c r="O202" s="1167"/>
      <c r="P202" s="1167"/>
      <c r="T202" s="1046"/>
      <c r="W202" s="149"/>
      <c r="X202" s="149"/>
      <c r="Y202" s="149"/>
      <c r="Z202" s="149"/>
      <c r="AA202" s="149"/>
      <c r="AB202" s="149"/>
      <c r="AC202" s="149"/>
      <c r="AD202" s="149"/>
      <c r="AE202" s="149"/>
      <c r="AF202" s="149"/>
      <c r="AG202" s="149"/>
      <c r="AH202" s="149"/>
      <c r="AI202" s="149"/>
      <c r="AJ202" s="149"/>
      <c r="AK202" s="149"/>
      <c r="AL202" s="149"/>
      <c r="AM202" s="149"/>
      <c r="AN202" s="149"/>
      <c r="AO202" s="149"/>
      <c r="AP202" s="9"/>
      <c r="AQ202" s="9"/>
      <c r="AR202" s="9"/>
      <c r="AS202" s="9"/>
      <c r="AT202" s="9"/>
      <c r="AU202" s="9"/>
      <c r="AV202" s="9"/>
      <c r="AW202" s="9"/>
      <c r="AX202" s="9"/>
      <c r="AY202" s="9"/>
      <c r="AZ202" s="9"/>
    </row>
    <row r="203" spans="2:78" ht="19">
      <c r="B203" s="2184" t="s">
        <v>3364</v>
      </c>
      <c r="C203" s="2184"/>
      <c r="D203" s="8"/>
      <c r="E203" s="8"/>
      <c r="F203" s="8"/>
      <c r="G203" s="8"/>
      <c r="H203" s="8"/>
      <c r="I203" s="2184" t="s">
        <v>3372</v>
      </c>
      <c r="J203" s="2184"/>
      <c r="K203" s="17"/>
      <c r="L203" s="17"/>
      <c r="M203" s="17"/>
      <c r="N203" s="17"/>
      <c r="O203" s="17"/>
      <c r="P203" s="17"/>
      <c r="W203" s="149"/>
      <c r="X203" s="149"/>
      <c r="Y203" s="149"/>
      <c r="Z203" s="149"/>
      <c r="AA203" s="149"/>
      <c r="AB203" s="149"/>
      <c r="AC203" s="149"/>
      <c r="AD203" s="149"/>
      <c r="AE203" s="149"/>
      <c r="AF203" s="149"/>
      <c r="AG203" s="149"/>
      <c r="AH203" s="149"/>
      <c r="AI203" s="149"/>
      <c r="AJ203" s="149"/>
      <c r="AK203" s="149"/>
      <c r="AL203" s="149"/>
      <c r="AM203" s="149"/>
      <c r="AN203" s="149"/>
      <c r="AO203" s="149"/>
      <c r="AP203" s="9"/>
      <c r="AQ203" s="9"/>
      <c r="AR203" s="9"/>
      <c r="AS203" s="9"/>
      <c r="AT203" s="9"/>
      <c r="AU203" s="9"/>
      <c r="AV203" s="9"/>
      <c r="AW203" s="9"/>
      <c r="AX203" s="9"/>
      <c r="AY203" s="9"/>
      <c r="AZ203" s="9"/>
    </row>
    <row r="204" spans="2:78">
      <c r="B204" s="1170" t="s">
        <v>3852</v>
      </c>
      <c r="C204" s="1167"/>
      <c r="D204" s="1167"/>
      <c r="E204" s="1167"/>
      <c r="F204" s="1167"/>
      <c r="G204" s="1167"/>
      <c r="H204" s="1167"/>
      <c r="I204" s="1172" t="s">
        <v>4434</v>
      </c>
      <c r="J204" s="1170"/>
      <c r="K204" s="1170"/>
      <c r="L204" s="1170"/>
      <c r="M204" s="1170"/>
      <c r="N204" s="1170"/>
      <c r="O204" s="1170"/>
      <c r="P204" s="1170"/>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2:78" ht="16">
      <c r="B205" s="1179"/>
      <c r="C205" s="1981"/>
      <c r="D205" s="1981"/>
      <c r="E205" s="1981"/>
      <c r="F205" s="1981"/>
      <c r="G205" s="1981"/>
      <c r="H205" s="1167"/>
      <c r="I205" s="1981"/>
      <c r="J205" s="1981"/>
      <c r="K205" s="1981"/>
      <c r="L205" s="1981"/>
      <c r="M205" s="1981"/>
      <c r="N205" s="1981"/>
      <c r="O205" s="1981"/>
      <c r="P205" s="1170"/>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2:78" ht="16">
      <c r="B206" s="1179"/>
      <c r="C206" s="1981"/>
      <c r="D206" s="1981"/>
      <c r="E206" s="1981"/>
      <c r="F206" s="1981"/>
      <c r="G206" s="1981"/>
      <c r="H206" s="1167"/>
      <c r="I206" s="1981"/>
      <c r="J206" s="1981"/>
      <c r="K206" s="1981"/>
      <c r="L206" s="1981"/>
      <c r="M206" s="1981"/>
      <c r="N206" s="1981"/>
      <c r="O206" s="1981"/>
      <c r="P206" s="1170"/>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2:78" ht="16">
      <c r="B207" s="1179"/>
      <c r="C207" s="1981"/>
      <c r="D207" s="1981"/>
      <c r="E207" s="1981"/>
      <c r="F207" s="1981"/>
      <c r="G207" s="1981"/>
      <c r="H207" s="1167"/>
      <c r="I207" s="1981"/>
      <c r="J207" s="1981"/>
      <c r="K207" s="1981"/>
      <c r="L207" s="1981"/>
      <c r="M207" s="1981"/>
      <c r="N207" s="1981"/>
      <c r="O207" s="1981"/>
      <c r="P207" s="1170"/>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2:78" ht="16">
      <c r="B208" s="1179"/>
      <c r="C208" s="1981"/>
      <c r="D208" s="1981"/>
      <c r="E208" s="1981"/>
      <c r="F208" s="1981"/>
      <c r="G208" s="1981"/>
      <c r="H208" s="1167"/>
      <c r="I208" s="1981"/>
      <c r="J208" s="1981"/>
      <c r="K208" s="1981"/>
      <c r="L208" s="1981"/>
      <c r="M208" s="1981"/>
      <c r="N208" s="1981"/>
      <c r="O208" s="1981"/>
      <c r="P208" s="1170"/>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2:78" ht="16">
      <c r="B209" s="1179"/>
      <c r="C209" s="1981"/>
      <c r="D209" s="1981"/>
      <c r="E209" s="1981"/>
      <c r="F209" s="1981"/>
      <c r="G209" s="1981"/>
      <c r="H209" s="1167"/>
      <c r="I209" s="1981"/>
      <c r="J209" s="1981"/>
      <c r="K209" s="1981"/>
      <c r="L209" s="1981"/>
      <c r="M209" s="1981"/>
      <c r="N209" s="1981"/>
      <c r="O209" s="1981"/>
      <c r="P209" s="1170"/>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2:78" ht="16">
      <c r="B210" s="1179"/>
      <c r="C210" s="1981"/>
      <c r="D210" s="1981"/>
      <c r="E210" s="1981"/>
      <c r="F210" s="1981"/>
      <c r="G210" s="1981"/>
      <c r="H210" s="1167"/>
      <c r="I210" s="1981"/>
      <c r="J210" s="1981"/>
      <c r="K210" s="1981"/>
      <c r="L210" s="1981"/>
      <c r="M210" s="1981"/>
      <c r="N210" s="1981"/>
      <c r="O210" s="1981"/>
      <c r="P210" s="1170"/>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2:78" ht="16">
      <c r="B211" s="1179"/>
      <c r="C211" s="1981"/>
      <c r="D211" s="1981"/>
      <c r="E211" s="1981"/>
      <c r="F211" s="1981"/>
      <c r="G211" s="1981"/>
      <c r="H211" s="1167"/>
      <c r="I211" s="1981"/>
      <c r="J211" s="1981"/>
      <c r="K211" s="1981"/>
      <c r="L211" s="1981"/>
      <c r="M211" s="1981"/>
      <c r="N211" s="1981"/>
      <c r="O211" s="1981"/>
      <c r="P211" s="1170"/>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2:78" ht="16">
      <c r="B212" s="1179"/>
      <c r="C212" s="1981"/>
      <c r="D212" s="1981"/>
      <c r="E212" s="1981"/>
      <c r="F212" s="1981"/>
      <c r="G212" s="1981"/>
      <c r="H212" s="1167"/>
      <c r="I212" s="1981"/>
      <c r="J212" s="1981"/>
      <c r="K212" s="1981"/>
      <c r="L212" s="1981"/>
      <c r="M212" s="1981"/>
      <c r="N212" s="1981"/>
      <c r="O212" s="1981"/>
      <c r="P212" s="1170"/>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2:78">
      <c r="B213" s="1167"/>
      <c r="C213" s="1981"/>
      <c r="D213" s="1981"/>
      <c r="E213" s="1981"/>
      <c r="F213" s="1981"/>
      <c r="G213" s="1981"/>
      <c r="H213" s="1167"/>
      <c r="I213" s="1981"/>
      <c r="J213" s="1981"/>
      <c r="K213" s="1981"/>
      <c r="L213" s="1981"/>
      <c r="M213" s="1981"/>
      <c r="N213" s="1981"/>
      <c r="O213" s="1981"/>
      <c r="P213" s="1170"/>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2:78">
      <c r="B214" s="1167"/>
      <c r="C214" s="1170"/>
      <c r="D214" s="1170"/>
      <c r="E214" s="1170"/>
      <c r="F214" s="1170"/>
      <c r="G214" s="1170"/>
      <c r="H214" s="1167"/>
      <c r="I214" s="1733" t="s">
        <v>4766</v>
      </c>
      <c r="J214" s="1170"/>
      <c r="K214" s="1170"/>
      <c r="L214" s="1170"/>
      <c r="M214" s="1170"/>
      <c r="N214" s="1170"/>
      <c r="O214" s="1170"/>
      <c r="P214" s="1170"/>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2:78">
      <c r="B215" s="1167"/>
      <c r="C215" s="1170"/>
      <c r="D215" s="1170"/>
      <c r="E215" s="1170"/>
      <c r="F215" s="1170"/>
      <c r="G215" s="1170"/>
      <c r="H215" s="1382"/>
      <c r="I215" s="2416"/>
      <c r="J215" s="2416"/>
      <c r="K215" s="2416"/>
      <c r="L215" s="2416"/>
      <c r="M215" s="2416"/>
      <c r="N215" s="2416"/>
      <c r="O215" s="2416"/>
      <c r="P215" s="1170"/>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2:78">
      <c r="B216" s="1170"/>
      <c r="C216" s="1170"/>
      <c r="D216" s="1170"/>
      <c r="E216" s="1170"/>
      <c r="F216" s="1170"/>
      <c r="G216" s="1170"/>
      <c r="H216" s="1170"/>
      <c r="I216" s="1170"/>
      <c r="J216" s="1170"/>
      <c r="K216" s="1170"/>
      <c r="L216" s="1170"/>
      <c r="M216" s="1170"/>
      <c r="N216" s="1170"/>
      <c r="O216" s="1170"/>
      <c r="P216" s="1170"/>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sheetData>
  <sheetProtection algorithmName="SHA-512" hashValue="xoIxJiakIyiRq6d2fv4IkzpQGM8LeA5X2A2elR2qqpOz8KRGiiLybnGA21la2yBAeSm8wbiV90iDnooQeo2tvg==" saltValue="4mZXaKQmrsXU4zRAaFhhTw==" spinCount="100000" sheet="1" objects="1" scenarios="1" selectLockedCells="1"/>
  <mergeCells count="96">
    <mergeCell ref="C17:C19"/>
    <mergeCell ref="D54:I54"/>
    <mergeCell ref="J51:M51"/>
    <mergeCell ref="D20:K27"/>
    <mergeCell ref="C28:C32"/>
    <mergeCell ref="B41:O42"/>
    <mergeCell ref="D48:I48"/>
    <mergeCell ref="L32:O32"/>
    <mergeCell ref="J54:M54"/>
    <mergeCell ref="D28:K32"/>
    <mergeCell ref="D49:I49"/>
    <mergeCell ref="D50:I50"/>
    <mergeCell ref="D52:I52"/>
    <mergeCell ref="D53:I53"/>
    <mergeCell ref="J48:M48"/>
    <mergeCell ref="J49:M49"/>
    <mergeCell ref="D16:K16"/>
    <mergeCell ref="D17:K19"/>
    <mergeCell ref="C20:C27"/>
    <mergeCell ref="D55:I55"/>
    <mergeCell ref="L16:O16"/>
    <mergeCell ref="L17:O17"/>
    <mergeCell ref="L18:O18"/>
    <mergeCell ref="L19:O19"/>
    <mergeCell ref="L20:O20"/>
    <mergeCell ref="L21:O21"/>
    <mergeCell ref="L22:O22"/>
    <mergeCell ref="L23:O23"/>
    <mergeCell ref="L24:O24"/>
    <mergeCell ref="L25:O25"/>
    <mergeCell ref="L26:O26"/>
    <mergeCell ref="L27:O27"/>
    <mergeCell ref="D128:L128"/>
    <mergeCell ref="J55:M55"/>
    <mergeCell ref="B192:O194"/>
    <mergeCell ref="B196:O197"/>
    <mergeCell ref="B178:O180"/>
    <mergeCell ref="B182:O182"/>
    <mergeCell ref="B184:O184"/>
    <mergeCell ref="B186:O186"/>
    <mergeCell ref="B175:O176"/>
    <mergeCell ref="I77:O77"/>
    <mergeCell ref="I67:O75"/>
    <mergeCell ref="F171:G171"/>
    <mergeCell ref="H171:I171"/>
    <mergeCell ref="I123:O123"/>
    <mergeCell ref="B143:C143"/>
    <mergeCell ref="D86:K86"/>
    <mergeCell ref="J50:M50"/>
    <mergeCell ref="J52:M52"/>
    <mergeCell ref="J53:M53"/>
    <mergeCell ref="L28:O28"/>
    <mergeCell ref="L29:O29"/>
    <mergeCell ref="L30:O30"/>
    <mergeCell ref="D51:I51"/>
    <mergeCell ref="C113:G121"/>
    <mergeCell ref="I113:O121"/>
    <mergeCell ref="D93:K93"/>
    <mergeCell ref="D94:K94"/>
    <mergeCell ref="D95:K95"/>
    <mergeCell ref="D96:K96"/>
    <mergeCell ref="C67:G75"/>
    <mergeCell ref="B65:C65"/>
    <mergeCell ref="I65:J65"/>
    <mergeCell ref="B111:C111"/>
    <mergeCell ref="I111:J111"/>
    <mergeCell ref="D92:K92"/>
    <mergeCell ref="D83:K83"/>
    <mergeCell ref="D84:K84"/>
    <mergeCell ref="D85:K85"/>
    <mergeCell ref="D87:K87"/>
    <mergeCell ref="D88:K88"/>
    <mergeCell ref="D89:K89"/>
    <mergeCell ref="D90:K90"/>
    <mergeCell ref="D91:K91"/>
    <mergeCell ref="C205:G213"/>
    <mergeCell ref="I205:O213"/>
    <mergeCell ref="I215:O215"/>
    <mergeCell ref="B163:O164"/>
    <mergeCell ref="B169:O169"/>
    <mergeCell ref="B172:O173"/>
    <mergeCell ref="B168:C168"/>
    <mergeCell ref="L171:M171"/>
    <mergeCell ref="J171:K171"/>
    <mergeCell ref="D129:L132"/>
    <mergeCell ref="D171:E171"/>
    <mergeCell ref="I155:O155"/>
    <mergeCell ref="C129:C132"/>
    <mergeCell ref="B203:C203"/>
    <mergeCell ref="I203:J203"/>
    <mergeCell ref="B161:O161"/>
    <mergeCell ref="C133:C137"/>
    <mergeCell ref="D133:L137"/>
    <mergeCell ref="I143:J143"/>
    <mergeCell ref="C145:G153"/>
    <mergeCell ref="I145:O153"/>
  </mergeCells>
  <conditionalFormatting sqref="B14">
    <cfRule type="expression" dxfId="221" priority="25">
      <formula>S14</formula>
    </cfRule>
  </conditionalFormatting>
  <conditionalFormatting sqref="B158">
    <cfRule type="expression" dxfId="220" priority="1">
      <formula>NOT(#REF!)</formula>
    </cfRule>
  </conditionalFormatting>
  <conditionalFormatting sqref="I174:M174">
    <cfRule type="expression" dxfId="219" priority="12">
      <formula>NOT($R$22)</formula>
    </cfRule>
  </conditionalFormatting>
  <dataValidations count="3">
    <dataValidation type="list" allowBlank="1" showInputMessage="1" showErrorMessage="1" sqref="F158" xr:uid="{9ABC0BD4-534F-41CF-8A79-941D291ACADA}">
      <formula1>YesNo</formula1>
    </dataValidation>
    <dataValidation type="custom" allowBlank="1" showInputMessage="1" showErrorMessage="1" sqref="K1" xr:uid="{55D98E41-1C0B-4BE8-9520-06FBFF737126}">
      <formula1>"&lt;0&gt;0"</formula1>
    </dataValidation>
    <dataValidation type="list" allowBlank="1" showInputMessage="1" showErrorMessage="1" sqref="C86 C94" xr:uid="{BDF5BD06-BB3F-47EB-B60E-37A8F72DF927}">
      <formula1>$S$90:$S$92</formula1>
    </dataValidation>
  </dataValidations>
  <pageMargins left="0.7" right="0.7" top="0.75" bottom="0.75" header="0.3" footer="0.3"/>
  <pageSetup scale="44" orientation="portrait" r:id="rId1"/>
  <headerFooter>
    <oddHeader>&amp;L&amp;G</oddHeader>
    <oddFooter>&amp;LVersion - 2023.0.01&amp;CWHEDA MULTIFAMILY APPLICATION&amp;R&amp;P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61A32-E7D4-4449-A708-3AEA97DBBD53}">
  <sheetPr codeName="Sheet24">
    <pageSetUpPr fitToPage="1"/>
  </sheetPr>
  <dimension ref="A1:CX734"/>
  <sheetViews>
    <sheetView topLeftCell="A18" workbookViewId="0">
      <selection activeCell="C32" sqref="C32:H42"/>
    </sheetView>
  </sheetViews>
  <sheetFormatPr baseColWidth="10" defaultColWidth="8.83203125" defaultRowHeight="15"/>
  <cols>
    <col min="1" max="1" width="4.5" style="3" customWidth="1"/>
    <col min="2" max="2" width="7.1640625" customWidth="1"/>
    <col min="3" max="3" width="17.1640625" customWidth="1"/>
    <col min="4" max="4" width="16.5" customWidth="1"/>
    <col min="5" max="6" width="14.33203125" customWidth="1"/>
    <col min="7" max="8" width="15.6640625" customWidth="1"/>
    <col min="9" max="9" width="7.1640625" customWidth="1"/>
    <col min="10" max="15" width="15" customWidth="1"/>
    <col min="16" max="16" width="7.1640625" customWidth="1"/>
    <col min="17" max="21" width="8.83203125" style="9" customWidth="1"/>
    <col min="22" max="27" width="8.83203125" style="9"/>
    <col min="28" max="33" width="8.83203125" style="466"/>
    <col min="34" max="51" width="8.83203125" style="307"/>
  </cols>
  <sheetData>
    <row r="1" spans="1:102" ht="29">
      <c r="B1" s="4" t="str">
        <f>'1. TOC'!B1</f>
        <v>WHEDA 2025 Multifamily Application</v>
      </c>
      <c r="C1" s="4"/>
      <c r="D1" s="4"/>
      <c r="E1" s="4"/>
      <c r="F1" s="4"/>
      <c r="G1" s="4"/>
      <c r="H1" s="4"/>
      <c r="I1" s="4"/>
      <c r="J1" s="149" t="str">
        <f>'1. TOC'!L1</f>
        <v>v25.1.9</v>
      </c>
      <c r="K1" s="3"/>
      <c r="L1" s="1086" t="str">
        <f>HYPERLINK("#Table_of_Contents", Table_of_Contents)</f>
        <v>Table of Contents</v>
      </c>
      <c r="M1" s="4"/>
      <c r="N1" s="4"/>
      <c r="O1" s="4"/>
      <c r="P1" s="4"/>
      <c r="AB1" s="149"/>
      <c r="AC1" s="149"/>
      <c r="AD1" s="149"/>
      <c r="AE1" s="149"/>
      <c r="AF1" s="149"/>
      <c r="AG1" s="14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row>
    <row r="2" spans="1:102" ht="21">
      <c r="B2" s="1013" t="str">
        <f>_xlfn.CONCAT(IF(ISBLANK(WHEDA_Project_Number),"",_xlfn.CONCAT(WHEDA_Project_Number,"-")), Project_Name, IF(ISBLANK(Credit_percentage_applied_for),"",_xlfn.CONCAT(" (", Credit_percentage_applied_for," HTC)")))</f>
        <v/>
      </c>
      <c r="C2" s="909"/>
      <c r="D2" s="909"/>
      <c r="E2" s="909"/>
      <c r="F2" s="909"/>
      <c r="G2" s="909"/>
      <c r="H2" s="909"/>
      <c r="I2" s="909"/>
      <c r="J2" s="909"/>
      <c r="K2" s="909"/>
      <c r="L2" s="909"/>
      <c r="M2" s="909"/>
      <c r="N2" s="909"/>
      <c r="O2" s="909"/>
      <c r="P2" s="909"/>
      <c r="AB2" s="149"/>
      <c r="AC2" s="149"/>
      <c r="AD2" s="149"/>
      <c r="AE2" s="149"/>
      <c r="AF2" s="149"/>
      <c r="AG2" s="14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row>
    <row r="3" spans="1:102" s="217" customFormat="1" ht="16">
      <c r="A3" s="979" t="s">
        <v>4828</v>
      </c>
      <c r="C3" s="1022"/>
      <c r="D3" s="1022"/>
      <c r="E3" s="1022"/>
      <c r="F3" s="1022"/>
      <c r="G3" s="1022"/>
      <c r="H3" s="1022"/>
      <c r="I3" s="1022"/>
      <c r="J3" s="1022"/>
      <c r="K3" s="1022"/>
      <c r="L3" s="1022"/>
      <c r="M3" s="1022"/>
      <c r="N3" s="1022"/>
      <c r="O3" s="1022"/>
      <c r="P3" s="1022"/>
      <c r="Q3" s="11"/>
      <c r="R3" s="11"/>
      <c r="S3" s="11"/>
      <c r="T3" s="11"/>
      <c r="U3" s="11"/>
      <c r="V3" s="11"/>
      <c r="W3" s="11"/>
      <c r="X3" s="11"/>
      <c r="Y3" s="11"/>
      <c r="Z3" s="11"/>
      <c r="AA3" s="11"/>
      <c r="AB3" s="973"/>
      <c r="AC3" s="973"/>
      <c r="AD3" s="973"/>
      <c r="AE3" s="973"/>
      <c r="AF3" s="973"/>
      <c r="AG3" s="973"/>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row>
    <row r="4" spans="1:102" s="217" customFormat="1" ht="29">
      <c r="A4" s="979"/>
      <c r="B4" s="4" t="s">
        <v>4829</v>
      </c>
      <c r="C4" s="1022"/>
      <c r="D4" s="1022"/>
      <c r="E4" s="1022"/>
      <c r="F4" s="1022"/>
      <c r="G4" s="1022"/>
      <c r="H4" s="1022"/>
      <c r="I4" s="1022"/>
      <c r="J4" s="1022"/>
      <c r="K4" s="1022"/>
      <c r="L4" s="1022"/>
      <c r="M4" s="1022"/>
      <c r="N4" s="1022"/>
      <c r="O4" s="1022"/>
      <c r="P4" s="1022"/>
      <c r="Q4" s="11"/>
      <c r="R4" s="11"/>
      <c r="S4" s="11"/>
      <c r="T4" s="11"/>
      <c r="U4" s="11"/>
      <c r="V4" s="11"/>
      <c r="W4" s="11"/>
      <c r="X4" s="11"/>
      <c r="Y4" s="11"/>
      <c r="Z4" s="11"/>
      <c r="AA4" s="11"/>
      <c r="AB4" s="973"/>
      <c r="AC4" s="973"/>
      <c r="AD4" s="973"/>
      <c r="AE4" s="973"/>
      <c r="AF4" s="973"/>
      <c r="AG4" s="973"/>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row>
    <row r="5" spans="1:102" s="3" customFormat="1" ht="20.25" customHeight="1">
      <c r="A5" s="979"/>
      <c r="B5" s="977" t="s">
        <v>4830</v>
      </c>
      <c r="C5" s="873"/>
      <c r="D5" s="873"/>
      <c r="E5" s="873"/>
      <c r="F5" s="873"/>
      <c r="G5" s="873"/>
      <c r="H5" s="873"/>
      <c r="I5" s="873"/>
      <c r="J5" s="873"/>
      <c r="K5" s="873"/>
      <c r="L5" s="873"/>
      <c r="M5" s="873"/>
      <c r="N5" s="873"/>
      <c r="O5" s="873"/>
      <c r="P5" s="873"/>
      <c r="Q5" s="9"/>
      <c r="R5" s="9"/>
      <c r="S5" s="9"/>
      <c r="T5" s="9"/>
      <c r="U5" s="9"/>
      <c r="V5" s="9"/>
      <c r="W5" s="9"/>
      <c r="X5" s="9"/>
      <c r="Y5" s="9"/>
      <c r="Z5" s="9"/>
      <c r="AA5" s="9"/>
      <c r="AB5" s="149"/>
      <c r="AC5" s="149"/>
      <c r="AD5" s="149"/>
      <c r="AE5" s="149"/>
      <c r="AF5" s="149"/>
      <c r="AG5" s="14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row>
    <row r="6" spans="1:102" s="3" customFormat="1" ht="14.25" customHeight="1">
      <c r="A6" s="979"/>
      <c r="B6" s="1389" t="s">
        <v>4733</v>
      </c>
      <c r="C6" s="1390"/>
      <c r="D6" s="1390"/>
      <c r="E6" s="1390"/>
      <c r="F6" s="1390"/>
      <c r="G6" s="1390"/>
      <c r="H6" s="1390"/>
      <c r="I6" s="1390"/>
      <c r="J6" s="1390"/>
      <c r="K6" s="1390"/>
      <c r="L6" s="1390"/>
      <c r="M6" s="1390"/>
      <c r="N6" s="1390"/>
      <c r="O6" s="1390"/>
      <c r="P6" s="1390"/>
      <c r="Q6" s="9"/>
      <c r="R6" s="9"/>
      <c r="S6" s="9"/>
      <c r="T6" s="9"/>
      <c r="U6" s="9"/>
      <c r="V6" s="9"/>
      <c r="W6" s="9"/>
      <c r="X6" s="9"/>
      <c r="Y6" s="9"/>
      <c r="Z6" s="9"/>
      <c r="AA6" s="9"/>
      <c r="AB6" s="149"/>
      <c r="AC6" s="149"/>
      <c r="AD6" s="149"/>
      <c r="AE6" s="149"/>
      <c r="AF6" s="149"/>
      <c r="AG6" s="14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row>
    <row r="7" spans="1:102" s="3" customFormat="1" ht="15" customHeight="1">
      <c r="A7" s="979"/>
      <c r="B7" s="1390"/>
      <c r="C7" s="1390"/>
      <c r="D7" s="1390"/>
      <c r="E7" s="1390"/>
      <c r="F7" s="1390"/>
      <c r="G7" s="1390"/>
      <c r="H7" s="1390"/>
      <c r="I7" s="1390"/>
      <c r="J7" s="1390"/>
      <c r="K7" s="1390"/>
      <c r="L7" s="1390"/>
      <c r="M7" s="1390"/>
      <c r="N7" s="1390"/>
      <c r="O7" s="1390"/>
      <c r="P7" s="1390"/>
      <c r="Q7" s="9"/>
      <c r="R7" s="9"/>
      <c r="S7" s="9"/>
      <c r="T7" s="9"/>
      <c r="U7" s="9"/>
      <c r="V7" s="9"/>
      <c r="W7" s="9"/>
      <c r="X7" s="9"/>
      <c r="Y7" s="9"/>
      <c r="Z7" s="9"/>
      <c r="AA7" s="9"/>
      <c r="AB7" s="149"/>
      <c r="AC7" s="149"/>
      <c r="AD7" s="149"/>
      <c r="AE7" s="149"/>
      <c r="AF7" s="149"/>
      <c r="AG7" s="14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row>
    <row r="8" spans="1:102" s="3" customFormat="1" ht="15" customHeight="1">
      <c r="A8" s="979"/>
      <c r="B8" s="1390"/>
      <c r="C8" s="1400" t="s">
        <v>4734</v>
      </c>
      <c r="D8" s="1400" t="s">
        <v>4708</v>
      </c>
      <c r="E8" s="1400" t="s">
        <v>1010</v>
      </c>
      <c r="F8" s="1390"/>
      <c r="G8" s="1390"/>
      <c r="H8" s="1390"/>
      <c r="I8" s="1390"/>
      <c r="J8" s="1390"/>
      <c r="K8" s="1390"/>
      <c r="L8" s="1390"/>
      <c r="M8" s="1390"/>
      <c r="N8" s="1390"/>
      <c r="O8" s="1390"/>
      <c r="P8" s="1390"/>
      <c r="Q8" s="9"/>
      <c r="R8" s="9"/>
      <c r="S8" s="9"/>
      <c r="T8" s="9"/>
      <c r="U8" s="9"/>
      <c r="V8" s="9"/>
      <c r="W8" s="9"/>
      <c r="X8" s="9"/>
      <c r="Y8" s="9"/>
      <c r="Z8" s="9"/>
      <c r="AA8" s="9"/>
      <c r="AB8" s="149"/>
      <c r="AC8" s="149"/>
      <c r="AD8" s="149"/>
      <c r="AE8" s="149"/>
      <c r="AF8" s="149"/>
      <c r="AG8" s="14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row>
    <row r="9" spans="1:102" s="3" customFormat="1" ht="15" customHeight="1">
      <c r="A9" s="979"/>
      <c r="B9" s="1390"/>
      <c r="C9" s="1005">
        <v>53</v>
      </c>
      <c r="D9" s="986">
        <f>SUM(D28,D59,D96,D132)</f>
        <v>0</v>
      </c>
      <c r="E9" s="1006">
        <f>SUM(E28,E59,E96,E132)</f>
        <v>0</v>
      </c>
      <c r="F9" s="1390"/>
      <c r="G9" s="1390"/>
      <c r="H9" s="1390"/>
      <c r="I9" s="1390"/>
      <c r="J9" s="1390"/>
      <c r="K9" s="1390"/>
      <c r="L9" s="1390"/>
      <c r="M9" s="1390"/>
      <c r="N9" s="1390"/>
      <c r="O9" s="1390"/>
      <c r="P9" s="1390"/>
      <c r="Q9" s="9"/>
      <c r="R9" s="9"/>
      <c r="S9" s="9"/>
      <c r="T9" s="9"/>
      <c r="U9" s="9"/>
      <c r="V9" s="9"/>
      <c r="W9" s="9"/>
      <c r="X9" s="9"/>
      <c r="Y9" s="9"/>
      <c r="Z9" s="9"/>
      <c r="AA9" s="9"/>
      <c r="AB9" s="149"/>
      <c r="AC9" s="149"/>
      <c r="AD9" s="149"/>
      <c r="AE9" s="149"/>
      <c r="AF9" s="149"/>
      <c r="AG9" s="14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row>
    <row r="10" spans="1:102" s="3" customFormat="1" ht="15" customHeight="1">
      <c r="A10" s="891"/>
      <c r="B10" s="1167"/>
      <c r="C10" s="1167"/>
      <c r="D10" s="1167"/>
      <c r="E10" s="1167"/>
      <c r="F10" s="1167"/>
      <c r="G10" s="1167"/>
      <c r="H10" s="1167"/>
      <c r="I10" s="1167"/>
      <c r="J10" s="1167"/>
      <c r="K10" s="1167"/>
      <c r="L10" s="1167"/>
      <c r="M10" s="1167"/>
      <c r="N10" s="1167"/>
      <c r="O10" s="1167"/>
      <c r="P10" s="1167"/>
      <c r="Q10" s="9"/>
      <c r="R10" s="9"/>
      <c r="S10" s="9"/>
      <c r="T10" s="9"/>
      <c r="U10" s="9"/>
      <c r="V10" s="9"/>
      <c r="W10" s="9"/>
      <c r="X10" s="9"/>
      <c r="Y10" s="9"/>
      <c r="Z10" s="9"/>
      <c r="AA10" s="9"/>
      <c r="AB10" s="149"/>
      <c r="AC10" s="149"/>
      <c r="AD10" s="149"/>
      <c r="AE10" s="149"/>
      <c r="AF10" s="149"/>
      <c r="AG10" s="14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row>
    <row r="11" spans="1:102" ht="21" customHeight="1">
      <c r="B11" s="977" t="s">
        <v>4831</v>
      </c>
      <c r="C11" s="896"/>
      <c r="D11" s="896"/>
      <c r="E11" s="896"/>
      <c r="F11" s="896"/>
      <c r="G11" s="896"/>
      <c r="H11" s="896"/>
      <c r="I11" s="896"/>
      <c r="J11" s="896"/>
      <c r="K11" s="896"/>
      <c r="L11" s="896"/>
      <c r="M11" s="896"/>
      <c r="N11" s="896"/>
      <c r="O11" s="896"/>
      <c r="P11" s="896"/>
      <c r="AB11" s="149"/>
      <c r="AC11" s="149"/>
      <c r="AD11" s="149"/>
      <c r="AE11" s="149"/>
      <c r="AF11" s="149"/>
      <c r="AG11" s="14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row>
    <row r="12" spans="1:102">
      <c r="B12" s="1170" t="s">
        <v>3736</v>
      </c>
      <c r="C12" s="1167"/>
      <c r="D12" s="1167"/>
      <c r="E12" s="1167"/>
      <c r="F12" s="1167"/>
      <c r="G12" s="1167"/>
      <c r="H12" s="1167"/>
      <c r="I12" s="1167"/>
      <c r="J12" s="1167"/>
      <c r="K12" s="1167"/>
      <c r="L12" s="1167"/>
      <c r="M12" s="1167"/>
      <c r="N12" s="1167"/>
      <c r="O12" s="1167"/>
      <c r="P12" s="1167"/>
      <c r="AB12" s="149"/>
      <c r="AC12" s="149"/>
      <c r="AD12" s="149"/>
      <c r="AE12" s="149"/>
      <c r="AF12" s="149"/>
      <c r="AG12" s="14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row>
    <row r="13" spans="1:102" s="1" customFormat="1">
      <c r="A13" s="640"/>
      <c r="B13" s="1175" t="s">
        <v>4832</v>
      </c>
      <c r="C13" s="1391"/>
      <c r="D13" s="1391"/>
      <c r="E13" s="1391"/>
      <c r="F13" s="1391"/>
      <c r="G13" s="1391"/>
      <c r="H13" s="1391"/>
      <c r="I13" s="1391"/>
      <c r="J13" s="1391"/>
      <c r="K13" s="1722" t="s">
        <v>4833</v>
      </c>
      <c r="L13" s="1722" t="s">
        <v>4739</v>
      </c>
      <c r="M13" s="1391"/>
      <c r="N13" s="1391"/>
      <c r="O13" s="1391"/>
      <c r="P13" s="1391"/>
      <c r="Q13" s="9"/>
      <c r="R13" s="9"/>
      <c r="S13" s="9"/>
      <c r="T13" s="9"/>
      <c r="U13" s="9"/>
      <c r="V13" s="9"/>
      <c r="W13" s="9"/>
      <c r="X13" s="9"/>
      <c r="Y13" s="9"/>
      <c r="Z13" s="9"/>
      <c r="AA13" s="9"/>
      <c r="AB13" s="149"/>
      <c r="AC13" s="149"/>
      <c r="AD13" s="149"/>
      <c r="AE13" s="149"/>
      <c r="AF13" s="149"/>
      <c r="AG13" s="149"/>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row>
    <row r="14" spans="1:102">
      <c r="B14" s="1175" t="s">
        <v>4834</v>
      </c>
      <c r="C14" s="1167"/>
      <c r="D14" s="1167"/>
      <c r="E14" s="1167"/>
      <c r="F14" s="1167"/>
      <c r="G14" s="1167"/>
      <c r="H14" s="1167"/>
      <c r="I14" s="1167"/>
      <c r="J14" s="1167"/>
      <c r="K14" s="1372" t="s">
        <v>4835</v>
      </c>
      <c r="L14" s="1372">
        <v>1</v>
      </c>
      <c r="M14" s="1167"/>
      <c r="N14" s="1167"/>
      <c r="O14" s="1167"/>
      <c r="P14" s="1167"/>
      <c r="AB14" s="149"/>
      <c r="AC14" s="149"/>
      <c r="AD14" s="149"/>
      <c r="AE14" s="149"/>
      <c r="AF14" s="149"/>
      <c r="AG14" s="14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row>
    <row r="15" spans="1:102">
      <c r="B15" s="1231" t="s">
        <v>4836</v>
      </c>
      <c r="C15" s="1167"/>
      <c r="D15" s="1167"/>
      <c r="E15" s="1167"/>
      <c r="F15" s="1167"/>
      <c r="G15" s="1167"/>
      <c r="H15" s="1167"/>
      <c r="I15" s="1167"/>
      <c r="J15" s="1167"/>
      <c r="K15" s="1372" t="s">
        <v>4837</v>
      </c>
      <c r="L15" s="1372">
        <v>3</v>
      </c>
      <c r="M15" s="1167"/>
      <c r="N15" s="1167"/>
      <c r="O15" s="1167"/>
      <c r="P15" s="1167"/>
      <c r="AB15" s="149"/>
      <c r="AC15" s="149"/>
      <c r="AD15" s="149"/>
      <c r="AE15" s="149"/>
      <c r="AF15" s="149"/>
      <c r="AG15" s="14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row>
    <row r="16" spans="1:102">
      <c r="B16" s="1167"/>
      <c r="C16" s="1167"/>
      <c r="D16" s="1167"/>
      <c r="E16" s="1167"/>
      <c r="F16" s="1167"/>
      <c r="G16" s="1167"/>
      <c r="H16" s="1167"/>
      <c r="I16" s="1167"/>
      <c r="J16" s="1167"/>
      <c r="K16" s="1372" t="s">
        <v>4838</v>
      </c>
      <c r="L16" s="1372">
        <v>5</v>
      </c>
      <c r="M16" s="1167"/>
      <c r="N16" s="1167"/>
      <c r="O16" s="1167"/>
      <c r="P16" s="1167"/>
      <c r="AB16" s="149"/>
      <c r="AC16" s="149"/>
      <c r="AD16" s="149"/>
      <c r="AE16" s="149"/>
      <c r="AF16" s="149"/>
      <c r="AG16" s="14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row>
    <row r="17" spans="1:102" s="46" customFormat="1">
      <c r="A17" s="131"/>
      <c r="B17" s="1175"/>
      <c r="C17" s="1175"/>
      <c r="D17" s="1175"/>
      <c r="E17" s="1175"/>
      <c r="F17" s="1175"/>
      <c r="G17" s="1175"/>
      <c r="H17" s="1175"/>
      <c r="I17" s="1175"/>
      <c r="J17" s="1175"/>
      <c r="K17" s="1175"/>
      <c r="L17" s="1175"/>
      <c r="M17" s="1175"/>
      <c r="N17" s="1175"/>
      <c r="O17" s="1175"/>
      <c r="P17" s="1175"/>
      <c r="Q17" s="9"/>
      <c r="R17" s="9"/>
      <c r="S17" s="9"/>
      <c r="T17" s="9"/>
      <c r="U17" s="9"/>
      <c r="V17" s="9"/>
      <c r="W17" s="9"/>
      <c r="X17" s="9"/>
      <c r="Y17" s="9"/>
      <c r="Z17" s="9"/>
      <c r="AA17" s="9"/>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row>
    <row r="18" spans="1:102">
      <c r="B18" s="1167"/>
      <c r="C18" s="2455" t="s">
        <v>4839</v>
      </c>
      <c r="D18" s="2455"/>
      <c r="E18" s="2455" t="s">
        <v>4840</v>
      </c>
      <c r="F18" s="2455"/>
      <c r="G18" s="2455" t="s">
        <v>4841</v>
      </c>
      <c r="H18" s="2455"/>
      <c r="I18" s="2455" t="s">
        <v>4739</v>
      </c>
      <c r="J18" s="2455"/>
      <c r="K18" s="1167"/>
      <c r="L18" s="1167"/>
      <c r="M18" s="1167"/>
      <c r="N18" s="1167"/>
      <c r="O18" s="1167"/>
      <c r="P18" s="1167"/>
      <c r="Q18" s="9">
        <f>LowIncome3BRUnits</f>
        <v>0</v>
      </c>
      <c r="R18" s="9" t="s">
        <v>4842</v>
      </c>
      <c r="AB18" s="149"/>
      <c r="AC18" s="149"/>
      <c r="AD18" s="149"/>
      <c r="AE18" s="149"/>
      <c r="AF18" s="149"/>
      <c r="AG18" s="14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row>
    <row r="19" spans="1:102">
      <c r="B19" s="1167"/>
      <c r="C19" s="2459">
        <f>Q18</f>
        <v>0</v>
      </c>
      <c r="D19" s="2459"/>
      <c r="E19" s="2460">
        <f>Q19</f>
        <v>0</v>
      </c>
      <c r="F19" s="2459"/>
      <c r="G19" s="2461">
        <f>Q20</f>
        <v>0</v>
      </c>
      <c r="H19" s="2461"/>
      <c r="I19" s="2456">
        <f>IF(AND(G19&gt;=5%,G19&lt;11%),L14,IF(AND(G19&gt;=11%,G19&lt;16%),L15,IF(G19&gt;=16%,L16,0)))</f>
        <v>0</v>
      </c>
      <c r="J19" s="2456"/>
      <c r="K19" s="1167"/>
      <c r="L19" s="1167"/>
      <c r="M19" s="1167"/>
      <c r="N19" s="1167"/>
      <c r="O19" s="1167"/>
      <c r="P19" s="1167"/>
      <c r="Q19" s="931">
        <f>'11. Unit Mix'!F126</f>
        <v>0</v>
      </c>
      <c r="R19" s="9" t="s">
        <v>4843</v>
      </c>
      <c r="AB19" s="149"/>
      <c r="AC19" s="149"/>
      <c r="AD19" s="149"/>
      <c r="AE19" s="149"/>
      <c r="AF19" s="149"/>
      <c r="AG19" s="14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row>
    <row r="20" spans="1:102">
      <c r="B20" s="1167"/>
      <c r="C20" s="1167"/>
      <c r="D20" s="1167"/>
      <c r="E20" s="1167"/>
      <c r="F20" s="1167"/>
      <c r="G20" s="1167"/>
      <c r="H20" s="1167"/>
      <c r="I20" s="1167"/>
      <c r="J20" s="1167"/>
      <c r="K20" s="1167"/>
      <c r="L20" s="1167"/>
      <c r="M20" s="1167"/>
      <c r="N20" s="1167"/>
      <c r="O20" s="1167"/>
      <c r="P20" s="1167"/>
      <c r="Q20" s="9">
        <f>IF(Q19=0, 0, ROUNDDOWN(Q18/Q19, 2))</f>
        <v>0</v>
      </c>
      <c r="AB20" s="149"/>
      <c r="AC20" s="149"/>
      <c r="AD20" s="149"/>
      <c r="AE20" s="149"/>
      <c r="AF20" s="149"/>
      <c r="AG20" s="14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row>
    <row r="21" spans="1:102">
      <c r="B21" s="1167" t="s">
        <v>4844</v>
      </c>
      <c r="C21" s="1167"/>
      <c r="D21" s="1167"/>
      <c r="E21" s="1167"/>
      <c r="F21" s="1167"/>
      <c r="G21" s="1167"/>
      <c r="H21" s="1167"/>
      <c r="I21" s="1167"/>
      <c r="J21" s="1167"/>
      <c r="K21" s="1167"/>
      <c r="L21" s="1167"/>
      <c r="M21" s="1167"/>
      <c r="N21" s="1167"/>
      <c r="O21" s="1167"/>
      <c r="P21" s="1167"/>
      <c r="AB21" s="149"/>
      <c r="AC21" s="149"/>
      <c r="AD21" s="149"/>
      <c r="AE21" s="149"/>
      <c r="AF21" s="149"/>
      <c r="AG21" s="14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row>
    <row r="22" spans="1:102">
      <c r="B22" s="1167"/>
      <c r="C22" s="1167"/>
      <c r="D22" s="1167"/>
      <c r="E22" s="1167"/>
      <c r="F22" s="1167"/>
      <c r="G22" s="1167"/>
      <c r="H22" s="1167"/>
      <c r="I22" s="1167"/>
      <c r="J22" s="1167"/>
      <c r="K22" s="1167"/>
      <c r="L22" s="1167"/>
      <c r="M22" s="1167"/>
      <c r="N22" s="1167"/>
      <c r="O22" s="1167"/>
      <c r="P22" s="1167"/>
      <c r="AB22" s="149"/>
      <c r="AC22" s="149"/>
      <c r="AD22" s="149"/>
      <c r="AE22" s="149"/>
      <c r="AF22" s="149"/>
      <c r="AG22" s="14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row>
    <row r="23" spans="1:102" ht="32">
      <c r="B23" s="1167"/>
      <c r="C23" s="1722" t="s">
        <v>4845</v>
      </c>
      <c r="D23" s="1728" t="s">
        <v>4846</v>
      </c>
      <c r="E23" s="2455" t="s">
        <v>4847</v>
      </c>
      <c r="F23" s="2455"/>
      <c r="G23" s="1722" t="s">
        <v>4739</v>
      </c>
      <c r="H23" s="1167"/>
      <c r="I23" s="1167"/>
      <c r="J23" s="1167"/>
      <c r="K23" s="1722" t="s">
        <v>4833</v>
      </c>
      <c r="L23" s="1722" t="s">
        <v>4739</v>
      </c>
      <c r="M23" s="1167"/>
      <c r="N23" s="1167"/>
      <c r="O23" s="1167"/>
      <c r="P23" s="1167"/>
      <c r="AB23" s="149"/>
      <c r="AC23" s="149"/>
      <c r="AD23" s="149"/>
      <c r="AE23" s="149"/>
      <c r="AF23" s="149"/>
      <c r="AG23" s="14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row>
    <row r="24" spans="1:102">
      <c r="B24" s="1167"/>
      <c r="C24" s="1718" t="str">
        <f>IFERROR(IF(E24&gt;50%,"Yes","No")," ")</f>
        <v>No</v>
      </c>
      <c r="D24" s="1718">
        <f>Age_Restricted_Number_of_Units</f>
        <v>0</v>
      </c>
      <c r="E24" s="2464">
        <f>IF(Total_Units&gt;0,D24/Total_Units,0)</f>
        <v>0</v>
      </c>
      <c r="F24" s="2464"/>
      <c r="G24" s="1718">
        <f>IF(isQualifiedSenior="Yes",5,0)</f>
        <v>0</v>
      </c>
      <c r="H24" s="1167"/>
      <c r="I24" s="1167"/>
      <c r="J24" s="1167"/>
      <c r="K24" s="1372" t="s">
        <v>4848</v>
      </c>
      <c r="L24" s="1372">
        <v>5</v>
      </c>
      <c r="M24" s="1167"/>
      <c r="N24" s="1167"/>
      <c r="O24" s="1167"/>
      <c r="P24" s="1167"/>
      <c r="AB24" s="149"/>
      <c r="AC24" s="149"/>
      <c r="AD24" s="149"/>
      <c r="AE24" s="149"/>
      <c r="AF24" s="149"/>
      <c r="AG24" s="14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row>
    <row r="25" spans="1:102" ht="19">
      <c r="B25" s="1392"/>
      <c r="C25" s="1392"/>
      <c r="D25" s="1392"/>
      <c r="E25" s="1392"/>
      <c r="F25" s="1392"/>
      <c r="G25" s="1392"/>
      <c r="H25" s="1392"/>
      <c r="I25" s="1392"/>
      <c r="J25" s="1392"/>
      <c r="K25" s="1392"/>
      <c r="L25" s="1392"/>
      <c r="M25" s="1392"/>
      <c r="N25" s="1392"/>
      <c r="O25" s="1392"/>
      <c r="P25" s="1392"/>
      <c r="AB25" s="149"/>
      <c r="AC25" s="149"/>
      <c r="AD25" s="149"/>
      <c r="AE25" s="149"/>
      <c r="AF25" s="149"/>
      <c r="AG25" s="14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row>
    <row r="26" spans="1:102" ht="19">
      <c r="B26" s="1392"/>
      <c r="C26" s="1392"/>
      <c r="D26" s="1392"/>
      <c r="E26" s="1392"/>
      <c r="F26" s="1392"/>
      <c r="G26" s="1392"/>
      <c r="H26" s="1392"/>
      <c r="I26" s="1392"/>
      <c r="J26" s="1392"/>
      <c r="K26" s="1392"/>
      <c r="L26" s="1392"/>
      <c r="M26" s="1392"/>
      <c r="N26" s="1392"/>
      <c r="O26" s="1392"/>
      <c r="P26" s="1392"/>
      <c r="Q26" s="9">
        <f>IF(isQualifiedSenior="Yes",G24,I19)</f>
        <v>0</v>
      </c>
      <c r="AB26" s="149"/>
      <c r="AC26" s="149"/>
      <c r="AD26" s="149"/>
      <c r="AE26" s="149"/>
      <c r="AF26" s="149"/>
      <c r="AG26" s="14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row>
    <row r="27" spans="1:102" ht="16">
      <c r="B27" s="1167"/>
      <c r="C27" s="1401" t="s">
        <v>4734</v>
      </c>
      <c r="D27" s="1401" t="s">
        <v>4708</v>
      </c>
      <c r="E27" s="1401" t="s">
        <v>1010</v>
      </c>
      <c r="F27" s="1167"/>
      <c r="G27" s="1167"/>
      <c r="H27" s="1167"/>
      <c r="I27" s="1167"/>
      <c r="J27" s="1167"/>
      <c r="K27" s="1167"/>
      <c r="L27" s="1167"/>
      <c r="M27" s="1167"/>
      <c r="N27" s="1167"/>
      <c r="O27" s="1167"/>
      <c r="P27" s="1167"/>
      <c r="AB27" s="149"/>
      <c r="AC27" s="149"/>
      <c r="AD27" s="149"/>
      <c r="AE27" s="149"/>
      <c r="AF27" s="149"/>
      <c r="AG27" s="14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row>
    <row r="28" spans="1:102" ht="19">
      <c r="B28" s="1392"/>
      <c r="C28" s="984">
        <v>5</v>
      </c>
      <c r="D28" s="1735">
        <f>Q26</f>
        <v>0</v>
      </c>
      <c r="E28" s="1734"/>
      <c r="F28" s="1392"/>
      <c r="G28" s="1392"/>
      <c r="H28" s="1392"/>
      <c r="I28" s="1392"/>
      <c r="J28" s="1392"/>
      <c r="K28" s="1392"/>
      <c r="L28" s="1392"/>
      <c r="M28" s="1392"/>
      <c r="N28" s="1392"/>
      <c r="O28" s="1392"/>
      <c r="P28" s="1392"/>
      <c r="AB28" s="149"/>
      <c r="AC28" s="149"/>
      <c r="AD28" s="149"/>
      <c r="AE28" s="149"/>
      <c r="AF28" s="149"/>
      <c r="AG28" s="14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row>
    <row r="29" spans="1:102">
      <c r="B29" s="1167"/>
      <c r="C29" s="1167"/>
      <c r="D29" s="1167"/>
      <c r="E29" s="1167"/>
      <c r="F29" s="1167"/>
      <c r="G29" s="1167"/>
      <c r="H29" s="1167"/>
      <c r="I29" s="1167"/>
      <c r="J29" s="1167"/>
      <c r="K29" s="1167"/>
      <c r="L29" s="1167"/>
      <c r="M29" s="1167"/>
      <c r="N29" s="1167"/>
      <c r="O29" s="1167"/>
      <c r="P29" s="1167"/>
      <c r="AB29" s="149"/>
      <c r="AC29" s="149"/>
      <c r="AD29" s="149"/>
      <c r="AE29" s="149"/>
      <c r="AF29" s="149"/>
      <c r="AG29" s="14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row>
    <row r="30" spans="1:102" ht="19">
      <c r="B30" s="8" t="s">
        <v>4849</v>
      </c>
      <c r="C30" s="8"/>
      <c r="D30" s="8"/>
      <c r="E30" s="8"/>
      <c r="F30" s="8"/>
      <c r="G30" s="8"/>
      <c r="H30" s="8"/>
      <c r="I30" s="8"/>
      <c r="J30" s="8" t="s">
        <v>4850</v>
      </c>
      <c r="K30" s="8"/>
      <c r="L30" s="8"/>
      <c r="M30" s="8"/>
      <c r="N30" s="8"/>
      <c r="O30" s="8"/>
      <c r="P30" s="8"/>
      <c r="AB30" s="149"/>
      <c r="AC30" s="149"/>
      <c r="AD30" s="149"/>
      <c r="AE30" s="149"/>
      <c r="AF30" s="149"/>
      <c r="AG30" s="14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row>
    <row r="31" spans="1:102">
      <c r="B31" s="1170" t="s">
        <v>4538</v>
      </c>
      <c r="C31" s="1167"/>
      <c r="D31" s="1167"/>
      <c r="E31" s="1167"/>
      <c r="F31" s="1167"/>
      <c r="G31" s="1167"/>
      <c r="H31" s="1167"/>
      <c r="I31" s="1167"/>
      <c r="J31" s="1172" t="s">
        <v>3371</v>
      </c>
      <c r="K31" s="1167"/>
      <c r="L31" s="1167"/>
      <c r="M31" s="1167"/>
      <c r="N31" s="1167"/>
      <c r="O31" s="1167"/>
      <c r="P31" s="1167"/>
      <c r="AB31" s="149"/>
      <c r="AC31" s="149"/>
      <c r="AD31" s="149"/>
      <c r="AE31" s="149"/>
      <c r="AF31" s="149"/>
      <c r="AG31" s="14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row>
    <row r="32" spans="1:102">
      <c r="B32" s="1167"/>
      <c r="C32" s="1981"/>
      <c r="D32" s="1981"/>
      <c r="E32" s="1981"/>
      <c r="F32" s="1981"/>
      <c r="G32" s="1981"/>
      <c r="H32" s="1981"/>
      <c r="I32" s="1167"/>
      <c r="J32" s="1957"/>
      <c r="K32" s="1957"/>
      <c r="L32" s="1957"/>
      <c r="M32" s="1957"/>
      <c r="N32" s="1957"/>
      <c r="O32" s="2452"/>
      <c r="P32" s="1167"/>
      <c r="AB32" s="149"/>
      <c r="AC32" s="149"/>
      <c r="AD32" s="149"/>
      <c r="AE32" s="149"/>
      <c r="AF32" s="149"/>
      <c r="AG32" s="14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row>
    <row r="33" spans="1:102">
      <c r="B33" s="1167"/>
      <c r="C33" s="1981"/>
      <c r="D33" s="1981"/>
      <c r="E33" s="1981"/>
      <c r="F33" s="1981"/>
      <c r="G33" s="1981"/>
      <c r="H33" s="1981"/>
      <c r="I33" s="1167"/>
      <c r="J33" s="1957"/>
      <c r="K33" s="1957"/>
      <c r="L33" s="1957"/>
      <c r="M33" s="1957"/>
      <c r="N33" s="1957"/>
      <c r="O33" s="2452"/>
      <c r="P33" s="1167"/>
      <c r="AB33" s="149"/>
      <c r="AC33" s="149"/>
      <c r="AD33" s="149"/>
      <c r="AE33" s="149"/>
      <c r="AF33" s="149"/>
      <c r="AG33" s="14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row>
    <row r="34" spans="1:102">
      <c r="B34" s="1167"/>
      <c r="C34" s="1981"/>
      <c r="D34" s="1981"/>
      <c r="E34" s="1981"/>
      <c r="F34" s="1981"/>
      <c r="G34" s="1981"/>
      <c r="H34" s="1981"/>
      <c r="I34" s="1167"/>
      <c r="J34" s="1957"/>
      <c r="K34" s="1957"/>
      <c r="L34" s="1957"/>
      <c r="M34" s="1957"/>
      <c r="N34" s="1957"/>
      <c r="O34" s="2452"/>
      <c r="P34" s="1167"/>
      <c r="AB34" s="149"/>
      <c r="AC34" s="149"/>
      <c r="AD34" s="149"/>
      <c r="AE34" s="149"/>
      <c r="AF34" s="149"/>
      <c r="AG34" s="14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row>
    <row r="35" spans="1:102">
      <c r="B35" s="1167"/>
      <c r="C35" s="1981"/>
      <c r="D35" s="1981"/>
      <c r="E35" s="1981"/>
      <c r="F35" s="1981"/>
      <c r="G35" s="1981"/>
      <c r="H35" s="1981"/>
      <c r="I35" s="1167"/>
      <c r="J35" s="1957"/>
      <c r="K35" s="1957"/>
      <c r="L35" s="1957"/>
      <c r="M35" s="1957"/>
      <c r="N35" s="1957"/>
      <c r="O35" s="2452"/>
      <c r="P35" s="1167"/>
      <c r="AB35" s="149"/>
      <c r="AC35" s="149"/>
      <c r="AD35" s="149"/>
      <c r="AE35" s="149"/>
      <c r="AF35" s="149"/>
      <c r="AG35" s="14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row>
    <row r="36" spans="1:102">
      <c r="B36" s="1167"/>
      <c r="C36" s="1981"/>
      <c r="D36" s="1981"/>
      <c r="E36" s="1981"/>
      <c r="F36" s="1981"/>
      <c r="G36" s="1981"/>
      <c r="H36" s="1981"/>
      <c r="I36" s="1167"/>
      <c r="J36" s="1957"/>
      <c r="K36" s="1957"/>
      <c r="L36" s="1957"/>
      <c r="M36" s="1957"/>
      <c r="N36" s="1957"/>
      <c r="O36" s="2452"/>
      <c r="P36" s="1167"/>
      <c r="AB36" s="149"/>
      <c r="AC36" s="149"/>
      <c r="AD36" s="149"/>
      <c r="AE36" s="149"/>
      <c r="AF36" s="149"/>
      <c r="AG36" s="14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row>
    <row r="37" spans="1:102">
      <c r="B37" s="1167"/>
      <c r="C37" s="1981"/>
      <c r="D37" s="1981"/>
      <c r="E37" s="1981"/>
      <c r="F37" s="1981"/>
      <c r="G37" s="1981"/>
      <c r="H37" s="1981"/>
      <c r="I37" s="1167"/>
      <c r="J37" s="1957"/>
      <c r="K37" s="1957"/>
      <c r="L37" s="1957"/>
      <c r="M37" s="1957"/>
      <c r="N37" s="1957"/>
      <c r="O37" s="2452"/>
      <c r="P37" s="1167"/>
      <c r="AB37" s="149"/>
      <c r="AC37" s="149"/>
      <c r="AD37" s="149"/>
      <c r="AE37" s="149"/>
      <c r="AF37" s="149"/>
      <c r="AG37" s="14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row>
    <row r="38" spans="1:102">
      <c r="B38" s="1167"/>
      <c r="C38" s="1981"/>
      <c r="D38" s="1981"/>
      <c r="E38" s="1981"/>
      <c r="F38" s="1981"/>
      <c r="G38" s="1981"/>
      <c r="H38" s="1981"/>
      <c r="I38" s="1167"/>
      <c r="J38" s="1957"/>
      <c r="K38" s="1957"/>
      <c r="L38" s="1957"/>
      <c r="M38" s="1957"/>
      <c r="N38" s="1957"/>
      <c r="O38" s="2452"/>
      <c r="P38" s="1167"/>
      <c r="AB38" s="149"/>
      <c r="AC38" s="149"/>
      <c r="AD38" s="149"/>
      <c r="AE38" s="149"/>
      <c r="AF38" s="149"/>
      <c r="AG38" s="14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row>
    <row r="39" spans="1:102">
      <c r="B39" s="1167"/>
      <c r="C39" s="1981"/>
      <c r="D39" s="1981"/>
      <c r="E39" s="1981"/>
      <c r="F39" s="1981"/>
      <c r="G39" s="1981"/>
      <c r="H39" s="1981"/>
      <c r="I39" s="1167"/>
      <c r="J39" s="1957"/>
      <c r="K39" s="1957"/>
      <c r="L39" s="1957"/>
      <c r="M39" s="1957"/>
      <c r="N39" s="1957"/>
      <c r="O39" s="2452"/>
      <c r="P39" s="1167"/>
      <c r="AB39" s="149"/>
      <c r="AC39" s="149"/>
      <c r="AD39" s="149"/>
      <c r="AE39" s="149"/>
      <c r="AF39" s="149"/>
      <c r="AG39" s="14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row>
    <row r="40" spans="1:102">
      <c r="B40" s="1167"/>
      <c r="C40" s="1981"/>
      <c r="D40" s="1981"/>
      <c r="E40" s="1981"/>
      <c r="F40" s="1981"/>
      <c r="G40" s="1981"/>
      <c r="H40" s="1981"/>
      <c r="I40" s="1167"/>
      <c r="J40" s="2453"/>
      <c r="K40" s="2453"/>
      <c r="L40" s="2453"/>
      <c r="M40" s="2453"/>
      <c r="N40" s="2453"/>
      <c r="O40" s="1981"/>
      <c r="P40" s="1167"/>
      <c r="AB40" s="149"/>
      <c r="AC40" s="149"/>
      <c r="AD40" s="149"/>
      <c r="AE40" s="149"/>
      <c r="AF40" s="149"/>
      <c r="AG40" s="14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row>
    <row r="41" spans="1:102">
      <c r="B41" s="1167"/>
      <c r="C41" s="1981"/>
      <c r="D41" s="1981"/>
      <c r="E41" s="1981"/>
      <c r="F41" s="1981"/>
      <c r="G41" s="1981"/>
      <c r="H41" s="1981"/>
      <c r="I41" s="1167"/>
      <c r="J41" s="1733" t="s">
        <v>4766</v>
      </c>
      <c r="K41" s="1167"/>
      <c r="L41" s="1167"/>
      <c r="M41" s="1167"/>
      <c r="N41" s="1167"/>
      <c r="O41" s="1167"/>
      <c r="P41" s="1167"/>
      <c r="AB41" s="149"/>
      <c r="AC41" s="149"/>
      <c r="AD41" s="149"/>
      <c r="AE41" s="149"/>
      <c r="AF41" s="149"/>
      <c r="AG41" s="14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row>
    <row r="42" spans="1:102">
      <c r="B42" s="1167"/>
      <c r="C42" s="1981"/>
      <c r="D42" s="1981"/>
      <c r="E42" s="1981"/>
      <c r="F42" s="1981"/>
      <c r="G42" s="1981"/>
      <c r="H42" s="1981"/>
      <c r="I42" s="1167"/>
      <c r="J42" s="2454"/>
      <c r="K42" s="2454"/>
      <c r="L42" s="2454"/>
      <c r="M42" s="2454"/>
      <c r="N42" s="2454"/>
      <c r="O42" s="2454"/>
      <c r="P42" s="1167"/>
      <c r="AB42" s="149"/>
      <c r="AC42" s="149"/>
      <c r="AD42" s="149"/>
      <c r="AE42" s="149"/>
      <c r="AF42" s="149"/>
      <c r="AG42" s="14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row>
    <row r="43" spans="1:102">
      <c r="B43" s="1167"/>
      <c r="C43" s="1167"/>
      <c r="D43" s="1167"/>
      <c r="E43" s="1167"/>
      <c r="F43" s="1167"/>
      <c r="G43" s="1167"/>
      <c r="H43" s="1167"/>
      <c r="I43" s="1167"/>
      <c r="J43" s="1167"/>
      <c r="K43" s="1167"/>
      <c r="L43" s="1167"/>
      <c r="M43" s="1167"/>
      <c r="N43" s="1167"/>
      <c r="O43" s="1167"/>
      <c r="P43" s="1167"/>
      <c r="AB43" s="149"/>
      <c r="AC43" s="149"/>
      <c r="AD43" s="149"/>
      <c r="AE43" s="149"/>
      <c r="AF43" s="149"/>
      <c r="AG43" s="14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row>
    <row r="44" spans="1:102" ht="21" customHeight="1">
      <c r="B44" s="977" t="s">
        <v>4851</v>
      </c>
      <c r="C44" s="896"/>
      <c r="D44" s="896"/>
      <c r="E44" s="896"/>
      <c r="F44" s="896"/>
      <c r="G44" s="896"/>
      <c r="H44" s="896"/>
      <c r="I44" s="896"/>
      <c r="J44" s="896"/>
      <c r="K44" s="896"/>
      <c r="L44" s="896"/>
      <c r="M44" s="896"/>
      <c r="N44" s="896"/>
      <c r="O44" s="896"/>
      <c r="P44" s="896"/>
      <c r="S44" s="204"/>
      <c r="T44" s="204"/>
      <c r="U44" s="204"/>
      <c r="V44" s="204"/>
      <c r="W44" s="204"/>
      <c r="X44" s="204"/>
      <c r="Y44" s="204"/>
      <c r="Z44" s="204"/>
      <c r="AA44" s="204"/>
      <c r="AB44" s="579"/>
      <c r="AC44" s="579"/>
      <c r="AD44" s="579"/>
      <c r="AE44" s="579"/>
      <c r="AF44" s="579"/>
      <c r="AG44" s="579"/>
      <c r="AH44" s="579"/>
      <c r="AI44" s="579"/>
      <c r="AJ44" s="204"/>
      <c r="AK44" s="204"/>
      <c r="AL44" s="204"/>
      <c r="AM44" s="204"/>
      <c r="AN44" s="204"/>
      <c r="AO44" s="204"/>
      <c r="AP44" s="204"/>
      <c r="AQ44" s="204"/>
      <c r="AR44" s="204"/>
      <c r="AS44" s="204"/>
      <c r="AT44" s="204"/>
      <c r="AU44" s="204"/>
      <c r="AV44" s="204"/>
      <c r="AW44" s="204"/>
      <c r="AX44" s="204"/>
      <c r="AY44" s="204"/>
      <c r="AZ44" s="204"/>
      <c r="BA44" s="204"/>
      <c r="BB44" s="204"/>
      <c r="BC44" s="204"/>
    </row>
    <row r="45" spans="1:102">
      <c r="B45" s="1717" t="s">
        <v>3736</v>
      </c>
      <c r="C45" s="1167"/>
      <c r="D45" s="1167"/>
      <c r="E45" s="1167"/>
      <c r="F45" s="1167"/>
      <c r="G45" s="1167"/>
      <c r="H45" s="1167"/>
      <c r="I45" s="1167"/>
      <c r="J45" s="1167"/>
      <c r="K45" s="1167"/>
      <c r="L45" s="1167"/>
      <c r="M45" s="1167"/>
      <c r="N45" s="1167"/>
      <c r="O45" s="1167"/>
      <c r="P45" s="1167"/>
      <c r="S45" s="204"/>
      <c r="T45" s="204"/>
      <c r="U45" s="204"/>
      <c r="V45" s="204"/>
      <c r="W45" s="204"/>
      <c r="X45" s="204"/>
      <c r="Y45" s="204"/>
      <c r="Z45" s="204"/>
      <c r="AA45" s="204"/>
      <c r="AB45" s="579"/>
      <c r="AC45" s="579"/>
      <c r="AD45" s="579"/>
      <c r="AE45" s="579"/>
      <c r="AF45" s="579"/>
      <c r="AG45" s="579"/>
      <c r="AH45" s="579"/>
      <c r="AI45" s="579"/>
      <c r="AJ45" s="579"/>
      <c r="AK45" s="579"/>
      <c r="AL45" s="579"/>
      <c r="AM45" s="579"/>
      <c r="AN45" s="579"/>
      <c r="AO45" s="204"/>
      <c r="AP45" s="204"/>
      <c r="AQ45" s="204"/>
      <c r="AR45" s="204"/>
      <c r="AS45" s="204"/>
      <c r="AT45" s="204"/>
      <c r="AU45" s="204"/>
      <c r="AV45" s="204"/>
      <c r="AW45" s="204"/>
      <c r="AX45" s="204"/>
      <c r="AY45" s="204"/>
      <c r="AZ45" s="204"/>
      <c r="BA45" s="204"/>
      <c r="BB45" s="204"/>
      <c r="BC45" s="204"/>
    </row>
    <row r="46" spans="1:102" s="26" customFormat="1">
      <c r="A46" s="76"/>
      <c r="B46" s="1689" t="s">
        <v>4852</v>
      </c>
      <c r="C46" s="1689"/>
      <c r="D46" s="1689"/>
      <c r="E46" s="1689"/>
      <c r="F46" s="1689"/>
      <c r="G46" s="1689"/>
      <c r="H46" s="1689"/>
      <c r="I46" s="1689"/>
      <c r="J46" s="1689"/>
      <c r="K46" s="1689"/>
      <c r="L46" s="1689"/>
      <c r="M46" s="1689"/>
      <c r="N46" s="1689"/>
      <c r="O46" s="1689"/>
      <c r="P46" s="1689"/>
      <c r="Q46" s="9"/>
      <c r="R46" s="9"/>
      <c r="S46" s="204"/>
      <c r="T46" s="204"/>
      <c r="U46" s="204"/>
      <c r="V46" s="204"/>
      <c r="W46" s="204"/>
      <c r="X46" s="204"/>
      <c r="Y46" s="204"/>
      <c r="Z46" s="204"/>
      <c r="AA46" s="204"/>
      <c r="AB46" s="579"/>
      <c r="AC46" s="579"/>
      <c r="AD46" s="579"/>
      <c r="AE46" s="579"/>
      <c r="AF46" s="579"/>
      <c r="AG46" s="579"/>
      <c r="AH46" s="579"/>
      <c r="AI46" s="579"/>
      <c r="AJ46" s="579"/>
      <c r="AK46" s="579"/>
      <c r="AL46" s="579"/>
      <c r="AM46" s="579"/>
      <c r="AN46" s="579"/>
      <c r="AO46" s="204"/>
      <c r="AP46" s="204"/>
      <c r="AQ46" s="204"/>
      <c r="AR46" s="204"/>
      <c r="AS46" s="204"/>
      <c r="AT46" s="204"/>
      <c r="AU46" s="204"/>
      <c r="AV46" s="204"/>
      <c r="AW46" s="204"/>
      <c r="AX46" s="204"/>
      <c r="AY46" s="204"/>
      <c r="AZ46" s="204"/>
      <c r="BA46" s="204"/>
      <c r="BB46" s="204"/>
      <c r="BC46" s="204"/>
    </row>
    <row r="47" spans="1:102" s="26" customFormat="1">
      <c r="A47" s="76"/>
      <c r="B47" s="1393" t="s">
        <v>4853</v>
      </c>
      <c r="C47" s="1394"/>
      <c r="D47" s="1394"/>
      <c r="E47" s="1394"/>
      <c r="F47" s="1394"/>
      <c r="G47" s="1394"/>
      <c r="H47" s="1394"/>
      <c r="I47" s="1394"/>
      <c r="J47" s="1394"/>
      <c r="K47" s="1394"/>
      <c r="L47" s="1394"/>
      <c r="M47" s="1394"/>
      <c r="N47" s="1689"/>
      <c r="O47" s="1689"/>
      <c r="P47" s="1689"/>
      <c r="Q47" s="9"/>
      <c r="R47" s="9"/>
      <c r="S47" s="204"/>
      <c r="T47" s="204"/>
      <c r="U47" s="204"/>
      <c r="V47" s="204"/>
      <c r="W47" s="204"/>
      <c r="X47" s="204"/>
      <c r="Y47" s="204"/>
      <c r="Z47" s="204"/>
      <c r="AA47" s="204"/>
      <c r="AB47" s="579"/>
      <c r="AC47" s="579"/>
      <c r="AD47" s="579"/>
      <c r="AE47" s="579"/>
      <c r="AF47" s="579"/>
      <c r="AG47" s="579"/>
      <c r="AH47" s="579"/>
      <c r="AI47" s="579"/>
      <c r="AJ47" s="579"/>
      <c r="AK47" s="579"/>
      <c r="AL47" s="579"/>
      <c r="AM47" s="579"/>
      <c r="AN47" s="579"/>
      <c r="AO47" s="204"/>
      <c r="AP47" s="204"/>
      <c r="AQ47" s="204"/>
      <c r="AR47" s="204"/>
      <c r="AS47" s="204"/>
      <c r="AT47" s="204"/>
      <c r="AU47" s="204"/>
      <c r="AV47" s="204"/>
      <c r="AW47" s="204"/>
      <c r="AX47" s="204"/>
      <c r="AY47" s="204"/>
      <c r="AZ47" s="204"/>
      <c r="BA47" s="204"/>
      <c r="BB47" s="204"/>
      <c r="BC47" s="204"/>
    </row>
    <row r="48" spans="1:102" s="26" customFormat="1">
      <c r="A48" s="76"/>
      <c r="B48" s="1395" t="s">
        <v>4854</v>
      </c>
      <c r="C48" s="1395"/>
      <c r="D48" s="1395"/>
      <c r="E48" s="1395"/>
      <c r="F48" s="1395"/>
      <c r="G48" s="1395"/>
      <c r="H48" s="1395"/>
      <c r="I48" s="1395"/>
      <c r="J48" s="1395"/>
      <c r="K48" s="1395"/>
      <c r="L48" s="1395"/>
      <c r="M48" s="1395"/>
      <c r="N48" s="1689"/>
      <c r="O48" s="1689"/>
      <c r="P48" s="1689"/>
      <c r="Q48" s="9"/>
      <c r="R48" s="9"/>
      <c r="S48" s="204"/>
      <c r="T48" s="204"/>
      <c r="U48" s="204"/>
      <c r="V48" s="98"/>
      <c r="W48" s="204"/>
      <c r="X48" s="204"/>
      <c r="Y48" s="204"/>
      <c r="Z48" s="204"/>
      <c r="AA48" s="204"/>
      <c r="AB48" s="579"/>
      <c r="AC48" s="579"/>
      <c r="AD48" s="579"/>
      <c r="AE48" s="579"/>
      <c r="AF48" s="579"/>
      <c r="AG48" s="579"/>
      <c r="AH48" s="579"/>
      <c r="AI48" s="579"/>
      <c r="AJ48" s="579"/>
      <c r="AK48" s="579"/>
      <c r="AL48" s="579"/>
      <c r="AM48" s="579"/>
      <c r="AN48" s="579"/>
      <c r="AO48" s="204"/>
      <c r="AP48" s="204"/>
      <c r="AQ48" s="204"/>
      <c r="AR48" s="204"/>
      <c r="AS48" s="204"/>
      <c r="AT48" s="204"/>
      <c r="AU48" s="204"/>
      <c r="AV48" s="204"/>
      <c r="AW48" s="204"/>
      <c r="AX48" s="204"/>
      <c r="AY48" s="204"/>
      <c r="AZ48" s="204"/>
      <c r="BA48" s="204"/>
      <c r="BB48" s="204"/>
      <c r="BC48" s="204"/>
    </row>
    <row r="49" spans="1:55" s="26" customFormat="1">
      <c r="A49" s="76"/>
      <c r="B49" s="1231" t="s">
        <v>4855</v>
      </c>
      <c r="C49" s="1395"/>
      <c r="D49" s="1395"/>
      <c r="E49" s="1395"/>
      <c r="F49" s="1395"/>
      <c r="G49" s="1395"/>
      <c r="H49" s="1395"/>
      <c r="I49" s="1395"/>
      <c r="J49" s="1395"/>
      <c r="K49" s="1395"/>
      <c r="L49" s="1395"/>
      <c r="M49" s="1395"/>
      <c r="N49" s="1689"/>
      <c r="O49" s="1689"/>
      <c r="P49" s="1689"/>
      <c r="Q49" s="9"/>
      <c r="R49" s="9"/>
      <c r="S49" s="204"/>
      <c r="T49" s="204"/>
      <c r="U49" s="204"/>
      <c r="V49" s="98"/>
      <c r="W49" s="204"/>
      <c r="X49" s="204"/>
      <c r="Y49" s="204"/>
      <c r="Z49" s="204"/>
      <c r="AA49" s="204"/>
      <c r="AB49" s="579"/>
      <c r="AC49" s="579"/>
      <c r="AD49" s="579"/>
      <c r="AE49" s="579"/>
      <c r="AF49" s="579"/>
      <c r="AG49" s="579"/>
      <c r="AH49" s="579"/>
      <c r="AI49" s="579"/>
      <c r="AJ49" s="579"/>
      <c r="AK49" s="579"/>
      <c r="AL49" s="579"/>
      <c r="AM49" s="579"/>
      <c r="AN49" s="579"/>
      <c r="AO49" s="204"/>
      <c r="AP49" s="204"/>
      <c r="AQ49" s="204"/>
      <c r="AR49" s="204"/>
      <c r="AS49" s="204"/>
      <c r="AT49" s="204"/>
      <c r="AU49" s="204"/>
      <c r="AV49" s="204"/>
      <c r="AW49" s="204"/>
      <c r="AX49" s="204"/>
      <c r="AY49" s="204"/>
      <c r="AZ49" s="204"/>
      <c r="BA49" s="204"/>
      <c r="BB49" s="204"/>
      <c r="BC49" s="204"/>
    </row>
    <row r="50" spans="1:55" s="26" customFormat="1" ht="15" customHeight="1">
      <c r="A50" s="76"/>
      <c r="B50" s="1231" t="s">
        <v>4856</v>
      </c>
      <c r="C50" s="1689"/>
      <c r="D50" s="1689"/>
      <c r="E50" s="1689"/>
      <c r="F50" s="1689"/>
      <c r="G50" s="1689"/>
      <c r="H50" s="1689"/>
      <c r="I50" s="1689"/>
      <c r="J50" s="1689"/>
      <c r="K50" s="1689"/>
      <c r="L50" s="1689"/>
      <c r="M50" s="1689"/>
      <c r="N50" s="1689"/>
      <c r="O50" s="1689"/>
      <c r="P50" s="1689"/>
      <c r="Q50" s="9"/>
      <c r="R50" s="9"/>
      <c r="S50" s="204"/>
      <c r="T50" s="204"/>
      <c r="U50" s="1528"/>
      <c r="V50" s="98"/>
      <c r="W50" s="204"/>
      <c r="X50" s="204"/>
      <c r="Y50" s="204"/>
      <c r="Z50" s="204"/>
      <c r="AA50" s="204"/>
      <c r="AB50" s="579"/>
      <c r="AC50" s="579"/>
      <c r="AD50" s="579"/>
      <c r="AE50" s="579"/>
      <c r="AF50" s="579"/>
      <c r="AG50" s="579"/>
      <c r="AH50" s="579"/>
      <c r="AI50" s="579"/>
      <c r="AJ50" s="579"/>
      <c r="AK50" s="579"/>
      <c r="AL50" s="579"/>
      <c r="AM50" s="579"/>
      <c r="AN50" s="579"/>
      <c r="AO50" s="204"/>
      <c r="AP50" s="204"/>
      <c r="AQ50" s="204"/>
      <c r="AR50" s="204"/>
      <c r="AS50" s="204"/>
      <c r="AT50" s="204"/>
      <c r="AU50" s="204"/>
      <c r="AV50" s="204"/>
      <c r="AW50" s="204"/>
      <c r="AX50" s="204"/>
      <c r="AY50" s="204"/>
      <c r="AZ50" s="204"/>
      <c r="BA50" s="204"/>
      <c r="BB50" s="204"/>
      <c r="BC50" s="204"/>
    </row>
    <row r="51" spans="1:55" ht="19">
      <c r="B51" s="1396"/>
      <c r="C51" s="1167"/>
      <c r="D51" s="1167"/>
      <c r="E51" s="1167"/>
      <c r="F51" s="1167"/>
      <c r="G51" s="1167"/>
      <c r="H51" s="1167"/>
      <c r="I51" s="1167"/>
      <c r="J51" s="1167"/>
      <c r="K51" s="1167"/>
      <c r="L51" s="1167"/>
      <c r="M51" s="1167"/>
      <c r="N51" s="1167"/>
      <c r="O51" s="1167"/>
      <c r="P51" s="1167"/>
      <c r="X51" s="204"/>
      <c r="Y51" s="204"/>
      <c r="Z51" s="204"/>
      <c r="AA51" s="204"/>
      <c r="AB51" s="579"/>
      <c r="AC51" s="579"/>
      <c r="AD51" s="579"/>
      <c r="AE51" s="579"/>
      <c r="AF51" s="579"/>
      <c r="AG51" s="579"/>
      <c r="AH51" s="579"/>
      <c r="AI51" s="579"/>
      <c r="AJ51" s="579"/>
      <c r="AK51" s="579"/>
      <c r="AL51" s="579"/>
      <c r="AM51" s="579"/>
      <c r="AN51" s="579"/>
      <c r="AO51" s="204"/>
      <c r="AP51" s="204"/>
      <c r="AQ51" s="204"/>
      <c r="AR51" s="204"/>
      <c r="AS51" s="204"/>
      <c r="AT51" s="204"/>
      <c r="AU51" s="204"/>
      <c r="AV51" s="204"/>
      <c r="AW51" s="204"/>
      <c r="AX51" s="204"/>
      <c r="AY51" s="204"/>
      <c r="AZ51" s="204"/>
      <c r="BA51" s="204"/>
      <c r="BB51" s="204"/>
      <c r="BC51" s="204"/>
    </row>
    <row r="52" spans="1:55" s="26" customFormat="1" ht="29" customHeight="1">
      <c r="A52" s="76"/>
      <c r="B52" s="1689"/>
      <c r="C52" s="2462" t="s">
        <v>4857</v>
      </c>
      <c r="D52" s="2462"/>
      <c r="E52" s="2468" t="s">
        <v>4858</v>
      </c>
      <c r="F52" s="2468"/>
      <c r="G52" s="2462" t="s">
        <v>4859</v>
      </c>
      <c r="H52" s="2462"/>
      <c r="I52" s="2465" t="s">
        <v>4860</v>
      </c>
      <c r="J52" s="2466"/>
      <c r="K52" s="2462" t="s">
        <v>4861</v>
      </c>
      <c r="L52" s="1689"/>
      <c r="M52" s="1689"/>
      <c r="N52" s="1689"/>
      <c r="O52" s="1689"/>
      <c r="P52" s="1689"/>
      <c r="Q52" s="9"/>
      <c r="R52" s="9"/>
      <c r="S52" s="98"/>
      <c r="T52" s="98"/>
      <c r="U52" s="98"/>
      <c r="V52" s="98"/>
      <c r="W52" s="98"/>
      <c r="X52" s="1529"/>
      <c r="Y52" s="1529"/>
      <c r="Z52" s="1529"/>
      <c r="AA52" s="1529"/>
      <c r="AB52" s="579"/>
      <c r="AC52" s="579"/>
      <c r="AD52" s="579"/>
      <c r="AE52" s="579"/>
      <c r="AF52" s="579"/>
      <c r="AG52" s="579"/>
      <c r="AH52" s="579"/>
      <c r="AI52" s="579"/>
      <c r="AJ52" s="579"/>
      <c r="AK52" s="579"/>
      <c r="AL52" s="579"/>
      <c r="AM52" s="579"/>
      <c r="AN52" s="579"/>
      <c r="AO52" s="204"/>
      <c r="AP52" s="204"/>
      <c r="AQ52" s="204"/>
      <c r="AR52" s="204"/>
      <c r="AS52" s="204"/>
      <c r="AT52" s="204"/>
      <c r="AU52" s="204"/>
      <c r="AV52" s="204"/>
      <c r="AW52" s="204"/>
      <c r="AX52" s="204"/>
      <c r="AY52" s="204"/>
      <c r="AZ52" s="204"/>
      <c r="BA52" s="204"/>
      <c r="BB52" s="204"/>
      <c r="BC52" s="204"/>
    </row>
    <row r="53" spans="1:55" s="26" customFormat="1">
      <c r="A53" s="76"/>
      <c r="B53" s="1689"/>
      <c r="C53" s="2462"/>
      <c r="D53" s="2462"/>
      <c r="E53" s="2468"/>
      <c r="F53" s="2468"/>
      <c r="G53" s="2462"/>
      <c r="H53" s="2462"/>
      <c r="I53" s="2467"/>
      <c r="J53" s="2462"/>
      <c r="K53" s="2462"/>
      <c r="L53" s="1689"/>
      <c r="M53" s="1689"/>
      <c r="N53" s="1689"/>
      <c r="O53" s="1689"/>
      <c r="P53" s="1689"/>
      <c r="Q53" s="9"/>
      <c r="R53" s="9"/>
      <c r="S53" s="98"/>
      <c r="T53" s="98"/>
      <c r="U53" s="98"/>
      <c r="V53" s="98"/>
      <c r="W53" s="98"/>
      <c r="X53" s="204"/>
      <c r="Y53" s="204"/>
      <c r="Z53" s="204"/>
      <c r="AA53" s="204"/>
      <c r="AB53" s="579"/>
      <c r="AC53" s="579"/>
      <c r="AD53" s="579"/>
      <c r="AE53" s="579"/>
      <c r="AF53" s="579"/>
      <c r="AG53" s="579"/>
      <c r="AH53" s="579"/>
      <c r="AI53" s="579"/>
      <c r="AJ53" s="579"/>
      <c r="AK53" s="579"/>
      <c r="AL53" s="579"/>
      <c r="AM53" s="579"/>
      <c r="AN53" s="579"/>
      <c r="AO53" s="204"/>
      <c r="AP53" s="204"/>
      <c r="AQ53" s="204"/>
      <c r="AR53" s="204"/>
      <c r="AS53" s="204"/>
      <c r="AT53" s="204"/>
      <c r="AU53" s="204"/>
      <c r="AV53" s="204"/>
      <c r="AW53" s="204"/>
      <c r="AX53" s="204"/>
      <c r="AY53" s="204"/>
      <c r="AZ53" s="204"/>
      <c r="BA53" s="204"/>
      <c r="BB53" s="204"/>
      <c r="BC53" s="204"/>
    </row>
    <row r="54" spans="1:55" s="26" customFormat="1" ht="14.5" customHeight="1">
      <c r="A54" s="76"/>
      <c r="B54" s="1689"/>
      <c r="C54" s="2470">
        <v>0.5</v>
      </c>
      <c r="D54" s="2470"/>
      <c r="E54" s="2469">
        <f>('11. Unit Mix'!F122+Total60Voucher)</f>
        <v>0</v>
      </c>
      <c r="F54" s="2469"/>
      <c r="G54" s="2463">
        <f>IF(SUM($E$54:$E$56)=0,0,E54/Total_Units)</f>
        <v>0</v>
      </c>
      <c r="H54" s="2463"/>
      <c r="I54" s="1402" t="s">
        <v>4862</v>
      </c>
      <c r="J54" s="1403">
        <v>0.47300000000000009</v>
      </c>
      <c r="K54" s="889">
        <f>IF(G54&gt;=0.05,ROUNDDOWN(G54*100*J54,4),0)</f>
        <v>0</v>
      </c>
      <c r="L54" s="1689"/>
      <c r="M54" s="1689"/>
      <c r="N54" s="1689"/>
      <c r="O54" s="1689"/>
      <c r="P54" s="1689"/>
      <c r="Q54" s="9"/>
      <c r="R54" s="9"/>
      <c r="S54" s="98"/>
      <c r="T54" s="98"/>
      <c r="U54" s="98"/>
      <c r="V54" s="98"/>
      <c r="W54" s="98"/>
      <c r="X54" s="204"/>
      <c r="Y54" s="204"/>
      <c r="Z54" s="204"/>
      <c r="AA54" s="204"/>
      <c r="AB54" s="579"/>
      <c r="AC54" s="579"/>
      <c r="AD54" s="579"/>
      <c r="AE54" s="579"/>
      <c r="AF54" s="579"/>
      <c r="AG54" s="579"/>
      <c r="AH54" s="579"/>
      <c r="AI54" s="579"/>
      <c r="AJ54" s="579"/>
      <c r="AK54" s="579"/>
      <c r="AL54" s="579"/>
      <c r="AM54" s="579"/>
      <c r="AN54" s="579"/>
      <c r="AO54" s="204"/>
      <c r="AP54" s="204"/>
      <c r="AQ54" s="204"/>
      <c r="AR54" s="204"/>
      <c r="AS54" s="204"/>
      <c r="AT54" s="204"/>
      <c r="AU54" s="204"/>
      <c r="AV54" s="204"/>
      <c r="AW54" s="204"/>
      <c r="AX54" s="204"/>
      <c r="AY54" s="204"/>
      <c r="AZ54" s="204"/>
      <c r="BA54" s="204"/>
      <c r="BB54" s="204"/>
      <c r="BC54" s="204"/>
    </row>
    <row r="55" spans="1:55" s="26" customFormat="1" ht="15.5" customHeight="1">
      <c r="A55" s="76"/>
      <c r="B55" s="1689"/>
      <c r="C55" s="2470">
        <v>0.4</v>
      </c>
      <c r="D55" s="2470"/>
      <c r="E55" s="2469">
        <f>'11. Unit Mix'!F121</f>
        <v>0</v>
      </c>
      <c r="F55" s="2469"/>
      <c r="G55" s="2463">
        <f>IF(SUM($E$54:$E$56)=0, 0, E55/Total_Units)</f>
        <v>0</v>
      </c>
      <c r="H55" s="2463"/>
      <c r="I55" s="1404" t="s">
        <v>4862</v>
      </c>
      <c r="J55" s="1405">
        <v>0.58850000000000013</v>
      </c>
      <c r="K55" s="889">
        <f t="shared" ref="K55:K56" si="0">IF(G55&gt;=0.05,ROUNDDOWN(G55*100*J55,4),0)</f>
        <v>0</v>
      </c>
      <c r="L55" s="1689"/>
      <c r="M55" s="1689"/>
      <c r="N55" s="1689"/>
      <c r="O55" s="1689"/>
      <c r="P55" s="1689"/>
      <c r="Q55" s="9"/>
      <c r="R55" s="9"/>
      <c r="S55" s="204"/>
      <c r="T55" s="204"/>
      <c r="U55" s="204"/>
      <c r="V55" s="204"/>
      <c r="W55" s="204"/>
      <c r="X55" s="204"/>
      <c r="Y55" s="204"/>
      <c r="Z55" s="204"/>
      <c r="AA55" s="204"/>
      <c r="AB55" s="579"/>
      <c r="AC55" s="579"/>
      <c r="AD55" s="579"/>
      <c r="AE55" s="579"/>
      <c r="AF55" s="579"/>
      <c r="AG55" s="579"/>
      <c r="AH55" s="579"/>
      <c r="AI55" s="579"/>
      <c r="AJ55" s="579"/>
      <c r="AK55" s="579"/>
      <c r="AL55" s="579"/>
      <c r="AM55" s="579"/>
      <c r="AN55" s="579"/>
      <c r="AO55" s="204"/>
      <c r="AP55" s="204"/>
      <c r="AQ55" s="204"/>
      <c r="AR55" s="204"/>
      <c r="AS55" s="204"/>
      <c r="AT55" s="204"/>
      <c r="AU55" s="204"/>
      <c r="AV55" s="204"/>
      <c r="AW55" s="204"/>
      <c r="AX55" s="204"/>
      <c r="AY55" s="204"/>
      <c r="AZ55" s="204"/>
      <c r="BA55" s="204"/>
      <c r="BB55" s="204"/>
      <c r="BC55" s="204"/>
    </row>
    <row r="56" spans="1:55" s="26" customFormat="1">
      <c r="A56" s="76"/>
      <c r="B56" s="1689"/>
      <c r="C56" s="2470" t="s">
        <v>4863</v>
      </c>
      <c r="D56" s="2470"/>
      <c r="E56" s="2469">
        <f>SUM('11. Unit Mix'!F119:F120)</f>
        <v>0</v>
      </c>
      <c r="F56" s="2469"/>
      <c r="G56" s="2463">
        <f>IF(SUM($E$54:$E$56)=0, 0, E56/Total_Units)</f>
        <v>0</v>
      </c>
      <c r="H56" s="2463"/>
      <c r="I56" s="1404" t="s">
        <v>4862</v>
      </c>
      <c r="J56" s="1405">
        <v>0.70950000000000013</v>
      </c>
      <c r="K56" s="889">
        <f t="shared" si="0"/>
        <v>0</v>
      </c>
      <c r="L56" s="1689"/>
      <c r="M56" s="1689"/>
      <c r="N56" s="1689"/>
      <c r="O56" s="1689"/>
      <c r="P56" s="1689"/>
      <c r="Q56" s="9"/>
      <c r="R56" s="9"/>
      <c r="S56" s="204"/>
      <c r="T56" s="1530"/>
      <c r="U56" s="204"/>
      <c r="V56" s="204"/>
      <c r="W56" s="204"/>
      <c r="X56" s="204"/>
      <c r="Y56" s="204"/>
      <c r="Z56" s="204"/>
      <c r="AA56" s="204"/>
      <c r="AB56" s="579"/>
      <c r="AC56" s="579"/>
      <c r="AD56" s="579"/>
      <c r="AE56" s="579"/>
      <c r="AF56" s="579"/>
      <c r="AG56" s="579"/>
      <c r="AH56" s="579"/>
      <c r="AI56" s="579"/>
      <c r="AJ56" s="579"/>
      <c r="AK56" s="579"/>
      <c r="AL56" s="579"/>
      <c r="AM56" s="579"/>
      <c r="AN56" s="579"/>
      <c r="AO56" s="204"/>
      <c r="AP56" s="204"/>
      <c r="AQ56" s="204"/>
      <c r="AR56" s="204"/>
      <c r="AS56" s="204"/>
      <c r="AT56" s="204"/>
      <c r="AU56" s="204"/>
      <c r="AV56" s="204"/>
      <c r="AW56" s="204"/>
      <c r="AX56" s="204"/>
      <c r="AY56" s="204"/>
      <c r="AZ56" s="204"/>
      <c r="BA56" s="204"/>
      <c r="BB56" s="204"/>
      <c r="BC56" s="204"/>
    </row>
    <row r="57" spans="1:55" s="26" customFormat="1">
      <c r="A57" s="76"/>
      <c r="B57" s="2423"/>
      <c r="C57" s="2423"/>
      <c r="D57" s="2423"/>
      <c r="E57" s="2423"/>
      <c r="F57" s="2423"/>
      <c r="G57" s="2423"/>
      <c r="H57" s="2423"/>
      <c r="I57" s="2423"/>
      <c r="J57" s="2423"/>
      <c r="K57" s="2423"/>
      <c r="L57" s="2423"/>
      <c r="M57" s="2423"/>
      <c r="N57" s="1689"/>
      <c r="O57" s="1689"/>
      <c r="P57" s="1689"/>
      <c r="Q57" s="9"/>
      <c r="R57" s="9"/>
      <c r="S57" s="204"/>
      <c r="T57" s="1530"/>
      <c r="U57" s="204"/>
      <c r="V57" s="204"/>
      <c r="W57" s="204"/>
      <c r="X57" s="204"/>
      <c r="Y57" s="204"/>
      <c r="Z57" s="204"/>
      <c r="AA57" s="204"/>
      <c r="AB57" s="579"/>
      <c r="AC57" s="579"/>
      <c r="AD57" s="579"/>
      <c r="AE57" s="579"/>
      <c r="AF57" s="579"/>
      <c r="AG57" s="579"/>
      <c r="AH57" s="579"/>
      <c r="AI57" s="579"/>
      <c r="AJ57" s="579"/>
      <c r="AK57" s="579"/>
      <c r="AL57" s="579"/>
      <c r="AM57" s="579"/>
      <c r="AN57" s="579"/>
      <c r="AO57" s="204"/>
      <c r="AP57" s="204"/>
      <c r="AQ57" s="204"/>
      <c r="AR57" s="204"/>
      <c r="AS57" s="204"/>
      <c r="AT57" s="204"/>
      <c r="AU57" s="204"/>
      <c r="AV57" s="204"/>
      <c r="AW57" s="204"/>
      <c r="AX57" s="204"/>
      <c r="AY57" s="204"/>
      <c r="AZ57" s="204"/>
      <c r="BA57" s="204"/>
      <c r="BB57" s="204"/>
      <c r="BC57" s="204"/>
    </row>
    <row r="58" spans="1:55" s="26" customFormat="1" ht="16">
      <c r="A58" s="76"/>
      <c r="B58" s="1167"/>
      <c r="C58" s="1401" t="s">
        <v>4734</v>
      </c>
      <c r="D58" s="1401" t="s">
        <v>4708</v>
      </c>
      <c r="E58" s="1401" t="s">
        <v>1010</v>
      </c>
      <c r="F58" s="1689"/>
      <c r="G58" s="1689"/>
      <c r="H58" s="1689"/>
      <c r="I58" s="1689"/>
      <c r="J58" s="1689"/>
      <c r="K58" s="1689"/>
      <c r="L58" s="1167"/>
      <c r="M58" s="1167"/>
      <c r="N58" s="1167"/>
      <c r="O58" s="1167"/>
      <c r="P58" s="1167"/>
      <c r="Q58" s="204"/>
      <c r="R58" s="204"/>
      <c r="S58" s="204"/>
      <c r="T58" s="204"/>
      <c r="U58" s="204"/>
      <c r="V58" s="98"/>
      <c r="W58" s="98"/>
      <c r="X58" s="204"/>
      <c r="Y58" s="204"/>
      <c r="Z58" s="204"/>
      <c r="AA58" s="204"/>
      <c r="AB58" s="579"/>
      <c r="AC58" s="579"/>
      <c r="AD58" s="579"/>
      <c r="AE58" s="579"/>
      <c r="AF58" s="579"/>
      <c r="AG58" s="579"/>
      <c r="AH58" s="579"/>
      <c r="AI58" s="579"/>
      <c r="AJ58" s="579"/>
      <c r="AK58" s="579"/>
      <c r="AL58" s="579"/>
      <c r="AM58" s="579"/>
      <c r="AN58" s="579"/>
      <c r="AO58" s="204"/>
      <c r="AP58" s="204"/>
      <c r="AQ58" s="204"/>
      <c r="AR58" s="204"/>
      <c r="AS58" s="204"/>
      <c r="AT58" s="204"/>
      <c r="AU58" s="204"/>
      <c r="AV58" s="204"/>
      <c r="AW58" s="204"/>
      <c r="AX58" s="204"/>
      <c r="AY58" s="204"/>
      <c r="AZ58" s="204"/>
      <c r="BA58" s="204"/>
      <c r="BB58" s="204"/>
      <c r="BC58" s="204"/>
    </row>
    <row r="59" spans="1:55" s="26" customFormat="1" ht="19">
      <c r="A59" s="76"/>
      <c r="B59" s="1392"/>
      <c r="C59" s="984">
        <v>35</v>
      </c>
      <c r="D59" s="1122">
        <f>MIN(ROUNDDOWN(SUM(K54:K56),0),C59)</f>
        <v>0</v>
      </c>
      <c r="E59" s="1734"/>
      <c r="F59" s="1689"/>
      <c r="G59" s="1689"/>
      <c r="H59" s="1689"/>
      <c r="I59" s="1689"/>
      <c r="J59" s="1689"/>
      <c r="K59" s="1689"/>
      <c r="L59" s="1392"/>
      <c r="M59" s="1392"/>
      <c r="N59" s="1392"/>
      <c r="O59" s="1392"/>
      <c r="P59" s="1392"/>
      <c r="Q59" s="204"/>
      <c r="R59" s="204"/>
      <c r="S59" s="204"/>
      <c r="T59" s="204"/>
      <c r="U59" s="204"/>
      <c r="V59" s="98"/>
      <c r="W59" s="98"/>
      <c r="X59" s="204"/>
      <c r="Y59" s="204"/>
      <c r="Z59" s="204"/>
      <c r="AA59" s="204"/>
      <c r="AB59" s="579"/>
      <c r="AC59" s="579"/>
      <c r="AD59" s="579"/>
      <c r="AE59" s="579"/>
      <c r="AF59" s="579"/>
      <c r="AG59" s="579"/>
      <c r="AH59" s="579"/>
      <c r="AI59" s="579"/>
      <c r="AJ59" s="579"/>
      <c r="AK59" s="579"/>
      <c r="AL59" s="579"/>
      <c r="AM59" s="579"/>
      <c r="AN59" s="579"/>
      <c r="AO59" s="204"/>
      <c r="AP59" s="204"/>
      <c r="AQ59" s="204"/>
      <c r="AR59" s="204"/>
      <c r="AS59" s="204"/>
      <c r="AT59" s="204"/>
      <c r="AU59" s="204"/>
      <c r="AV59" s="204"/>
      <c r="AW59" s="204"/>
      <c r="AX59" s="204"/>
      <c r="AY59" s="204"/>
      <c r="AZ59" s="204"/>
      <c r="BA59" s="204"/>
      <c r="BB59" s="204"/>
      <c r="BC59" s="204"/>
    </row>
    <row r="60" spans="1:55" s="26" customFormat="1">
      <c r="A60" s="76"/>
      <c r="B60" s="1689"/>
      <c r="C60" s="1689"/>
      <c r="D60" s="1689"/>
      <c r="E60" s="1689"/>
      <c r="F60" s="1689"/>
      <c r="G60" s="1689"/>
      <c r="H60" s="1689"/>
      <c r="I60" s="1689"/>
      <c r="J60" s="1689"/>
      <c r="K60" s="1689"/>
      <c r="L60" s="1689"/>
      <c r="M60" s="1689"/>
      <c r="N60" s="1689"/>
      <c r="O60" s="1689"/>
      <c r="P60" s="1689"/>
      <c r="Q60" s="9"/>
      <c r="R60" s="9"/>
      <c r="S60" s="204"/>
      <c r="T60" s="204"/>
      <c r="U60" s="204"/>
      <c r="V60" s="204"/>
      <c r="W60" s="204"/>
      <c r="X60" s="204"/>
      <c r="Y60" s="204"/>
      <c r="Z60" s="204"/>
      <c r="AA60" s="204"/>
      <c r="AB60" s="579"/>
      <c r="AC60" s="579"/>
      <c r="AD60" s="579"/>
      <c r="AE60" s="579"/>
      <c r="AF60" s="579"/>
      <c r="AG60" s="579"/>
      <c r="AH60" s="579"/>
      <c r="AI60" s="579"/>
      <c r="AJ60" s="579"/>
      <c r="AK60" s="579"/>
      <c r="AL60" s="579"/>
      <c r="AM60" s="579"/>
      <c r="AN60" s="579"/>
      <c r="AO60" s="204"/>
      <c r="AP60" s="204"/>
      <c r="AQ60" s="204"/>
      <c r="AR60" s="204"/>
      <c r="AS60" s="204"/>
      <c r="AT60" s="204"/>
      <c r="AU60" s="204"/>
      <c r="AV60" s="204"/>
      <c r="AW60" s="204"/>
      <c r="AX60" s="204"/>
      <c r="AY60" s="204"/>
      <c r="AZ60" s="204"/>
      <c r="BA60" s="204"/>
      <c r="BB60" s="204"/>
      <c r="BC60" s="204"/>
    </row>
    <row r="61" spans="1:55" s="26" customFormat="1" ht="19">
      <c r="A61" s="76"/>
      <c r="B61" s="8" t="s">
        <v>4849</v>
      </c>
      <c r="C61" s="8"/>
      <c r="D61" s="8"/>
      <c r="E61" s="8"/>
      <c r="F61" s="8"/>
      <c r="G61" s="8"/>
      <c r="H61" s="8"/>
      <c r="I61" s="8"/>
      <c r="J61" s="8" t="s">
        <v>4850</v>
      </c>
      <c r="K61" s="8"/>
      <c r="L61" s="8"/>
      <c r="M61" s="8"/>
      <c r="N61" s="8"/>
      <c r="O61" s="8"/>
      <c r="P61" s="8"/>
      <c r="Q61" s="9"/>
      <c r="R61" s="9"/>
      <c r="S61" s="204"/>
      <c r="T61" s="204"/>
      <c r="U61" s="204"/>
      <c r="V61" s="204"/>
      <c r="W61" s="204"/>
      <c r="X61" s="204"/>
      <c r="Y61" s="204"/>
      <c r="Z61" s="204"/>
      <c r="AA61" s="204"/>
      <c r="AB61" s="579"/>
      <c r="AC61" s="579"/>
      <c r="AD61" s="579"/>
      <c r="AE61" s="579"/>
      <c r="AF61" s="579"/>
      <c r="AG61" s="579"/>
      <c r="AH61" s="579"/>
      <c r="AI61" s="579"/>
      <c r="AJ61" s="579"/>
      <c r="AK61" s="579"/>
      <c r="AL61" s="579"/>
      <c r="AM61" s="579"/>
      <c r="AN61" s="579"/>
      <c r="AO61" s="204"/>
      <c r="AP61" s="204"/>
      <c r="AQ61" s="204"/>
      <c r="AR61" s="204"/>
      <c r="AS61" s="204"/>
      <c r="AT61" s="204"/>
      <c r="AU61" s="204"/>
      <c r="AV61" s="204"/>
      <c r="AW61" s="204"/>
      <c r="AX61" s="204"/>
      <c r="AY61" s="204"/>
      <c r="AZ61" s="204"/>
      <c r="BA61" s="204"/>
      <c r="BB61" s="204"/>
      <c r="BC61" s="204"/>
    </row>
    <row r="62" spans="1:55" s="26" customFormat="1">
      <c r="A62" s="76"/>
      <c r="B62" s="1170" t="s">
        <v>4538</v>
      </c>
      <c r="C62" s="1167"/>
      <c r="D62" s="1167"/>
      <c r="E62" s="1167"/>
      <c r="F62" s="1167"/>
      <c r="G62" s="1167"/>
      <c r="H62" s="1167"/>
      <c r="I62" s="1167"/>
      <c r="J62" s="1172" t="s">
        <v>3371</v>
      </c>
      <c r="K62" s="1167"/>
      <c r="L62" s="1167"/>
      <c r="M62" s="1167"/>
      <c r="N62" s="1167"/>
      <c r="O62" s="1167"/>
      <c r="P62" s="1167"/>
      <c r="Q62" s="9"/>
      <c r="R62" s="9"/>
      <c r="S62" s="204"/>
      <c r="T62" s="204"/>
      <c r="U62" s="204"/>
      <c r="V62" s="204"/>
      <c r="W62" s="204"/>
      <c r="X62" s="204"/>
      <c r="Y62" s="204"/>
      <c r="Z62" s="204"/>
      <c r="AA62" s="204"/>
      <c r="AB62" s="579"/>
      <c r="AC62" s="579"/>
      <c r="AD62" s="579"/>
      <c r="AE62" s="579"/>
      <c r="AF62" s="579"/>
      <c r="AG62" s="579"/>
      <c r="AH62" s="579"/>
      <c r="AI62" s="579"/>
      <c r="AJ62" s="579"/>
      <c r="AK62" s="579"/>
      <c r="AL62" s="579"/>
      <c r="AM62" s="579"/>
      <c r="AN62" s="579"/>
      <c r="AO62" s="204"/>
      <c r="AP62" s="204"/>
      <c r="AQ62" s="204"/>
      <c r="AR62" s="204"/>
      <c r="AS62" s="204"/>
      <c r="AT62" s="204"/>
      <c r="AU62" s="204"/>
      <c r="AV62" s="204"/>
      <c r="AW62" s="204"/>
      <c r="AX62" s="204"/>
      <c r="AY62" s="204"/>
      <c r="AZ62" s="204"/>
      <c r="BA62" s="204"/>
      <c r="BB62" s="204"/>
      <c r="BC62" s="204"/>
    </row>
    <row r="63" spans="1:55" s="26" customFormat="1">
      <c r="A63" s="76"/>
      <c r="B63" s="1167"/>
      <c r="C63" s="1981"/>
      <c r="D63" s="1981"/>
      <c r="E63" s="1981"/>
      <c r="F63" s="1981"/>
      <c r="G63" s="1981"/>
      <c r="H63" s="1981"/>
      <c r="I63" s="1167"/>
      <c r="J63" s="1957"/>
      <c r="K63" s="1957"/>
      <c r="L63" s="1957"/>
      <c r="M63" s="1957"/>
      <c r="N63" s="1957"/>
      <c r="O63" s="2452"/>
      <c r="P63" s="1167"/>
      <c r="Q63" s="9"/>
      <c r="R63" s="9"/>
      <c r="S63" s="204"/>
      <c r="T63" s="204"/>
      <c r="U63" s="204"/>
      <c r="V63" s="204"/>
      <c r="W63" s="204"/>
      <c r="X63" s="204"/>
      <c r="Y63" s="204"/>
      <c r="Z63" s="204"/>
      <c r="AA63" s="204"/>
      <c r="AB63" s="579"/>
      <c r="AC63" s="579"/>
      <c r="AD63" s="579"/>
      <c r="AE63" s="579"/>
      <c r="AF63" s="579"/>
      <c r="AG63" s="579"/>
      <c r="AH63" s="579"/>
      <c r="AI63" s="579"/>
      <c r="AJ63" s="579"/>
      <c r="AK63" s="579"/>
      <c r="AL63" s="579"/>
      <c r="AM63" s="579"/>
      <c r="AN63" s="579"/>
      <c r="AO63" s="204"/>
      <c r="AP63" s="204"/>
      <c r="AQ63" s="204"/>
      <c r="AR63" s="204"/>
      <c r="AS63" s="204"/>
      <c r="AT63" s="204"/>
      <c r="AU63" s="204"/>
      <c r="AV63" s="204"/>
      <c r="AW63" s="204"/>
      <c r="AX63" s="204"/>
      <c r="AY63" s="204"/>
      <c r="AZ63" s="204"/>
      <c r="BA63" s="204"/>
      <c r="BB63" s="204"/>
      <c r="BC63" s="204"/>
    </row>
    <row r="64" spans="1:55" s="26" customFormat="1">
      <c r="A64" s="76"/>
      <c r="B64" s="1167"/>
      <c r="C64" s="1981"/>
      <c r="D64" s="1981"/>
      <c r="E64" s="1981"/>
      <c r="F64" s="1981"/>
      <c r="G64" s="1981"/>
      <c r="H64" s="1981"/>
      <c r="I64" s="1167"/>
      <c r="J64" s="1957"/>
      <c r="K64" s="1957"/>
      <c r="L64" s="1957"/>
      <c r="M64" s="1957"/>
      <c r="N64" s="1957"/>
      <c r="O64" s="2452"/>
      <c r="P64" s="1167"/>
      <c r="Q64" s="9"/>
      <c r="R64" s="9"/>
      <c r="S64" s="204"/>
      <c r="T64" s="204"/>
      <c r="U64" s="204"/>
      <c r="V64" s="204"/>
      <c r="W64" s="204"/>
      <c r="X64" s="204"/>
      <c r="Y64" s="204"/>
      <c r="Z64" s="204"/>
      <c r="AA64" s="204"/>
      <c r="AB64" s="579"/>
      <c r="AC64" s="579"/>
      <c r="AD64" s="579"/>
      <c r="AE64" s="579"/>
      <c r="AF64" s="579"/>
      <c r="AG64" s="579"/>
      <c r="AH64" s="579"/>
      <c r="AI64" s="579"/>
      <c r="AJ64" s="204"/>
      <c r="AK64" s="204"/>
      <c r="AL64" s="204"/>
      <c r="AM64" s="204"/>
      <c r="AN64" s="204"/>
      <c r="AO64" s="204"/>
      <c r="AP64" s="204"/>
      <c r="AQ64" s="204"/>
      <c r="AR64" s="204"/>
      <c r="AS64" s="204"/>
      <c r="AT64" s="204"/>
      <c r="AU64" s="204"/>
      <c r="AV64" s="204"/>
      <c r="AW64" s="204"/>
      <c r="AX64" s="204"/>
      <c r="AY64" s="204"/>
      <c r="AZ64" s="204"/>
      <c r="BA64" s="204"/>
      <c r="BB64" s="204"/>
      <c r="BC64" s="204"/>
    </row>
    <row r="65" spans="1:55">
      <c r="B65" s="1167"/>
      <c r="C65" s="1981"/>
      <c r="D65" s="1981"/>
      <c r="E65" s="1981"/>
      <c r="F65" s="1981"/>
      <c r="G65" s="1981"/>
      <c r="H65" s="1981"/>
      <c r="I65" s="1167"/>
      <c r="J65" s="1957"/>
      <c r="K65" s="1957"/>
      <c r="L65" s="1957"/>
      <c r="M65" s="1957"/>
      <c r="N65" s="1957"/>
      <c r="O65" s="2452"/>
      <c r="P65" s="1167"/>
      <c r="S65" s="204"/>
      <c r="T65" s="204"/>
      <c r="U65" s="204"/>
      <c r="V65" s="204"/>
      <c r="W65" s="204"/>
      <c r="X65" s="204"/>
      <c r="Y65" s="204"/>
      <c r="Z65" s="204"/>
      <c r="AA65" s="204"/>
      <c r="AB65" s="579"/>
      <c r="AC65" s="579"/>
      <c r="AD65" s="579"/>
      <c r="AE65" s="579"/>
      <c r="AF65" s="579"/>
      <c r="AG65" s="579"/>
      <c r="AH65" s="579"/>
      <c r="AI65" s="579"/>
      <c r="AJ65" s="204"/>
      <c r="AK65" s="204"/>
      <c r="AL65" s="204"/>
      <c r="AM65" s="204"/>
      <c r="AN65" s="204"/>
      <c r="AO65" s="204"/>
      <c r="AP65" s="204"/>
      <c r="AQ65" s="204"/>
      <c r="AR65" s="204"/>
      <c r="AS65" s="204"/>
      <c r="AT65" s="204"/>
      <c r="AU65" s="204"/>
      <c r="AV65" s="204"/>
      <c r="AW65" s="204"/>
      <c r="AX65" s="204"/>
      <c r="AY65" s="204"/>
      <c r="AZ65" s="204"/>
      <c r="BA65" s="204"/>
      <c r="BB65" s="204"/>
      <c r="BC65" s="204"/>
    </row>
    <row r="66" spans="1:55">
      <c r="B66" s="1167"/>
      <c r="C66" s="1981"/>
      <c r="D66" s="1981"/>
      <c r="E66" s="1981"/>
      <c r="F66" s="1981"/>
      <c r="G66" s="1981"/>
      <c r="H66" s="1981"/>
      <c r="I66" s="1167"/>
      <c r="J66" s="1957"/>
      <c r="K66" s="1957"/>
      <c r="L66" s="1957"/>
      <c r="M66" s="1957"/>
      <c r="N66" s="1957"/>
      <c r="O66" s="2452"/>
      <c r="P66" s="1167"/>
      <c r="S66" s="204"/>
      <c r="T66" s="204"/>
      <c r="U66" s="204"/>
      <c r="V66" s="204"/>
      <c r="W66" s="204"/>
      <c r="X66" s="204"/>
      <c r="Y66" s="204"/>
      <c r="Z66" s="204"/>
      <c r="AA66" s="204"/>
      <c r="AB66" s="579"/>
      <c r="AC66" s="579"/>
      <c r="AD66" s="579"/>
      <c r="AE66" s="579"/>
      <c r="AF66" s="579"/>
      <c r="AG66" s="579"/>
      <c r="AH66" s="579"/>
      <c r="AI66" s="579"/>
      <c r="AJ66" s="204"/>
      <c r="AK66" s="204"/>
      <c r="AL66" s="204"/>
      <c r="AM66" s="204"/>
      <c r="AN66" s="204"/>
      <c r="AO66" s="204"/>
      <c r="AP66" s="204"/>
      <c r="AQ66" s="204"/>
      <c r="AR66" s="204"/>
      <c r="AS66" s="204"/>
      <c r="AT66" s="204"/>
      <c r="AU66" s="204"/>
      <c r="AV66" s="204"/>
      <c r="AW66" s="204"/>
      <c r="AX66" s="204"/>
      <c r="AY66" s="204"/>
      <c r="AZ66" s="204"/>
      <c r="BA66" s="204"/>
      <c r="BB66" s="204"/>
      <c r="BC66" s="204"/>
    </row>
    <row r="67" spans="1:55">
      <c r="B67" s="1167"/>
      <c r="C67" s="1981"/>
      <c r="D67" s="1981"/>
      <c r="E67" s="1981"/>
      <c r="F67" s="1981"/>
      <c r="G67" s="1981"/>
      <c r="H67" s="1981"/>
      <c r="I67" s="1167"/>
      <c r="J67" s="1957"/>
      <c r="K67" s="1957"/>
      <c r="L67" s="1957"/>
      <c r="M67" s="1957"/>
      <c r="N67" s="1957"/>
      <c r="O67" s="2452"/>
      <c r="P67" s="1167"/>
      <c r="S67" s="204"/>
      <c r="T67" s="204"/>
      <c r="U67" s="204"/>
      <c r="V67" s="204"/>
      <c r="W67" s="204"/>
      <c r="X67" s="204"/>
      <c r="Y67" s="204"/>
      <c r="Z67" s="204"/>
      <c r="AA67" s="204"/>
      <c r="AB67" s="579"/>
      <c r="AC67" s="579"/>
      <c r="AD67" s="579"/>
      <c r="AE67" s="579"/>
      <c r="AF67" s="579"/>
      <c r="AG67" s="579"/>
      <c r="AH67" s="579"/>
      <c r="AI67" s="579"/>
      <c r="AJ67" s="204"/>
      <c r="AK67" s="204"/>
      <c r="AL67" s="204"/>
      <c r="AM67" s="204"/>
      <c r="AN67" s="204"/>
      <c r="AO67" s="204"/>
      <c r="AP67" s="204"/>
      <c r="AQ67" s="204"/>
      <c r="AR67" s="204"/>
      <c r="AS67" s="204"/>
      <c r="AT67" s="204"/>
      <c r="AU67" s="204"/>
      <c r="AV67" s="204"/>
      <c r="AW67" s="204"/>
      <c r="AX67" s="204"/>
      <c r="AY67" s="204"/>
      <c r="AZ67" s="204"/>
      <c r="BA67" s="204"/>
      <c r="BB67" s="204"/>
      <c r="BC67" s="204"/>
    </row>
    <row r="68" spans="1:55">
      <c r="B68" s="1167"/>
      <c r="C68" s="1981"/>
      <c r="D68" s="1981"/>
      <c r="E68" s="1981"/>
      <c r="F68" s="1981"/>
      <c r="G68" s="1981"/>
      <c r="H68" s="1981"/>
      <c r="I68" s="1167"/>
      <c r="J68" s="1957"/>
      <c r="K68" s="1957"/>
      <c r="L68" s="1957"/>
      <c r="M68" s="1957"/>
      <c r="N68" s="1957"/>
      <c r="O68" s="2452"/>
      <c r="P68" s="1167"/>
      <c r="S68" s="204"/>
      <c r="T68" s="204"/>
      <c r="U68" s="204"/>
      <c r="V68" s="204"/>
      <c r="W68" s="204"/>
      <c r="X68" s="204"/>
      <c r="Y68" s="204"/>
      <c r="Z68" s="204"/>
      <c r="AA68" s="204"/>
      <c r="AB68" s="579"/>
      <c r="AC68" s="579"/>
      <c r="AD68" s="579"/>
      <c r="AE68" s="579"/>
      <c r="AF68" s="579"/>
      <c r="AG68" s="579"/>
      <c r="AH68" s="579"/>
      <c r="AI68" s="579"/>
      <c r="AJ68" s="204"/>
      <c r="AK68" s="204"/>
      <c r="AL68" s="204"/>
      <c r="AM68" s="204"/>
      <c r="AN68" s="204"/>
      <c r="AO68" s="204"/>
      <c r="AP68" s="204"/>
      <c r="AQ68" s="204"/>
      <c r="AR68" s="204"/>
      <c r="AS68" s="204"/>
      <c r="AT68" s="204"/>
      <c r="AU68" s="204"/>
      <c r="AV68" s="204"/>
      <c r="AW68" s="204"/>
      <c r="AX68" s="204"/>
      <c r="AY68" s="204"/>
      <c r="AZ68" s="204"/>
      <c r="BA68" s="204"/>
      <c r="BB68" s="204"/>
      <c r="BC68" s="204"/>
    </row>
    <row r="69" spans="1:55">
      <c r="B69" s="1167"/>
      <c r="C69" s="1981"/>
      <c r="D69" s="1981"/>
      <c r="E69" s="1981"/>
      <c r="F69" s="1981"/>
      <c r="G69" s="1981"/>
      <c r="H69" s="1981"/>
      <c r="I69" s="1167"/>
      <c r="J69" s="1957"/>
      <c r="K69" s="1957"/>
      <c r="L69" s="1957"/>
      <c r="M69" s="1957"/>
      <c r="N69" s="1957"/>
      <c r="O69" s="2452"/>
      <c r="P69" s="1167"/>
      <c r="S69" s="204"/>
      <c r="T69" s="204"/>
      <c r="U69" s="204"/>
      <c r="V69" s="204"/>
      <c r="W69" s="204"/>
      <c r="X69" s="204"/>
      <c r="Y69" s="204"/>
      <c r="Z69" s="204"/>
      <c r="AA69" s="204"/>
      <c r="AB69" s="579"/>
      <c r="AC69" s="579"/>
      <c r="AD69" s="579"/>
      <c r="AE69" s="579"/>
      <c r="AF69" s="579"/>
      <c r="AG69" s="579"/>
      <c r="AH69" s="579"/>
      <c r="AI69" s="579"/>
      <c r="AJ69" s="204"/>
      <c r="AK69" s="204"/>
      <c r="AL69" s="204"/>
      <c r="AM69" s="204"/>
      <c r="AN69" s="204"/>
      <c r="AO69" s="204"/>
      <c r="AP69" s="204"/>
      <c r="AQ69" s="204"/>
      <c r="AR69" s="204"/>
      <c r="AS69" s="204"/>
      <c r="AT69" s="204"/>
      <c r="AU69" s="204"/>
      <c r="AV69" s="204"/>
      <c r="AW69" s="204"/>
      <c r="AX69" s="204"/>
      <c r="AY69" s="204"/>
      <c r="AZ69" s="204"/>
      <c r="BA69" s="204"/>
      <c r="BB69" s="204"/>
      <c r="BC69" s="204"/>
    </row>
    <row r="70" spans="1:55">
      <c r="B70" s="1167"/>
      <c r="C70" s="1981"/>
      <c r="D70" s="1981"/>
      <c r="E70" s="1981"/>
      <c r="F70" s="1981"/>
      <c r="G70" s="1981"/>
      <c r="H70" s="1981"/>
      <c r="I70" s="1167"/>
      <c r="J70" s="1957"/>
      <c r="K70" s="1957"/>
      <c r="L70" s="1957"/>
      <c r="M70" s="1957"/>
      <c r="N70" s="1957"/>
      <c r="O70" s="2452"/>
      <c r="P70" s="1167"/>
      <c r="S70" s="204"/>
      <c r="T70" s="204"/>
      <c r="U70" s="204"/>
      <c r="V70" s="204"/>
      <c r="W70" s="204"/>
      <c r="X70" s="204"/>
      <c r="Y70" s="204"/>
      <c r="Z70" s="204"/>
      <c r="AA70" s="204"/>
      <c r="AB70" s="579"/>
      <c r="AC70" s="579"/>
      <c r="AD70" s="579"/>
      <c r="AE70" s="579"/>
      <c r="AF70" s="579"/>
      <c r="AG70" s="579"/>
      <c r="AH70" s="579"/>
      <c r="AI70" s="579"/>
      <c r="AJ70" s="204"/>
      <c r="AK70" s="204"/>
      <c r="AL70" s="204"/>
      <c r="AM70" s="204"/>
      <c r="AN70" s="204"/>
      <c r="AO70" s="204"/>
      <c r="AP70" s="204"/>
      <c r="AQ70" s="204"/>
      <c r="AR70" s="204"/>
      <c r="AS70" s="204"/>
      <c r="AT70" s="204"/>
      <c r="AU70" s="204"/>
      <c r="AV70" s="204"/>
      <c r="AW70" s="204"/>
      <c r="AX70" s="204"/>
      <c r="AY70" s="204"/>
      <c r="AZ70" s="204"/>
      <c r="BA70" s="204"/>
      <c r="BB70" s="204"/>
      <c r="BC70" s="204"/>
    </row>
    <row r="71" spans="1:55">
      <c r="B71" s="1167"/>
      <c r="C71" s="1981"/>
      <c r="D71" s="1981"/>
      <c r="E71" s="1981"/>
      <c r="F71" s="1981"/>
      <c r="G71" s="1981"/>
      <c r="H71" s="1981"/>
      <c r="I71" s="1167"/>
      <c r="J71" s="2453"/>
      <c r="K71" s="2453"/>
      <c r="L71" s="2453"/>
      <c r="M71" s="2453"/>
      <c r="N71" s="2453"/>
      <c r="O71" s="1981"/>
      <c r="P71" s="1167"/>
      <c r="S71" s="204"/>
      <c r="T71" s="204"/>
      <c r="U71" s="204"/>
      <c r="V71" s="204"/>
      <c r="W71" s="204"/>
      <c r="X71" s="204"/>
      <c r="Y71" s="204"/>
      <c r="Z71" s="204"/>
      <c r="AA71" s="204"/>
      <c r="AB71" s="579"/>
      <c r="AC71" s="579"/>
      <c r="AD71" s="579"/>
      <c r="AE71" s="579"/>
      <c r="AF71" s="579"/>
      <c r="AG71" s="579"/>
      <c r="AH71" s="579"/>
      <c r="AI71" s="579"/>
      <c r="AJ71" s="204"/>
      <c r="AK71" s="204"/>
      <c r="AL71" s="204"/>
      <c r="AM71" s="204"/>
      <c r="AN71" s="204"/>
      <c r="AO71" s="204"/>
      <c r="AP71" s="204"/>
      <c r="AQ71" s="204"/>
      <c r="AR71" s="204"/>
      <c r="AS71" s="204"/>
      <c r="AT71" s="204"/>
      <c r="AU71" s="204"/>
      <c r="AV71" s="204"/>
      <c r="AW71" s="204"/>
      <c r="AX71" s="204"/>
      <c r="AY71" s="204"/>
      <c r="AZ71" s="204"/>
      <c r="BA71" s="204"/>
      <c r="BB71" s="204"/>
      <c r="BC71" s="204"/>
    </row>
    <row r="72" spans="1:55">
      <c r="B72" s="1167"/>
      <c r="C72" s="1981"/>
      <c r="D72" s="1981"/>
      <c r="E72" s="1981"/>
      <c r="F72" s="1981"/>
      <c r="G72" s="1981"/>
      <c r="H72" s="1981"/>
      <c r="I72" s="1167"/>
      <c r="J72" s="1733" t="s">
        <v>4766</v>
      </c>
      <c r="K72" s="1167"/>
      <c r="L72" s="1167"/>
      <c r="M72" s="1167"/>
      <c r="N72" s="1167"/>
      <c r="O72" s="1167"/>
      <c r="P72" s="1167"/>
      <c r="S72" s="204"/>
      <c r="T72" s="204"/>
      <c r="U72" s="204"/>
      <c r="V72" s="204"/>
      <c r="W72" s="204"/>
      <c r="X72" s="204"/>
      <c r="Y72" s="204"/>
      <c r="Z72" s="204"/>
      <c r="AA72" s="204"/>
      <c r="AB72" s="579"/>
      <c r="AC72" s="579"/>
      <c r="AD72" s="579"/>
      <c r="AE72" s="579"/>
      <c r="AF72" s="579"/>
      <c r="AG72" s="579"/>
      <c r="AH72" s="579"/>
      <c r="AI72" s="579"/>
      <c r="AJ72" s="204"/>
      <c r="AK72" s="204"/>
      <c r="AL72" s="204"/>
      <c r="AM72" s="204"/>
      <c r="AN72" s="204"/>
      <c r="AO72" s="204"/>
      <c r="AP72" s="204"/>
      <c r="AQ72" s="204"/>
      <c r="AR72" s="204"/>
      <c r="AS72" s="204"/>
      <c r="AT72" s="204"/>
      <c r="AU72" s="204"/>
      <c r="AV72" s="204"/>
      <c r="AW72" s="204"/>
      <c r="AX72" s="204"/>
      <c r="AY72" s="204"/>
      <c r="AZ72" s="204"/>
      <c r="BA72" s="204"/>
      <c r="BB72" s="204"/>
      <c r="BC72" s="204"/>
    </row>
    <row r="73" spans="1:55">
      <c r="B73" s="1167"/>
      <c r="C73" s="1981"/>
      <c r="D73" s="1981"/>
      <c r="E73" s="1981"/>
      <c r="F73" s="1981"/>
      <c r="G73" s="1981"/>
      <c r="H73" s="1981"/>
      <c r="I73" s="1167"/>
      <c r="J73" s="2454"/>
      <c r="K73" s="2454"/>
      <c r="L73" s="2454"/>
      <c r="M73" s="2454"/>
      <c r="N73" s="2454"/>
      <c r="O73" s="2454"/>
      <c r="P73" s="1167"/>
      <c r="S73" s="204"/>
      <c r="T73" s="204"/>
      <c r="U73" s="204"/>
      <c r="V73" s="204"/>
      <c r="W73" s="204"/>
      <c r="X73" s="204"/>
      <c r="Y73" s="204"/>
      <c r="Z73" s="204"/>
      <c r="AA73" s="204"/>
      <c r="AB73" s="579"/>
      <c r="AC73" s="579"/>
      <c r="AD73" s="579"/>
      <c r="AE73" s="579"/>
      <c r="AF73" s="579"/>
      <c r="AG73" s="579"/>
      <c r="AH73" s="579"/>
      <c r="AI73" s="579"/>
      <c r="AJ73" s="204"/>
      <c r="AK73" s="204"/>
      <c r="AL73" s="204"/>
      <c r="AM73" s="204"/>
      <c r="AN73" s="204"/>
      <c r="AO73" s="204"/>
      <c r="AP73" s="204"/>
      <c r="AQ73" s="204"/>
      <c r="AR73" s="204"/>
      <c r="AS73" s="204"/>
      <c r="AT73" s="204"/>
      <c r="AU73" s="204"/>
      <c r="AV73" s="204"/>
      <c r="AW73" s="204"/>
      <c r="AX73" s="204"/>
      <c r="AY73" s="204"/>
      <c r="AZ73" s="204"/>
      <c r="BA73" s="204"/>
      <c r="BB73" s="204"/>
      <c r="BC73" s="204"/>
    </row>
    <row r="74" spans="1:55">
      <c r="B74" s="1167"/>
      <c r="C74" s="1167"/>
      <c r="D74" s="1167"/>
      <c r="E74" s="1167"/>
      <c r="F74" s="1167"/>
      <c r="G74" s="1167"/>
      <c r="H74" s="1167"/>
      <c r="I74" s="1167"/>
      <c r="J74" s="739"/>
      <c r="K74" s="739"/>
      <c r="L74" s="739"/>
      <c r="M74" s="739"/>
      <c r="N74" s="739"/>
      <c r="O74" s="739"/>
      <c r="P74" s="1167"/>
      <c r="S74" s="204"/>
      <c r="T74" s="204"/>
      <c r="U74" s="204"/>
      <c r="V74" s="204"/>
      <c r="W74" s="204"/>
      <c r="X74" s="204"/>
      <c r="Y74" s="204"/>
      <c r="Z74" s="204"/>
      <c r="AA74" s="204"/>
      <c r="AB74" s="579"/>
      <c r="AC74" s="579"/>
      <c r="AD74" s="579"/>
      <c r="AE74" s="579"/>
      <c r="AF74" s="579"/>
      <c r="AG74" s="579"/>
      <c r="AH74" s="579"/>
      <c r="AI74" s="579"/>
      <c r="AJ74" s="204"/>
      <c r="AK74" s="204"/>
      <c r="AL74" s="204"/>
      <c r="AM74" s="204"/>
      <c r="AN74" s="204"/>
      <c r="AO74" s="204"/>
      <c r="AP74" s="204"/>
      <c r="AQ74" s="204"/>
      <c r="AR74" s="204"/>
      <c r="AS74" s="204"/>
      <c r="AT74" s="204"/>
      <c r="AU74" s="204"/>
      <c r="AV74" s="204"/>
      <c r="AW74" s="204"/>
      <c r="AX74" s="204"/>
      <c r="AY74" s="204"/>
      <c r="AZ74" s="204"/>
      <c r="BA74" s="204"/>
      <c r="BB74" s="204"/>
      <c r="BC74" s="204"/>
    </row>
    <row r="75" spans="1:55" s="26" customFormat="1" ht="21" customHeight="1">
      <c r="A75" s="76"/>
      <c r="B75" s="977" t="s">
        <v>4864</v>
      </c>
      <c r="C75" s="896"/>
      <c r="D75" s="896"/>
      <c r="E75" s="896"/>
      <c r="F75" s="896"/>
      <c r="G75" s="896"/>
      <c r="H75" s="896"/>
      <c r="I75" s="896"/>
      <c r="J75" s="896"/>
      <c r="K75" s="896"/>
      <c r="L75" s="896"/>
      <c r="M75" s="896"/>
      <c r="N75" s="896"/>
      <c r="O75" s="896"/>
      <c r="P75" s="896"/>
      <c r="Q75" s="204"/>
      <c r="R75" s="204"/>
      <c r="S75" s="204"/>
      <c r="T75" s="204"/>
      <c r="U75" s="204"/>
      <c r="V75" s="204"/>
      <c r="W75" s="204"/>
      <c r="X75" s="204"/>
      <c r="Y75" s="204"/>
      <c r="Z75" s="204"/>
      <c r="AA75" s="204"/>
      <c r="AB75" s="579"/>
      <c r="AC75" s="579"/>
      <c r="AD75" s="579"/>
      <c r="AE75" s="579"/>
      <c r="AF75" s="579"/>
      <c r="AG75" s="579"/>
      <c r="AH75" s="204"/>
      <c r="AI75" s="204"/>
      <c r="AJ75" s="204"/>
      <c r="AK75" s="204"/>
      <c r="AL75" s="204"/>
      <c r="AM75" s="204"/>
      <c r="AN75" s="204"/>
      <c r="AO75" s="204"/>
      <c r="AP75" s="204"/>
      <c r="AQ75" s="204"/>
      <c r="AR75" s="204"/>
      <c r="AS75" s="204"/>
      <c r="AT75" s="204"/>
      <c r="AU75" s="204"/>
      <c r="AV75" s="204"/>
      <c r="AW75" s="204"/>
      <c r="AX75" s="204"/>
      <c r="AY75" s="204"/>
      <c r="AZ75" s="204"/>
      <c r="BA75" s="204"/>
      <c r="BB75" s="204"/>
    </row>
    <row r="76" spans="1:55" s="26" customFormat="1">
      <c r="A76" s="76"/>
      <c r="B76" s="1717" t="s">
        <v>3736</v>
      </c>
      <c r="C76" s="1689"/>
      <c r="D76" s="1689"/>
      <c r="E76" s="1689"/>
      <c r="F76" s="1689"/>
      <c r="G76" s="1689"/>
      <c r="H76" s="1689"/>
      <c r="I76" s="1689"/>
      <c r="J76" s="1689"/>
      <c r="K76" s="1689"/>
      <c r="L76" s="1689"/>
      <c r="M76" s="1689"/>
      <c r="N76" s="1689"/>
      <c r="O76" s="1689"/>
      <c r="P76" s="1689"/>
      <c r="Q76" s="98"/>
      <c r="R76" s="204"/>
      <c r="S76" s="204"/>
      <c r="T76" s="204"/>
      <c r="U76" s="204"/>
      <c r="V76" s="204"/>
      <c r="W76" s="204"/>
      <c r="X76" s="204"/>
      <c r="Y76" s="204"/>
      <c r="Z76" s="204"/>
      <c r="AA76" s="204"/>
      <c r="AB76" s="579"/>
      <c r="AC76" s="579"/>
      <c r="AD76" s="579"/>
      <c r="AE76" s="579"/>
      <c r="AF76" s="579"/>
      <c r="AG76" s="579"/>
      <c r="AH76" s="579"/>
      <c r="AI76" s="579"/>
      <c r="AJ76" s="579"/>
      <c r="AK76" s="579"/>
      <c r="AL76" s="579"/>
      <c r="AM76" s="579"/>
      <c r="AN76" s="204"/>
      <c r="AO76" s="204"/>
      <c r="AP76" s="204"/>
      <c r="AQ76" s="204"/>
      <c r="AR76" s="204"/>
      <c r="AS76" s="204"/>
      <c r="AT76" s="204"/>
      <c r="AU76" s="204"/>
      <c r="AV76" s="204"/>
      <c r="AW76" s="204"/>
      <c r="AX76" s="204"/>
      <c r="AY76" s="204"/>
      <c r="AZ76" s="204"/>
      <c r="BA76" s="204"/>
      <c r="BB76" s="204"/>
    </row>
    <row r="77" spans="1:55" s="26" customFormat="1" ht="15" customHeight="1">
      <c r="A77" s="76"/>
      <c r="B77" s="1395" t="s">
        <v>4865</v>
      </c>
      <c r="C77" s="1395"/>
      <c r="D77" s="1395"/>
      <c r="E77" s="1395"/>
      <c r="F77" s="1395"/>
      <c r="G77" s="1395"/>
      <c r="H77" s="1395"/>
      <c r="I77" s="1395"/>
      <c r="J77" s="1395"/>
      <c r="K77" s="1395"/>
      <c r="L77" s="1395"/>
      <c r="M77" s="1395"/>
      <c r="N77" s="1689"/>
      <c r="O77" s="1689"/>
      <c r="P77" s="1689"/>
      <c r="Q77" s="204"/>
      <c r="R77" s="204"/>
      <c r="S77" s="204"/>
      <c r="T77" s="204"/>
      <c r="U77" s="204"/>
      <c r="V77" s="204"/>
      <c r="W77" s="204"/>
      <c r="X77" s="204"/>
      <c r="Y77" s="204"/>
      <c r="Z77" s="204"/>
      <c r="AA77" s="204"/>
      <c r="AB77" s="579"/>
      <c r="AC77" s="579"/>
      <c r="AD77" s="579"/>
      <c r="AE77" s="579"/>
      <c r="AF77" s="579"/>
      <c r="AG77" s="579"/>
      <c r="AH77" s="579"/>
      <c r="AI77" s="579"/>
      <c r="AJ77" s="579"/>
      <c r="AK77" s="579"/>
      <c r="AL77" s="579"/>
      <c r="AM77" s="579"/>
      <c r="AN77" s="204"/>
      <c r="AO77" s="204"/>
      <c r="AP77" s="204"/>
      <c r="AQ77" s="204"/>
      <c r="AR77" s="204"/>
      <c r="AS77" s="204"/>
      <c r="AT77" s="204"/>
      <c r="AU77" s="204"/>
      <c r="AV77" s="204"/>
      <c r="AW77" s="204"/>
      <c r="AX77" s="204"/>
      <c r="AY77" s="204"/>
      <c r="AZ77" s="204"/>
      <c r="BA77" s="204"/>
      <c r="BB77" s="204"/>
    </row>
    <row r="78" spans="1:55" s="26" customFormat="1" ht="15" customHeight="1">
      <c r="A78" s="76"/>
      <c r="B78" s="1395" t="s">
        <v>4866</v>
      </c>
      <c r="C78" s="1395"/>
      <c r="D78" s="1395"/>
      <c r="E78" s="1395"/>
      <c r="F78" s="1395"/>
      <c r="G78" s="1395"/>
      <c r="H78" s="1395"/>
      <c r="I78" s="1395"/>
      <c r="J78" s="1395"/>
      <c r="K78" s="1395"/>
      <c r="L78" s="1395"/>
      <c r="M78" s="1395"/>
      <c r="N78" s="1689"/>
      <c r="O78" s="1689"/>
      <c r="P78" s="1689"/>
      <c r="Q78" s="204"/>
      <c r="R78" s="204"/>
      <c r="S78" s="204"/>
      <c r="T78" s="204"/>
      <c r="U78" s="204"/>
      <c r="V78" s="204"/>
      <c r="W78" s="204"/>
      <c r="X78" s="204"/>
      <c r="Y78" s="204"/>
      <c r="Z78" s="204"/>
      <c r="AA78" s="204"/>
      <c r="AB78" s="579"/>
      <c r="AC78" s="579"/>
      <c r="AD78" s="579"/>
      <c r="AE78" s="579"/>
      <c r="AF78" s="579"/>
      <c r="AG78" s="579"/>
      <c r="AH78" s="579"/>
      <c r="AI78" s="579"/>
      <c r="AJ78" s="579"/>
      <c r="AK78" s="579"/>
      <c r="AL78" s="579"/>
      <c r="AM78" s="579"/>
      <c r="AN78" s="204"/>
      <c r="AO78" s="204"/>
      <c r="AP78" s="204"/>
      <c r="AQ78" s="204"/>
      <c r="AR78" s="204"/>
      <c r="AS78" s="204"/>
      <c r="AT78" s="204"/>
      <c r="AU78" s="204"/>
      <c r="AV78" s="204"/>
      <c r="AW78" s="204"/>
      <c r="AX78" s="204"/>
      <c r="AY78" s="204"/>
      <c r="AZ78" s="204"/>
      <c r="BA78" s="204"/>
      <c r="BB78" s="204"/>
    </row>
    <row r="79" spans="1:55" s="26" customFormat="1">
      <c r="A79" s="76"/>
      <c r="B79" s="1395" t="s">
        <v>4867</v>
      </c>
      <c r="C79" s="1395"/>
      <c r="D79" s="1395"/>
      <c r="E79" s="1395"/>
      <c r="F79" s="1395"/>
      <c r="G79" s="1395"/>
      <c r="H79" s="1395"/>
      <c r="I79" s="1395"/>
      <c r="J79" s="1395"/>
      <c r="K79" s="1395"/>
      <c r="L79" s="1395"/>
      <c r="M79" s="1395"/>
      <c r="N79" s="1689"/>
      <c r="O79" s="1689"/>
      <c r="P79" s="1689"/>
      <c r="Q79" s="204"/>
      <c r="R79" s="204"/>
      <c r="S79" s="204"/>
      <c r="T79" s="204"/>
      <c r="U79" s="204"/>
      <c r="V79" s="204"/>
      <c r="W79" s="204"/>
      <c r="X79" s="204"/>
      <c r="Y79" s="204"/>
      <c r="Z79" s="204"/>
      <c r="AA79" s="204"/>
      <c r="AB79" s="579"/>
      <c r="AC79" s="579"/>
      <c r="AD79" s="579"/>
      <c r="AE79" s="579"/>
      <c r="AF79" s="579"/>
      <c r="AG79" s="579"/>
      <c r="AH79" s="579"/>
      <c r="AI79" s="579"/>
      <c r="AJ79" s="579"/>
      <c r="AK79" s="579"/>
      <c r="AL79" s="579"/>
      <c r="AM79" s="579"/>
      <c r="AN79" s="204"/>
      <c r="AO79" s="204"/>
      <c r="AP79" s="204"/>
      <c r="AQ79" s="204"/>
      <c r="AR79" s="204"/>
      <c r="AS79" s="204"/>
      <c r="AT79" s="204"/>
      <c r="AU79" s="204"/>
      <c r="AV79" s="204"/>
      <c r="AW79" s="204"/>
      <c r="AX79" s="204"/>
      <c r="AY79" s="204"/>
      <c r="AZ79" s="204"/>
      <c r="BA79" s="204"/>
      <c r="BB79" s="204"/>
    </row>
    <row r="80" spans="1:55" s="26" customFormat="1" ht="15" customHeight="1">
      <c r="A80" s="76"/>
      <c r="B80" s="1689" t="s">
        <v>4868</v>
      </c>
      <c r="C80" s="1689"/>
      <c r="D80" s="1689"/>
      <c r="E80" s="1689"/>
      <c r="F80" s="1689"/>
      <c r="G80" s="1689"/>
      <c r="H80" s="1689"/>
      <c r="I80" s="1689"/>
      <c r="J80" s="1689"/>
      <c r="K80" s="1689"/>
      <c r="L80" s="1689"/>
      <c r="M80" s="1689"/>
      <c r="N80" s="1689"/>
      <c r="O80" s="1689"/>
      <c r="P80" s="1689"/>
      <c r="Q80" s="204"/>
      <c r="R80" s="204"/>
      <c r="S80" s="204"/>
      <c r="T80" s="204"/>
      <c r="U80" s="204"/>
      <c r="V80" s="204"/>
      <c r="W80" s="204"/>
      <c r="X80" s="204"/>
      <c r="Y80" s="204"/>
      <c r="Z80" s="204"/>
      <c r="AA80" s="204"/>
      <c r="AB80" s="579"/>
      <c r="AC80" s="579"/>
      <c r="AD80" s="579"/>
      <c r="AE80" s="579"/>
      <c r="AF80" s="579"/>
      <c r="AG80" s="579"/>
      <c r="AH80" s="579"/>
      <c r="AI80" s="579"/>
      <c r="AJ80" s="579"/>
      <c r="AK80" s="579"/>
      <c r="AL80" s="579"/>
      <c r="AM80" s="579"/>
      <c r="AN80" s="204"/>
      <c r="AO80" s="204"/>
      <c r="AP80" s="204"/>
      <c r="AQ80" s="204"/>
      <c r="AR80" s="204"/>
      <c r="AS80" s="204"/>
      <c r="AT80" s="204"/>
      <c r="AU80" s="204"/>
      <c r="AV80" s="204"/>
      <c r="AW80" s="204"/>
      <c r="AX80" s="204"/>
      <c r="AY80" s="204"/>
      <c r="AZ80" s="204"/>
      <c r="BA80" s="204"/>
      <c r="BB80" s="204"/>
    </row>
    <row r="81" spans="1:54" s="26" customFormat="1">
      <c r="A81" s="76"/>
      <c r="B81" s="1689"/>
      <c r="C81" s="1689"/>
      <c r="D81" s="1689"/>
      <c r="E81" s="1689"/>
      <c r="F81" s="1689"/>
      <c r="G81" s="1689"/>
      <c r="H81" s="1689"/>
      <c r="I81" s="1689"/>
      <c r="J81" s="1689"/>
      <c r="K81" s="1689"/>
      <c r="L81" s="1689"/>
      <c r="M81" s="1689"/>
      <c r="N81" s="1689"/>
      <c r="O81" s="1689"/>
      <c r="P81" s="1689"/>
      <c r="Q81" s="204"/>
      <c r="R81" s="204"/>
      <c r="S81" s="204"/>
      <c r="T81" s="204"/>
      <c r="U81" s="204"/>
      <c r="V81" s="204"/>
      <c r="W81" s="204"/>
      <c r="X81" s="204"/>
      <c r="Y81" s="204"/>
      <c r="Z81" s="204"/>
      <c r="AA81" s="204"/>
      <c r="AB81" s="579"/>
      <c r="AC81" s="579"/>
      <c r="AD81" s="579"/>
      <c r="AE81" s="579"/>
      <c r="AF81" s="579"/>
      <c r="AG81" s="579"/>
      <c r="AH81" s="579"/>
      <c r="AI81" s="579"/>
      <c r="AJ81" s="579"/>
      <c r="AK81" s="579"/>
      <c r="AL81" s="579"/>
      <c r="AM81" s="579"/>
      <c r="AN81" s="204"/>
      <c r="AO81" s="204"/>
      <c r="AP81" s="204"/>
      <c r="AQ81" s="204"/>
      <c r="AR81" s="204"/>
      <c r="AS81" s="204"/>
      <c r="AT81" s="204"/>
      <c r="AU81" s="204"/>
      <c r="AV81" s="204"/>
      <c r="AW81" s="204"/>
      <c r="AX81" s="204"/>
      <c r="AY81" s="204"/>
      <c r="AZ81" s="204"/>
      <c r="BA81" s="204"/>
      <c r="BB81" s="204"/>
    </row>
    <row r="82" spans="1:54" s="26" customFormat="1">
      <c r="A82" s="76"/>
      <c r="B82" s="2423" t="s">
        <v>4869</v>
      </c>
      <c r="C82" s="2423"/>
      <c r="D82" s="2423"/>
      <c r="E82" s="2423"/>
      <c r="F82" s="2423"/>
      <c r="G82" s="2423"/>
      <c r="H82" s="2423"/>
      <c r="I82" s="2423"/>
      <c r="J82" s="2423"/>
      <c r="K82" s="2423"/>
      <c r="L82" s="2423"/>
      <c r="M82" s="2423"/>
      <c r="N82" s="1689"/>
      <c r="O82" s="1689"/>
      <c r="P82" s="1689"/>
      <c r="Q82" s="204"/>
      <c r="R82" s="204"/>
      <c r="S82" s="204"/>
      <c r="T82" s="204"/>
      <c r="U82" s="204"/>
      <c r="V82" s="204"/>
      <c r="W82" s="204"/>
      <c r="X82" s="204"/>
      <c r="Y82" s="204"/>
      <c r="Z82" s="204"/>
      <c r="AA82" s="204"/>
      <c r="AB82" s="579"/>
      <c r="AC82" s="579"/>
      <c r="AD82" s="579"/>
      <c r="AE82" s="579"/>
      <c r="AF82" s="579"/>
      <c r="AG82" s="579"/>
      <c r="AH82" s="579"/>
      <c r="AI82" s="579"/>
      <c r="AJ82" s="579"/>
      <c r="AK82" s="579"/>
      <c r="AL82" s="579"/>
      <c r="AM82" s="579"/>
      <c r="AN82" s="204"/>
      <c r="AO82" s="204"/>
      <c r="AP82" s="204"/>
      <c r="AQ82" s="204"/>
      <c r="AR82" s="204"/>
      <c r="AS82" s="204"/>
      <c r="AT82" s="204"/>
      <c r="AU82" s="204"/>
      <c r="AV82" s="204"/>
      <c r="AW82" s="204"/>
      <c r="AX82" s="204"/>
      <c r="AY82" s="204"/>
      <c r="AZ82" s="204"/>
      <c r="BA82" s="204"/>
      <c r="BB82" s="204"/>
    </row>
    <row r="83" spans="1:54" s="26" customFormat="1">
      <c r="A83" s="76"/>
      <c r="B83" s="2423"/>
      <c r="C83" s="2423"/>
      <c r="D83" s="2423"/>
      <c r="E83" s="2423"/>
      <c r="F83" s="2423"/>
      <c r="G83" s="2423"/>
      <c r="H83" s="2423"/>
      <c r="I83" s="2423"/>
      <c r="J83" s="2423"/>
      <c r="K83" s="2423"/>
      <c r="L83" s="2423"/>
      <c r="M83" s="2423"/>
      <c r="N83" s="1689"/>
      <c r="O83" s="1689"/>
      <c r="P83" s="1689"/>
      <c r="Q83" s="204"/>
      <c r="R83" s="204"/>
      <c r="S83" s="204"/>
      <c r="T83" s="204"/>
      <c r="U83" s="204"/>
      <c r="V83" s="204"/>
      <c r="W83" s="204"/>
      <c r="X83" s="204"/>
      <c r="Y83" s="204"/>
      <c r="Z83" s="204"/>
      <c r="AA83" s="204"/>
      <c r="AB83" s="579"/>
      <c r="AC83" s="579"/>
      <c r="AD83" s="579"/>
      <c r="AE83" s="579"/>
      <c r="AF83" s="579"/>
      <c r="AG83" s="579"/>
      <c r="AH83" s="579"/>
      <c r="AI83" s="579"/>
      <c r="AJ83" s="579"/>
      <c r="AK83" s="579"/>
      <c r="AL83" s="579"/>
      <c r="AM83" s="579"/>
      <c r="AN83" s="204"/>
      <c r="AO83" s="204"/>
      <c r="AP83" s="204"/>
      <c r="AQ83" s="204"/>
      <c r="AR83" s="204"/>
      <c r="AS83" s="204"/>
      <c r="AT83" s="204"/>
      <c r="AU83" s="204"/>
      <c r="AV83" s="204"/>
      <c r="AW83" s="204"/>
      <c r="AX83" s="204"/>
      <c r="AY83" s="204"/>
      <c r="AZ83" s="204"/>
      <c r="BA83" s="204"/>
      <c r="BB83" s="204"/>
    </row>
    <row r="84" spans="1:54" s="679" customFormat="1">
      <c r="A84" s="366"/>
      <c r="B84" s="1231"/>
      <c r="C84" s="1231"/>
      <c r="D84" s="1231"/>
      <c r="E84" s="1231"/>
      <c r="F84" s="1231"/>
      <c r="G84" s="1231"/>
      <c r="H84" s="1231"/>
      <c r="I84" s="1231"/>
      <c r="J84" s="1231"/>
      <c r="K84" s="1231"/>
      <c r="L84" s="1231"/>
      <c r="M84" s="1231"/>
      <c r="N84" s="1231"/>
      <c r="O84" s="1231"/>
      <c r="P84" s="1231"/>
      <c r="Q84" s="204"/>
      <c r="R84" s="204"/>
      <c r="S84" s="204"/>
      <c r="T84" s="204"/>
      <c r="U84" s="204"/>
      <c r="V84" s="204"/>
      <c r="W84" s="204"/>
      <c r="X84" s="204"/>
      <c r="Y84" s="204"/>
      <c r="Z84" s="204"/>
      <c r="AA84" s="204"/>
      <c r="AB84" s="1489"/>
      <c r="AC84" s="1489"/>
      <c r="AD84" s="1489"/>
      <c r="AE84" s="1489"/>
      <c r="AF84" s="1489"/>
      <c r="AG84" s="1489"/>
      <c r="AH84" s="1489"/>
      <c r="AI84" s="1489"/>
      <c r="AJ84" s="1489"/>
      <c r="AK84" s="1489"/>
      <c r="AL84" s="1489"/>
      <c r="AM84" s="1489"/>
      <c r="AN84" s="1489"/>
      <c r="AO84" s="1489"/>
      <c r="AP84" s="1489"/>
      <c r="AQ84" s="1489"/>
      <c r="AR84" s="1489"/>
      <c r="AS84" s="1489"/>
      <c r="AT84" s="1489"/>
      <c r="AU84" s="1489"/>
      <c r="AV84" s="1489"/>
      <c r="AW84" s="1489"/>
      <c r="AX84" s="1489"/>
      <c r="AY84" s="1489"/>
      <c r="AZ84" s="1489"/>
      <c r="BA84" s="1489"/>
      <c r="BB84" s="1489"/>
    </row>
    <row r="85" spans="1:54" s="26" customFormat="1">
      <c r="A85" s="76"/>
      <c r="B85" s="1689" t="s">
        <v>4870</v>
      </c>
      <c r="C85" s="1689"/>
      <c r="D85" s="1689"/>
      <c r="E85" s="1689"/>
      <c r="F85" s="1689"/>
      <c r="G85" s="1689"/>
      <c r="H85" s="1689"/>
      <c r="I85" s="1689"/>
      <c r="J85" s="1689"/>
      <c r="K85" s="1689"/>
      <c r="L85" s="1689"/>
      <c r="M85" s="1689"/>
      <c r="N85" s="1689"/>
      <c r="O85" s="1689"/>
      <c r="P85" s="1689"/>
      <c r="Q85" s="204"/>
      <c r="R85" s="204"/>
      <c r="S85" s="204"/>
      <c r="T85" s="204"/>
      <c r="U85" s="204"/>
      <c r="V85" s="204"/>
      <c r="W85" s="204"/>
      <c r="X85" s="204"/>
      <c r="Y85" s="204"/>
      <c r="Z85" s="204"/>
      <c r="AA85" s="204"/>
      <c r="AB85" s="579"/>
      <c r="AC85" s="579"/>
      <c r="AD85" s="579"/>
      <c r="AE85" s="579"/>
      <c r="AF85" s="579"/>
      <c r="AG85" s="579"/>
      <c r="AH85" s="579"/>
      <c r="AI85" s="579"/>
      <c r="AJ85" s="579"/>
      <c r="AK85" s="579"/>
      <c r="AL85" s="579"/>
      <c r="AM85" s="579"/>
      <c r="AN85" s="204"/>
      <c r="AO85" s="204"/>
      <c r="AP85" s="204"/>
      <c r="AQ85" s="204"/>
      <c r="AR85" s="204"/>
      <c r="AS85" s="204"/>
      <c r="AT85" s="204"/>
      <c r="AU85" s="204"/>
      <c r="AV85" s="204"/>
      <c r="AW85" s="204"/>
      <c r="AX85" s="204"/>
      <c r="AY85" s="204"/>
      <c r="AZ85" s="204"/>
      <c r="BA85" s="204"/>
      <c r="BB85" s="204"/>
    </row>
    <row r="86" spans="1:54" s="26" customFormat="1">
      <c r="A86" s="76"/>
      <c r="B86" s="1689" t="s">
        <v>4871</v>
      </c>
      <c r="C86" s="1483"/>
      <c r="D86" s="1483"/>
      <c r="E86" s="1483"/>
      <c r="F86" s="1483"/>
      <c r="G86" s="1483"/>
      <c r="H86" s="1483"/>
      <c r="I86" s="1483"/>
      <c r="J86" s="1483"/>
      <c r="K86" s="1483"/>
      <c r="L86" s="1483"/>
      <c r="M86" s="1483"/>
      <c r="N86" s="1689"/>
      <c r="O86" s="1689"/>
      <c r="P86" s="1689"/>
      <c r="Q86" s="1531"/>
      <c r="R86" s="204"/>
      <c r="S86" s="204"/>
      <c r="T86" s="204"/>
      <c r="U86" s="204"/>
      <c r="V86" s="204"/>
      <c r="W86" s="204"/>
      <c r="X86" s="204"/>
      <c r="Y86" s="204"/>
      <c r="Z86" s="204"/>
      <c r="AA86" s="204"/>
      <c r="AB86" s="579"/>
      <c r="AC86" s="579"/>
      <c r="AD86" s="579"/>
      <c r="AE86" s="579"/>
      <c r="AF86" s="579"/>
      <c r="AG86" s="579"/>
      <c r="AH86" s="579"/>
      <c r="AI86" s="579"/>
      <c r="AJ86" s="579"/>
      <c r="AK86" s="579"/>
      <c r="AL86" s="579"/>
      <c r="AM86" s="579"/>
      <c r="AN86" s="204"/>
      <c r="AO86" s="204"/>
      <c r="AP86" s="204"/>
      <c r="AQ86" s="204"/>
      <c r="AR86" s="204"/>
      <c r="AS86" s="204"/>
      <c r="AT86" s="204"/>
      <c r="AU86" s="204"/>
      <c r="AV86" s="204"/>
      <c r="AW86" s="204"/>
      <c r="AX86" s="204"/>
      <c r="AY86" s="204"/>
      <c r="AZ86" s="204"/>
      <c r="BA86" s="204"/>
      <c r="BB86" s="204"/>
    </row>
    <row r="87" spans="1:54" s="679" customFormat="1">
      <c r="A87" s="366"/>
      <c r="B87" s="1490"/>
      <c r="C87" s="1490"/>
      <c r="D87" s="1490"/>
      <c r="E87" s="1490"/>
      <c r="F87" s="1490"/>
      <c r="G87" s="1490"/>
      <c r="H87" s="1490"/>
      <c r="I87" s="1490"/>
      <c r="J87" s="1490"/>
      <c r="K87" s="1490"/>
      <c r="L87" s="1490"/>
      <c r="M87" s="1490"/>
      <c r="N87" s="1231"/>
      <c r="O87" s="1231"/>
      <c r="P87" s="1231"/>
      <c r="Q87" s="1531"/>
      <c r="R87" s="204"/>
      <c r="S87" s="204"/>
      <c r="T87" s="204"/>
      <c r="U87" s="204"/>
      <c r="V87" s="204"/>
      <c r="W87" s="204"/>
      <c r="X87" s="204"/>
      <c r="Y87" s="204"/>
      <c r="Z87" s="204"/>
      <c r="AA87" s="204"/>
      <c r="AB87" s="1489"/>
      <c r="AC87" s="1489"/>
      <c r="AD87" s="1489"/>
      <c r="AE87" s="1489"/>
      <c r="AF87" s="1489"/>
      <c r="AG87" s="1489"/>
      <c r="AH87" s="1489"/>
      <c r="AI87" s="1489"/>
      <c r="AJ87" s="1489"/>
      <c r="AK87" s="1489"/>
      <c r="AL87" s="1489"/>
      <c r="AM87" s="1489"/>
      <c r="AN87" s="1489"/>
      <c r="AO87" s="1489"/>
      <c r="AP87" s="1489"/>
      <c r="AQ87" s="1489"/>
      <c r="AR87" s="1489"/>
      <c r="AS87" s="1489"/>
      <c r="AT87" s="1489"/>
      <c r="AU87" s="1489"/>
      <c r="AV87" s="1489"/>
      <c r="AW87" s="1489"/>
      <c r="AX87" s="1489"/>
      <c r="AY87" s="1489"/>
      <c r="AZ87" s="1489"/>
      <c r="BA87" s="1489"/>
      <c r="BB87" s="1489"/>
    </row>
    <row r="88" spans="1:54" s="26" customFormat="1">
      <c r="A88" s="76"/>
      <c r="B88" s="2423" t="s">
        <v>4872</v>
      </c>
      <c r="C88" s="2423"/>
      <c r="D88" s="2423"/>
      <c r="E88" s="2423"/>
      <c r="F88" s="2423"/>
      <c r="G88" s="2423"/>
      <c r="H88" s="2423"/>
      <c r="I88" s="2423"/>
      <c r="J88" s="2423"/>
      <c r="K88" s="2423"/>
      <c r="L88" s="2423"/>
      <c r="M88" s="2423"/>
      <c r="N88" s="1689"/>
      <c r="O88" s="1689"/>
      <c r="P88" s="1689"/>
      <c r="Q88" s="204"/>
      <c r="R88" s="204"/>
      <c r="S88" s="204"/>
      <c r="T88" s="204"/>
      <c r="U88" s="204"/>
      <c r="V88" s="204"/>
      <c r="W88" s="204"/>
      <c r="X88" s="204"/>
      <c r="Y88" s="204"/>
      <c r="Z88" s="204"/>
      <c r="AA88" s="204"/>
      <c r="AB88" s="579"/>
      <c r="AC88" s="579"/>
      <c r="AD88" s="579"/>
      <c r="AE88" s="579"/>
      <c r="AF88" s="579"/>
      <c r="AG88" s="579"/>
      <c r="AH88" s="579"/>
      <c r="AI88" s="579"/>
      <c r="AJ88" s="579"/>
      <c r="AK88" s="579"/>
      <c r="AL88" s="579"/>
      <c r="AM88" s="579"/>
      <c r="AN88" s="204"/>
      <c r="AO88" s="204"/>
      <c r="AP88" s="204"/>
      <c r="AQ88" s="204"/>
      <c r="AR88" s="204"/>
      <c r="AS88" s="204"/>
      <c r="AT88" s="204"/>
      <c r="AU88" s="204"/>
      <c r="AV88" s="204"/>
      <c r="AW88" s="204"/>
      <c r="AX88" s="204"/>
      <c r="AY88" s="204"/>
      <c r="AZ88" s="204"/>
      <c r="BA88" s="204"/>
      <c r="BB88" s="204"/>
    </row>
    <row r="89" spans="1:54" s="26" customFormat="1">
      <c r="A89" s="76"/>
      <c r="B89" s="2423"/>
      <c r="C89" s="2423"/>
      <c r="D89" s="2423"/>
      <c r="E89" s="2423"/>
      <c r="F89" s="2423"/>
      <c r="G89" s="2423"/>
      <c r="H89" s="2423"/>
      <c r="I89" s="2423"/>
      <c r="J89" s="2423"/>
      <c r="K89" s="2423"/>
      <c r="L89" s="2423"/>
      <c r="M89" s="2423"/>
      <c r="N89" s="1689"/>
      <c r="O89" s="1689"/>
      <c r="P89" s="1689"/>
      <c r="Q89" s="204"/>
      <c r="R89" s="204"/>
      <c r="S89" s="204"/>
      <c r="T89" s="204"/>
      <c r="U89" s="204"/>
      <c r="V89" s="204"/>
      <c r="W89" s="204"/>
      <c r="X89" s="204"/>
      <c r="Y89" s="204"/>
      <c r="Z89" s="204"/>
      <c r="AA89" s="204"/>
      <c r="AB89" s="579"/>
      <c r="AC89" s="579"/>
      <c r="AD89" s="579"/>
      <c r="AE89" s="579"/>
      <c r="AF89" s="579"/>
      <c r="AG89" s="579"/>
      <c r="AH89" s="579"/>
      <c r="AI89" s="579"/>
      <c r="AJ89" s="579"/>
      <c r="AK89" s="579"/>
      <c r="AL89" s="579"/>
      <c r="AM89" s="579"/>
      <c r="AN89" s="204"/>
      <c r="AO89" s="204"/>
      <c r="AP89" s="204"/>
      <c r="AQ89" s="204"/>
      <c r="AR89" s="204"/>
      <c r="AS89" s="204"/>
      <c r="AT89" s="204"/>
      <c r="AU89" s="204"/>
      <c r="AV89" s="204"/>
      <c r="AW89" s="204"/>
      <c r="AX89" s="204"/>
      <c r="AY89" s="204"/>
      <c r="AZ89" s="204"/>
      <c r="BA89" s="204"/>
      <c r="BB89" s="204"/>
    </row>
    <row r="90" spans="1:54" s="26" customFormat="1">
      <c r="A90" s="76"/>
      <c r="B90" s="1689"/>
      <c r="C90" s="1689"/>
      <c r="D90" s="1689"/>
      <c r="E90" s="1689"/>
      <c r="F90" s="1689"/>
      <c r="G90" s="1689"/>
      <c r="H90" s="1689"/>
      <c r="I90" s="1689"/>
      <c r="J90" s="1689"/>
      <c r="K90" s="1689"/>
      <c r="L90" s="1689"/>
      <c r="M90" s="1689"/>
      <c r="N90" s="1689"/>
      <c r="O90" s="1689"/>
      <c r="P90" s="1689"/>
      <c r="Q90" s="204"/>
      <c r="R90" s="204"/>
      <c r="S90" s="204"/>
      <c r="T90" s="204"/>
      <c r="U90" s="204"/>
      <c r="V90" s="204"/>
      <c r="W90" s="204"/>
      <c r="X90" s="204"/>
      <c r="Y90" s="204"/>
      <c r="Z90" s="204"/>
      <c r="AA90" s="204"/>
      <c r="AB90" s="579"/>
      <c r="AC90" s="579"/>
      <c r="AD90" s="579"/>
      <c r="AE90" s="579"/>
      <c r="AF90" s="579"/>
      <c r="AG90" s="579"/>
      <c r="AH90" s="579"/>
      <c r="AI90" s="579"/>
      <c r="AJ90" s="579"/>
      <c r="AK90" s="579"/>
      <c r="AL90" s="579"/>
      <c r="AM90" s="579"/>
      <c r="AN90" s="204"/>
      <c r="AO90" s="204"/>
      <c r="AP90" s="204"/>
      <c r="AQ90" s="204"/>
      <c r="AR90" s="204"/>
      <c r="AS90" s="204"/>
      <c r="AT90" s="204"/>
      <c r="AU90" s="204"/>
      <c r="AV90" s="204"/>
      <c r="AW90" s="204"/>
      <c r="AX90" s="204"/>
      <c r="AY90" s="204"/>
      <c r="AZ90" s="204"/>
      <c r="BA90" s="204"/>
      <c r="BB90" s="204"/>
    </row>
    <row r="91" spans="1:54" s="26" customFormat="1">
      <c r="A91" s="76"/>
      <c r="B91" s="1689"/>
      <c r="C91" s="2188" t="s">
        <v>4873</v>
      </c>
      <c r="D91" s="2188"/>
      <c r="E91" s="2188" t="s">
        <v>2574</v>
      </c>
      <c r="F91" s="2188" t="s">
        <v>4874</v>
      </c>
      <c r="G91" s="2188"/>
      <c r="H91" s="2188" t="s">
        <v>4739</v>
      </c>
      <c r="I91" s="1689"/>
      <c r="J91" s="1689"/>
      <c r="K91" s="1689"/>
      <c r="L91" s="1689"/>
      <c r="M91" s="1689"/>
      <c r="N91" s="1689"/>
      <c r="O91" s="1689"/>
      <c r="P91" s="1689"/>
      <c r="Q91" s="204"/>
      <c r="R91" s="204"/>
      <c r="S91" s="204"/>
      <c r="T91" s="204"/>
      <c r="U91" s="204"/>
      <c r="V91" s="204"/>
      <c r="W91" s="204"/>
      <c r="X91" s="204"/>
      <c r="Y91" s="204"/>
      <c r="Z91" s="204"/>
      <c r="AA91" s="204"/>
      <c r="AB91" s="579"/>
      <c r="AC91" s="579"/>
      <c r="AD91" s="579"/>
      <c r="AE91" s="579"/>
      <c r="AF91" s="579"/>
      <c r="AG91" s="579"/>
      <c r="AH91" s="579"/>
      <c r="AI91" s="579"/>
      <c r="AJ91" s="579"/>
      <c r="AK91" s="579"/>
      <c r="AL91" s="579"/>
      <c r="AM91" s="579"/>
      <c r="AN91" s="204"/>
      <c r="AO91" s="204"/>
      <c r="AP91" s="204"/>
      <c r="AQ91" s="204"/>
      <c r="AR91" s="204"/>
      <c r="AS91" s="204"/>
      <c r="AT91" s="204"/>
      <c r="AU91" s="204"/>
      <c r="AV91" s="204"/>
      <c r="AW91" s="204"/>
      <c r="AX91" s="204"/>
      <c r="AY91" s="204"/>
      <c r="AZ91" s="204"/>
      <c r="BA91" s="204"/>
      <c r="BB91" s="204"/>
    </row>
    <row r="92" spans="1:54" s="26" customFormat="1" ht="15" customHeight="1">
      <c r="A92" s="76"/>
      <c r="B92" s="1395"/>
      <c r="C92" s="2188"/>
      <c r="D92" s="2188"/>
      <c r="E92" s="2188"/>
      <c r="F92" s="2188"/>
      <c r="G92" s="2188"/>
      <c r="H92" s="2188"/>
      <c r="I92" s="1689"/>
      <c r="J92" s="1689"/>
      <c r="K92" s="1689"/>
      <c r="L92" s="1689"/>
      <c r="M92" s="1689"/>
      <c r="N92" s="1689"/>
      <c r="O92" s="1689"/>
      <c r="P92" s="1689"/>
      <c r="Q92" s="204"/>
      <c r="R92" s="204"/>
      <c r="S92" s="204"/>
      <c r="T92" s="204"/>
      <c r="U92" s="204"/>
      <c r="V92" s="204"/>
      <c r="W92" s="204"/>
      <c r="X92" s="204"/>
      <c r="Y92" s="204"/>
      <c r="Z92" s="204"/>
      <c r="AA92" s="204"/>
      <c r="AB92" s="579"/>
      <c r="AC92" s="579"/>
      <c r="AD92" s="579"/>
      <c r="AE92" s="579"/>
      <c r="AF92" s="579"/>
      <c r="AG92" s="579"/>
      <c r="AH92" s="579"/>
      <c r="AI92" s="579"/>
      <c r="AJ92" s="579"/>
      <c r="AK92" s="579"/>
      <c r="AL92" s="579"/>
      <c r="AM92" s="579"/>
      <c r="AN92" s="204"/>
      <c r="AO92" s="204"/>
      <c r="AP92" s="204"/>
      <c r="AQ92" s="204"/>
      <c r="AR92" s="204"/>
      <c r="AS92" s="204"/>
      <c r="AT92" s="204"/>
      <c r="AU92" s="204"/>
      <c r="AV92" s="204"/>
      <c r="AW92" s="204"/>
      <c r="AX92" s="204"/>
      <c r="AY92" s="204"/>
      <c r="AZ92" s="204"/>
      <c r="BA92" s="204"/>
      <c r="BB92" s="204"/>
    </row>
    <row r="93" spans="1:54" s="26" customFormat="1" ht="15" customHeight="1">
      <c r="A93" s="76"/>
      <c r="B93" s="1395"/>
      <c r="C93" s="2472">
        <f>'4. Project Description'!F39</f>
        <v>0</v>
      </c>
      <c r="D93" s="2472"/>
      <c r="E93" s="991">
        <f>'11. Unit Mix'!F130</f>
        <v>0</v>
      </c>
      <c r="F93" s="2473">
        <f>ROUNDDOWN(IF(E93=0, 0, C93/E93), 2)</f>
        <v>0</v>
      </c>
      <c r="G93" s="2473"/>
      <c r="H93" s="886">
        <f>IF(ROUNDDOWN(F93*100*0.75, 0)&gt;10,10,ROUNDDOWN(F93*100*0.75, 0))</f>
        <v>0</v>
      </c>
      <c r="I93" s="1689"/>
      <c r="J93" s="1689"/>
      <c r="K93" s="1689"/>
      <c r="L93" s="1689"/>
      <c r="M93" s="1689"/>
      <c r="N93" s="1689"/>
      <c r="O93" s="1689"/>
      <c r="P93" s="1689"/>
      <c r="Q93" s="204"/>
      <c r="R93" s="204"/>
      <c r="S93" s="204"/>
      <c r="T93" s="204"/>
      <c r="U93" s="204"/>
      <c r="V93" s="204"/>
      <c r="W93" s="204"/>
      <c r="X93" s="204"/>
      <c r="Y93" s="204"/>
      <c r="Z93" s="204"/>
      <c r="AA93" s="204"/>
      <c r="AB93" s="579"/>
      <c r="AC93" s="579"/>
      <c r="AD93" s="579"/>
      <c r="AE93" s="579"/>
      <c r="AF93" s="579"/>
      <c r="AG93" s="579"/>
      <c r="AH93" s="579"/>
      <c r="AI93" s="579"/>
      <c r="AJ93" s="579"/>
      <c r="AK93" s="579"/>
      <c r="AL93" s="579"/>
      <c r="AM93" s="579"/>
      <c r="AN93" s="204"/>
      <c r="AO93" s="204"/>
      <c r="AP93" s="204"/>
      <c r="AQ93" s="204"/>
      <c r="AR93" s="204"/>
      <c r="AS93" s="204"/>
      <c r="AT93" s="204"/>
      <c r="AU93" s="204"/>
      <c r="AV93" s="204"/>
      <c r="AW93" s="204"/>
      <c r="AX93" s="204"/>
      <c r="AY93" s="204"/>
      <c r="AZ93" s="204"/>
      <c r="BA93" s="204"/>
      <c r="BB93" s="204"/>
    </row>
    <row r="94" spans="1:54" s="26" customFormat="1">
      <c r="A94" s="76"/>
      <c r="B94" s="1689"/>
      <c r="C94" s="1689"/>
      <c r="D94" s="1689"/>
      <c r="E94" s="1689"/>
      <c r="F94" s="1689"/>
      <c r="G94" s="1689"/>
      <c r="H94" s="1689"/>
      <c r="I94" s="1689"/>
      <c r="J94" s="1689"/>
      <c r="K94" s="1689"/>
      <c r="L94" s="1689"/>
      <c r="M94" s="1689"/>
      <c r="N94" s="1689"/>
      <c r="O94" s="1689"/>
      <c r="P94" s="1689"/>
      <c r="Q94" s="204"/>
      <c r="R94" s="204"/>
      <c r="S94" s="204"/>
      <c r="T94" s="204"/>
      <c r="U94" s="204"/>
      <c r="V94" s="204"/>
      <c r="W94" s="204"/>
      <c r="X94" s="204"/>
      <c r="Y94" s="204"/>
      <c r="Z94" s="204"/>
      <c r="AA94" s="204"/>
      <c r="AB94" s="579"/>
      <c r="AC94" s="579"/>
      <c r="AD94" s="579"/>
      <c r="AE94" s="579"/>
      <c r="AF94" s="579"/>
      <c r="AG94" s="579"/>
      <c r="AH94" s="579"/>
      <c r="AI94" s="579"/>
      <c r="AJ94" s="579"/>
      <c r="AK94" s="579"/>
      <c r="AL94" s="579"/>
      <c r="AM94" s="579"/>
      <c r="AN94" s="204"/>
      <c r="AO94" s="204"/>
      <c r="AP94" s="204"/>
      <c r="AQ94" s="204"/>
      <c r="AR94" s="204"/>
      <c r="AS94" s="204"/>
      <c r="AT94" s="204"/>
      <c r="AU94" s="204"/>
      <c r="AV94" s="204"/>
      <c r="AW94" s="204"/>
      <c r="AX94" s="204"/>
      <c r="AY94" s="204"/>
      <c r="AZ94" s="204"/>
      <c r="BA94" s="204"/>
      <c r="BB94" s="204"/>
    </row>
    <row r="95" spans="1:54" s="26" customFormat="1" ht="16">
      <c r="A95" s="76"/>
      <c r="B95" s="1167"/>
      <c r="C95" s="1401" t="s">
        <v>4734</v>
      </c>
      <c r="D95" s="1401" t="s">
        <v>4708</v>
      </c>
      <c r="E95" s="1401" t="s">
        <v>1010</v>
      </c>
      <c r="F95" s="1167"/>
      <c r="G95" s="1167"/>
      <c r="H95" s="1167"/>
      <c r="I95" s="1167"/>
      <c r="J95" s="1167"/>
      <c r="K95" s="1167"/>
      <c r="L95" s="1167"/>
      <c r="M95" s="1167"/>
      <c r="N95" s="1167"/>
      <c r="O95" s="1167"/>
      <c r="P95" s="1167"/>
      <c r="Q95" s="204"/>
      <c r="R95" s="204"/>
      <c r="S95" s="204"/>
      <c r="T95" s="204"/>
      <c r="U95" s="204"/>
      <c r="V95" s="204"/>
      <c r="W95" s="204"/>
      <c r="X95" s="204"/>
      <c r="Y95" s="204"/>
      <c r="Z95" s="204"/>
      <c r="AA95" s="204"/>
      <c r="AB95" s="579"/>
      <c r="AC95" s="579"/>
      <c r="AD95" s="579"/>
      <c r="AE95" s="579"/>
      <c r="AF95" s="579"/>
      <c r="AG95" s="579"/>
      <c r="AH95" s="579"/>
      <c r="AI95" s="579"/>
      <c r="AJ95" s="579"/>
      <c r="AK95" s="579"/>
      <c r="AL95" s="579"/>
      <c r="AM95" s="579"/>
      <c r="AN95" s="204"/>
      <c r="AO95" s="204"/>
      <c r="AP95" s="204"/>
      <c r="AQ95" s="204"/>
      <c r="AR95" s="204"/>
      <c r="AS95" s="204"/>
      <c r="AT95" s="204"/>
      <c r="AU95" s="204"/>
      <c r="AV95" s="204"/>
      <c r="AW95" s="204"/>
      <c r="AX95" s="204"/>
      <c r="AY95" s="204"/>
      <c r="AZ95" s="204"/>
      <c r="BA95" s="204"/>
      <c r="BB95" s="204"/>
    </row>
    <row r="96" spans="1:54" s="26" customFormat="1" ht="19">
      <c r="A96" s="76"/>
      <c r="B96" s="1392"/>
      <c r="C96" s="984">
        <v>10</v>
      </c>
      <c r="D96" s="1735">
        <f>H93</f>
        <v>0</v>
      </c>
      <c r="E96" s="1734"/>
      <c r="F96" s="1392"/>
      <c r="G96" s="1392"/>
      <c r="H96" s="1392"/>
      <c r="I96" s="1392"/>
      <c r="J96" s="1392"/>
      <c r="K96" s="1392"/>
      <c r="L96" s="1392"/>
      <c r="M96" s="1392"/>
      <c r="N96" s="1392"/>
      <c r="O96" s="1392"/>
      <c r="P96" s="1392"/>
      <c r="Q96" s="204"/>
      <c r="R96" s="204"/>
      <c r="S96" s="204"/>
      <c r="T96" s="204"/>
      <c r="U96" s="204"/>
      <c r="V96" s="204"/>
      <c r="W96" s="204"/>
      <c r="X96" s="204"/>
      <c r="Y96" s="204"/>
      <c r="Z96" s="204"/>
      <c r="AA96" s="204"/>
      <c r="AB96" s="579"/>
      <c r="AC96" s="579"/>
      <c r="AD96" s="579"/>
      <c r="AE96" s="579"/>
      <c r="AF96" s="579"/>
      <c r="AG96" s="579"/>
      <c r="AH96" s="579"/>
      <c r="AI96" s="579"/>
      <c r="AJ96" s="579"/>
      <c r="AK96" s="579"/>
      <c r="AL96" s="579"/>
      <c r="AM96" s="579"/>
      <c r="AN96" s="204"/>
      <c r="AO96" s="204"/>
      <c r="AP96" s="204"/>
      <c r="AQ96" s="204"/>
      <c r="AR96" s="204"/>
      <c r="AS96" s="204"/>
      <c r="AT96" s="204"/>
      <c r="AU96" s="204"/>
      <c r="AV96" s="204"/>
      <c r="AW96" s="204"/>
      <c r="AX96" s="204"/>
      <c r="AY96" s="204"/>
      <c r="AZ96" s="204"/>
      <c r="BA96" s="204"/>
      <c r="BB96" s="204"/>
    </row>
    <row r="97" spans="1:54" s="26" customFormat="1">
      <c r="A97" s="76"/>
      <c r="B97" s="1689"/>
      <c r="C97" s="1689"/>
      <c r="D97" s="1689"/>
      <c r="E97" s="1689"/>
      <c r="F97" s="1689"/>
      <c r="G97" s="1689"/>
      <c r="H97" s="1689"/>
      <c r="I97" s="1689"/>
      <c r="J97" s="1689"/>
      <c r="K97" s="1689"/>
      <c r="L97" s="1689"/>
      <c r="M97" s="1689"/>
      <c r="N97" s="1689"/>
      <c r="O97" s="1689"/>
      <c r="P97" s="1689"/>
      <c r="Q97" s="204"/>
      <c r="R97" s="204"/>
      <c r="S97" s="204"/>
      <c r="T97" s="204"/>
      <c r="U97" s="204"/>
      <c r="V97" s="204"/>
      <c r="W97" s="204"/>
      <c r="X97" s="204"/>
      <c r="Y97" s="204"/>
      <c r="Z97" s="204"/>
      <c r="AA97" s="204"/>
      <c r="AB97" s="579"/>
      <c r="AC97" s="579"/>
      <c r="AD97" s="579"/>
      <c r="AE97" s="579"/>
      <c r="AF97" s="579"/>
      <c r="AG97" s="579"/>
      <c r="AH97" s="579"/>
      <c r="AI97" s="579"/>
      <c r="AJ97" s="579"/>
      <c r="AK97" s="579"/>
      <c r="AL97" s="579"/>
      <c r="AM97" s="579"/>
      <c r="AN97" s="204"/>
      <c r="AO97" s="204"/>
      <c r="AP97" s="204"/>
      <c r="AQ97" s="204"/>
      <c r="AR97" s="204"/>
      <c r="AS97" s="204"/>
      <c r="AT97" s="204"/>
      <c r="AU97" s="204"/>
      <c r="AV97" s="204"/>
      <c r="AW97" s="204"/>
      <c r="AX97" s="204"/>
      <c r="AY97" s="204"/>
      <c r="AZ97" s="204"/>
      <c r="BA97" s="204"/>
      <c r="BB97" s="204"/>
    </row>
    <row r="98" spans="1:54" s="26" customFormat="1">
      <c r="A98" s="76"/>
      <c r="B98" s="1689"/>
      <c r="C98" s="1689"/>
      <c r="D98" s="1689"/>
      <c r="E98" s="1689"/>
      <c r="F98" s="1689"/>
      <c r="G98" s="1689"/>
      <c r="H98" s="1689"/>
      <c r="I98" s="1689"/>
      <c r="J98" s="1689"/>
      <c r="K98" s="1689"/>
      <c r="L98" s="1689"/>
      <c r="M98" s="1689"/>
      <c r="N98" s="1689"/>
      <c r="O98" s="1689"/>
      <c r="P98" s="1689"/>
      <c r="Q98" s="204"/>
      <c r="R98" s="204"/>
      <c r="S98" s="204"/>
      <c r="T98" s="204"/>
      <c r="U98" s="204"/>
      <c r="V98" s="204"/>
      <c r="W98" s="204"/>
      <c r="X98" s="204"/>
      <c r="Y98" s="204"/>
      <c r="Z98" s="204"/>
      <c r="AA98" s="204"/>
      <c r="AB98" s="579"/>
      <c r="AC98" s="579"/>
      <c r="AD98" s="579"/>
      <c r="AE98" s="579"/>
      <c r="AF98" s="579"/>
      <c r="AG98" s="579"/>
      <c r="AH98" s="579"/>
      <c r="AI98" s="579"/>
      <c r="AJ98" s="579"/>
      <c r="AK98" s="579"/>
      <c r="AL98" s="579"/>
      <c r="AM98" s="579"/>
      <c r="AN98" s="204"/>
      <c r="AO98" s="204"/>
      <c r="AP98" s="204"/>
      <c r="AQ98" s="204"/>
      <c r="AR98" s="204"/>
      <c r="AS98" s="204"/>
      <c r="AT98" s="204"/>
      <c r="AU98" s="204"/>
      <c r="AV98" s="204"/>
      <c r="AW98" s="204"/>
      <c r="AX98" s="204"/>
      <c r="AY98" s="204"/>
      <c r="AZ98" s="204"/>
      <c r="BA98" s="204"/>
      <c r="BB98" s="204"/>
    </row>
    <row r="99" spans="1:54" s="26" customFormat="1" ht="19">
      <c r="A99" s="76"/>
      <c r="B99" s="8" t="s">
        <v>4849</v>
      </c>
      <c r="C99" s="8"/>
      <c r="D99" s="8"/>
      <c r="E99" s="8"/>
      <c r="F99" s="8"/>
      <c r="G99" s="8"/>
      <c r="H99" s="8"/>
      <c r="I99" s="8"/>
      <c r="J99" s="8" t="s">
        <v>4850</v>
      </c>
      <c r="K99" s="8"/>
      <c r="L99" s="8"/>
      <c r="M99" s="8"/>
      <c r="N99" s="8"/>
      <c r="O99" s="8"/>
      <c r="P99" s="8"/>
      <c r="Q99" s="204"/>
      <c r="R99" s="204"/>
      <c r="S99" s="204"/>
      <c r="T99" s="204"/>
      <c r="U99" s="204"/>
      <c r="V99" s="204"/>
      <c r="W99" s="204"/>
      <c r="X99" s="204"/>
      <c r="Y99" s="204"/>
      <c r="Z99" s="204"/>
      <c r="AA99" s="204"/>
      <c r="AB99" s="579"/>
      <c r="AC99" s="579"/>
      <c r="AD99" s="579"/>
      <c r="AE99" s="579"/>
      <c r="AF99" s="579"/>
      <c r="AG99" s="579"/>
      <c r="AH99" s="579"/>
      <c r="AI99" s="579"/>
      <c r="AJ99" s="579"/>
      <c r="AK99" s="579"/>
      <c r="AL99" s="579"/>
      <c r="AM99" s="579"/>
      <c r="AN99" s="204"/>
      <c r="AO99" s="204"/>
      <c r="AP99" s="204"/>
      <c r="AQ99" s="204"/>
      <c r="AR99" s="204"/>
      <c r="AS99" s="204"/>
      <c r="AT99" s="204"/>
      <c r="AU99" s="204"/>
      <c r="AV99" s="204"/>
      <c r="AW99" s="204"/>
      <c r="AX99" s="204"/>
      <c r="AY99" s="204"/>
      <c r="AZ99" s="204"/>
      <c r="BA99" s="204"/>
      <c r="BB99" s="204"/>
    </row>
    <row r="100" spans="1:54" s="26" customFormat="1">
      <c r="A100" s="76"/>
      <c r="B100" s="1170" t="s">
        <v>4538</v>
      </c>
      <c r="C100" s="1167"/>
      <c r="D100" s="1167"/>
      <c r="E100" s="1167"/>
      <c r="F100" s="1167"/>
      <c r="G100" s="1167"/>
      <c r="H100" s="1167"/>
      <c r="I100" s="1689"/>
      <c r="J100" s="1172" t="s">
        <v>3371</v>
      </c>
      <c r="K100" s="1167"/>
      <c r="L100" s="1167"/>
      <c r="M100" s="1167"/>
      <c r="N100" s="1167"/>
      <c r="O100" s="1167"/>
      <c r="P100" s="1167"/>
      <c r="Q100" s="204"/>
      <c r="R100" s="204"/>
      <c r="S100" s="204"/>
      <c r="T100" s="204"/>
      <c r="U100" s="204"/>
      <c r="V100" s="204"/>
      <c r="W100" s="204"/>
      <c r="X100" s="204"/>
      <c r="Y100" s="204"/>
      <c r="Z100" s="204"/>
      <c r="AA100" s="204"/>
      <c r="AB100" s="579"/>
      <c r="AC100" s="579"/>
      <c r="AD100" s="579"/>
      <c r="AE100" s="579"/>
      <c r="AF100" s="579"/>
      <c r="AG100" s="579"/>
      <c r="AH100" s="579"/>
      <c r="AI100" s="579"/>
      <c r="AJ100" s="579"/>
      <c r="AK100" s="579"/>
      <c r="AL100" s="579"/>
      <c r="AM100" s="579"/>
      <c r="AN100" s="204"/>
      <c r="AO100" s="204"/>
      <c r="AP100" s="204"/>
      <c r="AQ100" s="204"/>
      <c r="AR100" s="204"/>
      <c r="AS100" s="204"/>
      <c r="AT100" s="204"/>
      <c r="AU100" s="204"/>
      <c r="AV100" s="204"/>
      <c r="AW100" s="204"/>
      <c r="AX100" s="204"/>
      <c r="AY100" s="204"/>
      <c r="AZ100" s="204"/>
      <c r="BA100" s="204"/>
      <c r="BB100" s="204"/>
    </row>
    <row r="101" spans="1:54" s="26" customFormat="1">
      <c r="A101" s="76"/>
      <c r="B101" s="1689"/>
      <c r="C101" s="1981"/>
      <c r="D101" s="1981"/>
      <c r="E101" s="1981"/>
      <c r="F101" s="1981"/>
      <c r="G101" s="1981"/>
      <c r="H101" s="1981"/>
      <c r="I101" s="1689"/>
      <c r="J101" s="1981"/>
      <c r="K101" s="1981"/>
      <c r="L101" s="1981"/>
      <c r="M101" s="1981"/>
      <c r="N101" s="1981"/>
      <c r="O101" s="1981"/>
      <c r="P101" s="1167"/>
      <c r="Q101" s="204"/>
      <c r="R101" s="204"/>
      <c r="S101" s="204"/>
      <c r="T101" s="204"/>
      <c r="U101" s="204"/>
      <c r="V101" s="204"/>
      <c r="W101" s="204"/>
      <c r="X101" s="204"/>
      <c r="Y101" s="204"/>
      <c r="Z101" s="204"/>
      <c r="AA101" s="204"/>
      <c r="AB101" s="579"/>
      <c r="AC101" s="579"/>
      <c r="AD101" s="579"/>
      <c r="AE101" s="579"/>
      <c r="AF101" s="579"/>
      <c r="AG101" s="579"/>
      <c r="AH101" s="579"/>
      <c r="AI101" s="579"/>
      <c r="AJ101" s="579"/>
      <c r="AK101" s="579"/>
      <c r="AL101" s="579"/>
      <c r="AM101" s="579"/>
      <c r="AN101" s="204"/>
      <c r="AO101" s="204"/>
      <c r="AP101" s="204"/>
      <c r="AQ101" s="204"/>
      <c r="AR101" s="204"/>
      <c r="AS101" s="204"/>
      <c r="AT101" s="204"/>
      <c r="AU101" s="204"/>
      <c r="AV101" s="204"/>
      <c r="AW101" s="204"/>
      <c r="AX101" s="204"/>
      <c r="AY101" s="204"/>
      <c r="AZ101" s="204"/>
      <c r="BA101" s="204"/>
      <c r="BB101" s="204"/>
    </row>
    <row r="102" spans="1:54" s="26" customFormat="1">
      <c r="A102" s="76"/>
      <c r="B102" s="1689"/>
      <c r="C102" s="1981"/>
      <c r="D102" s="1981"/>
      <c r="E102" s="1981"/>
      <c r="F102" s="1981"/>
      <c r="G102" s="1981"/>
      <c r="H102" s="1981"/>
      <c r="I102" s="1689"/>
      <c r="J102" s="1981"/>
      <c r="K102" s="1981"/>
      <c r="L102" s="1981"/>
      <c r="M102" s="1981"/>
      <c r="N102" s="1981"/>
      <c r="O102" s="1981"/>
      <c r="P102" s="1397"/>
      <c r="Q102" s="204"/>
      <c r="R102" s="204"/>
      <c r="S102" s="204"/>
      <c r="T102" s="204"/>
      <c r="U102" s="204"/>
      <c r="V102" s="204"/>
      <c r="W102" s="204"/>
      <c r="X102" s="204"/>
      <c r="Y102" s="204"/>
      <c r="Z102" s="204"/>
      <c r="AA102" s="204"/>
      <c r="AB102" s="579"/>
      <c r="AC102" s="579"/>
      <c r="AD102" s="579"/>
      <c r="AE102" s="579"/>
      <c r="AF102" s="579"/>
      <c r="AG102" s="579"/>
      <c r="AH102" s="579"/>
      <c r="AI102" s="579"/>
      <c r="AJ102" s="579"/>
      <c r="AK102" s="579"/>
      <c r="AL102" s="579"/>
      <c r="AM102" s="579"/>
      <c r="AN102" s="204"/>
      <c r="AO102" s="204"/>
      <c r="AP102" s="204"/>
      <c r="AQ102" s="204"/>
      <c r="AR102" s="204"/>
      <c r="AS102" s="204"/>
      <c r="AT102" s="204"/>
      <c r="AU102" s="204"/>
      <c r="AV102" s="204"/>
      <c r="AW102" s="204"/>
      <c r="AX102" s="204"/>
      <c r="AY102" s="204"/>
      <c r="AZ102" s="204"/>
      <c r="BA102" s="204"/>
      <c r="BB102" s="204"/>
    </row>
    <row r="103" spans="1:54" s="26" customFormat="1">
      <c r="A103" s="76"/>
      <c r="B103" s="1689"/>
      <c r="C103" s="1981"/>
      <c r="D103" s="1981"/>
      <c r="E103" s="1981"/>
      <c r="F103" s="1981"/>
      <c r="G103" s="1981"/>
      <c r="H103" s="1981"/>
      <c r="I103" s="1689"/>
      <c r="J103" s="1981"/>
      <c r="K103" s="1981"/>
      <c r="L103" s="1981"/>
      <c r="M103" s="1981"/>
      <c r="N103" s="1981"/>
      <c r="O103" s="1981"/>
      <c r="P103" s="1397"/>
      <c r="Q103" s="204"/>
      <c r="R103" s="204"/>
      <c r="S103" s="204"/>
      <c r="T103" s="204"/>
      <c r="U103" s="204"/>
      <c r="V103" s="204"/>
      <c r="W103" s="204"/>
      <c r="X103" s="204"/>
      <c r="Y103" s="204"/>
      <c r="Z103" s="204"/>
      <c r="AA103" s="204"/>
      <c r="AB103" s="579"/>
      <c r="AC103" s="579"/>
      <c r="AD103" s="579"/>
      <c r="AE103" s="579"/>
      <c r="AF103" s="579"/>
      <c r="AG103" s="579"/>
      <c r="AH103" s="579"/>
      <c r="AI103" s="579"/>
      <c r="AJ103" s="579"/>
      <c r="AK103" s="579"/>
      <c r="AL103" s="579"/>
      <c r="AM103" s="579"/>
      <c r="AN103" s="204"/>
      <c r="AO103" s="204"/>
      <c r="AP103" s="204"/>
      <c r="AQ103" s="204"/>
      <c r="AR103" s="204"/>
      <c r="AS103" s="204"/>
      <c r="AT103" s="204"/>
      <c r="AU103" s="204"/>
      <c r="AV103" s="204"/>
      <c r="AW103" s="204"/>
      <c r="AX103" s="204"/>
      <c r="AY103" s="204"/>
      <c r="AZ103" s="204"/>
      <c r="BA103" s="204"/>
      <c r="BB103" s="204"/>
    </row>
    <row r="104" spans="1:54" s="26" customFormat="1">
      <c r="A104" s="76"/>
      <c r="B104" s="1689"/>
      <c r="C104" s="1981"/>
      <c r="D104" s="1981"/>
      <c r="E104" s="1981"/>
      <c r="F104" s="1981"/>
      <c r="G104" s="1981"/>
      <c r="H104" s="1981"/>
      <c r="I104" s="1689"/>
      <c r="J104" s="1981"/>
      <c r="K104" s="1981"/>
      <c r="L104" s="1981"/>
      <c r="M104" s="1981"/>
      <c r="N104" s="1981"/>
      <c r="O104" s="1981"/>
      <c r="P104" s="1397"/>
      <c r="Q104" s="204"/>
      <c r="R104" s="204"/>
      <c r="S104" s="204"/>
      <c r="T104" s="204"/>
      <c r="U104" s="204"/>
      <c r="V104" s="204"/>
      <c r="W104" s="204"/>
      <c r="X104" s="204"/>
      <c r="Y104" s="204"/>
      <c r="Z104" s="204"/>
      <c r="AA104" s="204"/>
      <c r="AB104" s="579"/>
      <c r="AC104" s="579"/>
      <c r="AD104" s="579"/>
      <c r="AE104" s="579"/>
      <c r="AF104" s="579"/>
      <c r="AG104" s="579"/>
      <c r="AH104" s="579"/>
      <c r="AI104" s="579"/>
      <c r="AJ104" s="579"/>
      <c r="AK104" s="579"/>
      <c r="AL104" s="579"/>
      <c r="AM104" s="579"/>
      <c r="AN104" s="204"/>
      <c r="AO104" s="204"/>
      <c r="AP104" s="204"/>
      <c r="AQ104" s="204"/>
      <c r="AR104" s="204"/>
      <c r="AS104" s="204"/>
      <c r="AT104" s="204"/>
      <c r="AU104" s="204"/>
      <c r="AV104" s="204"/>
      <c r="AW104" s="204"/>
      <c r="AX104" s="204"/>
      <c r="AY104" s="204"/>
      <c r="AZ104" s="204"/>
      <c r="BA104" s="204"/>
      <c r="BB104" s="204"/>
    </row>
    <row r="105" spans="1:54" s="26" customFormat="1">
      <c r="A105" s="76"/>
      <c r="B105" s="1689"/>
      <c r="C105" s="1981"/>
      <c r="D105" s="1981"/>
      <c r="E105" s="1981"/>
      <c r="F105" s="1981"/>
      <c r="G105" s="1981"/>
      <c r="H105" s="1981"/>
      <c r="I105" s="1689"/>
      <c r="J105" s="1981"/>
      <c r="K105" s="1981"/>
      <c r="L105" s="1981"/>
      <c r="M105" s="1981"/>
      <c r="N105" s="1981"/>
      <c r="O105" s="1981"/>
      <c r="P105" s="1397"/>
      <c r="Q105" s="204"/>
      <c r="R105" s="204"/>
      <c r="S105" s="204"/>
      <c r="T105" s="204"/>
      <c r="U105" s="204"/>
      <c r="V105" s="204"/>
      <c r="W105" s="204"/>
      <c r="X105" s="204"/>
      <c r="Y105" s="204"/>
      <c r="Z105" s="204"/>
      <c r="AA105" s="204"/>
      <c r="AB105" s="579"/>
      <c r="AC105" s="579"/>
      <c r="AD105" s="579"/>
      <c r="AE105" s="579"/>
      <c r="AF105" s="579"/>
      <c r="AG105" s="579"/>
      <c r="AH105" s="579"/>
      <c r="AI105" s="579"/>
      <c r="AJ105" s="579"/>
      <c r="AK105" s="579"/>
      <c r="AL105" s="579"/>
      <c r="AM105" s="579"/>
      <c r="AN105" s="204"/>
      <c r="AO105" s="204"/>
      <c r="AP105" s="204"/>
      <c r="AQ105" s="204"/>
      <c r="AR105" s="204"/>
      <c r="AS105" s="204"/>
      <c r="AT105" s="204"/>
      <c r="AU105" s="204"/>
      <c r="AV105" s="204"/>
      <c r="AW105" s="204"/>
      <c r="AX105" s="204"/>
      <c r="AY105" s="204"/>
      <c r="AZ105" s="204"/>
      <c r="BA105" s="204"/>
      <c r="BB105" s="204"/>
    </row>
    <row r="106" spans="1:54" s="26" customFormat="1">
      <c r="A106" s="76"/>
      <c r="B106" s="1689"/>
      <c r="C106" s="1981"/>
      <c r="D106" s="1981"/>
      <c r="E106" s="1981"/>
      <c r="F106" s="1981"/>
      <c r="G106" s="1981"/>
      <c r="H106" s="1981"/>
      <c r="I106" s="1689"/>
      <c r="J106" s="1981"/>
      <c r="K106" s="1981"/>
      <c r="L106" s="1981"/>
      <c r="M106" s="1981"/>
      <c r="N106" s="1981"/>
      <c r="O106" s="1981"/>
      <c r="P106" s="1397"/>
      <c r="Q106" s="204"/>
      <c r="R106" s="204"/>
      <c r="S106" s="204"/>
      <c r="T106" s="204"/>
      <c r="U106" s="204"/>
      <c r="V106" s="204"/>
      <c r="W106" s="204"/>
      <c r="X106" s="204"/>
      <c r="Y106" s="204"/>
      <c r="Z106" s="204"/>
      <c r="AA106" s="204"/>
      <c r="AB106" s="579"/>
      <c r="AC106" s="579"/>
      <c r="AD106" s="579"/>
      <c r="AE106" s="579"/>
      <c r="AF106" s="579"/>
      <c r="AG106" s="579"/>
      <c r="AH106" s="579"/>
      <c r="AI106" s="579"/>
      <c r="AJ106" s="579"/>
      <c r="AK106" s="579"/>
      <c r="AL106" s="579"/>
      <c r="AM106" s="579"/>
      <c r="AN106" s="204"/>
      <c r="AO106" s="204"/>
      <c r="AP106" s="204"/>
      <c r="AQ106" s="204"/>
      <c r="AR106" s="204"/>
      <c r="AS106" s="204"/>
      <c r="AT106" s="204"/>
      <c r="AU106" s="204"/>
      <c r="AV106" s="204"/>
      <c r="AW106" s="204"/>
      <c r="AX106" s="204"/>
      <c r="AY106" s="204"/>
      <c r="AZ106" s="204"/>
      <c r="BA106" s="204"/>
      <c r="BB106" s="204"/>
    </row>
    <row r="107" spans="1:54" s="26" customFormat="1">
      <c r="A107" s="76"/>
      <c r="B107" s="1689"/>
      <c r="C107" s="1981"/>
      <c r="D107" s="1981"/>
      <c r="E107" s="1981"/>
      <c r="F107" s="1981"/>
      <c r="G107" s="1981"/>
      <c r="H107" s="1981"/>
      <c r="I107" s="1689"/>
      <c r="J107" s="1981"/>
      <c r="K107" s="1981"/>
      <c r="L107" s="1981"/>
      <c r="M107" s="1981"/>
      <c r="N107" s="1981"/>
      <c r="O107" s="1981"/>
      <c r="P107" s="1397"/>
      <c r="Q107" s="204"/>
      <c r="R107" s="204"/>
      <c r="S107" s="204"/>
      <c r="T107" s="204"/>
      <c r="U107" s="204"/>
      <c r="V107" s="204"/>
      <c r="W107" s="204"/>
      <c r="X107" s="204"/>
      <c r="Y107" s="204"/>
      <c r="Z107" s="204"/>
      <c r="AA107" s="204"/>
      <c r="AB107" s="579"/>
      <c r="AC107" s="579"/>
      <c r="AD107" s="579"/>
      <c r="AE107" s="579"/>
      <c r="AF107" s="579"/>
      <c r="AG107" s="579"/>
      <c r="AH107" s="579"/>
      <c r="AI107" s="579"/>
      <c r="AJ107" s="579"/>
      <c r="AK107" s="579"/>
      <c r="AL107" s="579"/>
      <c r="AM107" s="579"/>
      <c r="AN107" s="204"/>
      <c r="AO107" s="204"/>
      <c r="AP107" s="204"/>
      <c r="AQ107" s="204"/>
      <c r="AR107" s="204"/>
      <c r="AS107" s="204"/>
      <c r="AT107" s="204"/>
      <c r="AU107" s="204"/>
      <c r="AV107" s="204"/>
      <c r="AW107" s="204"/>
      <c r="AX107" s="204"/>
      <c r="AY107" s="204"/>
      <c r="AZ107" s="204"/>
      <c r="BA107" s="204"/>
      <c r="BB107" s="204"/>
    </row>
    <row r="108" spans="1:54" s="26" customFormat="1">
      <c r="A108" s="76"/>
      <c r="B108" s="1689"/>
      <c r="C108" s="1981"/>
      <c r="D108" s="1981"/>
      <c r="E108" s="1981"/>
      <c r="F108" s="1981"/>
      <c r="G108" s="1981"/>
      <c r="H108" s="1981"/>
      <c r="I108" s="1689"/>
      <c r="J108" s="1981"/>
      <c r="K108" s="1981"/>
      <c r="L108" s="1981"/>
      <c r="M108" s="1981"/>
      <c r="N108" s="1981"/>
      <c r="O108" s="1981"/>
      <c r="P108" s="1397"/>
      <c r="Q108" s="204"/>
      <c r="R108" s="204"/>
      <c r="S108" s="204"/>
      <c r="T108" s="204"/>
      <c r="U108" s="204"/>
      <c r="V108" s="204"/>
      <c r="W108" s="204"/>
      <c r="X108" s="204"/>
      <c r="Y108" s="204"/>
      <c r="Z108" s="204"/>
      <c r="AA108" s="204"/>
      <c r="AB108" s="579"/>
      <c r="AC108" s="579"/>
      <c r="AD108" s="579"/>
      <c r="AE108" s="579"/>
      <c r="AF108" s="579"/>
      <c r="AG108" s="579"/>
      <c r="AH108" s="579"/>
      <c r="AI108" s="579"/>
      <c r="AJ108" s="579"/>
      <c r="AK108" s="579"/>
      <c r="AL108" s="579"/>
      <c r="AM108" s="579"/>
      <c r="AN108" s="204"/>
      <c r="AO108" s="204"/>
      <c r="AP108" s="204"/>
      <c r="AQ108" s="204"/>
      <c r="AR108" s="204"/>
      <c r="AS108" s="204"/>
      <c r="AT108" s="204"/>
      <c r="AU108" s="204"/>
      <c r="AV108" s="204"/>
      <c r="AW108" s="204"/>
      <c r="AX108" s="204"/>
      <c r="AY108" s="204"/>
      <c r="AZ108" s="204"/>
      <c r="BA108" s="204"/>
      <c r="BB108" s="204"/>
    </row>
    <row r="109" spans="1:54" s="26" customFormat="1">
      <c r="A109" s="76"/>
      <c r="B109" s="1689"/>
      <c r="C109" s="1981"/>
      <c r="D109" s="1981"/>
      <c r="E109" s="1981"/>
      <c r="F109" s="1981"/>
      <c r="G109" s="1981"/>
      <c r="H109" s="1981"/>
      <c r="I109" s="1689"/>
      <c r="J109" s="1981"/>
      <c r="K109" s="1981"/>
      <c r="L109" s="1981"/>
      <c r="M109" s="1981"/>
      <c r="N109" s="1981"/>
      <c r="O109" s="1981"/>
      <c r="P109" s="1397"/>
      <c r="Q109" s="204"/>
      <c r="R109" s="204"/>
      <c r="S109" s="204"/>
      <c r="T109" s="204"/>
      <c r="U109" s="204"/>
      <c r="V109" s="204"/>
      <c r="W109" s="204"/>
      <c r="X109" s="204"/>
      <c r="Y109" s="204"/>
      <c r="Z109" s="204"/>
      <c r="AA109" s="204"/>
      <c r="AB109" s="579"/>
      <c r="AC109" s="579"/>
      <c r="AD109" s="579"/>
      <c r="AE109" s="579"/>
      <c r="AF109" s="579"/>
      <c r="AG109" s="579"/>
      <c r="AH109" s="579"/>
      <c r="AI109" s="579"/>
      <c r="AJ109" s="579"/>
      <c r="AK109" s="579"/>
      <c r="AL109" s="579"/>
      <c r="AM109" s="579"/>
      <c r="AN109" s="204"/>
      <c r="AO109" s="204"/>
      <c r="AP109" s="204"/>
      <c r="AQ109" s="204"/>
      <c r="AR109" s="204"/>
      <c r="AS109" s="204"/>
      <c r="AT109" s="204"/>
      <c r="AU109" s="204"/>
      <c r="AV109" s="204"/>
      <c r="AW109" s="204"/>
      <c r="AX109" s="204"/>
      <c r="AY109" s="204"/>
      <c r="AZ109" s="204"/>
      <c r="BA109" s="204"/>
      <c r="BB109" s="204"/>
    </row>
    <row r="110" spans="1:54" s="26" customFormat="1">
      <c r="A110" s="76"/>
      <c r="B110" s="1689"/>
      <c r="C110" s="1981"/>
      <c r="D110" s="1981"/>
      <c r="E110" s="1981"/>
      <c r="F110" s="1981"/>
      <c r="G110" s="1981"/>
      <c r="H110" s="1981"/>
      <c r="I110" s="1689"/>
      <c r="J110" s="1733" t="s">
        <v>4766</v>
      </c>
      <c r="K110" s="1689"/>
      <c r="L110" s="1689"/>
      <c r="M110" s="1689"/>
      <c r="N110" s="1689"/>
      <c r="O110" s="1689"/>
      <c r="P110" s="1689"/>
      <c r="Q110" s="204"/>
      <c r="R110" s="204"/>
      <c r="S110" s="204"/>
      <c r="T110" s="204"/>
      <c r="U110" s="204"/>
      <c r="V110" s="204"/>
      <c r="W110" s="204"/>
      <c r="X110" s="204"/>
      <c r="Y110" s="204"/>
      <c r="Z110" s="204"/>
      <c r="AA110" s="204"/>
      <c r="AB110" s="579"/>
      <c r="AC110" s="579"/>
      <c r="AD110" s="579"/>
      <c r="AE110" s="579"/>
      <c r="AF110" s="579"/>
      <c r="AG110" s="579"/>
      <c r="AH110" s="579"/>
      <c r="AI110" s="579"/>
      <c r="AJ110" s="579"/>
      <c r="AK110" s="579"/>
      <c r="AL110" s="579"/>
      <c r="AM110" s="579"/>
      <c r="AN110" s="204"/>
      <c r="AO110" s="204"/>
      <c r="AP110" s="204"/>
      <c r="AQ110" s="204"/>
      <c r="AR110" s="204"/>
      <c r="AS110" s="204"/>
      <c r="AT110" s="204"/>
      <c r="AU110" s="204"/>
      <c r="AV110" s="204"/>
      <c r="AW110" s="204"/>
      <c r="AX110" s="204"/>
      <c r="AY110" s="204"/>
      <c r="AZ110" s="204"/>
      <c r="BA110" s="204"/>
      <c r="BB110" s="204"/>
    </row>
    <row r="111" spans="1:54">
      <c r="A111" s="76"/>
      <c r="B111" s="1689"/>
      <c r="C111" s="1981"/>
      <c r="D111" s="1981"/>
      <c r="E111" s="1981"/>
      <c r="F111" s="1981"/>
      <c r="G111" s="1981"/>
      <c r="H111" s="1981"/>
      <c r="I111" s="1689"/>
      <c r="J111" s="2454"/>
      <c r="K111" s="2454"/>
      <c r="L111" s="2454"/>
      <c r="M111" s="2454"/>
      <c r="N111" s="2454"/>
      <c r="O111" s="2454"/>
      <c r="P111" s="1689"/>
      <c r="Q111" s="204"/>
      <c r="R111" s="204"/>
      <c r="S111" s="204"/>
      <c r="T111" s="204"/>
      <c r="U111" s="204"/>
      <c r="V111" s="204"/>
      <c r="W111" s="204"/>
      <c r="X111" s="204"/>
      <c r="Y111" s="204"/>
      <c r="Z111" s="204"/>
      <c r="AA111" s="204"/>
      <c r="AB111" s="579"/>
      <c r="AC111" s="579"/>
      <c r="AD111" s="579"/>
      <c r="AE111" s="579"/>
      <c r="AF111" s="579"/>
      <c r="AG111" s="579"/>
      <c r="AH111" s="579"/>
      <c r="AI111" s="579"/>
      <c r="AJ111" s="579"/>
      <c r="AK111" s="579"/>
      <c r="AL111" s="579"/>
      <c r="AM111" s="579"/>
      <c r="AN111" s="204"/>
      <c r="AO111" s="204"/>
      <c r="AP111" s="204"/>
      <c r="AQ111" s="204"/>
      <c r="AR111" s="204"/>
      <c r="AS111" s="204"/>
      <c r="AT111" s="204"/>
      <c r="AU111" s="204"/>
      <c r="AV111" s="204"/>
      <c r="AW111" s="204"/>
      <c r="AX111" s="204"/>
      <c r="AY111" s="204"/>
      <c r="AZ111" s="204"/>
      <c r="BA111" s="204"/>
      <c r="BB111" s="204"/>
    </row>
    <row r="112" spans="1:54">
      <c r="A112" s="76"/>
      <c r="B112" s="1689"/>
      <c r="C112" s="1167"/>
      <c r="D112" s="1167"/>
      <c r="E112" s="1167"/>
      <c r="F112" s="1167"/>
      <c r="G112" s="1167"/>
      <c r="H112" s="1167"/>
      <c r="I112" s="1689"/>
      <c r="J112" s="1689"/>
      <c r="K112" s="1689"/>
      <c r="L112" s="1689"/>
      <c r="M112" s="1689"/>
      <c r="N112" s="1689"/>
      <c r="O112" s="1689"/>
      <c r="P112" s="1689"/>
      <c r="Q112" s="204"/>
      <c r="R112" s="204"/>
      <c r="S112" s="204"/>
      <c r="T112" s="204"/>
      <c r="U112" s="204"/>
      <c r="V112" s="204"/>
      <c r="W112" s="204"/>
      <c r="X112" s="204"/>
      <c r="Y112" s="204"/>
      <c r="Z112" s="204"/>
      <c r="AA112" s="204"/>
      <c r="AB112" s="579"/>
      <c r="AC112" s="579"/>
      <c r="AD112" s="579"/>
      <c r="AE112" s="579"/>
      <c r="AF112" s="579"/>
      <c r="AG112" s="579"/>
      <c r="AH112" s="579"/>
      <c r="AI112" s="579"/>
      <c r="AJ112" s="579"/>
      <c r="AK112" s="579"/>
      <c r="AL112" s="579"/>
      <c r="AM112" s="579"/>
      <c r="AN112" s="204"/>
      <c r="AO112" s="204"/>
      <c r="AP112" s="204"/>
      <c r="AQ112" s="204"/>
      <c r="AR112" s="204"/>
      <c r="AS112" s="204"/>
      <c r="AT112" s="204"/>
      <c r="AU112" s="204"/>
      <c r="AV112" s="204"/>
      <c r="AW112" s="204"/>
      <c r="AX112" s="204"/>
      <c r="AY112" s="204"/>
      <c r="AZ112" s="204"/>
      <c r="BA112" s="204"/>
      <c r="BB112" s="204"/>
    </row>
    <row r="113" spans="2:73" ht="21" customHeight="1">
      <c r="B113" s="977" t="s">
        <v>4875</v>
      </c>
      <c r="C113" s="896"/>
      <c r="D113" s="896"/>
      <c r="E113" s="896"/>
      <c r="F113" s="896"/>
      <c r="G113" s="896"/>
      <c r="H113" s="896"/>
      <c r="I113" s="896"/>
      <c r="J113" s="896"/>
      <c r="K113" s="896"/>
      <c r="L113" s="896"/>
      <c r="M113" s="896"/>
      <c r="N113" s="896"/>
      <c r="O113" s="896"/>
      <c r="P113" s="896"/>
      <c r="AB113" s="149"/>
      <c r="AC113" s="149"/>
      <c r="AD113" s="149"/>
      <c r="AE113" s="149"/>
      <c r="AF113" s="149"/>
      <c r="AG113" s="14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row>
    <row r="114" spans="2:73">
      <c r="B114" s="1170" t="s">
        <v>3736</v>
      </c>
      <c r="C114" s="1167"/>
      <c r="D114" s="1167"/>
      <c r="E114" s="1167"/>
      <c r="F114" s="1167"/>
      <c r="G114" s="1167"/>
      <c r="H114" s="1167"/>
      <c r="I114" s="1167"/>
      <c r="J114" s="1167"/>
      <c r="K114" s="1167"/>
      <c r="L114" s="1167"/>
      <c r="M114" s="1167"/>
      <c r="N114" s="1167"/>
      <c r="O114" s="1167"/>
      <c r="P114" s="1167"/>
      <c r="Q114" s="9" t="b">
        <f>I123&gt;0</f>
        <v>0</v>
      </c>
      <c r="AB114" s="149"/>
      <c r="AC114" s="149"/>
      <c r="AD114" s="149"/>
      <c r="AE114" s="149"/>
      <c r="AF114" s="149"/>
      <c r="AG114" s="149"/>
      <c r="AH114" s="149"/>
      <c r="AI114" s="149"/>
      <c r="AJ114" s="149"/>
      <c r="AK114" s="149"/>
      <c r="AL114" s="14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row>
    <row r="115" spans="2:73">
      <c r="B115" s="1167" t="s">
        <v>4876</v>
      </c>
      <c r="C115" s="1167"/>
      <c r="D115" s="1167"/>
      <c r="E115" s="1167"/>
      <c r="F115" s="1167"/>
      <c r="G115" s="1167"/>
      <c r="H115" s="1167"/>
      <c r="I115" s="1167"/>
      <c r="J115" s="1167"/>
      <c r="K115" s="1167"/>
      <c r="L115" s="1167"/>
      <c r="M115" s="1167"/>
      <c r="N115" s="1207"/>
      <c r="O115" s="1167"/>
      <c r="P115" s="1167"/>
      <c r="AB115" s="149"/>
      <c r="AC115" s="149"/>
      <c r="AD115" s="149"/>
      <c r="AE115" s="149"/>
      <c r="AF115" s="149"/>
      <c r="AG115" s="149"/>
      <c r="AH115" s="149"/>
      <c r="AI115" s="149"/>
      <c r="AJ115" s="149"/>
      <c r="AK115" s="149"/>
      <c r="AL115" s="14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row>
    <row r="116" spans="2:73">
      <c r="B116" s="2471" t="s">
        <v>4877</v>
      </c>
      <c r="C116" s="2471"/>
      <c r="D116" s="2471"/>
      <c r="E116" s="2471"/>
      <c r="F116" s="2471"/>
      <c r="G116" s="2471"/>
      <c r="H116" s="2471"/>
      <c r="I116" s="2471"/>
      <c r="J116" s="2471"/>
      <c r="K116" s="2471"/>
      <c r="L116" s="2471"/>
      <c r="M116" s="2471"/>
      <c r="N116" s="2471"/>
      <c r="O116" s="2471"/>
      <c r="P116" s="2471"/>
      <c r="Q116" s="1532"/>
      <c r="AB116" s="149"/>
      <c r="AC116" s="149"/>
      <c r="AD116" s="149"/>
      <c r="AE116" s="149"/>
      <c r="AF116" s="149"/>
      <c r="AG116" s="149"/>
      <c r="AH116" s="149"/>
      <c r="AI116" s="149"/>
      <c r="AJ116" s="149"/>
      <c r="AK116" s="149"/>
      <c r="AL116" s="14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row>
    <row r="117" spans="2:73">
      <c r="B117" s="2471"/>
      <c r="C117" s="2471"/>
      <c r="D117" s="2471"/>
      <c r="E117" s="2471"/>
      <c r="F117" s="2471"/>
      <c r="G117" s="2471"/>
      <c r="H117" s="2471"/>
      <c r="I117" s="2471"/>
      <c r="J117" s="2471"/>
      <c r="K117" s="2471"/>
      <c r="L117" s="2471"/>
      <c r="M117" s="2471"/>
      <c r="N117" s="2471"/>
      <c r="O117" s="2471"/>
      <c r="P117" s="2471"/>
      <c r="Q117" s="1532"/>
      <c r="AB117" s="149"/>
      <c r="AC117" s="149"/>
      <c r="AD117" s="149"/>
      <c r="AE117" s="149"/>
      <c r="AF117" s="149"/>
      <c r="AG117" s="149"/>
      <c r="AH117" s="149"/>
      <c r="AI117" s="149"/>
      <c r="AJ117" s="149"/>
      <c r="AK117" s="149"/>
      <c r="AL117" s="14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row>
    <row r="118" spans="2:73">
      <c r="B118" s="2423" t="s">
        <v>4878</v>
      </c>
      <c r="C118" s="2423"/>
      <c r="D118" s="2423"/>
      <c r="E118" s="2423"/>
      <c r="F118" s="2423"/>
      <c r="G118" s="2423"/>
      <c r="H118" s="2423"/>
      <c r="I118" s="2423"/>
      <c r="J118" s="2423"/>
      <c r="K118" s="2423"/>
      <c r="L118" s="2423"/>
      <c r="M118" s="2423"/>
      <c r="N118" s="2423"/>
      <c r="O118" s="2423"/>
      <c r="P118" s="2423"/>
      <c r="AB118" s="149"/>
      <c r="AC118" s="149"/>
      <c r="AD118" s="149"/>
      <c r="AE118" s="149"/>
      <c r="AF118" s="149"/>
      <c r="AG118" s="149"/>
      <c r="AH118" s="149"/>
      <c r="AI118" s="149"/>
      <c r="AJ118" s="149"/>
      <c r="AK118" s="149"/>
      <c r="AL118" s="14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row>
    <row r="119" spans="2:73">
      <c r="B119" s="2423"/>
      <c r="C119" s="2423"/>
      <c r="D119" s="2423"/>
      <c r="E119" s="2423"/>
      <c r="F119" s="2423"/>
      <c r="G119" s="2423"/>
      <c r="H119" s="2423"/>
      <c r="I119" s="2423"/>
      <c r="J119" s="2423"/>
      <c r="K119" s="2423"/>
      <c r="L119" s="2423"/>
      <c r="M119" s="2423"/>
      <c r="N119" s="2423"/>
      <c r="O119" s="2423"/>
      <c r="P119" s="2423"/>
      <c r="AB119" s="149"/>
      <c r="AC119" s="149"/>
      <c r="AD119" s="149"/>
      <c r="AE119" s="149"/>
      <c r="AF119" s="149"/>
      <c r="AG119" s="149"/>
      <c r="AH119" s="149"/>
      <c r="AI119" s="149"/>
      <c r="AJ119" s="149"/>
      <c r="AK119" s="149"/>
      <c r="AL119" s="14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row>
    <row r="120" spans="2:73">
      <c r="B120" s="1167" t="s">
        <v>4879</v>
      </c>
      <c r="C120" s="1167"/>
      <c r="D120" s="1167"/>
      <c r="E120" s="1167"/>
      <c r="F120" s="1167"/>
      <c r="G120" s="1167"/>
      <c r="H120" s="1167"/>
      <c r="I120" s="1167"/>
      <c r="J120" s="1167"/>
      <c r="K120" s="1167"/>
      <c r="L120" s="1167"/>
      <c r="M120" s="1167"/>
      <c r="N120" s="1207"/>
      <c r="O120" s="1167"/>
      <c r="P120" s="1167"/>
      <c r="AB120" s="149"/>
      <c r="AC120" s="149"/>
      <c r="AD120" s="149"/>
      <c r="AE120" s="149"/>
      <c r="AF120" s="149"/>
      <c r="AG120" s="149"/>
      <c r="AH120" s="149"/>
      <c r="AI120" s="149"/>
      <c r="AJ120" s="149"/>
      <c r="AK120" s="149"/>
      <c r="AL120" s="14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row>
    <row r="121" spans="2:73">
      <c r="B121" s="1167" t="s">
        <v>4880</v>
      </c>
      <c r="C121" s="1167"/>
      <c r="D121" s="1167"/>
      <c r="E121" s="1167"/>
      <c r="F121" s="1167"/>
      <c r="G121" s="1167"/>
      <c r="H121" s="1167"/>
      <c r="I121" s="1167"/>
      <c r="J121" s="1167"/>
      <c r="K121" s="1167"/>
      <c r="L121" s="1167"/>
      <c r="M121" s="1167"/>
      <c r="N121" s="1167"/>
      <c r="O121" s="1167"/>
      <c r="P121" s="1167"/>
      <c r="AB121" s="149"/>
      <c r="AC121" s="149"/>
      <c r="AD121" s="149"/>
      <c r="AE121" s="149"/>
      <c r="AF121" s="149"/>
      <c r="AG121" s="149"/>
      <c r="AH121" s="149"/>
      <c r="AI121" s="149"/>
      <c r="AJ121" s="149"/>
      <c r="AK121" s="149"/>
      <c r="AL121" s="14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row>
    <row r="122" spans="2:73">
      <c r="B122" s="1167"/>
      <c r="C122" s="1167"/>
      <c r="D122" s="1167"/>
      <c r="E122" s="1167"/>
      <c r="F122" s="1167"/>
      <c r="G122" s="1167"/>
      <c r="H122" s="1167"/>
      <c r="I122" s="1167"/>
      <c r="J122" s="1167"/>
      <c r="K122" s="1167"/>
      <c r="L122" s="1167"/>
      <c r="M122" s="1167"/>
      <c r="N122" s="1167"/>
      <c r="O122" s="1167"/>
      <c r="P122" s="1167"/>
      <c r="AB122" s="149"/>
      <c r="AC122" s="149"/>
      <c r="AD122" s="149"/>
      <c r="AE122" s="149"/>
      <c r="AF122" s="149"/>
      <c r="AG122" s="149"/>
      <c r="AH122" s="149"/>
      <c r="AI122" s="149"/>
      <c r="AJ122" s="149"/>
      <c r="AK122" s="149"/>
      <c r="AL122" s="14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row>
    <row r="123" spans="2:73">
      <c r="B123" s="1167"/>
      <c r="C123" s="1180" t="s">
        <v>4881</v>
      </c>
      <c r="D123" s="914"/>
      <c r="E123" s="1180" t="s">
        <v>4882</v>
      </c>
      <c r="F123" s="205">
        <f>Total_Units</f>
        <v>0</v>
      </c>
      <c r="G123" s="2457" t="s">
        <v>4883</v>
      </c>
      <c r="H123" s="2457"/>
      <c r="I123" s="2458">
        <f>IF(F123=0,0,ROUNDDOWN(D123/F123, 2))</f>
        <v>0</v>
      </c>
      <c r="J123" s="2458"/>
      <c r="K123" s="1167"/>
      <c r="L123" s="1167"/>
      <c r="M123" s="1167"/>
      <c r="N123" s="1167"/>
      <c r="O123" s="1167"/>
      <c r="P123" s="1167"/>
      <c r="AB123" s="149"/>
      <c r="AC123" s="149"/>
      <c r="AD123" s="149"/>
      <c r="AE123" s="149"/>
      <c r="AF123" s="149"/>
      <c r="AG123" s="149"/>
      <c r="AH123" s="149"/>
      <c r="AI123" s="149"/>
      <c r="AJ123" s="149"/>
      <c r="AK123" s="149"/>
      <c r="AL123" s="14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row>
    <row r="124" spans="2:73">
      <c r="B124" s="1167"/>
      <c r="C124" s="1167"/>
      <c r="D124" s="1167"/>
      <c r="E124" s="1167"/>
      <c r="F124" s="1167"/>
      <c r="G124" s="1167"/>
      <c r="H124" s="1167"/>
      <c r="I124" s="1167"/>
      <c r="J124" s="1167"/>
      <c r="K124" s="1167"/>
      <c r="L124" s="1167"/>
      <c r="M124" s="1167"/>
      <c r="N124" s="1167"/>
      <c r="O124" s="1167"/>
      <c r="P124" s="1167"/>
      <c r="AB124" s="149"/>
      <c r="AC124" s="149"/>
      <c r="AD124" s="149"/>
      <c r="AE124" s="149"/>
      <c r="AF124" s="149"/>
      <c r="AG124" s="149"/>
      <c r="AH124" s="149"/>
      <c r="AI124" s="149"/>
      <c r="AJ124" s="149"/>
      <c r="AK124" s="149"/>
      <c r="AL124" s="14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row>
    <row r="125" spans="2:73">
      <c r="B125" s="1167"/>
      <c r="C125" s="845" t="s">
        <v>4833</v>
      </c>
      <c r="D125" s="845" t="s">
        <v>4739</v>
      </c>
      <c r="E125" s="1167"/>
      <c r="F125" s="1167"/>
      <c r="G125" s="1167"/>
      <c r="H125" s="1167"/>
      <c r="I125" s="1167"/>
      <c r="J125" s="1167"/>
      <c r="K125" s="1167"/>
      <c r="L125" s="1167"/>
      <c r="M125" s="1167"/>
      <c r="N125" s="1167"/>
      <c r="O125" s="1167"/>
      <c r="P125" s="1167"/>
      <c r="AB125" s="149"/>
      <c r="AC125" s="149"/>
      <c r="AD125" s="149"/>
      <c r="AE125" s="149"/>
      <c r="AF125" s="149"/>
      <c r="AG125" s="149"/>
      <c r="AH125" s="149"/>
      <c r="AI125" s="149"/>
      <c r="AJ125" s="149"/>
      <c r="AK125" s="149"/>
      <c r="AL125" s="14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row>
    <row r="126" spans="2:73">
      <c r="B126" s="1167"/>
      <c r="C126" s="1398" t="s">
        <v>4884</v>
      </c>
      <c r="D126" s="1399">
        <v>1</v>
      </c>
      <c r="E126" s="1167"/>
      <c r="F126" s="1167"/>
      <c r="G126" s="1167"/>
      <c r="H126" s="1167"/>
      <c r="I126" s="1167"/>
      <c r="J126" s="1167"/>
      <c r="K126" s="1167"/>
      <c r="L126" s="1167"/>
      <c r="M126" s="1167"/>
      <c r="N126" s="1167"/>
      <c r="O126" s="1167"/>
      <c r="P126" s="1167"/>
      <c r="AB126" s="149"/>
      <c r="AC126" s="149"/>
      <c r="AD126" s="149"/>
      <c r="AE126" s="149"/>
      <c r="AF126" s="149"/>
      <c r="AG126" s="149"/>
      <c r="AH126" s="149"/>
      <c r="AI126" s="149"/>
      <c r="AJ126" s="149"/>
      <c r="AK126" s="149"/>
      <c r="AL126" s="14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row>
    <row r="127" spans="2:73">
      <c r="B127" s="1167"/>
      <c r="C127" s="1398" t="s">
        <v>4885</v>
      </c>
      <c r="D127" s="1399">
        <v>2</v>
      </c>
      <c r="E127" s="1167"/>
      <c r="F127" s="1167"/>
      <c r="G127" s="1167"/>
      <c r="H127" s="1167"/>
      <c r="I127" s="1167"/>
      <c r="J127" s="1167"/>
      <c r="K127" s="1167"/>
      <c r="L127" s="1167"/>
      <c r="M127" s="1167"/>
      <c r="N127" s="1167"/>
      <c r="O127" s="1167"/>
      <c r="P127" s="1167"/>
      <c r="Q127" s="9">
        <f>IF(AND(I123&gt;=1%, I123 &lt;= 5%), D126, 0)</f>
        <v>0</v>
      </c>
      <c r="AB127" s="149"/>
      <c r="AC127" s="149"/>
      <c r="AD127" s="149"/>
      <c r="AE127" s="149"/>
      <c r="AF127" s="149"/>
      <c r="AG127" s="149"/>
      <c r="AH127" s="149"/>
      <c r="AI127" s="149"/>
      <c r="AJ127" s="149"/>
      <c r="AK127" s="149"/>
      <c r="AL127" s="14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row>
    <row r="128" spans="2:73">
      <c r="B128" s="1167"/>
      <c r="C128" s="1398" t="s">
        <v>4886</v>
      </c>
      <c r="D128" s="1399">
        <v>3</v>
      </c>
      <c r="E128" s="1167"/>
      <c r="F128" s="1167"/>
      <c r="G128" s="1167"/>
      <c r="H128" s="1167"/>
      <c r="I128" s="1167"/>
      <c r="J128" s="1167"/>
      <c r="K128" s="1167"/>
      <c r="L128" s="1167"/>
      <c r="M128" s="1167"/>
      <c r="N128" s="1167"/>
      <c r="O128" s="1167"/>
      <c r="P128" s="1167"/>
      <c r="Q128" s="9">
        <f>IF(AND(I123&gt;5%, I123 &lt;= 10%), D127, 0)</f>
        <v>0</v>
      </c>
      <c r="AB128" s="149"/>
      <c r="AC128" s="149"/>
      <c r="AD128" s="149"/>
      <c r="AE128" s="149"/>
      <c r="AF128" s="149"/>
      <c r="AG128" s="149"/>
      <c r="AH128" s="149"/>
      <c r="AI128" s="149"/>
      <c r="AJ128" s="149"/>
      <c r="AK128" s="149"/>
      <c r="AL128" s="14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row>
    <row r="129" spans="2:73">
      <c r="B129" s="1167"/>
      <c r="C129" s="1167"/>
      <c r="D129" s="1167"/>
      <c r="E129" s="1167"/>
      <c r="F129" s="1167"/>
      <c r="G129" s="1167"/>
      <c r="H129" s="1167"/>
      <c r="I129" s="1167"/>
      <c r="J129" s="1167"/>
      <c r="K129" s="1167"/>
      <c r="L129" s="1167"/>
      <c r="M129" s="1167"/>
      <c r="N129" s="1167"/>
      <c r="O129" s="1167"/>
      <c r="P129" s="1167"/>
      <c r="Q129" s="9">
        <f>IF(AND(I123&gt;10%, I123 &lt;= 100%), D128, 0)</f>
        <v>0</v>
      </c>
      <c r="AB129" s="149"/>
      <c r="AC129" s="149"/>
      <c r="AD129" s="149"/>
      <c r="AE129" s="149"/>
      <c r="AF129" s="149"/>
      <c r="AG129" s="149"/>
      <c r="AH129" s="149"/>
      <c r="AI129" s="149"/>
      <c r="AJ129" s="149"/>
      <c r="AK129" s="149"/>
      <c r="AL129" s="14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row>
    <row r="130" spans="2:73">
      <c r="B130" s="1167"/>
      <c r="C130" s="1167"/>
      <c r="D130" s="1167"/>
      <c r="E130" s="1167"/>
      <c r="F130" s="1167"/>
      <c r="G130" s="1167"/>
      <c r="H130" s="1167"/>
      <c r="I130" s="1167"/>
      <c r="J130" s="1167"/>
      <c r="K130" s="1167"/>
      <c r="L130" s="1167"/>
      <c r="M130" s="1167"/>
      <c r="N130" s="1167"/>
      <c r="O130" s="1167"/>
      <c r="P130" s="1167"/>
      <c r="Q130" s="9">
        <f>SUM(Q127:Q129)</f>
        <v>0</v>
      </c>
      <c r="AB130" s="149"/>
      <c r="AC130" s="149"/>
      <c r="AD130" s="149"/>
      <c r="AE130" s="149"/>
      <c r="AF130" s="149"/>
      <c r="AG130" s="149"/>
      <c r="AH130" s="149"/>
      <c r="AI130" s="149"/>
      <c r="AJ130" s="149"/>
      <c r="AK130" s="149"/>
      <c r="AL130" s="14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row>
    <row r="131" spans="2:73" ht="16">
      <c r="B131" s="1167"/>
      <c r="C131" s="1401" t="s">
        <v>4734</v>
      </c>
      <c r="D131" s="1401" t="s">
        <v>4708</v>
      </c>
      <c r="E131" s="1401" t="s">
        <v>1010</v>
      </c>
      <c r="F131" s="1167"/>
      <c r="G131" s="1167"/>
      <c r="H131" s="1167"/>
      <c r="I131" s="1167"/>
      <c r="J131" s="1167"/>
      <c r="K131" s="1167"/>
      <c r="L131" s="1167"/>
      <c r="M131" s="1167"/>
      <c r="N131" s="1167"/>
      <c r="O131" s="1167"/>
      <c r="P131" s="1167"/>
      <c r="AB131" s="149"/>
      <c r="AC131" s="149"/>
      <c r="AD131" s="149"/>
      <c r="AE131" s="149"/>
      <c r="AF131" s="149"/>
      <c r="AG131" s="149"/>
      <c r="AH131" s="149"/>
      <c r="AI131" s="149"/>
      <c r="AJ131" s="149"/>
      <c r="AK131" s="149"/>
      <c r="AL131" s="14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row>
    <row r="132" spans="2:73" ht="19">
      <c r="B132" s="1392"/>
      <c r="C132" s="984">
        <v>3</v>
      </c>
      <c r="D132" s="1735">
        <f>Q132</f>
        <v>0</v>
      </c>
      <c r="E132" s="1734"/>
      <c r="F132" s="1392"/>
      <c r="G132" s="1392"/>
      <c r="H132" s="1392"/>
      <c r="I132" s="1392"/>
      <c r="J132" s="1392"/>
      <c r="K132" s="1392"/>
      <c r="L132" s="1392"/>
      <c r="M132" s="1392"/>
      <c r="N132" s="1392"/>
      <c r="O132" s="1392"/>
      <c r="P132" s="1392"/>
      <c r="Q132" s="9">
        <f>IF(Q130&gt;3, 3, Q130)</f>
        <v>0</v>
      </c>
      <c r="AB132" s="149"/>
      <c r="AC132" s="149"/>
      <c r="AD132" s="149"/>
      <c r="AE132" s="149"/>
      <c r="AF132" s="149"/>
      <c r="AG132" s="149"/>
      <c r="AH132" s="149"/>
      <c r="AI132" s="149"/>
      <c r="AJ132" s="149"/>
      <c r="AK132" s="149"/>
      <c r="AL132" s="14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row>
    <row r="133" spans="2:73">
      <c r="B133" s="1167"/>
      <c r="C133" s="1167"/>
      <c r="D133" s="1167"/>
      <c r="E133" s="1167"/>
      <c r="F133" s="1167"/>
      <c r="G133" s="1167"/>
      <c r="H133" s="1167"/>
      <c r="I133" s="1167"/>
      <c r="J133" s="1167"/>
      <c r="K133" s="1167"/>
      <c r="L133" s="1167"/>
      <c r="M133" s="1167"/>
      <c r="N133" s="1167"/>
      <c r="O133" s="1167"/>
      <c r="P133" s="1167"/>
      <c r="AB133" s="149"/>
      <c r="AC133" s="149"/>
      <c r="AD133" s="149"/>
      <c r="AE133" s="149"/>
      <c r="AF133" s="149"/>
      <c r="AG133" s="149"/>
      <c r="AH133" s="149"/>
      <c r="AI133" s="149"/>
      <c r="AJ133" s="149"/>
      <c r="AK133" s="149"/>
      <c r="AL133" s="14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row>
    <row r="134" spans="2:73">
      <c r="B134" s="1167"/>
      <c r="C134" s="1167"/>
      <c r="D134" s="1167"/>
      <c r="E134" s="1167"/>
      <c r="F134" s="1167"/>
      <c r="G134" s="1167"/>
      <c r="H134" s="1167"/>
      <c r="I134" s="1167"/>
      <c r="J134" s="1167"/>
      <c r="K134" s="1167"/>
      <c r="L134" s="1167"/>
      <c r="M134" s="1167"/>
      <c r="N134" s="1167"/>
      <c r="O134" s="1167"/>
      <c r="P134" s="1167"/>
      <c r="AB134" s="149"/>
      <c r="AC134" s="149"/>
      <c r="AD134" s="149"/>
      <c r="AE134" s="149"/>
      <c r="AF134" s="149"/>
      <c r="AG134" s="149"/>
      <c r="AH134" s="149"/>
      <c r="AI134" s="149"/>
      <c r="AJ134" s="149"/>
      <c r="AK134" s="149"/>
      <c r="AL134" s="14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row>
    <row r="135" spans="2:73" ht="19">
      <c r="B135" s="8" t="s">
        <v>4849</v>
      </c>
      <c r="C135" s="8"/>
      <c r="D135" s="8"/>
      <c r="E135" s="8"/>
      <c r="F135" s="8"/>
      <c r="G135" s="8"/>
      <c r="H135" s="8"/>
      <c r="I135" s="8"/>
      <c r="J135" s="8" t="s">
        <v>4850</v>
      </c>
      <c r="K135" s="8"/>
      <c r="L135" s="8"/>
      <c r="M135" s="8"/>
      <c r="N135" s="8"/>
      <c r="O135" s="8"/>
      <c r="P135" s="8"/>
      <c r="AB135" s="149"/>
      <c r="AC135" s="149"/>
      <c r="AD135" s="149"/>
      <c r="AE135" s="149"/>
      <c r="AF135" s="149"/>
      <c r="AG135" s="149"/>
      <c r="AH135" s="149"/>
      <c r="AI135" s="149"/>
      <c r="AJ135" s="149"/>
      <c r="AK135" s="149"/>
      <c r="AL135" s="14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row>
    <row r="136" spans="2:73">
      <c r="B136" s="1170" t="s">
        <v>4538</v>
      </c>
      <c r="C136" s="1167"/>
      <c r="D136" s="1167"/>
      <c r="E136" s="1167"/>
      <c r="F136" s="1167"/>
      <c r="G136" s="1167"/>
      <c r="H136" s="1167"/>
      <c r="I136" s="1167"/>
      <c r="J136" s="1172" t="s">
        <v>3371</v>
      </c>
      <c r="K136" s="1167"/>
      <c r="L136" s="1167"/>
      <c r="M136" s="1167"/>
      <c r="N136" s="1167"/>
      <c r="O136" s="1167"/>
      <c r="P136" s="1167"/>
      <c r="AB136" s="149"/>
      <c r="AC136" s="149"/>
      <c r="AD136" s="149"/>
      <c r="AE136" s="149"/>
      <c r="AF136" s="149"/>
      <c r="AG136" s="149"/>
      <c r="AH136" s="149"/>
      <c r="AI136" s="149"/>
      <c r="AJ136" s="149"/>
      <c r="AK136" s="149"/>
      <c r="AL136" s="14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row>
    <row r="137" spans="2:73">
      <c r="B137" s="1167"/>
      <c r="C137" s="1981"/>
      <c r="D137" s="1981"/>
      <c r="E137" s="1981"/>
      <c r="F137" s="1981"/>
      <c r="G137" s="1981"/>
      <c r="H137" s="1981"/>
      <c r="I137" s="1167"/>
      <c r="J137" s="1957"/>
      <c r="K137" s="1957"/>
      <c r="L137" s="1957"/>
      <c r="M137" s="1957"/>
      <c r="N137" s="1957"/>
      <c r="O137" s="2452"/>
      <c r="P137" s="1167"/>
      <c r="AB137" s="149"/>
      <c r="AC137" s="149"/>
      <c r="AD137" s="149"/>
      <c r="AE137" s="149"/>
      <c r="AF137" s="149"/>
      <c r="AG137" s="149"/>
      <c r="AH137" s="149"/>
      <c r="AI137" s="149"/>
      <c r="AJ137" s="149"/>
      <c r="AK137" s="149"/>
      <c r="AL137" s="14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row>
    <row r="138" spans="2:73">
      <c r="B138" s="1167"/>
      <c r="C138" s="1981"/>
      <c r="D138" s="1981"/>
      <c r="E138" s="1981"/>
      <c r="F138" s="1981"/>
      <c r="G138" s="1981"/>
      <c r="H138" s="1981"/>
      <c r="I138" s="1167"/>
      <c r="J138" s="1957"/>
      <c r="K138" s="1957"/>
      <c r="L138" s="1957"/>
      <c r="M138" s="1957"/>
      <c r="N138" s="1957"/>
      <c r="O138" s="2452"/>
      <c r="P138" s="1167"/>
      <c r="AB138" s="149"/>
      <c r="AC138" s="149"/>
      <c r="AD138" s="149"/>
      <c r="AE138" s="149"/>
      <c r="AF138" s="149"/>
      <c r="AG138" s="149"/>
      <c r="AH138" s="149"/>
      <c r="AI138" s="149"/>
      <c r="AJ138" s="149"/>
      <c r="AK138" s="149"/>
      <c r="AL138" s="14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row>
    <row r="139" spans="2:73">
      <c r="B139" s="1167"/>
      <c r="C139" s="1981"/>
      <c r="D139" s="1981"/>
      <c r="E139" s="1981"/>
      <c r="F139" s="1981"/>
      <c r="G139" s="1981"/>
      <c r="H139" s="1981"/>
      <c r="I139" s="1167"/>
      <c r="J139" s="1957"/>
      <c r="K139" s="1957"/>
      <c r="L139" s="1957"/>
      <c r="M139" s="1957"/>
      <c r="N139" s="1957"/>
      <c r="O139" s="2452"/>
      <c r="P139" s="1167"/>
      <c r="AB139" s="149"/>
      <c r="AC139" s="149"/>
      <c r="AD139" s="149"/>
      <c r="AE139" s="149"/>
      <c r="AF139" s="149"/>
      <c r="AG139" s="149"/>
      <c r="AH139" s="149"/>
      <c r="AI139" s="149"/>
      <c r="AJ139" s="149"/>
      <c r="AK139" s="149"/>
      <c r="AL139" s="14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row r="140" spans="2:73">
      <c r="B140" s="1167"/>
      <c r="C140" s="1981"/>
      <c r="D140" s="1981"/>
      <c r="E140" s="1981"/>
      <c r="F140" s="1981"/>
      <c r="G140" s="1981"/>
      <c r="H140" s="1981"/>
      <c r="I140" s="1167"/>
      <c r="J140" s="1957"/>
      <c r="K140" s="1957"/>
      <c r="L140" s="1957"/>
      <c r="M140" s="1957"/>
      <c r="N140" s="1957"/>
      <c r="O140" s="2452"/>
      <c r="P140" s="1167"/>
      <c r="AB140" s="149"/>
      <c r="AC140" s="149"/>
      <c r="AD140" s="149"/>
      <c r="AE140" s="149"/>
      <c r="AF140" s="149"/>
      <c r="AG140" s="149"/>
      <c r="AH140" s="149"/>
      <c r="AI140" s="149"/>
      <c r="AJ140" s="149"/>
      <c r="AK140" s="149"/>
      <c r="AL140" s="14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row>
    <row r="141" spans="2:73">
      <c r="B141" s="1167"/>
      <c r="C141" s="1981"/>
      <c r="D141" s="1981"/>
      <c r="E141" s="1981"/>
      <c r="F141" s="1981"/>
      <c r="G141" s="1981"/>
      <c r="H141" s="1981"/>
      <c r="I141" s="1167"/>
      <c r="J141" s="1957"/>
      <c r="K141" s="1957"/>
      <c r="L141" s="1957"/>
      <c r="M141" s="1957"/>
      <c r="N141" s="1957"/>
      <c r="O141" s="2452"/>
      <c r="P141" s="1167"/>
      <c r="AB141" s="149"/>
      <c r="AC141" s="149"/>
      <c r="AD141" s="149"/>
      <c r="AE141" s="149"/>
      <c r="AF141" s="149"/>
      <c r="AG141" s="149"/>
      <c r="AH141" s="149"/>
      <c r="AI141" s="149"/>
      <c r="AJ141" s="149"/>
      <c r="AK141" s="149"/>
      <c r="AL141" s="14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row>
    <row r="142" spans="2:73">
      <c r="B142" s="1167"/>
      <c r="C142" s="1981"/>
      <c r="D142" s="1981"/>
      <c r="E142" s="1981"/>
      <c r="F142" s="1981"/>
      <c r="G142" s="1981"/>
      <c r="H142" s="1981"/>
      <c r="I142" s="1167"/>
      <c r="J142" s="1957"/>
      <c r="K142" s="1957"/>
      <c r="L142" s="1957"/>
      <c r="M142" s="1957"/>
      <c r="N142" s="1957"/>
      <c r="O142" s="2452"/>
      <c r="P142" s="1167"/>
      <c r="AB142" s="149"/>
      <c r="AC142" s="149"/>
      <c r="AD142" s="149"/>
      <c r="AE142" s="149"/>
      <c r="AF142" s="149"/>
      <c r="AG142" s="149"/>
      <c r="AH142" s="149"/>
      <c r="AI142" s="149"/>
      <c r="AJ142" s="149"/>
      <c r="AK142" s="149"/>
      <c r="AL142" s="14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row>
    <row r="143" spans="2:73">
      <c r="B143" s="1167"/>
      <c r="C143" s="1981"/>
      <c r="D143" s="1981"/>
      <c r="E143" s="1981"/>
      <c r="F143" s="1981"/>
      <c r="G143" s="1981"/>
      <c r="H143" s="1981"/>
      <c r="I143" s="1167"/>
      <c r="J143" s="1957"/>
      <c r="K143" s="1957"/>
      <c r="L143" s="1957"/>
      <c r="M143" s="1957"/>
      <c r="N143" s="1957"/>
      <c r="O143" s="2452"/>
      <c r="P143" s="1167"/>
      <c r="AB143" s="149"/>
      <c r="AC143" s="149"/>
      <c r="AD143" s="149"/>
      <c r="AE143" s="149"/>
      <c r="AF143" s="149"/>
      <c r="AG143" s="149"/>
      <c r="AH143" s="149"/>
      <c r="AI143" s="149"/>
      <c r="AJ143" s="149"/>
      <c r="AK143" s="149"/>
      <c r="AL143" s="14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row>
    <row r="144" spans="2:73">
      <c r="B144" s="1167"/>
      <c r="C144" s="1981"/>
      <c r="D144" s="1981"/>
      <c r="E144" s="1981"/>
      <c r="F144" s="1981"/>
      <c r="G144" s="1981"/>
      <c r="H144" s="1981"/>
      <c r="I144" s="1167"/>
      <c r="J144" s="1957"/>
      <c r="K144" s="1957"/>
      <c r="L144" s="1957"/>
      <c r="M144" s="1957"/>
      <c r="N144" s="1957"/>
      <c r="O144" s="2452"/>
      <c r="P144" s="1167"/>
      <c r="AB144" s="149"/>
      <c r="AC144" s="149"/>
      <c r="AD144" s="149"/>
      <c r="AE144" s="149"/>
      <c r="AF144" s="149"/>
      <c r="AG144" s="149"/>
      <c r="AH144" s="149"/>
      <c r="AI144" s="149"/>
      <c r="AJ144" s="149"/>
      <c r="AK144" s="149"/>
      <c r="AL144" s="14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row>
    <row r="145" spans="2:102">
      <c r="B145" s="1167"/>
      <c r="C145" s="1981"/>
      <c r="D145" s="1981"/>
      <c r="E145" s="1981"/>
      <c r="F145" s="1981"/>
      <c r="G145" s="1981"/>
      <c r="H145" s="1981"/>
      <c r="I145" s="1167"/>
      <c r="J145" s="2453"/>
      <c r="K145" s="2453"/>
      <c r="L145" s="2453"/>
      <c r="M145" s="2453"/>
      <c r="N145" s="2453"/>
      <c r="O145" s="1981"/>
      <c r="P145" s="1167"/>
      <c r="AB145" s="149"/>
      <c r="AC145" s="149"/>
      <c r="AD145" s="149"/>
      <c r="AE145" s="149"/>
      <c r="AF145" s="149"/>
      <c r="AG145" s="149"/>
      <c r="AH145" s="149"/>
      <c r="AI145" s="149"/>
      <c r="AJ145" s="149"/>
      <c r="AK145" s="149"/>
      <c r="AL145" s="14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row>
    <row r="146" spans="2:102">
      <c r="B146" s="1167"/>
      <c r="C146" s="1981"/>
      <c r="D146" s="1981"/>
      <c r="E146" s="1981"/>
      <c r="F146" s="1981"/>
      <c r="G146" s="1981"/>
      <c r="H146" s="1981"/>
      <c r="I146" s="1167"/>
      <c r="J146" s="1733" t="s">
        <v>4766</v>
      </c>
      <c r="K146" s="1167"/>
      <c r="L146" s="1167"/>
      <c r="M146" s="1167"/>
      <c r="N146" s="1167"/>
      <c r="O146" s="1167"/>
      <c r="P146" s="1167"/>
      <c r="AB146" s="149"/>
      <c r="AC146" s="149"/>
      <c r="AD146" s="149"/>
      <c r="AE146" s="149"/>
      <c r="AF146" s="149"/>
      <c r="AG146" s="149"/>
      <c r="AH146" s="149"/>
      <c r="AI146" s="149"/>
      <c r="AJ146" s="149"/>
      <c r="AK146" s="149"/>
      <c r="AL146" s="14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row>
    <row r="147" spans="2:102">
      <c r="B147" s="1167"/>
      <c r="C147" s="1981"/>
      <c r="D147" s="1981"/>
      <c r="E147" s="1981"/>
      <c r="F147" s="1981"/>
      <c r="G147" s="1981"/>
      <c r="H147" s="1981"/>
      <c r="I147" s="1167"/>
      <c r="J147" s="2454"/>
      <c r="K147" s="2454"/>
      <c r="L147" s="2454"/>
      <c r="M147" s="2454"/>
      <c r="N147" s="2454"/>
      <c r="O147" s="2454"/>
      <c r="P147" s="1167"/>
      <c r="AB147" s="149"/>
      <c r="AC147" s="149"/>
      <c r="AD147" s="149"/>
      <c r="AE147" s="149"/>
      <c r="AF147" s="149"/>
      <c r="AG147" s="149"/>
      <c r="AH147" s="149"/>
      <c r="AI147" s="149"/>
      <c r="AJ147" s="149"/>
      <c r="AK147" s="149"/>
      <c r="AL147" s="14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row>
    <row r="148" spans="2:102">
      <c r="B148" s="1167"/>
      <c r="C148" s="1167"/>
      <c r="D148" s="1167"/>
      <c r="E148" s="1167"/>
      <c r="F148" s="1167"/>
      <c r="G148" s="1167"/>
      <c r="H148" s="1167"/>
      <c r="I148" s="1167"/>
      <c r="J148" s="1167"/>
      <c r="K148" s="1167"/>
      <c r="L148" s="1167"/>
      <c r="M148" s="1167"/>
      <c r="N148" s="1167"/>
      <c r="O148" s="1167"/>
      <c r="P148" s="1167"/>
      <c r="AB148" s="149"/>
      <c r="AC148" s="149"/>
      <c r="AD148" s="149"/>
      <c r="AE148" s="149"/>
      <c r="AF148" s="149"/>
      <c r="AG148" s="149"/>
      <c r="AH148" s="149"/>
      <c r="AI148" s="149"/>
      <c r="AJ148" s="149"/>
      <c r="AK148" s="149"/>
      <c r="AL148" s="14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row>
    <row r="149" spans="2:102">
      <c r="B149" s="3"/>
      <c r="C149" s="3"/>
      <c r="D149" s="3"/>
      <c r="E149" s="3"/>
      <c r="F149" s="3"/>
      <c r="G149" s="3"/>
      <c r="H149" s="3"/>
      <c r="I149" s="3"/>
      <c r="J149" s="3"/>
      <c r="K149" s="3"/>
      <c r="L149" s="3"/>
      <c r="M149" s="3"/>
      <c r="N149" s="3"/>
      <c r="O149" s="3"/>
      <c r="P149" s="3"/>
      <c r="AB149" s="149"/>
      <c r="AC149" s="149"/>
      <c r="AD149" s="149"/>
      <c r="AE149" s="149"/>
      <c r="AF149" s="149"/>
      <c r="AG149" s="14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c r="B150" s="3"/>
      <c r="C150" s="3"/>
      <c r="D150" s="3"/>
      <c r="E150" s="3"/>
      <c r="F150" s="3"/>
      <c r="G150" s="3"/>
      <c r="H150" s="3"/>
      <c r="I150" s="3"/>
      <c r="J150" s="3"/>
      <c r="K150" s="3"/>
      <c r="L150" s="3"/>
      <c r="M150" s="3"/>
      <c r="N150" s="3"/>
      <c r="O150" s="3"/>
      <c r="P150" s="3"/>
      <c r="AB150" s="149"/>
      <c r="AC150" s="149"/>
      <c r="AD150" s="149"/>
      <c r="AE150" s="149"/>
      <c r="AF150" s="149"/>
      <c r="AG150" s="14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c r="B151" s="3"/>
      <c r="C151" s="3"/>
      <c r="D151" s="3"/>
      <c r="E151" s="3"/>
      <c r="F151" s="3"/>
      <c r="G151" s="3"/>
      <c r="H151" s="3"/>
      <c r="I151" s="3"/>
      <c r="J151" s="3"/>
      <c r="K151" s="3"/>
      <c r="L151" s="3"/>
      <c r="M151" s="3"/>
      <c r="N151" s="3"/>
      <c r="O151" s="3"/>
      <c r="P151" s="3"/>
      <c r="AB151" s="149"/>
      <c r="AC151" s="149"/>
      <c r="AD151" s="149"/>
      <c r="AE151" s="149"/>
      <c r="AF151" s="149"/>
      <c r="AG151" s="14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c r="B152" s="3"/>
      <c r="C152" s="3"/>
      <c r="D152" s="3"/>
      <c r="E152" s="3"/>
      <c r="F152" s="3"/>
      <c r="G152" s="3"/>
      <c r="H152" s="3"/>
      <c r="I152" s="3"/>
      <c r="J152" s="3"/>
      <c r="K152" s="3"/>
      <c r="L152" s="3"/>
      <c r="M152" s="3"/>
      <c r="N152" s="3"/>
      <c r="O152" s="3"/>
      <c r="P152" s="3"/>
      <c r="AB152" s="149"/>
      <c r="AC152" s="149"/>
      <c r="AD152" s="149"/>
      <c r="AE152" s="149"/>
      <c r="AF152" s="149"/>
      <c r="AG152" s="14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c r="B153" s="3"/>
      <c r="C153" s="3"/>
      <c r="D153" s="3"/>
      <c r="E153" s="3"/>
      <c r="F153" s="3"/>
      <c r="G153" s="3"/>
      <c r="H153" s="3"/>
      <c r="I153" s="3"/>
      <c r="J153" s="3"/>
      <c r="K153" s="3"/>
      <c r="L153" s="3"/>
      <c r="M153" s="3"/>
      <c r="N153" s="3"/>
      <c r="O153" s="3"/>
      <c r="P153" s="3"/>
      <c r="AB153" s="149"/>
      <c r="AC153" s="149"/>
      <c r="AD153" s="149"/>
      <c r="AE153" s="149"/>
      <c r="AF153" s="149"/>
      <c r="AG153" s="14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c r="B154" s="3"/>
      <c r="C154" s="3"/>
      <c r="D154" s="3"/>
      <c r="E154" s="3"/>
      <c r="F154" s="3"/>
      <c r="G154" s="3"/>
      <c r="H154" s="3"/>
      <c r="I154" s="3"/>
      <c r="J154" s="3"/>
      <c r="K154" s="3"/>
      <c r="L154" s="3"/>
      <c r="M154" s="3"/>
      <c r="N154" s="3"/>
      <c r="O154" s="3"/>
      <c r="P154" s="3"/>
      <c r="AB154" s="149"/>
      <c r="AC154" s="149"/>
      <c r="AD154" s="149"/>
      <c r="AE154" s="149"/>
      <c r="AF154" s="149"/>
      <c r="AG154" s="14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c r="B155" s="3"/>
      <c r="C155" s="3"/>
      <c r="D155" s="3"/>
      <c r="E155" s="3"/>
      <c r="F155" s="3"/>
      <c r="G155" s="3"/>
      <c r="H155" s="3"/>
      <c r="I155" s="3"/>
      <c r="J155" s="3"/>
      <c r="K155" s="3"/>
      <c r="L155" s="3"/>
      <c r="M155" s="3"/>
      <c r="N155" s="3"/>
      <c r="O155" s="3"/>
      <c r="P155" s="3"/>
      <c r="AB155" s="149"/>
      <c r="AC155" s="149"/>
      <c r="AD155" s="149"/>
      <c r="AE155" s="149"/>
      <c r="AF155" s="149"/>
      <c r="AG155" s="14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c r="B156" s="3"/>
      <c r="C156" s="3"/>
      <c r="D156" s="3"/>
      <c r="E156" s="3"/>
      <c r="F156" s="3"/>
      <c r="G156" s="3"/>
      <c r="H156" s="3"/>
      <c r="I156" s="3"/>
      <c r="J156" s="3"/>
      <c r="K156" s="3"/>
      <c r="L156" s="3"/>
      <c r="M156" s="3"/>
      <c r="N156" s="3"/>
      <c r="O156" s="3"/>
      <c r="P156" s="3"/>
      <c r="AB156" s="149"/>
      <c r="AC156" s="149"/>
      <c r="AD156" s="149"/>
      <c r="AE156" s="149"/>
      <c r="AF156" s="149"/>
      <c r="AG156" s="14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c r="B157" s="3"/>
      <c r="C157" s="3"/>
      <c r="D157" s="3"/>
      <c r="E157" s="3"/>
      <c r="F157" s="3"/>
      <c r="G157" s="3"/>
      <c r="H157" s="3"/>
      <c r="I157" s="3"/>
      <c r="J157" s="3"/>
      <c r="K157" s="3"/>
      <c r="L157" s="3"/>
      <c r="M157" s="3"/>
      <c r="N157" s="3"/>
      <c r="O157" s="3"/>
      <c r="P157" s="3"/>
      <c r="AB157" s="149"/>
      <c r="AC157" s="149"/>
      <c r="AD157" s="149"/>
      <c r="AE157" s="149"/>
      <c r="AF157" s="149"/>
      <c r="AG157" s="14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3"/>
      <c r="C158" s="3"/>
      <c r="D158" s="3"/>
      <c r="E158" s="3"/>
      <c r="F158" s="3"/>
      <c r="G158" s="3"/>
      <c r="H158" s="3"/>
      <c r="I158" s="3"/>
      <c r="J158" s="3"/>
      <c r="K158" s="3"/>
      <c r="L158" s="3"/>
      <c r="M158" s="3"/>
      <c r="N158" s="3"/>
      <c r="O158" s="3"/>
      <c r="P158" s="3"/>
      <c r="AB158" s="149"/>
      <c r="AC158" s="149"/>
      <c r="AD158" s="149"/>
      <c r="AE158" s="149"/>
      <c r="AF158" s="149"/>
      <c r="AG158" s="14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3"/>
      <c r="C159" s="3"/>
      <c r="D159" s="3"/>
      <c r="E159" s="3"/>
      <c r="F159" s="3"/>
      <c r="G159" s="3"/>
      <c r="H159" s="3"/>
      <c r="I159" s="3"/>
      <c r="J159" s="3"/>
      <c r="K159" s="3"/>
      <c r="L159" s="3"/>
      <c r="M159" s="3"/>
      <c r="N159" s="3"/>
      <c r="O159" s="3"/>
      <c r="P159" s="3"/>
      <c r="AB159" s="149"/>
      <c r="AC159" s="149"/>
      <c r="AD159" s="149"/>
      <c r="AE159" s="149"/>
      <c r="AF159" s="149"/>
      <c r="AG159" s="14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c r="B160" s="3"/>
      <c r="C160" s="3"/>
      <c r="D160" s="3"/>
      <c r="E160" s="3"/>
      <c r="F160" s="3"/>
      <c r="G160" s="3"/>
      <c r="H160" s="3"/>
      <c r="I160" s="3"/>
      <c r="J160" s="3"/>
      <c r="K160" s="3"/>
      <c r="L160" s="3"/>
      <c r="M160" s="3"/>
      <c r="N160" s="3"/>
      <c r="O160" s="3"/>
      <c r="P160" s="3"/>
      <c r="AB160" s="149"/>
      <c r="AC160" s="149"/>
      <c r="AD160" s="149"/>
      <c r="AE160" s="149"/>
      <c r="AF160" s="149"/>
      <c r="AG160" s="14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c r="B161" s="3"/>
      <c r="C161" s="3"/>
      <c r="D161" s="3"/>
      <c r="E161" s="3"/>
      <c r="F161" s="3"/>
      <c r="G161" s="3"/>
      <c r="H161" s="3"/>
      <c r="I161" s="3"/>
      <c r="J161" s="3"/>
      <c r="K161" s="3"/>
      <c r="L161" s="3"/>
      <c r="M161" s="3"/>
      <c r="N161" s="3"/>
      <c r="O161" s="3"/>
      <c r="P161" s="3"/>
      <c r="AB161" s="149"/>
      <c r="AC161" s="149"/>
      <c r="AD161" s="149"/>
      <c r="AE161" s="149"/>
      <c r="AF161" s="149"/>
      <c r="AG161" s="14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3"/>
      <c r="C162" s="3"/>
      <c r="D162" s="3"/>
      <c r="E162" s="3"/>
      <c r="F162" s="3"/>
      <c r="G162" s="3"/>
      <c r="H162" s="3"/>
      <c r="I162" s="3"/>
      <c r="J162" s="3"/>
      <c r="K162" s="3"/>
      <c r="L162" s="3"/>
      <c r="M162" s="3"/>
      <c r="N162" s="3"/>
      <c r="O162" s="3"/>
      <c r="P162" s="3"/>
      <c r="AB162" s="149"/>
      <c r="AC162" s="149"/>
      <c r="AD162" s="149"/>
      <c r="AE162" s="149"/>
      <c r="AF162" s="149"/>
      <c r="AG162" s="14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3"/>
      <c r="C163" s="3"/>
      <c r="D163" s="3"/>
      <c r="E163" s="3"/>
      <c r="F163" s="3"/>
      <c r="G163" s="3"/>
      <c r="H163" s="3"/>
      <c r="I163" s="3"/>
      <c r="J163" s="3"/>
      <c r="K163" s="3"/>
      <c r="L163" s="3"/>
      <c r="M163" s="3"/>
      <c r="N163" s="3"/>
      <c r="O163" s="3"/>
      <c r="P163" s="3"/>
      <c r="AB163" s="149"/>
      <c r="AC163" s="149"/>
      <c r="AD163" s="149"/>
      <c r="AE163" s="149"/>
      <c r="AF163" s="149"/>
      <c r="AG163" s="14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3"/>
      <c r="C164" s="3"/>
      <c r="D164" s="3"/>
      <c r="E164" s="3"/>
      <c r="F164" s="3"/>
      <c r="G164" s="3"/>
      <c r="H164" s="3"/>
      <c r="I164" s="3"/>
      <c r="J164" s="3"/>
      <c r="K164" s="3"/>
      <c r="L164" s="3"/>
      <c r="M164" s="3"/>
      <c r="N164" s="3"/>
      <c r="O164" s="3"/>
      <c r="P164" s="3"/>
      <c r="AB164" s="149"/>
      <c r="AC164" s="149"/>
      <c r="AD164" s="149"/>
      <c r="AE164" s="149"/>
      <c r="AF164" s="149"/>
      <c r="AG164" s="14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3"/>
      <c r="C165" s="3"/>
      <c r="D165" s="3"/>
      <c r="E165" s="3"/>
      <c r="F165" s="3"/>
      <c r="G165" s="3"/>
      <c r="H165" s="3"/>
      <c r="I165" s="3"/>
      <c r="J165" s="3"/>
      <c r="K165" s="3"/>
      <c r="L165" s="3"/>
      <c r="M165" s="3"/>
      <c r="N165" s="3"/>
      <c r="O165" s="3"/>
      <c r="P165" s="3"/>
      <c r="AB165" s="149"/>
      <c r="AC165" s="149"/>
      <c r="AD165" s="149"/>
      <c r="AE165" s="149"/>
      <c r="AF165" s="149"/>
      <c r="AG165" s="14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3"/>
      <c r="C166" s="3"/>
      <c r="D166" s="3"/>
      <c r="E166" s="3"/>
      <c r="F166" s="3"/>
      <c r="G166" s="3"/>
      <c r="H166" s="3"/>
      <c r="I166" s="3"/>
      <c r="J166" s="3"/>
      <c r="K166" s="3"/>
      <c r="L166" s="3"/>
      <c r="M166" s="3"/>
      <c r="N166" s="3"/>
      <c r="O166" s="3"/>
      <c r="P166" s="3"/>
      <c r="AB166" s="149"/>
      <c r="AC166" s="149"/>
      <c r="AD166" s="149"/>
      <c r="AE166" s="149"/>
      <c r="AF166" s="149"/>
      <c r="AG166" s="14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c r="B167" s="3"/>
      <c r="C167" s="3"/>
      <c r="D167" s="3"/>
      <c r="E167" s="3"/>
      <c r="F167" s="3"/>
      <c r="G167" s="3"/>
      <c r="H167" s="3"/>
      <c r="I167" s="3"/>
      <c r="J167" s="3"/>
      <c r="K167" s="3"/>
      <c r="L167" s="3"/>
      <c r="M167" s="3"/>
      <c r="N167" s="3"/>
      <c r="O167" s="3"/>
      <c r="P167" s="3"/>
      <c r="AB167" s="149"/>
      <c r="AC167" s="149"/>
      <c r="AD167" s="149"/>
      <c r="AE167" s="149"/>
      <c r="AF167" s="149"/>
      <c r="AG167" s="14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3"/>
      <c r="C168" s="3"/>
      <c r="D168" s="3"/>
      <c r="E168" s="3"/>
      <c r="F168" s="3"/>
      <c r="G168" s="3"/>
      <c r="H168" s="3"/>
      <c r="I168" s="3"/>
      <c r="J168" s="3"/>
      <c r="K168" s="3"/>
      <c r="L168" s="3"/>
      <c r="M168" s="3"/>
      <c r="N168" s="3"/>
      <c r="O168" s="3"/>
      <c r="P168" s="3"/>
      <c r="AB168" s="149"/>
      <c r="AC168" s="149"/>
      <c r="AD168" s="149"/>
      <c r="AE168" s="149"/>
      <c r="AF168" s="149"/>
      <c r="AG168" s="14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c r="B169" s="3"/>
      <c r="C169" s="3"/>
      <c r="D169" s="3"/>
      <c r="E169" s="3"/>
      <c r="F169" s="3"/>
      <c r="G169" s="3"/>
      <c r="H169" s="3"/>
      <c r="I169" s="3"/>
      <c r="J169" s="3"/>
      <c r="K169" s="3"/>
      <c r="L169" s="3"/>
      <c r="M169" s="3"/>
      <c r="N169" s="3"/>
      <c r="O169" s="3"/>
      <c r="P169" s="3"/>
      <c r="AB169" s="149"/>
      <c r="AC169" s="149"/>
      <c r="AD169" s="149"/>
      <c r="AE169" s="149"/>
      <c r="AF169" s="149"/>
      <c r="AG169" s="14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3"/>
      <c r="C170" s="3"/>
      <c r="D170" s="3"/>
      <c r="E170" s="3"/>
      <c r="F170" s="3"/>
      <c r="G170" s="3"/>
      <c r="H170" s="3"/>
      <c r="I170" s="3"/>
      <c r="J170" s="3"/>
      <c r="K170" s="3"/>
      <c r="L170" s="3"/>
      <c r="M170" s="3"/>
      <c r="N170" s="3"/>
      <c r="O170" s="3"/>
      <c r="P170" s="3"/>
      <c r="AB170" s="149"/>
      <c r="AC170" s="149"/>
      <c r="AD170" s="149"/>
      <c r="AE170" s="149"/>
      <c r="AF170" s="149"/>
      <c r="AG170" s="14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3"/>
      <c r="C171" s="3"/>
      <c r="D171" s="3"/>
      <c r="E171" s="3"/>
      <c r="F171" s="3"/>
      <c r="G171" s="3"/>
      <c r="H171" s="3"/>
      <c r="I171" s="3"/>
      <c r="J171" s="3"/>
      <c r="K171" s="3"/>
      <c r="L171" s="3"/>
      <c r="M171" s="3"/>
      <c r="N171" s="3"/>
      <c r="O171" s="3"/>
      <c r="P171" s="3"/>
      <c r="AB171" s="149"/>
      <c r="AC171" s="149"/>
      <c r="AD171" s="149"/>
      <c r="AE171" s="149"/>
      <c r="AF171" s="149"/>
      <c r="AG171" s="14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3"/>
      <c r="C172" s="3"/>
      <c r="D172" s="3"/>
      <c r="E172" s="3"/>
      <c r="F172" s="3"/>
      <c r="G172" s="3"/>
      <c r="H172" s="3"/>
      <c r="I172" s="3"/>
      <c r="J172" s="3"/>
      <c r="K172" s="3"/>
      <c r="L172" s="3"/>
      <c r="M172" s="3"/>
      <c r="N172" s="3"/>
      <c r="O172" s="3"/>
      <c r="P172" s="3"/>
      <c r="AB172" s="149"/>
      <c r="AC172" s="149"/>
      <c r="AD172" s="149"/>
      <c r="AE172" s="149"/>
      <c r="AF172" s="149"/>
      <c r="AG172" s="14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3"/>
      <c r="C173" s="3"/>
      <c r="D173" s="3"/>
      <c r="E173" s="3"/>
      <c r="F173" s="3"/>
      <c r="G173" s="3"/>
      <c r="H173" s="3"/>
      <c r="I173" s="3"/>
      <c r="J173" s="3"/>
      <c r="K173" s="3"/>
      <c r="L173" s="3"/>
      <c r="M173" s="3"/>
      <c r="N173" s="3"/>
      <c r="O173" s="3"/>
      <c r="P173" s="3"/>
      <c r="AB173" s="149"/>
      <c r="AC173" s="149"/>
      <c r="AD173" s="149"/>
      <c r="AE173" s="149"/>
      <c r="AF173" s="149"/>
      <c r="AG173" s="14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3"/>
      <c r="C174" s="3"/>
      <c r="D174" s="3"/>
      <c r="E174" s="3"/>
      <c r="F174" s="3"/>
      <c r="G174" s="3"/>
      <c r="H174" s="3"/>
      <c r="I174" s="3"/>
      <c r="J174" s="3"/>
      <c r="K174" s="3"/>
      <c r="L174" s="3"/>
      <c r="M174" s="3"/>
      <c r="N174" s="3"/>
      <c r="O174" s="3"/>
      <c r="P174" s="3"/>
      <c r="AB174" s="149"/>
      <c r="AC174" s="149"/>
      <c r="AD174" s="149"/>
      <c r="AE174" s="149"/>
      <c r="AF174" s="149"/>
      <c r="AG174" s="14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3"/>
      <c r="C175" s="3"/>
      <c r="D175" s="3"/>
      <c r="E175" s="3"/>
      <c r="F175" s="3"/>
      <c r="G175" s="3"/>
      <c r="H175" s="3"/>
      <c r="I175" s="3"/>
      <c r="J175" s="3"/>
      <c r="K175" s="3"/>
      <c r="L175" s="3"/>
      <c r="M175" s="3"/>
      <c r="N175" s="3"/>
      <c r="O175" s="3"/>
      <c r="P175" s="3"/>
      <c r="AB175" s="149"/>
      <c r="AC175" s="149"/>
      <c r="AD175" s="149"/>
      <c r="AE175" s="149"/>
      <c r="AF175" s="149"/>
      <c r="AG175" s="14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3"/>
      <c r="C176" s="3"/>
      <c r="D176" s="3"/>
      <c r="E176" s="3"/>
      <c r="F176" s="3"/>
      <c r="G176" s="3"/>
      <c r="H176" s="3"/>
      <c r="I176" s="3"/>
      <c r="J176" s="3"/>
      <c r="K176" s="3"/>
      <c r="L176" s="3"/>
      <c r="M176" s="3"/>
      <c r="N176" s="3"/>
      <c r="O176" s="3"/>
      <c r="P176" s="3"/>
      <c r="AB176" s="149"/>
      <c r="AC176" s="149"/>
      <c r="AD176" s="149"/>
      <c r="AE176" s="149"/>
      <c r="AF176" s="149"/>
      <c r="AG176" s="14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102">
      <c r="B177" s="3"/>
      <c r="C177" s="3"/>
      <c r="D177" s="3"/>
      <c r="E177" s="3"/>
      <c r="F177" s="3"/>
      <c r="G177" s="3"/>
      <c r="H177" s="3"/>
      <c r="I177" s="3"/>
      <c r="J177" s="3"/>
      <c r="K177" s="3"/>
      <c r="L177" s="3"/>
      <c r="M177" s="3"/>
      <c r="N177" s="3"/>
      <c r="O177" s="3"/>
      <c r="P177" s="3"/>
      <c r="AB177" s="149"/>
      <c r="AC177" s="149"/>
      <c r="AD177" s="149"/>
      <c r="AE177" s="149"/>
      <c r="AF177" s="149"/>
      <c r="AG177" s="14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row>
    <row r="178" spans="2:102">
      <c r="B178" s="3"/>
      <c r="C178" s="3"/>
      <c r="D178" s="3"/>
      <c r="E178" s="3"/>
      <c r="F178" s="3"/>
      <c r="G178" s="3"/>
      <c r="H178" s="3"/>
      <c r="I178" s="3"/>
      <c r="J178" s="3"/>
      <c r="K178" s="3"/>
      <c r="L178" s="3"/>
      <c r="M178" s="3"/>
      <c r="N178" s="3"/>
      <c r="O178" s="3"/>
      <c r="P178" s="3"/>
      <c r="AB178" s="149"/>
      <c r="AC178" s="149"/>
      <c r="AD178" s="149"/>
      <c r="AE178" s="149"/>
      <c r="AF178" s="149"/>
      <c r="AG178" s="14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row>
    <row r="179" spans="2:102">
      <c r="B179" s="3"/>
      <c r="C179" s="3"/>
      <c r="D179" s="3"/>
      <c r="E179" s="3"/>
      <c r="F179" s="3"/>
      <c r="G179" s="3"/>
      <c r="H179" s="3"/>
      <c r="I179" s="3"/>
      <c r="J179" s="3"/>
      <c r="K179" s="3"/>
      <c r="L179" s="3"/>
      <c r="M179" s="3"/>
      <c r="N179" s="3"/>
      <c r="O179" s="3"/>
      <c r="P179" s="3"/>
      <c r="AB179" s="149"/>
      <c r="AC179" s="149"/>
      <c r="AD179" s="149"/>
      <c r="AE179" s="149"/>
      <c r="AF179" s="149"/>
      <c r="AG179" s="14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row>
    <row r="180" spans="2:102">
      <c r="B180" s="3"/>
      <c r="C180" s="3"/>
      <c r="D180" s="3"/>
      <c r="E180" s="3"/>
      <c r="F180" s="3"/>
      <c r="G180" s="3"/>
      <c r="H180" s="3"/>
      <c r="I180" s="3"/>
      <c r="J180" s="3"/>
      <c r="K180" s="3"/>
      <c r="L180" s="3"/>
      <c r="M180" s="3"/>
      <c r="N180" s="3"/>
      <c r="O180" s="3"/>
      <c r="P180" s="3"/>
      <c r="AB180" s="149"/>
      <c r="AC180" s="149"/>
      <c r="AD180" s="149"/>
      <c r="AE180" s="149"/>
      <c r="AF180" s="149"/>
      <c r="AG180" s="14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row>
    <row r="181" spans="2:102">
      <c r="B181" s="3"/>
      <c r="C181" s="3"/>
      <c r="D181" s="3"/>
      <c r="E181" s="3"/>
      <c r="F181" s="3"/>
      <c r="G181" s="3"/>
      <c r="H181" s="3"/>
      <c r="I181" s="3"/>
      <c r="J181" s="3"/>
      <c r="K181" s="3"/>
      <c r="L181" s="3"/>
      <c r="M181" s="3"/>
      <c r="N181" s="3"/>
      <c r="O181" s="3"/>
      <c r="P181" s="3"/>
      <c r="AB181" s="149"/>
      <c r="AC181" s="149"/>
      <c r="AD181" s="149"/>
      <c r="AE181" s="149"/>
      <c r="AF181" s="149"/>
      <c r="AG181" s="14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row>
    <row r="182" spans="2:102">
      <c r="B182" s="3"/>
      <c r="C182" s="3"/>
      <c r="D182" s="3"/>
      <c r="E182" s="3"/>
      <c r="F182" s="3"/>
      <c r="G182" s="3"/>
      <c r="H182" s="3"/>
      <c r="I182" s="3"/>
      <c r="J182" s="3"/>
      <c r="K182" s="3"/>
      <c r="L182" s="3"/>
      <c r="M182" s="3"/>
      <c r="N182" s="3"/>
      <c r="O182" s="3"/>
      <c r="P182" s="3"/>
      <c r="AB182" s="149"/>
      <c r="AC182" s="149"/>
      <c r="AD182" s="149"/>
      <c r="AE182" s="149"/>
      <c r="AF182" s="149"/>
      <c r="AG182" s="14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row>
    <row r="183" spans="2:102">
      <c r="B183" s="3"/>
      <c r="C183" s="3"/>
      <c r="D183" s="3"/>
      <c r="E183" s="3"/>
      <c r="F183" s="3"/>
      <c r="G183" s="3"/>
      <c r="H183" s="3"/>
      <c r="I183" s="3"/>
      <c r="J183" s="3"/>
      <c r="K183" s="3"/>
      <c r="L183" s="3"/>
      <c r="M183" s="3"/>
      <c r="N183" s="3"/>
      <c r="O183" s="3"/>
      <c r="P183" s="3"/>
      <c r="AB183" s="149"/>
      <c r="AC183" s="149"/>
      <c r="AD183" s="149"/>
      <c r="AE183" s="149"/>
      <c r="AF183" s="149"/>
      <c r="AG183" s="14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row>
    <row r="184" spans="2:102">
      <c r="B184" s="3"/>
      <c r="C184" s="3"/>
      <c r="D184" s="3"/>
      <c r="E184" s="3"/>
      <c r="F184" s="3"/>
      <c r="G184" s="3"/>
      <c r="H184" s="3"/>
      <c r="I184" s="3"/>
      <c r="J184" s="3"/>
      <c r="K184" s="3"/>
      <c r="L184" s="3"/>
      <c r="M184" s="3"/>
      <c r="N184" s="3"/>
      <c r="O184" s="3"/>
      <c r="P184" s="3"/>
      <c r="AB184" s="149"/>
      <c r="AC184" s="149"/>
      <c r="AD184" s="149"/>
      <c r="AE184" s="149"/>
      <c r="AF184" s="149"/>
      <c r="AG184" s="14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row>
    <row r="185" spans="2:102">
      <c r="B185" s="3"/>
      <c r="C185" s="3"/>
      <c r="D185" s="3"/>
      <c r="E185" s="3"/>
      <c r="F185" s="3"/>
      <c r="G185" s="3"/>
      <c r="H185" s="3"/>
      <c r="I185" s="3"/>
      <c r="J185" s="3"/>
      <c r="K185" s="3"/>
      <c r="L185" s="3"/>
      <c r="M185" s="3"/>
      <c r="N185" s="3"/>
      <c r="O185" s="3"/>
      <c r="P185" s="3"/>
      <c r="AB185" s="149"/>
      <c r="AC185" s="149"/>
      <c r="AD185" s="149"/>
      <c r="AE185" s="149"/>
      <c r="AF185" s="149"/>
      <c r="AG185" s="14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row>
    <row r="186" spans="2:102">
      <c r="B186" s="3"/>
      <c r="C186" s="3"/>
      <c r="D186" s="3"/>
      <c r="E186" s="3"/>
      <c r="F186" s="3"/>
      <c r="G186" s="3"/>
      <c r="H186" s="3"/>
      <c r="I186" s="3"/>
      <c r="J186" s="3"/>
      <c r="K186" s="3"/>
      <c r="L186" s="3"/>
      <c r="M186" s="3"/>
      <c r="N186" s="3"/>
      <c r="O186" s="3"/>
      <c r="P186" s="3"/>
      <c r="AB186" s="149"/>
      <c r="AC186" s="149"/>
      <c r="AD186" s="149"/>
      <c r="AE186" s="149"/>
      <c r="AF186" s="149"/>
      <c r="AG186" s="14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row>
    <row r="187" spans="2:102">
      <c r="B187" s="3"/>
      <c r="C187" s="3"/>
      <c r="D187" s="3"/>
      <c r="E187" s="3"/>
      <c r="F187" s="3"/>
      <c r="G187" s="3"/>
      <c r="H187" s="3"/>
      <c r="I187" s="3"/>
      <c r="J187" s="3"/>
      <c r="K187" s="3"/>
      <c r="L187" s="3"/>
      <c r="M187" s="3"/>
      <c r="N187" s="3"/>
      <c r="O187" s="3"/>
      <c r="P187" s="3"/>
      <c r="AB187" s="149"/>
      <c r="AC187" s="149"/>
      <c r="AD187" s="149"/>
      <c r="AE187" s="149"/>
      <c r="AF187" s="149"/>
      <c r="AG187" s="14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row>
    <row r="188" spans="2:102">
      <c r="B188" s="3"/>
      <c r="C188" s="3"/>
      <c r="D188" s="3"/>
      <c r="E188" s="3"/>
      <c r="F188" s="3"/>
      <c r="G188" s="3"/>
      <c r="H188" s="3"/>
      <c r="I188" s="3"/>
      <c r="J188" s="3"/>
      <c r="K188" s="3"/>
      <c r="L188" s="3"/>
      <c r="M188" s="3"/>
      <c r="N188" s="3"/>
      <c r="O188" s="3"/>
      <c r="P188" s="3"/>
      <c r="AB188" s="149"/>
      <c r="AC188" s="149"/>
      <c r="AD188" s="149"/>
      <c r="AE188" s="149"/>
      <c r="AF188" s="149"/>
      <c r="AG188" s="14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row>
    <row r="189" spans="2:102">
      <c r="B189" s="3"/>
      <c r="C189" s="3"/>
      <c r="D189" s="3"/>
      <c r="E189" s="3"/>
      <c r="F189" s="3"/>
      <c r="G189" s="3"/>
      <c r="H189" s="3"/>
      <c r="I189" s="3"/>
      <c r="J189" s="3"/>
      <c r="K189" s="3"/>
      <c r="L189" s="3"/>
      <c r="M189" s="3"/>
      <c r="N189" s="3"/>
      <c r="O189" s="3"/>
      <c r="P189" s="3"/>
      <c r="AB189" s="149"/>
      <c r="AC189" s="149"/>
      <c r="AD189" s="149"/>
      <c r="AE189" s="149"/>
      <c r="AF189" s="149"/>
      <c r="AG189" s="14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row>
    <row r="190" spans="2:102">
      <c r="B190" s="3"/>
      <c r="C190" s="3"/>
      <c r="D190" s="3"/>
      <c r="E190" s="3"/>
      <c r="F190" s="3"/>
      <c r="G190" s="3"/>
      <c r="H190" s="3"/>
      <c r="I190" s="3"/>
      <c r="J190" s="3"/>
      <c r="K190" s="3"/>
      <c r="L190" s="3"/>
      <c r="M190" s="3"/>
      <c r="N190" s="3"/>
      <c r="O190" s="3"/>
      <c r="P190" s="3"/>
      <c r="AB190" s="149"/>
      <c r="AC190" s="149"/>
      <c r="AD190" s="149"/>
      <c r="AE190" s="149"/>
      <c r="AF190" s="149"/>
      <c r="AG190" s="14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row>
    <row r="191" spans="2:102">
      <c r="B191" s="3"/>
      <c r="C191" s="3"/>
      <c r="D191" s="3"/>
      <c r="E191" s="3"/>
      <c r="F191" s="3"/>
      <c r="G191" s="3"/>
      <c r="H191" s="3"/>
      <c r="I191" s="3"/>
      <c r="J191" s="3"/>
      <c r="K191" s="3"/>
      <c r="L191" s="3"/>
      <c r="M191" s="3"/>
      <c r="N191" s="3"/>
      <c r="O191" s="3"/>
      <c r="P191" s="3"/>
      <c r="AB191" s="149"/>
      <c r="AC191" s="149"/>
      <c r="AD191" s="149"/>
      <c r="AE191" s="149"/>
      <c r="AF191" s="149"/>
      <c r="AG191" s="14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row>
    <row r="192" spans="2:102">
      <c r="B192" s="3"/>
      <c r="C192" s="3"/>
      <c r="D192" s="3"/>
      <c r="E192" s="3"/>
      <c r="F192" s="3"/>
      <c r="G192" s="3"/>
      <c r="H192" s="3"/>
      <c r="I192" s="3"/>
      <c r="J192" s="3"/>
      <c r="K192" s="3"/>
      <c r="L192" s="3"/>
      <c r="M192" s="3"/>
      <c r="N192" s="3"/>
      <c r="O192" s="3"/>
      <c r="P192" s="3"/>
      <c r="AB192" s="149"/>
      <c r="AC192" s="149"/>
      <c r="AD192" s="149"/>
      <c r="AE192" s="149"/>
      <c r="AF192" s="149"/>
      <c r="AG192" s="14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row>
    <row r="193" spans="2:102">
      <c r="B193" s="3"/>
      <c r="C193" s="3"/>
      <c r="D193" s="3"/>
      <c r="E193" s="3"/>
      <c r="F193" s="3"/>
      <c r="G193" s="3"/>
      <c r="H193" s="3"/>
      <c r="I193" s="3"/>
      <c r="J193" s="3"/>
      <c r="K193" s="3"/>
      <c r="L193" s="3"/>
      <c r="M193" s="3"/>
      <c r="N193" s="3"/>
      <c r="O193" s="3"/>
      <c r="P193" s="3"/>
      <c r="AB193" s="149"/>
      <c r="AC193" s="149"/>
      <c r="AD193" s="149"/>
      <c r="AE193" s="149"/>
      <c r="AF193" s="149"/>
      <c r="AG193" s="14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row>
    <row r="194" spans="2:102">
      <c r="B194" s="3"/>
      <c r="C194" s="3"/>
      <c r="D194" s="3"/>
      <c r="E194" s="3"/>
      <c r="F194" s="3"/>
      <c r="G194" s="3"/>
      <c r="H194" s="3"/>
      <c r="I194" s="3"/>
      <c r="J194" s="3"/>
      <c r="K194" s="3"/>
      <c r="L194" s="3"/>
      <c r="M194" s="3"/>
      <c r="N194" s="3"/>
      <c r="O194" s="3"/>
      <c r="P194" s="3"/>
      <c r="AB194" s="149"/>
      <c r="AC194" s="149"/>
      <c r="AD194" s="149"/>
      <c r="AE194" s="149"/>
      <c r="AF194" s="149"/>
      <c r="AG194" s="14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row>
    <row r="195" spans="2:102">
      <c r="B195" s="3"/>
      <c r="C195" s="3"/>
      <c r="D195" s="3"/>
      <c r="E195" s="3"/>
      <c r="F195" s="3"/>
      <c r="G195" s="3"/>
      <c r="H195" s="3"/>
      <c r="I195" s="3"/>
      <c r="J195" s="3"/>
      <c r="K195" s="3"/>
      <c r="L195" s="3"/>
      <c r="M195" s="3"/>
      <c r="N195" s="3"/>
      <c r="O195" s="3"/>
      <c r="P195" s="3"/>
      <c r="AB195" s="149"/>
      <c r="AC195" s="149"/>
      <c r="AD195" s="149"/>
      <c r="AE195" s="149"/>
      <c r="AF195" s="149"/>
      <c r="AG195" s="14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row>
    <row r="196" spans="2:102">
      <c r="B196" s="3"/>
      <c r="C196" s="3"/>
      <c r="D196" s="3"/>
      <c r="E196" s="3"/>
      <c r="F196" s="3"/>
      <c r="G196" s="3"/>
      <c r="H196" s="3"/>
      <c r="I196" s="3"/>
      <c r="J196" s="3"/>
      <c r="K196" s="3"/>
      <c r="L196" s="3"/>
      <c r="M196" s="3"/>
      <c r="N196" s="3"/>
      <c r="O196" s="3"/>
      <c r="P196" s="3"/>
      <c r="AB196" s="149"/>
      <c r="AC196" s="149"/>
      <c r="AD196" s="149"/>
      <c r="AE196" s="149"/>
      <c r="AF196" s="149"/>
      <c r="AG196" s="14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row>
    <row r="197" spans="2:102">
      <c r="B197" s="3"/>
      <c r="C197" s="3"/>
      <c r="D197" s="3"/>
      <c r="E197" s="3"/>
      <c r="F197" s="3"/>
      <c r="G197" s="3"/>
      <c r="H197" s="3"/>
      <c r="I197" s="3"/>
      <c r="J197" s="3"/>
      <c r="K197" s="3"/>
      <c r="L197" s="3"/>
      <c r="M197" s="3"/>
      <c r="N197" s="3"/>
      <c r="O197" s="3"/>
      <c r="P197" s="3"/>
      <c r="AB197" s="149"/>
      <c r="AC197" s="149"/>
      <c r="AD197" s="149"/>
      <c r="AE197" s="149"/>
      <c r="AF197" s="149"/>
      <c r="AG197" s="14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row>
    <row r="198" spans="2:102">
      <c r="B198" s="3"/>
      <c r="C198" s="3"/>
      <c r="D198" s="3"/>
      <c r="E198" s="3"/>
      <c r="F198" s="3"/>
      <c r="G198" s="3"/>
      <c r="H198" s="3"/>
      <c r="I198" s="3"/>
      <c r="J198" s="3"/>
      <c r="K198" s="3"/>
      <c r="L198" s="3"/>
      <c r="M198" s="3"/>
      <c r="N198" s="3"/>
      <c r="O198" s="3"/>
      <c r="P198" s="3"/>
      <c r="AB198" s="149"/>
      <c r="AC198" s="149"/>
      <c r="AD198" s="149"/>
      <c r="AE198" s="149"/>
      <c r="AF198" s="149"/>
      <c r="AG198" s="14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row>
    <row r="199" spans="2:102">
      <c r="B199" s="3"/>
      <c r="C199" s="3"/>
      <c r="D199" s="3"/>
      <c r="E199" s="3"/>
      <c r="F199" s="3"/>
      <c r="G199" s="3"/>
      <c r="H199" s="3"/>
      <c r="I199" s="3"/>
      <c r="J199" s="3"/>
      <c r="K199" s="3"/>
      <c r="L199" s="3"/>
      <c r="M199" s="3"/>
      <c r="N199" s="3"/>
      <c r="O199" s="3"/>
      <c r="P199" s="3"/>
      <c r="AB199" s="149"/>
      <c r="AC199" s="149"/>
      <c r="AD199" s="149"/>
      <c r="AE199" s="149"/>
      <c r="AF199" s="149"/>
      <c r="AG199" s="14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row>
    <row r="200" spans="2:102">
      <c r="B200" s="3"/>
      <c r="C200" s="3"/>
      <c r="D200" s="3"/>
      <c r="E200" s="3"/>
      <c r="F200" s="3"/>
      <c r="G200" s="3"/>
      <c r="H200" s="3"/>
      <c r="I200" s="3"/>
      <c r="J200" s="3"/>
      <c r="K200" s="3"/>
      <c r="L200" s="3"/>
      <c r="M200" s="3"/>
      <c r="N200" s="3"/>
      <c r="O200" s="3"/>
      <c r="P200" s="3"/>
      <c r="AB200" s="149"/>
      <c r="AC200" s="149"/>
      <c r="AD200" s="149"/>
      <c r="AE200" s="149"/>
      <c r="AF200" s="149"/>
      <c r="AG200" s="14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row>
    <row r="201" spans="2:102">
      <c r="B201" s="3"/>
      <c r="C201" s="3"/>
      <c r="D201" s="3"/>
      <c r="E201" s="3"/>
      <c r="F201" s="3"/>
      <c r="G201" s="3"/>
      <c r="H201" s="3"/>
      <c r="I201" s="3"/>
      <c r="J201" s="3"/>
      <c r="K201" s="3"/>
      <c r="L201" s="3"/>
      <c r="M201" s="3"/>
      <c r="N201" s="3"/>
      <c r="O201" s="3"/>
      <c r="P201" s="3"/>
      <c r="AB201" s="149"/>
      <c r="AC201" s="149"/>
      <c r="AD201" s="149"/>
      <c r="AE201" s="149"/>
      <c r="AF201" s="149"/>
      <c r="AG201" s="14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row>
    <row r="202" spans="2:102">
      <c r="B202" s="3"/>
      <c r="C202" s="3"/>
      <c r="D202" s="3"/>
      <c r="E202" s="3"/>
      <c r="F202" s="3"/>
      <c r="G202" s="3"/>
      <c r="H202" s="3"/>
      <c r="I202" s="3"/>
      <c r="J202" s="3"/>
      <c r="K202" s="3"/>
      <c r="L202" s="3"/>
      <c r="M202" s="3"/>
      <c r="N202" s="3"/>
      <c r="O202" s="3"/>
      <c r="P202" s="3"/>
      <c r="AB202" s="149"/>
      <c r="AC202" s="149"/>
      <c r="AD202" s="149"/>
      <c r="AE202" s="149"/>
      <c r="AF202" s="149"/>
      <c r="AG202" s="14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row>
    <row r="203" spans="2:102">
      <c r="B203" s="3"/>
      <c r="C203" s="3"/>
      <c r="D203" s="3"/>
      <c r="E203" s="3"/>
      <c r="F203" s="3"/>
      <c r="G203" s="3"/>
      <c r="H203" s="3"/>
      <c r="I203" s="3"/>
      <c r="J203" s="3"/>
      <c r="K203" s="3"/>
      <c r="L203" s="3"/>
      <c r="M203" s="3"/>
      <c r="N203" s="3"/>
      <c r="O203" s="3"/>
      <c r="P203" s="3"/>
      <c r="AB203" s="149"/>
      <c r="AC203" s="149"/>
      <c r="AD203" s="149"/>
      <c r="AE203" s="149"/>
      <c r="AF203" s="149"/>
      <c r="AG203" s="14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row>
    <row r="204" spans="2:102">
      <c r="B204" s="3"/>
      <c r="C204" s="3"/>
      <c r="D204" s="3"/>
      <c r="E204" s="3"/>
      <c r="F204" s="3"/>
      <c r="G204" s="3"/>
      <c r="H204" s="3"/>
      <c r="I204" s="3"/>
      <c r="J204" s="3"/>
      <c r="K204" s="3"/>
      <c r="L204" s="3"/>
      <c r="M204" s="3"/>
      <c r="N204" s="3"/>
      <c r="O204" s="3"/>
      <c r="P204" s="3"/>
      <c r="AB204" s="149"/>
      <c r="AC204" s="149"/>
      <c r="AD204" s="149"/>
      <c r="AE204" s="149"/>
      <c r="AF204" s="149"/>
      <c r="AG204" s="14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row>
    <row r="205" spans="2:102">
      <c r="B205" s="3"/>
      <c r="C205" s="3"/>
      <c r="D205" s="3"/>
      <c r="E205" s="3"/>
      <c r="F205" s="3"/>
      <c r="G205" s="3"/>
      <c r="H205" s="3"/>
      <c r="I205" s="3"/>
      <c r="J205" s="3"/>
      <c r="K205" s="3"/>
      <c r="L205" s="3"/>
      <c r="M205" s="3"/>
      <c r="N205" s="3"/>
      <c r="O205" s="3"/>
      <c r="P205" s="3"/>
      <c r="AB205" s="149"/>
      <c r="AC205" s="149"/>
      <c r="AD205" s="149"/>
      <c r="AE205" s="149"/>
      <c r="AF205" s="149"/>
      <c r="AG205" s="14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row>
    <row r="206" spans="2:102">
      <c r="B206" s="3"/>
      <c r="C206" s="3"/>
      <c r="D206" s="3"/>
      <c r="E206" s="3"/>
      <c r="F206" s="3"/>
      <c r="G206" s="3"/>
      <c r="H206" s="3"/>
      <c r="I206" s="3"/>
      <c r="J206" s="3"/>
      <c r="K206" s="3"/>
      <c r="L206" s="3"/>
      <c r="M206" s="3"/>
      <c r="N206" s="3"/>
      <c r="O206" s="3"/>
      <c r="P206" s="3"/>
      <c r="AB206" s="149"/>
      <c r="AC206" s="149"/>
      <c r="AD206" s="149"/>
      <c r="AE206" s="149"/>
      <c r="AF206" s="149"/>
      <c r="AG206" s="14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row>
    <row r="207" spans="2:102">
      <c r="B207" s="3"/>
      <c r="C207" s="3"/>
      <c r="D207" s="3"/>
      <c r="E207" s="3"/>
      <c r="F207" s="3"/>
      <c r="G207" s="3"/>
      <c r="H207" s="3"/>
      <c r="I207" s="3"/>
      <c r="J207" s="3"/>
      <c r="K207" s="3"/>
      <c r="L207" s="3"/>
      <c r="M207" s="3"/>
      <c r="N207" s="3"/>
      <c r="O207" s="3"/>
      <c r="P207" s="3"/>
      <c r="AB207" s="149"/>
      <c r="AC207" s="149"/>
      <c r="AD207" s="149"/>
      <c r="AE207" s="149"/>
      <c r="AF207" s="149"/>
      <c r="AG207" s="14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row>
    <row r="208" spans="2:102">
      <c r="B208" s="3"/>
      <c r="C208" s="3"/>
      <c r="D208" s="3"/>
      <c r="E208" s="3"/>
      <c r="F208" s="3"/>
      <c r="G208" s="3"/>
      <c r="H208" s="3"/>
      <c r="I208" s="3"/>
      <c r="J208" s="3"/>
      <c r="K208" s="3"/>
      <c r="L208" s="3"/>
      <c r="M208" s="3"/>
      <c r="N208" s="3"/>
      <c r="O208" s="3"/>
      <c r="P208" s="3"/>
      <c r="AB208" s="149"/>
      <c r="AC208" s="149"/>
      <c r="AD208" s="149"/>
      <c r="AE208" s="149"/>
      <c r="AF208" s="149"/>
      <c r="AG208" s="14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row>
    <row r="209" spans="2:102">
      <c r="B209" s="3"/>
      <c r="C209" s="3"/>
      <c r="D209" s="3"/>
      <c r="E209" s="3"/>
      <c r="F209" s="3"/>
      <c r="G209" s="3"/>
      <c r="H209" s="3"/>
      <c r="I209" s="3"/>
      <c r="J209" s="3"/>
      <c r="K209" s="3"/>
      <c r="L209" s="3"/>
      <c r="M209" s="3"/>
      <c r="N209" s="3"/>
      <c r="O209" s="3"/>
      <c r="P209" s="3"/>
      <c r="AB209" s="149"/>
      <c r="AC209" s="149"/>
      <c r="AD209" s="149"/>
      <c r="AE209" s="149"/>
      <c r="AF209" s="149"/>
      <c r="AG209" s="14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row>
    <row r="210" spans="2:102">
      <c r="B210" s="3"/>
      <c r="C210" s="3"/>
      <c r="D210" s="3"/>
      <c r="E210" s="3"/>
      <c r="F210" s="3"/>
      <c r="G210" s="3"/>
      <c r="H210" s="3"/>
      <c r="I210" s="3"/>
      <c r="J210" s="3"/>
      <c r="K210" s="3"/>
      <c r="L210" s="3"/>
      <c r="M210" s="3"/>
      <c r="N210" s="3"/>
      <c r="O210" s="3"/>
      <c r="P210" s="3"/>
      <c r="AB210" s="149"/>
      <c r="AC210" s="149"/>
      <c r="AD210" s="149"/>
      <c r="AE210" s="149"/>
      <c r="AF210" s="149"/>
      <c r="AG210" s="14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row>
    <row r="211" spans="2:102">
      <c r="B211" s="3"/>
      <c r="C211" s="3"/>
      <c r="D211" s="3"/>
      <c r="E211" s="3"/>
      <c r="F211" s="3"/>
      <c r="G211" s="3"/>
      <c r="H211" s="3"/>
      <c r="I211" s="3"/>
      <c r="J211" s="3"/>
      <c r="K211" s="3"/>
      <c r="L211" s="3"/>
      <c r="M211" s="3"/>
      <c r="N211" s="3"/>
      <c r="O211" s="3"/>
      <c r="P211" s="3"/>
      <c r="AB211" s="149"/>
      <c r="AC211" s="149"/>
      <c r="AD211" s="149"/>
      <c r="AE211" s="149"/>
      <c r="AF211" s="149"/>
      <c r="AG211" s="14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row>
    <row r="212" spans="2:102">
      <c r="B212" s="3"/>
      <c r="C212" s="3"/>
      <c r="D212" s="3"/>
      <c r="E212" s="3"/>
      <c r="F212" s="3"/>
      <c r="G212" s="3"/>
      <c r="H212" s="3"/>
      <c r="I212" s="3"/>
      <c r="J212" s="3"/>
      <c r="K212" s="3"/>
      <c r="L212" s="3"/>
      <c r="M212" s="3"/>
      <c r="N212" s="3"/>
      <c r="O212" s="3"/>
      <c r="P212" s="3"/>
      <c r="AB212" s="149"/>
      <c r="AC212" s="149"/>
      <c r="AD212" s="149"/>
      <c r="AE212" s="149"/>
      <c r="AF212" s="149"/>
      <c r="AG212" s="14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row>
    <row r="213" spans="2:102">
      <c r="B213" s="3"/>
      <c r="C213" s="3"/>
      <c r="D213" s="3"/>
      <c r="E213" s="3"/>
      <c r="F213" s="3"/>
      <c r="G213" s="3"/>
      <c r="H213" s="3"/>
      <c r="I213" s="3"/>
      <c r="J213" s="3"/>
      <c r="K213" s="3"/>
      <c r="L213" s="3"/>
      <c r="M213" s="3"/>
      <c r="N213" s="3"/>
      <c r="O213" s="3"/>
      <c r="P213" s="3"/>
      <c r="AB213" s="149"/>
      <c r="AC213" s="149"/>
      <c r="AD213" s="149"/>
      <c r="AE213" s="149"/>
      <c r="AF213" s="149"/>
      <c r="AG213" s="14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row>
    <row r="214" spans="2:102">
      <c r="B214" s="3"/>
      <c r="C214" s="3"/>
      <c r="D214" s="3"/>
      <c r="E214" s="3"/>
      <c r="F214" s="3"/>
      <c r="G214" s="3"/>
      <c r="H214" s="3"/>
      <c r="I214" s="3"/>
      <c r="J214" s="3"/>
      <c r="K214" s="3"/>
      <c r="L214" s="3"/>
      <c r="M214" s="3"/>
      <c r="N214" s="3"/>
      <c r="O214" s="3"/>
      <c r="P214" s="3"/>
      <c r="AB214" s="149"/>
      <c r="AC214" s="149"/>
      <c r="AD214" s="149"/>
      <c r="AE214" s="149"/>
      <c r="AF214" s="149"/>
      <c r="AG214" s="14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row>
    <row r="215" spans="2:102">
      <c r="B215" s="3"/>
      <c r="C215" s="3"/>
      <c r="D215" s="3"/>
      <c r="E215" s="3"/>
      <c r="F215" s="3"/>
      <c r="G215" s="3"/>
      <c r="H215" s="3"/>
      <c r="I215" s="3"/>
      <c r="J215" s="3"/>
      <c r="K215" s="3"/>
      <c r="L215" s="3"/>
      <c r="M215" s="3"/>
      <c r="N215" s="3"/>
      <c r="O215" s="3"/>
      <c r="P215" s="3"/>
      <c r="AB215" s="149"/>
      <c r="AC215" s="149"/>
      <c r="AD215" s="149"/>
      <c r="AE215" s="149"/>
      <c r="AF215" s="149"/>
      <c r="AG215" s="14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row>
    <row r="216" spans="2:102">
      <c r="B216" s="3"/>
      <c r="C216" s="3"/>
      <c r="D216" s="3"/>
      <c r="E216" s="3"/>
      <c r="F216" s="3"/>
      <c r="G216" s="3"/>
      <c r="H216" s="3"/>
      <c r="I216" s="3"/>
      <c r="J216" s="3"/>
      <c r="K216" s="3"/>
      <c r="L216" s="3"/>
      <c r="M216" s="3"/>
      <c r="N216" s="3"/>
      <c r="O216" s="3"/>
      <c r="P216" s="3"/>
      <c r="AB216" s="149"/>
      <c r="AC216" s="149"/>
      <c r="AD216" s="149"/>
      <c r="AE216" s="149"/>
      <c r="AF216" s="149"/>
      <c r="AG216" s="14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row>
    <row r="217" spans="2:102">
      <c r="B217" s="3"/>
      <c r="C217" s="3"/>
      <c r="D217" s="3"/>
      <c r="E217" s="3"/>
      <c r="F217" s="3"/>
      <c r="G217" s="3"/>
      <c r="H217" s="3"/>
      <c r="I217" s="3"/>
      <c r="J217" s="3"/>
      <c r="K217" s="3"/>
      <c r="L217" s="3"/>
      <c r="M217" s="3"/>
      <c r="N217" s="3"/>
      <c r="O217" s="3"/>
      <c r="P217" s="3"/>
      <c r="AB217" s="149"/>
      <c r="AC217" s="149"/>
      <c r="AD217" s="149"/>
      <c r="AE217" s="149"/>
      <c r="AF217" s="149"/>
      <c r="AG217" s="14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row>
    <row r="218" spans="2:102">
      <c r="B218" s="3"/>
      <c r="C218" s="3"/>
      <c r="D218" s="3"/>
      <c r="E218" s="3"/>
      <c r="F218" s="3"/>
      <c r="G218" s="3"/>
      <c r="H218" s="3"/>
      <c r="I218" s="3"/>
      <c r="J218" s="3"/>
      <c r="K218" s="3"/>
      <c r="L218" s="3"/>
      <c r="M218" s="3"/>
      <c r="N218" s="3"/>
      <c r="O218" s="3"/>
      <c r="P218" s="3"/>
      <c r="AB218" s="149"/>
      <c r="AC218" s="149"/>
      <c r="AD218" s="149"/>
      <c r="AE218" s="149"/>
      <c r="AF218" s="149"/>
      <c r="AG218" s="14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row>
    <row r="219" spans="2:102">
      <c r="B219" s="3"/>
      <c r="C219" s="3"/>
      <c r="D219" s="3"/>
      <c r="E219" s="3"/>
      <c r="F219" s="3"/>
      <c r="G219" s="3"/>
      <c r="H219" s="3"/>
      <c r="I219" s="3"/>
      <c r="J219" s="3"/>
      <c r="K219" s="3"/>
      <c r="L219" s="3"/>
      <c r="M219" s="3"/>
      <c r="N219" s="3"/>
      <c r="O219" s="3"/>
      <c r="P219" s="3"/>
      <c r="AB219" s="149"/>
      <c r="AC219" s="149"/>
      <c r="AD219" s="149"/>
      <c r="AE219" s="149"/>
      <c r="AF219" s="149"/>
      <c r="AG219" s="14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row>
    <row r="220" spans="2:102">
      <c r="B220" s="3"/>
      <c r="C220" s="3"/>
      <c r="D220" s="3"/>
      <c r="E220" s="3"/>
      <c r="F220" s="3"/>
      <c r="G220" s="3"/>
      <c r="H220" s="3"/>
      <c r="I220" s="3"/>
      <c r="J220" s="3"/>
      <c r="K220" s="3"/>
      <c r="L220" s="3"/>
      <c r="M220" s="3"/>
      <c r="N220" s="3"/>
      <c r="O220" s="3"/>
      <c r="P220" s="3"/>
      <c r="AB220" s="149"/>
      <c r="AC220" s="149"/>
      <c r="AD220" s="149"/>
      <c r="AE220" s="149"/>
      <c r="AF220" s="149"/>
      <c r="AG220" s="14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row>
    <row r="221" spans="2:102">
      <c r="B221" s="3"/>
      <c r="C221" s="3"/>
      <c r="D221" s="3"/>
      <c r="E221" s="3"/>
      <c r="F221" s="3"/>
      <c r="G221" s="3"/>
      <c r="H221" s="3"/>
      <c r="I221" s="3"/>
      <c r="J221" s="3"/>
      <c r="K221" s="3"/>
      <c r="L221" s="3"/>
      <c r="M221" s="3"/>
      <c r="N221" s="3"/>
      <c r="O221" s="3"/>
      <c r="P221" s="3"/>
      <c r="AB221" s="149"/>
      <c r="AC221" s="149"/>
      <c r="AD221" s="149"/>
      <c r="AE221" s="149"/>
      <c r="AF221" s="149"/>
      <c r="AG221" s="14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row>
    <row r="222" spans="2:102">
      <c r="B222" s="3"/>
      <c r="C222" s="3"/>
      <c r="D222" s="3"/>
      <c r="E222" s="3"/>
      <c r="F222" s="3"/>
      <c r="G222" s="3"/>
      <c r="H222" s="3"/>
      <c r="I222" s="3"/>
      <c r="J222" s="3"/>
      <c r="K222" s="3"/>
      <c r="L222" s="3"/>
      <c r="M222" s="3"/>
      <c r="N222" s="3"/>
      <c r="O222" s="3"/>
      <c r="P222" s="3"/>
      <c r="AB222" s="149"/>
      <c r="AC222" s="149"/>
      <c r="AD222" s="149"/>
      <c r="AE222" s="149"/>
      <c r="AF222" s="149"/>
      <c r="AG222" s="14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row>
    <row r="223" spans="2:102">
      <c r="B223" s="3"/>
      <c r="C223" s="3"/>
      <c r="D223" s="3"/>
      <c r="E223" s="3"/>
      <c r="F223" s="3"/>
      <c r="G223" s="3"/>
      <c r="H223" s="3"/>
      <c r="I223" s="3"/>
      <c r="J223" s="3"/>
      <c r="K223" s="3"/>
      <c r="L223" s="3"/>
      <c r="M223" s="3"/>
      <c r="N223" s="3"/>
      <c r="O223" s="3"/>
      <c r="P223" s="3"/>
      <c r="AB223" s="149"/>
      <c r="AC223" s="149"/>
      <c r="AD223" s="149"/>
      <c r="AE223" s="149"/>
      <c r="AF223" s="149"/>
      <c r="AG223" s="14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row>
    <row r="224" spans="2:102">
      <c r="B224" s="3"/>
      <c r="C224" s="3"/>
      <c r="D224" s="3"/>
      <c r="E224" s="3"/>
      <c r="F224" s="3"/>
      <c r="G224" s="3"/>
      <c r="H224" s="3"/>
      <c r="I224" s="3"/>
      <c r="J224" s="3"/>
      <c r="K224" s="3"/>
      <c r="L224" s="3"/>
      <c r="M224" s="3"/>
      <c r="N224" s="3"/>
      <c r="O224" s="3"/>
      <c r="P224" s="3"/>
      <c r="AB224" s="149"/>
      <c r="AC224" s="149"/>
      <c r="AD224" s="149"/>
      <c r="AE224" s="149"/>
      <c r="AF224" s="149"/>
      <c r="AG224" s="14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row>
    <row r="225" spans="2:102">
      <c r="B225" s="3"/>
      <c r="C225" s="3"/>
      <c r="D225" s="3"/>
      <c r="E225" s="3"/>
      <c r="F225" s="3"/>
      <c r="G225" s="3"/>
      <c r="H225" s="3"/>
      <c r="I225" s="3"/>
      <c r="J225" s="3"/>
      <c r="K225" s="3"/>
      <c r="L225" s="3"/>
      <c r="M225" s="3"/>
      <c r="N225" s="3"/>
      <c r="O225" s="3"/>
      <c r="P225" s="3"/>
      <c r="AB225" s="149"/>
      <c r="AC225" s="149"/>
      <c r="AD225" s="149"/>
      <c r="AE225" s="149"/>
      <c r="AF225" s="149"/>
      <c r="AG225" s="14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row>
    <row r="226" spans="2:102">
      <c r="B226" s="3"/>
      <c r="C226" s="3"/>
      <c r="D226" s="3"/>
      <c r="E226" s="3"/>
      <c r="F226" s="3"/>
      <c r="G226" s="3"/>
      <c r="H226" s="3"/>
      <c r="I226" s="3"/>
      <c r="J226" s="3"/>
      <c r="K226" s="3"/>
      <c r="L226" s="3"/>
      <c r="M226" s="3"/>
      <c r="N226" s="3"/>
      <c r="O226" s="3"/>
      <c r="P226" s="3"/>
      <c r="AB226" s="149"/>
      <c r="AC226" s="149"/>
      <c r="AD226" s="149"/>
      <c r="AE226" s="149"/>
      <c r="AF226" s="149"/>
      <c r="AG226" s="14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row>
    <row r="227" spans="2:102">
      <c r="B227" s="3"/>
      <c r="C227" s="3"/>
      <c r="D227" s="3"/>
      <c r="E227" s="3"/>
      <c r="F227" s="3"/>
      <c r="G227" s="3"/>
      <c r="H227" s="3"/>
      <c r="I227" s="3"/>
      <c r="J227" s="3"/>
      <c r="K227" s="3"/>
      <c r="L227" s="3"/>
      <c r="M227" s="3"/>
      <c r="N227" s="3"/>
      <c r="O227" s="3"/>
      <c r="P227" s="3"/>
      <c r="AB227" s="149"/>
      <c r="AC227" s="149"/>
      <c r="AD227" s="149"/>
      <c r="AE227" s="149"/>
      <c r="AF227" s="149"/>
      <c r="AG227" s="14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row>
    <row r="228" spans="2:102">
      <c r="B228" s="3"/>
      <c r="C228" s="3"/>
      <c r="D228" s="3"/>
      <c r="E228" s="3"/>
      <c r="F228" s="3"/>
      <c r="G228" s="3"/>
      <c r="H228" s="3"/>
      <c r="I228" s="3"/>
      <c r="J228" s="3"/>
      <c r="K228" s="3"/>
      <c r="L228" s="3"/>
      <c r="M228" s="3"/>
      <c r="N228" s="3"/>
      <c r="O228" s="3"/>
      <c r="P228" s="3"/>
      <c r="AB228" s="149"/>
      <c r="AC228" s="149"/>
      <c r="AD228" s="149"/>
      <c r="AE228" s="149"/>
      <c r="AF228" s="149"/>
      <c r="AG228" s="14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row>
    <row r="229" spans="2:102">
      <c r="B229" s="3"/>
      <c r="C229" s="3"/>
      <c r="D229" s="3"/>
      <c r="E229" s="3"/>
      <c r="F229" s="3"/>
      <c r="G229" s="3"/>
      <c r="H229" s="3"/>
      <c r="I229" s="3"/>
      <c r="J229" s="3"/>
      <c r="K229" s="3"/>
      <c r="L229" s="3"/>
      <c r="M229" s="3"/>
      <c r="N229" s="3"/>
      <c r="O229" s="3"/>
      <c r="P229" s="3"/>
      <c r="AB229" s="149"/>
      <c r="AC229" s="149"/>
      <c r="AD229" s="149"/>
      <c r="AE229" s="149"/>
      <c r="AF229" s="149"/>
      <c r="AG229" s="14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row>
    <row r="230" spans="2:102">
      <c r="B230" s="3"/>
      <c r="C230" s="3"/>
      <c r="D230" s="3"/>
      <c r="E230" s="3"/>
      <c r="F230" s="3"/>
      <c r="G230" s="3"/>
      <c r="H230" s="3"/>
      <c r="I230" s="3"/>
      <c r="J230" s="3"/>
      <c r="K230" s="3"/>
      <c r="L230" s="3"/>
      <c r="M230" s="3"/>
      <c r="N230" s="3"/>
      <c r="O230" s="3"/>
      <c r="P230" s="3"/>
      <c r="AB230" s="149"/>
      <c r="AC230" s="149"/>
      <c r="AD230" s="149"/>
      <c r="AE230" s="149"/>
      <c r="AF230" s="149"/>
      <c r="AG230" s="14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row>
    <row r="231" spans="2:102">
      <c r="B231" s="3"/>
      <c r="C231" s="3"/>
      <c r="D231" s="3"/>
      <c r="E231" s="3"/>
      <c r="F231" s="3"/>
      <c r="G231" s="3"/>
      <c r="H231" s="3"/>
      <c r="I231" s="3"/>
      <c r="J231" s="3"/>
      <c r="K231" s="3"/>
      <c r="L231" s="3"/>
      <c r="M231" s="3"/>
      <c r="N231" s="3"/>
      <c r="O231" s="3"/>
      <c r="P231" s="3"/>
      <c r="AB231" s="149"/>
      <c r="AC231" s="149"/>
      <c r="AD231" s="149"/>
      <c r="AE231" s="149"/>
      <c r="AF231" s="149"/>
      <c r="AG231" s="14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row>
    <row r="232" spans="2:102">
      <c r="B232" s="3"/>
      <c r="C232" s="3"/>
      <c r="D232" s="3"/>
      <c r="E232" s="3"/>
      <c r="F232" s="3"/>
      <c r="G232" s="3"/>
      <c r="H232" s="3"/>
      <c r="I232" s="3"/>
      <c r="J232" s="3"/>
      <c r="K232" s="3"/>
      <c r="L232" s="3"/>
      <c r="M232" s="3"/>
      <c r="N232" s="3"/>
      <c r="O232" s="3"/>
      <c r="P232" s="3"/>
      <c r="AB232" s="149"/>
      <c r="AC232" s="149"/>
      <c r="AD232" s="149"/>
      <c r="AE232" s="149"/>
      <c r="AF232" s="149"/>
      <c r="AG232" s="14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row>
    <row r="233" spans="2:102">
      <c r="B233" s="3"/>
      <c r="C233" s="3"/>
      <c r="D233" s="3"/>
      <c r="E233" s="3"/>
      <c r="F233" s="3"/>
      <c r="G233" s="3"/>
      <c r="H233" s="3"/>
      <c r="I233" s="3"/>
      <c r="J233" s="3"/>
      <c r="K233" s="3"/>
      <c r="L233" s="3"/>
      <c r="M233" s="3"/>
      <c r="N233" s="3"/>
      <c r="O233" s="3"/>
      <c r="P233" s="3"/>
      <c r="AB233" s="149"/>
      <c r="AC233" s="149"/>
      <c r="AD233" s="149"/>
      <c r="AE233" s="149"/>
      <c r="AF233" s="149"/>
      <c r="AG233" s="14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row>
    <row r="234" spans="2:102">
      <c r="B234" s="3"/>
      <c r="C234" s="3"/>
      <c r="D234" s="3"/>
      <c r="E234" s="3"/>
      <c r="F234" s="3"/>
      <c r="G234" s="3"/>
      <c r="H234" s="3"/>
      <c r="I234" s="3"/>
      <c r="J234" s="3"/>
      <c r="K234" s="3"/>
      <c r="L234" s="3"/>
      <c r="M234" s="3"/>
      <c r="N234" s="3"/>
      <c r="O234" s="3"/>
      <c r="P234" s="3"/>
      <c r="AB234" s="149"/>
      <c r="AC234" s="149"/>
      <c r="AD234" s="149"/>
      <c r="AE234" s="149"/>
      <c r="AF234" s="149"/>
      <c r="AG234" s="14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row>
    <row r="235" spans="2:102">
      <c r="B235" s="3"/>
      <c r="C235" s="3"/>
      <c r="D235" s="3"/>
      <c r="E235" s="3"/>
      <c r="F235" s="3"/>
      <c r="G235" s="3"/>
      <c r="H235" s="3"/>
      <c r="I235" s="3"/>
      <c r="J235" s="3"/>
      <c r="K235" s="3"/>
      <c r="L235" s="3"/>
      <c r="M235" s="3"/>
      <c r="N235" s="3"/>
      <c r="O235" s="3"/>
      <c r="P235" s="3"/>
      <c r="AB235" s="149"/>
      <c r="AC235" s="149"/>
      <c r="AD235" s="149"/>
      <c r="AE235" s="149"/>
      <c r="AF235" s="149"/>
      <c r="AG235" s="14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row>
    <row r="236" spans="2:102">
      <c r="B236" s="3"/>
      <c r="C236" s="3"/>
      <c r="D236" s="3"/>
      <c r="E236" s="3"/>
      <c r="F236" s="3"/>
      <c r="G236" s="3"/>
      <c r="H236" s="3"/>
      <c r="I236" s="3"/>
      <c r="J236" s="3"/>
      <c r="K236" s="3"/>
      <c r="L236" s="3"/>
      <c r="M236" s="3"/>
      <c r="N236" s="3"/>
      <c r="O236" s="3"/>
      <c r="P236" s="3"/>
      <c r="AB236" s="149"/>
      <c r="AC236" s="149"/>
      <c r="AD236" s="149"/>
      <c r="AE236" s="149"/>
      <c r="AF236" s="149"/>
      <c r="AG236" s="14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row>
    <row r="237" spans="2:102">
      <c r="B237" s="3"/>
      <c r="C237" s="3"/>
      <c r="D237" s="3"/>
      <c r="E237" s="3"/>
      <c r="F237" s="3"/>
      <c r="G237" s="3"/>
      <c r="H237" s="3"/>
      <c r="I237" s="3"/>
      <c r="J237" s="3"/>
      <c r="K237" s="3"/>
      <c r="L237" s="3"/>
      <c r="M237" s="3"/>
      <c r="N237" s="3"/>
      <c r="O237" s="3"/>
      <c r="P237" s="3"/>
      <c r="AB237" s="149"/>
      <c r="AC237" s="149"/>
      <c r="AD237" s="149"/>
      <c r="AE237" s="149"/>
      <c r="AF237" s="149"/>
      <c r="AG237" s="14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row>
    <row r="238" spans="2:102">
      <c r="B238" s="3"/>
      <c r="C238" s="3"/>
      <c r="D238" s="3"/>
      <c r="E238" s="3"/>
      <c r="F238" s="3"/>
      <c r="G238" s="3"/>
      <c r="H238" s="3"/>
      <c r="I238" s="3"/>
      <c r="J238" s="3"/>
      <c r="K238" s="3"/>
      <c r="L238" s="3"/>
      <c r="M238" s="3"/>
      <c r="N238" s="3"/>
      <c r="O238" s="3"/>
      <c r="P238" s="3"/>
      <c r="AB238" s="149"/>
      <c r="AC238" s="149"/>
      <c r="AD238" s="149"/>
      <c r="AE238" s="149"/>
      <c r="AF238" s="149"/>
      <c r="AG238" s="14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row>
    <row r="239" spans="2:102">
      <c r="B239" s="3"/>
      <c r="C239" s="3"/>
      <c r="D239" s="3"/>
      <c r="E239" s="3"/>
      <c r="F239" s="3"/>
      <c r="G239" s="3"/>
      <c r="H239" s="3"/>
      <c r="I239" s="3"/>
      <c r="J239" s="3"/>
      <c r="K239" s="3"/>
      <c r="L239" s="3"/>
      <c r="M239" s="3"/>
      <c r="N239" s="3"/>
      <c r="O239" s="3"/>
      <c r="P239" s="3"/>
      <c r="AB239" s="149"/>
      <c r="AC239" s="149"/>
      <c r="AD239" s="149"/>
      <c r="AE239" s="149"/>
      <c r="AF239" s="149"/>
      <c r="AG239" s="14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row>
    <row r="240" spans="2:102">
      <c r="B240" s="3"/>
      <c r="C240" s="3"/>
      <c r="D240" s="3"/>
      <c r="E240" s="3"/>
      <c r="F240" s="3"/>
      <c r="G240" s="3"/>
      <c r="H240" s="3"/>
      <c r="I240" s="3"/>
      <c r="J240" s="3"/>
      <c r="K240" s="3"/>
      <c r="L240" s="3"/>
      <c r="M240" s="3"/>
      <c r="N240" s="3"/>
      <c r="O240" s="3"/>
      <c r="P240" s="3"/>
      <c r="AB240" s="149"/>
      <c r="AC240" s="149"/>
      <c r="AD240" s="149"/>
      <c r="AE240" s="149"/>
      <c r="AF240" s="149"/>
      <c r="AG240" s="14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row>
    <row r="241" spans="2:102">
      <c r="B241" s="3"/>
      <c r="C241" s="3"/>
      <c r="D241" s="3"/>
      <c r="E241" s="3"/>
      <c r="F241" s="3"/>
      <c r="G241" s="3"/>
      <c r="H241" s="3"/>
      <c r="I241" s="3"/>
      <c r="J241" s="3"/>
      <c r="K241" s="3"/>
      <c r="L241" s="3"/>
      <c r="M241" s="3"/>
      <c r="N241" s="3"/>
      <c r="O241" s="3"/>
      <c r="P241" s="3"/>
      <c r="AB241" s="149"/>
      <c r="AC241" s="149"/>
      <c r="AD241" s="149"/>
      <c r="AE241" s="149"/>
      <c r="AF241" s="149"/>
      <c r="AG241" s="14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row>
    <row r="242" spans="2:102">
      <c r="B242" s="3"/>
      <c r="C242" s="3"/>
      <c r="D242" s="3"/>
      <c r="E242" s="3"/>
      <c r="F242" s="3"/>
      <c r="G242" s="3"/>
      <c r="H242" s="3"/>
      <c r="I242" s="3"/>
      <c r="J242" s="3"/>
      <c r="K242" s="3"/>
      <c r="L242" s="3"/>
      <c r="M242" s="3"/>
      <c r="N242" s="3"/>
      <c r="O242" s="3"/>
      <c r="P242" s="3"/>
      <c r="AB242" s="149"/>
      <c r="AC242" s="149"/>
      <c r="AD242" s="149"/>
      <c r="AE242" s="149"/>
      <c r="AF242" s="149"/>
      <c r="AG242" s="14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row>
    <row r="243" spans="2:102">
      <c r="B243" s="3"/>
      <c r="C243" s="3"/>
      <c r="D243" s="3"/>
      <c r="E243" s="3"/>
      <c r="F243" s="3"/>
      <c r="G243" s="3"/>
      <c r="H243" s="3"/>
      <c r="I243" s="3"/>
      <c r="J243" s="3"/>
      <c r="K243" s="3"/>
      <c r="L243" s="3"/>
      <c r="M243" s="3"/>
      <c r="N243" s="3"/>
      <c r="O243" s="3"/>
      <c r="P243" s="3"/>
      <c r="AB243" s="149"/>
      <c r="AC243" s="149"/>
      <c r="AD243" s="149"/>
      <c r="AE243" s="149"/>
      <c r="AF243" s="149"/>
      <c r="AG243" s="14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row>
    <row r="244" spans="2:102">
      <c r="B244" s="3"/>
      <c r="C244" s="3"/>
      <c r="D244" s="3"/>
      <c r="E244" s="3"/>
      <c r="F244" s="3"/>
      <c r="G244" s="3"/>
      <c r="H244" s="3"/>
      <c r="I244" s="3"/>
      <c r="J244" s="3"/>
      <c r="K244" s="3"/>
      <c r="L244" s="3"/>
      <c r="M244" s="3"/>
      <c r="N244" s="3"/>
      <c r="O244" s="3"/>
      <c r="P244" s="3"/>
      <c r="AB244" s="149"/>
      <c r="AC244" s="149"/>
      <c r="AD244" s="149"/>
      <c r="AE244" s="149"/>
      <c r="AF244" s="149"/>
      <c r="AG244" s="14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row>
    <row r="245" spans="2:102">
      <c r="B245" s="3"/>
      <c r="C245" s="3"/>
      <c r="D245" s="3"/>
      <c r="E245" s="3"/>
      <c r="F245" s="3"/>
      <c r="G245" s="3"/>
      <c r="H245" s="3"/>
      <c r="I245" s="3"/>
      <c r="J245" s="3"/>
      <c r="K245" s="3"/>
      <c r="L245" s="3"/>
      <c r="M245" s="3"/>
      <c r="N245" s="3"/>
      <c r="O245" s="3"/>
      <c r="P245" s="3"/>
      <c r="AB245" s="149"/>
      <c r="AC245" s="149"/>
      <c r="AD245" s="149"/>
      <c r="AE245" s="149"/>
      <c r="AF245" s="149"/>
      <c r="AG245" s="14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row>
    <row r="246" spans="2:102">
      <c r="B246" s="3"/>
      <c r="C246" s="3"/>
      <c r="D246" s="3"/>
      <c r="E246" s="3"/>
      <c r="F246" s="3"/>
      <c r="G246" s="3"/>
      <c r="H246" s="3"/>
      <c r="I246" s="3"/>
      <c r="J246" s="3"/>
      <c r="K246" s="3"/>
      <c r="L246" s="3"/>
      <c r="M246" s="3"/>
      <c r="N246" s="3"/>
      <c r="O246" s="3"/>
      <c r="P246" s="3"/>
      <c r="AB246" s="149"/>
      <c r="AC246" s="149"/>
      <c r="AD246" s="149"/>
      <c r="AE246" s="149"/>
      <c r="AF246" s="149"/>
      <c r="AG246" s="14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row>
    <row r="247" spans="2:102">
      <c r="B247" s="3"/>
      <c r="C247" s="3"/>
      <c r="D247" s="3"/>
      <c r="E247" s="3"/>
      <c r="F247" s="3"/>
      <c r="G247" s="3"/>
      <c r="H247" s="3"/>
      <c r="I247" s="3"/>
      <c r="J247" s="3"/>
      <c r="K247" s="3"/>
      <c r="L247" s="3"/>
      <c r="M247" s="3"/>
      <c r="N247" s="3"/>
      <c r="O247" s="3"/>
      <c r="P247" s="3"/>
      <c r="AB247" s="149"/>
      <c r="AC247" s="149"/>
      <c r="AD247" s="149"/>
      <c r="AE247" s="149"/>
      <c r="AF247" s="149"/>
      <c r="AG247" s="14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row>
    <row r="248" spans="2:102">
      <c r="B248" s="3"/>
      <c r="C248" s="3"/>
      <c r="D248" s="3"/>
      <c r="E248" s="3"/>
      <c r="F248" s="3"/>
      <c r="G248" s="3"/>
      <c r="H248" s="3"/>
      <c r="I248" s="3"/>
      <c r="J248" s="3"/>
      <c r="K248" s="3"/>
      <c r="L248" s="3"/>
      <c r="M248" s="3"/>
      <c r="N248" s="3"/>
      <c r="O248" s="3"/>
      <c r="P248" s="3"/>
      <c r="AB248" s="149"/>
      <c r="AC248" s="149"/>
      <c r="AD248" s="149"/>
      <c r="AE248" s="149"/>
      <c r="AF248" s="149"/>
      <c r="AG248" s="14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row>
    <row r="249" spans="2:102">
      <c r="B249" s="3"/>
      <c r="C249" s="3"/>
      <c r="D249" s="3"/>
      <c r="E249" s="3"/>
      <c r="F249" s="3"/>
      <c r="G249" s="3"/>
      <c r="H249" s="3"/>
      <c r="I249" s="3"/>
      <c r="J249" s="3"/>
      <c r="K249" s="3"/>
      <c r="L249" s="3"/>
      <c r="M249" s="3"/>
      <c r="N249" s="3"/>
      <c r="O249" s="3"/>
      <c r="P249" s="3"/>
      <c r="AB249" s="149"/>
      <c r="AC249" s="149"/>
      <c r="AD249" s="149"/>
      <c r="AE249" s="149"/>
      <c r="AF249" s="149"/>
      <c r="AG249" s="14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row>
    <row r="250" spans="2:102">
      <c r="B250" s="3"/>
      <c r="C250" s="3"/>
      <c r="D250" s="3"/>
      <c r="E250" s="3"/>
      <c r="F250" s="3"/>
      <c r="G250" s="3"/>
      <c r="H250" s="3"/>
      <c r="I250" s="3"/>
      <c r="J250" s="3"/>
      <c r="K250" s="3"/>
      <c r="L250" s="3"/>
      <c r="M250" s="3"/>
      <c r="N250" s="3"/>
      <c r="O250" s="3"/>
      <c r="P250" s="3"/>
      <c r="AB250" s="149"/>
      <c r="AC250" s="149"/>
      <c r="AD250" s="149"/>
      <c r="AE250" s="149"/>
      <c r="AF250" s="149"/>
      <c r="AG250" s="14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row>
    <row r="251" spans="2:102">
      <c r="B251" s="3"/>
      <c r="C251" s="3"/>
      <c r="D251" s="3"/>
      <c r="E251" s="3"/>
      <c r="F251" s="3"/>
      <c r="G251" s="3"/>
      <c r="H251" s="3"/>
      <c r="I251" s="3"/>
      <c r="J251" s="3"/>
      <c r="K251" s="3"/>
      <c r="L251" s="3"/>
      <c r="M251" s="3"/>
      <c r="N251" s="3"/>
      <c r="O251" s="3"/>
      <c r="P251" s="3"/>
      <c r="AB251" s="149"/>
      <c r="AC251" s="149"/>
      <c r="AD251" s="149"/>
      <c r="AE251" s="149"/>
      <c r="AF251" s="149"/>
      <c r="AG251" s="14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row>
    <row r="252" spans="2:102">
      <c r="B252" s="3"/>
      <c r="C252" s="3"/>
      <c r="D252" s="3"/>
      <c r="E252" s="3"/>
      <c r="F252" s="3"/>
      <c r="G252" s="3"/>
      <c r="H252" s="3"/>
      <c r="I252" s="3"/>
      <c r="J252" s="3"/>
      <c r="K252" s="3"/>
      <c r="L252" s="3"/>
      <c r="M252" s="3"/>
      <c r="N252" s="3"/>
      <c r="O252" s="3"/>
      <c r="P252" s="3"/>
      <c r="AB252" s="149"/>
      <c r="AC252" s="149"/>
      <c r="AD252" s="149"/>
      <c r="AE252" s="149"/>
      <c r="AF252" s="149"/>
      <c r="AG252" s="14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row>
    <row r="253" spans="2:102">
      <c r="B253" s="3"/>
      <c r="C253" s="3"/>
      <c r="D253" s="3"/>
      <c r="E253" s="3"/>
      <c r="F253" s="3"/>
      <c r="G253" s="3"/>
      <c r="H253" s="3"/>
      <c r="I253" s="3"/>
      <c r="J253" s="3"/>
      <c r="K253" s="3"/>
      <c r="L253" s="3"/>
      <c r="M253" s="3"/>
      <c r="N253" s="3"/>
      <c r="O253" s="3"/>
      <c r="P253" s="3"/>
      <c r="AB253" s="149"/>
      <c r="AC253" s="149"/>
      <c r="AD253" s="149"/>
      <c r="AE253" s="149"/>
      <c r="AF253" s="149"/>
      <c r="AG253" s="14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row>
    <row r="254" spans="2:102">
      <c r="B254" s="3"/>
      <c r="C254" s="3"/>
      <c r="D254" s="3"/>
      <c r="E254" s="3"/>
      <c r="F254" s="3"/>
      <c r="G254" s="3"/>
      <c r="H254" s="3"/>
      <c r="I254" s="3"/>
      <c r="J254" s="3"/>
      <c r="K254" s="3"/>
      <c r="L254" s="3"/>
      <c r="M254" s="3"/>
      <c r="N254" s="3"/>
      <c r="O254" s="3"/>
      <c r="P254" s="3"/>
      <c r="AB254" s="149"/>
      <c r="AC254" s="149"/>
      <c r="AD254" s="149"/>
      <c r="AE254" s="149"/>
      <c r="AF254" s="149"/>
      <c r="AG254" s="14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row>
    <row r="255" spans="2:102">
      <c r="B255" s="3"/>
      <c r="C255" s="3"/>
      <c r="D255" s="3"/>
      <c r="E255" s="3"/>
      <c r="F255" s="3"/>
      <c r="G255" s="3"/>
      <c r="H255" s="3"/>
      <c r="I255" s="3"/>
      <c r="J255" s="3"/>
      <c r="K255" s="3"/>
      <c r="L255" s="3"/>
      <c r="M255" s="3"/>
      <c r="N255" s="3"/>
      <c r="O255" s="3"/>
      <c r="P255" s="3"/>
      <c r="AB255" s="149"/>
      <c r="AC255" s="149"/>
      <c r="AD255" s="149"/>
      <c r="AE255" s="149"/>
      <c r="AF255" s="149"/>
      <c r="AG255" s="14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row>
    <row r="256" spans="2:102">
      <c r="B256" s="3"/>
      <c r="C256" s="3"/>
      <c r="D256" s="3"/>
      <c r="E256" s="3"/>
      <c r="F256" s="3"/>
      <c r="G256" s="3"/>
      <c r="H256" s="3"/>
      <c r="I256" s="3"/>
      <c r="J256" s="3"/>
      <c r="K256" s="3"/>
      <c r="L256" s="3"/>
      <c r="M256" s="3"/>
      <c r="N256" s="3"/>
      <c r="O256" s="3"/>
      <c r="P256" s="3"/>
      <c r="AB256" s="149"/>
      <c r="AC256" s="149"/>
      <c r="AD256" s="149"/>
      <c r="AE256" s="149"/>
      <c r="AF256" s="149"/>
      <c r="AG256" s="14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row>
    <row r="257" spans="2:102">
      <c r="B257" s="3"/>
      <c r="C257" s="3"/>
      <c r="D257" s="3"/>
      <c r="E257" s="3"/>
      <c r="F257" s="3"/>
      <c r="G257" s="3"/>
      <c r="H257" s="3"/>
      <c r="I257" s="3"/>
      <c r="J257" s="3"/>
      <c r="K257" s="3"/>
      <c r="L257" s="3"/>
      <c r="M257" s="3"/>
      <c r="N257" s="3"/>
      <c r="O257" s="3"/>
      <c r="P257" s="3"/>
      <c r="AB257" s="149"/>
      <c r="AC257" s="149"/>
      <c r="AD257" s="149"/>
      <c r="AE257" s="149"/>
      <c r="AF257" s="149"/>
      <c r="AG257" s="14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row>
    <row r="258" spans="2:102">
      <c r="B258" s="3"/>
      <c r="C258" s="3"/>
      <c r="D258" s="3"/>
      <c r="E258" s="3"/>
      <c r="F258" s="3"/>
      <c r="G258" s="3"/>
      <c r="H258" s="3"/>
      <c r="I258" s="3"/>
      <c r="J258" s="3"/>
      <c r="K258" s="3"/>
      <c r="L258" s="3"/>
      <c r="M258" s="3"/>
      <c r="N258" s="3"/>
      <c r="O258" s="3"/>
      <c r="P258" s="3"/>
      <c r="AB258" s="149"/>
      <c r="AC258" s="149"/>
      <c r="AD258" s="149"/>
      <c r="AE258" s="149"/>
      <c r="AF258" s="149"/>
      <c r="AG258" s="14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row>
    <row r="259" spans="2:102">
      <c r="B259" s="3"/>
      <c r="C259" s="3"/>
      <c r="D259" s="3"/>
      <c r="E259" s="3"/>
      <c r="F259" s="3"/>
      <c r="G259" s="3"/>
      <c r="H259" s="3"/>
      <c r="I259" s="3"/>
      <c r="J259" s="3"/>
      <c r="K259" s="3"/>
      <c r="L259" s="3"/>
      <c r="M259" s="3"/>
      <c r="N259" s="3"/>
      <c r="O259" s="3"/>
      <c r="P259" s="3"/>
      <c r="AB259" s="149"/>
      <c r="AC259" s="149"/>
      <c r="AD259" s="149"/>
      <c r="AE259" s="149"/>
      <c r="AF259" s="149"/>
      <c r="AG259" s="14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row>
    <row r="260" spans="2:102">
      <c r="B260" s="3"/>
      <c r="C260" s="3"/>
      <c r="D260" s="3"/>
      <c r="E260" s="3"/>
      <c r="F260" s="3"/>
      <c r="G260" s="3"/>
      <c r="H260" s="3"/>
      <c r="I260" s="3"/>
      <c r="J260" s="3"/>
      <c r="K260" s="3"/>
      <c r="L260" s="3"/>
      <c r="M260" s="3"/>
      <c r="N260" s="3"/>
      <c r="O260" s="3"/>
      <c r="P260" s="3"/>
      <c r="AB260" s="149"/>
      <c r="AC260" s="149"/>
      <c r="AD260" s="149"/>
      <c r="AE260" s="149"/>
      <c r="AF260" s="149"/>
      <c r="AG260" s="14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row>
    <row r="261" spans="2:102">
      <c r="B261" s="3"/>
      <c r="C261" s="3"/>
      <c r="D261" s="3"/>
      <c r="E261" s="3"/>
      <c r="F261" s="3"/>
      <c r="G261" s="3"/>
      <c r="H261" s="3"/>
      <c r="I261" s="3"/>
      <c r="J261" s="3"/>
      <c r="K261" s="3"/>
      <c r="L261" s="3"/>
      <c r="M261" s="3"/>
      <c r="N261" s="3"/>
      <c r="O261" s="3"/>
      <c r="P261" s="3"/>
      <c r="AB261" s="149"/>
      <c r="AC261" s="149"/>
      <c r="AD261" s="149"/>
      <c r="AE261" s="149"/>
      <c r="AF261" s="149"/>
      <c r="AG261" s="14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row>
    <row r="262" spans="2:102">
      <c r="B262" s="3"/>
      <c r="C262" s="3"/>
      <c r="D262" s="3"/>
      <c r="E262" s="3"/>
      <c r="F262" s="3"/>
      <c r="G262" s="3"/>
      <c r="H262" s="3"/>
      <c r="I262" s="3"/>
      <c r="J262" s="3"/>
      <c r="K262" s="3"/>
      <c r="L262" s="3"/>
      <c r="M262" s="3"/>
      <c r="N262" s="3"/>
      <c r="O262" s="3"/>
      <c r="P262" s="3"/>
      <c r="AB262" s="149"/>
      <c r="AC262" s="149"/>
      <c r="AD262" s="149"/>
      <c r="AE262" s="149"/>
      <c r="AF262" s="149"/>
      <c r="AG262" s="14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row>
    <row r="263" spans="2:102">
      <c r="B263" s="3"/>
      <c r="C263" s="3"/>
      <c r="D263" s="3"/>
      <c r="E263" s="3"/>
      <c r="F263" s="3"/>
      <c r="G263" s="3"/>
      <c r="H263" s="3"/>
      <c r="I263" s="3"/>
      <c r="J263" s="3"/>
      <c r="K263" s="3"/>
      <c r="L263" s="3"/>
      <c r="M263" s="3"/>
      <c r="N263" s="3"/>
      <c r="O263" s="3"/>
      <c r="P263" s="3"/>
      <c r="AB263" s="149"/>
      <c r="AC263" s="149"/>
      <c r="AD263" s="149"/>
      <c r="AE263" s="149"/>
      <c r="AF263" s="149"/>
      <c r="AG263" s="14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row>
    <row r="264" spans="2:102">
      <c r="B264" s="3"/>
      <c r="C264" s="3"/>
      <c r="D264" s="3"/>
      <c r="E264" s="3"/>
      <c r="F264" s="3"/>
      <c r="G264" s="3"/>
      <c r="H264" s="3"/>
      <c r="I264" s="3"/>
      <c r="J264" s="3"/>
      <c r="K264" s="3"/>
      <c r="L264" s="3"/>
      <c r="M264" s="3"/>
      <c r="N264" s="3"/>
      <c r="O264" s="3"/>
      <c r="P264" s="3"/>
      <c r="AB264" s="149"/>
      <c r="AC264" s="149"/>
      <c r="AD264" s="149"/>
      <c r="AE264" s="149"/>
      <c r="AF264" s="149"/>
      <c r="AG264" s="14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row>
    <row r="265" spans="2:102">
      <c r="B265" s="3"/>
      <c r="C265" s="3"/>
      <c r="D265" s="3"/>
      <c r="E265" s="3"/>
      <c r="F265" s="3"/>
      <c r="G265" s="3"/>
      <c r="H265" s="3"/>
      <c r="I265" s="3"/>
      <c r="J265" s="3"/>
      <c r="K265" s="3"/>
      <c r="L265" s="3"/>
      <c r="M265" s="3"/>
      <c r="N265" s="3"/>
      <c r="O265" s="3"/>
      <c r="P265" s="3"/>
      <c r="AB265" s="149"/>
      <c r="AC265" s="149"/>
      <c r="AD265" s="149"/>
      <c r="AE265" s="149"/>
      <c r="AF265" s="149"/>
      <c r="AG265" s="14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row>
    <row r="266" spans="2:102">
      <c r="B266" s="3"/>
      <c r="C266" s="3"/>
      <c r="D266" s="3"/>
      <c r="E266" s="3"/>
      <c r="F266" s="3"/>
      <c r="G266" s="3"/>
      <c r="H266" s="3"/>
      <c r="I266" s="3"/>
      <c r="J266" s="3"/>
      <c r="K266" s="3"/>
      <c r="L266" s="3"/>
      <c r="M266" s="3"/>
      <c r="N266" s="3"/>
      <c r="O266" s="3"/>
      <c r="P266" s="3"/>
      <c r="AB266" s="149"/>
      <c r="AC266" s="149"/>
      <c r="AD266" s="149"/>
      <c r="AE266" s="149"/>
      <c r="AF266" s="149"/>
      <c r="AG266" s="14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row>
    <row r="267" spans="2:102">
      <c r="B267" s="3"/>
      <c r="C267" s="3"/>
      <c r="D267" s="3"/>
      <c r="E267" s="3"/>
      <c r="F267" s="3"/>
      <c r="G267" s="3"/>
      <c r="H267" s="3"/>
      <c r="I267" s="3"/>
      <c r="J267" s="3"/>
      <c r="K267" s="3"/>
      <c r="L267" s="3"/>
      <c r="M267" s="3"/>
      <c r="N267" s="3"/>
      <c r="O267" s="3"/>
      <c r="P267" s="3"/>
      <c r="AB267" s="149"/>
      <c r="AC267" s="149"/>
      <c r="AD267" s="149"/>
      <c r="AE267" s="149"/>
      <c r="AF267" s="149"/>
      <c r="AG267" s="14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row>
    <row r="268" spans="2:102">
      <c r="B268" s="3"/>
      <c r="C268" s="3"/>
      <c r="D268" s="3"/>
      <c r="E268" s="3"/>
      <c r="F268" s="3"/>
      <c r="G268" s="3"/>
      <c r="H268" s="3"/>
      <c r="I268" s="3"/>
      <c r="J268" s="3"/>
      <c r="K268" s="3"/>
      <c r="L268" s="3"/>
      <c r="M268" s="3"/>
      <c r="N268" s="3"/>
      <c r="O268" s="3"/>
      <c r="P268" s="3"/>
      <c r="AB268" s="149"/>
      <c r="AC268" s="149"/>
      <c r="AD268" s="149"/>
      <c r="AE268" s="149"/>
      <c r="AF268" s="149"/>
      <c r="AG268" s="14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row>
    <row r="269" spans="2:102">
      <c r="B269" s="3"/>
      <c r="C269" s="3"/>
      <c r="D269" s="3"/>
      <c r="E269" s="3"/>
      <c r="F269" s="3"/>
      <c r="G269" s="3"/>
      <c r="H269" s="3"/>
      <c r="I269" s="3"/>
      <c r="J269" s="3"/>
      <c r="K269" s="3"/>
      <c r="L269" s="3"/>
      <c r="M269" s="3"/>
      <c r="N269" s="3"/>
      <c r="O269" s="3"/>
      <c r="P269" s="3"/>
      <c r="AB269" s="149"/>
      <c r="AC269" s="149"/>
      <c r="AD269" s="149"/>
      <c r="AE269" s="149"/>
      <c r="AF269" s="149"/>
      <c r="AG269" s="14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row>
    <row r="270" spans="2:102">
      <c r="B270" s="3"/>
      <c r="C270" s="3"/>
      <c r="D270" s="3"/>
      <c r="E270" s="3"/>
      <c r="F270" s="3"/>
      <c r="G270" s="3"/>
      <c r="H270" s="3"/>
      <c r="I270" s="3"/>
      <c r="J270" s="3"/>
      <c r="K270" s="3"/>
      <c r="L270" s="3"/>
      <c r="M270" s="3"/>
      <c r="N270" s="3"/>
      <c r="O270" s="3"/>
      <c r="P270" s="3"/>
      <c r="AB270" s="149"/>
      <c r="AC270" s="149"/>
      <c r="AD270" s="149"/>
      <c r="AE270" s="149"/>
      <c r="AF270" s="149"/>
      <c r="AG270" s="14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row>
    <row r="271" spans="2:102">
      <c r="B271" s="3"/>
      <c r="C271" s="3"/>
      <c r="D271" s="3"/>
      <c r="E271" s="3"/>
      <c r="F271" s="3"/>
      <c r="G271" s="3"/>
      <c r="H271" s="3"/>
      <c r="I271" s="3"/>
      <c r="J271" s="3"/>
      <c r="K271" s="3"/>
      <c r="L271" s="3"/>
      <c r="M271" s="3"/>
      <c r="N271" s="3"/>
      <c r="O271" s="3"/>
      <c r="P271" s="3"/>
      <c r="AB271" s="149"/>
      <c r="AC271" s="149"/>
      <c r="AD271" s="149"/>
      <c r="AE271" s="149"/>
      <c r="AF271" s="149"/>
      <c r="AG271" s="14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row>
    <row r="272" spans="2:102">
      <c r="B272" s="3"/>
      <c r="C272" s="3"/>
      <c r="D272" s="3"/>
      <c r="E272" s="3"/>
      <c r="F272" s="3"/>
      <c r="G272" s="3"/>
      <c r="H272" s="3"/>
      <c r="I272" s="3"/>
      <c r="J272" s="3"/>
      <c r="K272" s="3"/>
      <c r="L272" s="3"/>
      <c r="M272" s="3"/>
      <c r="N272" s="3"/>
      <c r="O272" s="3"/>
      <c r="P272" s="3"/>
      <c r="AB272" s="149"/>
      <c r="AC272" s="149"/>
      <c r="AD272" s="149"/>
      <c r="AE272" s="149"/>
      <c r="AF272" s="149"/>
      <c r="AG272" s="14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row>
    <row r="273" spans="2:102">
      <c r="B273" s="3"/>
      <c r="C273" s="3"/>
      <c r="D273" s="3"/>
      <c r="E273" s="3"/>
      <c r="F273" s="3"/>
      <c r="G273" s="3"/>
      <c r="H273" s="3"/>
      <c r="I273" s="3"/>
      <c r="J273" s="3"/>
      <c r="K273" s="3"/>
      <c r="L273" s="3"/>
      <c r="M273" s="3"/>
      <c r="N273" s="3"/>
      <c r="O273" s="3"/>
      <c r="P273" s="3"/>
      <c r="AB273" s="149"/>
      <c r="AC273" s="149"/>
      <c r="AD273" s="149"/>
      <c r="AE273" s="149"/>
      <c r="AF273" s="149"/>
      <c r="AG273" s="14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row>
    <row r="274" spans="2:102">
      <c r="B274" s="3"/>
      <c r="C274" s="3"/>
      <c r="D274" s="3"/>
      <c r="E274" s="3"/>
      <c r="F274" s="3"/>
      <c r="G274" s="3"/>
      <c r="H274" s="3"/>
      <c r="I274" s="3"/>
      <c r="J274" s="3"/>
      <c r="K274" s="3"/>
      <c r="L274" s="3"/>
      <c r="M274" s="3"/>
      <c r="N274" s="3"/>
      <c r="O274" s="3"/>
      <c r="P274" s="3"/>
      <c r="AB274" s="149"/>
      <c r="AC274" s="149"/>
      <c r="AD274" s="149"/>
      <c r="AE274" s="149"/>
      <c r="AF274" s="149"/>
      <c r="AG274" s="14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row>
    <row r="275" spans="2:102">
      <c r="B275" s="3"/>
      <c r="C275" s="3"/>
      <c r="D275" s="3"/>
      <c r="E275" s="3"/>
      <c r="F275" s="3"/>
      <c r="G275" s="3"/>
      <c r="H275" s="3"/>
      <c r="I275" s="3"/>
      <c r="J275" s="3"/>
      <c r="K275" s="3"/>
      <c r="L275" s="3"/>
      <c r="M275" s="3"/>
      <c r="N275" s="3"/>
      <c r="O275" s="3"/>
      <c r="P275" s="3"/>
      <c r="AB275" s="149"/>
      <c r="AC275" s="149"/>
      <c r="AD275" s="149"/>
      <c r="AE275" s="149"/>
      <c r="AF275" s="149"/>
      <c r="AG275" s="14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row>
    <row r="276" spans="2:102">
      <c r="B276" s="3"/>
      <c r="C276" s="3"/>
      <c r="D276" s="3"/>
      <c r="E276" s="3"/>
      <c r="F276" s="3"/>
      <c r="G276" s="3"/>
      <c r="H276" s="3"/>
      <c r="I276" s="3"/>
      <c r="J276" s="3"/>
      <c r="K276" s="3"/>
      <c r="L276" s="3"/>
      <c r="M276" s="3"/>
      <c r="N276" s="3"/>
      <c r="O276" s="3"/>
      <c r="P276" s="3"/>
      <c r="AB276" s="149"/>
      <c r="AC276" s="149"/>
      <c r="AD276" s="149"/>
      <c r="AE276" s="149"/>
      <c r="AF276" s="149"/>
      <c r="AG276" s="14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row>
    <row r="277" spans="2:102">
      <c r="B277" s="3"/>
      <c r="C277" s="3"/>
      <c r="D277" s="3"/>
      <c r="E277" s="3"/>
      <c r="F277" s="3"/>
      <c r="G277" s="3"/>
      <c r="H277" s="3"/>
      <c r="I277" s="3"/>
      <c r="J277" s="3"/>
      <c r="K277" s="3"/>
      <c r="L277" s="3"/>
      <c r="M277" s="3"/>
      <c r="N277" s="3"/>
      <c r="O277" s="3"/>
      <c r="P277" s="3"/>
      <c r="AB277" s="149"/>
      <c r="AC277" s="149"/>
      <c r="AD277" s="149"/>
      <c r="AE277" s="149"/>
      <c r="AF277" s="149"/>
      <c r="AG277" s="14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row>
    <row r="278" spans="2:102">
      <c r="B278" s="3"/>
      <c r="C278" s="3"/>
      <c r="D278" s="3"/>
      <c r="E278" s="3"/>
      <c r="F278" s="3"/>
      <c r="G278" s="3"/>
      <c r="H278" s="3"/>
      <c r="I278" s="3"/>
      <c r="J278" s="3"/>
      <c r="K278" s="3"/>
      <c r="L278" s="3"/>
      <c r="M278" s="3"/>
      <c r="N278" s="3"/>
      <c r="O278" s="3"/>
      <c r="P278" s="3"/>
      <c r="AB278" s="149"/>
      <c r="AC278" s="149"/>
      <c r="AD278" s="149"/>
      <c r="AE278" s="149"/>
      <c r="AF278" s="149"/>
      <c r="AG278" s="14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row>
    <row r="279" spans="2:102">
      <c r="B279" s="3"/>
      <c r="C279" s="3"/>
      <c r="D279" s="3"/>
      <c r="E279" s="3"/>
      <c r="F279" s="3"/>
      <c r="G279" s="3"/>
      <c r="H279" s="3"/>
      <c r="I279" s="3"/>
      <c r="J279" s="3"/>
      <c r="K279" s="3"/>
      <c r="L279" s="3"/>
      <c r="M279" s="3"/>
      <c r="N279" s="3"/>
      <c r="O279" s="3"/>
      <c r="P279" s="3"/>
      <c r="AB279" s="149"/>
      <c r="AC279" s="149"/>
      <c r="AD279" s="149"/>
      <c r="AE279" s="149"/>
      <c r="AF279" s="149"/>
      <c r="AG279" s="14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row>
    <row r="280" spans="2:102">
      <c r="B280" s="3"/>
      <c r="C280" s="3"/>
      <c r="D280" s="3"/>
      <c r="E280" s="3"/>
      <c r="F280" s="3"/>
      <c r="G280" s="3"/>
      <c r="H280" s="3"/>
      <c r="I280" s="3"/>
      <c r="J280" s="3"/>
      <c r="K280" s="3"/>
      <c r="L280" s="3"/>
      <c r="M280" s="3"/>
      <c r="N280" s="3"/>
      <c r="O280" s="3"/>
      <c r="P280" s="3"/>
      <c r="AB280" s="149"/>
      <c r="AC280" s="149"/>
      <c r="AD280" s="149"/>
      <c r="AE280" s="149"/>
      <c r="AF280" s="149"/>
      <c r="AG280" s="14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row>
    <row r="281" spans="2:102">
      <c r="B281" s="3"/>
      <c r="C281" s="3"/>
      <c r="D281" s="3"/>
      <c r="E281" s="3"/>
      <c r="F281" s="3"/>
      <c r="G281" s="3"/>
      <c r="H281" s="3"/>
      <c r="I281" s="3"/>
      <c r="J281" s="3"/>
      <c r="K281" s="3"/>
      <c r="L281" s="3"/>
      <c r="M281" s="3"/>
      <c r="N281" s="3"/>
      <c r="O281" s="3"/>
      <c r="P281" s="3"/>
      <c r="AB281" s="149"/>
      <c r="AC281" s="149"/>
      <c r="AD281" s="149"/>
      <c r="AE281" s="149"/>
      <c r="AF281" s="149"/>
      <c r="AG281" s="14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row>
    <row r="282" spans="2:102">
      <c r="B282" s="3"/>
      <c r="C282" s="3"/>
      <c r="D282" s="3"/>
      <c r="E282" s="3"/>
      <c r="F282" s="3"/>
      <c r="G282" s="3"/>
      <c r="H282" s="3"/>
      <c r="I282" s="3"/>
      <c r="J282" s="3"/>
      <c r="K282" s="3"/>
      <c r="L282" s="3"/>
      <c r="M282" s="3"/>
      <c r="N282" s="3"/>
      <c r="O282" s="3"/>
      <c r="P282" s="3"/>
      <c r="AB282" s="149"/>
      <c r="AC282" s="149"/>
      <c r="AD282" s="149"/>
      <c r="AE282" s="149"/>
      <c r="AF282" s="149"/>
      <c r="AG282" s="14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row>
    <row r="283" spans="2:102">
      <c r="B283" s="3"/>
      <c r="C283" s="3"/>
      <c r="D283" s="3"/>
      <c r="E283" s="3"/>
      <c r="F283" s="3"/>
      <c r="G283" s="3"/>
      <c r="H283" s="3"/>
      <c r="I283" s="3"/>
      <c r="J283" s="3"/>
      <c r="K283" s="3"/>
      <c r="L283" s="3"/>
      <c r="M283" s="3"/>
      <c r="N283" s="3"/>
      <c r="O283" s="3"/>
      <c r="P283" s="3"/>
      <c r="AB283" s="149"/>
      <c r="AC283" s="149"/>
      <c r="AD283" s="149"/>
      <c r="AE283" s="149"/>
      <c r="AF283" s="149"/>
      <c r="AG283" s="14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row>
    <row r="284" spans="2:102">
      <c r="B284" s="3"/>
      <c r="C284" s="3"/>
      <c r="D284" s="3"/>
      <c r="E284" s="3"/>
      <c r="F284" s="3"/>
      <c r="G284" s="3"/>
      <c r="H284" s="3"/>
      <c r="I284" s="3"/>
      <c r="J284" s="3"/>
      <c r="K284" s="3"/>
      <c r="L284" s="3"/>
      <c r="M284" s="3"/>
      <c r="N284" s="3"/>
      <c r="O284" s="3"/>
      <c r="P284" s="3"/>
      <c r="AB284" s="149"/>
      <c r="AC284" s="149"/>
      <c r="AD284" s="149"/>
      <c r="AE284" s="149"/>
      <c r="AF284" s="149"/>
      <c r="AG284" s="14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row>
    <row r="285" spans="2:102">
      <c r="B285" s="3"/>
      <c r="C285" s="3"/>
      <c r="D285" s="3"/>
      <c r="E285" s="3"/>
      <c r="F285" s="3"/>
      <c r="G285" s="3"/>
      <c r="H285" s="3"/>
      <c r="I285" s="3"/>
      <c r="J285" s="3"/>
      <c r="K285" s="3"/>
      <c r="L285" s="3"/>
      <c r="M285" s="3"/>
      <c r="N285" s="3"/>
      <c r="O285" s="3"/>
      <c r="P285" s="3"/>
      <c r="AB285" s="149"/>
      <c r="AC285" s="149"/>
      <c r="AD285" s="149"/>
      <c r="AE285" s="149"/>
      <c r="AF285" s="149"/>
      <c r="AG285" s="14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row>
    <row r="286" spans="2:102">
      <c r="B286" s="3"/>
      <c r="C286" s="3"/>
      <c r="D286" s="3"/>
      <c r="E286" s="3"/>
      <c r="F286" s="3"/>
      <c r="G286" s="3"/>
      <c r="H286" s="3"/>
      <c r="I286" s="3"/>
      <c r="J286" s="3"/>
      <c r="K286" s="3"/>
      <c r="L286" s="3"/>
      <c r="M286" s="3"/>
      <c r="N286" s="3"/>
      <c r="O286" s="3"/>
      <c r="P286" s="3"/>
      <c r="AB286" s="149"/>
      <c r="AC286" s="149"/>
      <c r="AD286" s="149"/>
      <c r="AE286" s="149"/>
      <c r="AF286" s="149"/>
      <c r="AG286" s="14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row>
    <row r="287" spans="2:102">
      <c r="B287" s="3"/>
      <c r="C287" s="3"/>
      <c r="D287" s="3"/>
      <c r="E287" s="3"/>
      <c r="F287" s="3"/>
      <c r="G287" s="3"/>
      <c r="H287" s="3"/>
      <c r="I287" s="3"/>
      <c r="J287" s="3"/>
      <c r="K287" s="3"/>
      <c r="L287" s="3"/>
      <c r="M287" s="3"/>
      <c r="N287" s="3"/>
      <c r="O287" s="3"/>
      <c r="P287" s="3"/>
      <c r="AB287" s="149"/>
      <c r="AC287" s="149"/>
      <c r="AD287" s="149"/>
      <c r="AE287" s="149"/>
      <c r="AF287" s="149"/>
      <c r="AG287" s="14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row>
    <row r="288" spans="2:102">
      <c r="B288" s="3"/>
      <c r="C288" s="3"/>
      <c r="D288" s="3"/>
      <c r="E288" s="3"/>
      <c r="F288" s="3"/>
      <c r="G288" s="3"/>
      <c r="H288" s="3"/>
      <c r="I288" s="3"/>
      <c r="J288" s="3"/>
      <c r="K288" s="3"/>
      <c r="L288" s="3"/>
      <c r="M288" s="3"/>
      <c r="N288" s="3"/>
      <c r="O288" s="3"/>
      <c r="P288" s="3"/>
      <c r="AB288" s="149"/>
      <c r="AC288" s="149"/>
      <c r="AD288" s="149"/>
      <c r="AE288" s="149"/>
      <c r="AF288" s="149"/>
      <c r="AG288" s="14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row>
    <row r="289" spans="2:102">
      <c r="B289" s="3"/>
      <c r="C289" s="3"/>
      <c r="D289" s="3"/>
      <c r="E289" s="3"/>
      <c r="F289" s="3"/>
      <c r="G289" s="3"/>
      <c r="H289" s="3"/>
      <c r="I289" s="3"/>
      <c r="J289" s="3"/>
      <c r="K289" s="3"/>
      <c r="L289" s="3"/>
      <c r="M289" s="3"/>
      <c r="N289" s="3"/>
      <c r="O289" s="3"/>
      <c r="P289" s="3"/>
      <c r="AB289" s="149"/>
      <c r="AC289" s="149"/>
      <c r="AD289" s="149"/>
      <c r="AE289" s="149"/>
      <c r="AF289" s="149"/>
      <c r="AG289" s="14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row>
    <row r="290" spans="2:102">
      <c r="B290" s="3"/>
      <c r="C290" s="3"/>
      <c r="D290" s="3"/>
      <c r="E290" s="3"/>
      <c r="F290" s="3"/>
      <c r="G290" s="3"/>
      <c r="H290" s="3"/>
      <c r="I290" s="3"/>
      <c r="J290" s="3"/>
      <c r="K290" s="3"/>
      <c r="L290" s="3"/>
      <c r="M290" s="3"/>
      <c r="N290" s="3"/>
      <c r="O290" s="3"/>
      <c r="P290" s="3"/>
      <c r="AB290" s="149"/>
      <c r="AC290" s="149"/>
      <c r="AD290" s="149"/>
      <c r="AE290" s="149"/>
      <c r="AF290" s="149"/>
      <c r="AG290" s="14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row>
    <row r="291" spans="2:102">
      <c r="B291" s="3"/>
      <c r="C291" s="3"/>
      <c r="D291" s="3"/>
      <c r="E291" s="3"/>
      <c r="F291" s="3"/>
      <c r="G291" s="3"/>
      <c r="H291" s="3"/>
      <c r="I291" s="3"/>
      <c r="J291" s="3"/>
      <c r="K291" s="3"/>
      <c r="L291" s="3"/>
      <c r="M291" s="3"/>
      <c r="N291" s="3"/>
      <c r="O291" s="3"/>
      <c r="P291" s="3"/>
      <c r="AB291" s="149"/>
      <c r="AC291" s="149"/>
      <c r="AD291" s="149"/>
      <c r="AE291" s="149"/>
      <c r="AF291" s="149"/>
      <c r="AG291" s="14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row>
    <row r="292" spans="2:102">
      <c r="B292" s="3"/>
      <c r="C292" s="3"/>
      <c r="D292" s="3"/>
      <c r="E292" s="3"/>
      <c r="F292" s="3"/>
      <c r="G292" s="3"/>
      <c r="H292" s="3"/>
      <c r="I292" s="3"/>
      <c r="J292" s="3"/>
      <c r="K292" s="3"/>
      <c r="L292" s="3"/>
      <c r="M292" s="3"/>
      <c r="N292" s="3"/>
      <c r="O292" s="3"/>
      <c r="P292" s="3"/>
      <c r="AB292" s="149"/>
      <c r="AC292" s="149"/>
      <c r="AD292" s="149"/>
      <c r="AE292" s="149"/>
      <c r="AF292" s="149"/>
      <c r="AG292" s="14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row>
    <row r="293" spans="2:102">
      <c r="B293" s="3"/>
      <c r="C293" s="3"/>
      <c r="D293" s="3"/>
      <c r="E293" s="3"/>
      <c r="F293" s="3"/>
      <c r="G293" s="3"/>
      <c r="H293" s="3"/>
      <c r="I293" s="3"/>
      <c r="J293" s="3"/>
      <c r="K293" s="3"/>
      <c r="L293" s="3"/>
      <c r="M293" s="3"/>
      <c r="N293" s="3"/>
      <c r="O293" s="3"/>
      <c r="P293" s="3"/>
      <c r="AB293" s="149"/>
      <c r="AC293" s="149"/>
      <c r="AD293" s="149"/>
      <c r="AE293" s="149"/>
      <c r="AF293" s="149"/>
      <c r="AG293" s="14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row>
    <row r="294" spans="2:102">
      <c r="B294" s="3"/>
      <c r="C294" s="3"/>
      <c r="D294" s="3"/>
      <c r="E294" s="3"/>
      <c r="F294" s="3"/>
      <c r="G294" s="3"/>
      <c r="H294" s="3"/>
      <c r="I294" s="3"/>
      <c r="J294" s="3"/>
      <c r="K294" s="3"/>
      <c r="L294" s="3"/>
      <c r="M294" s="3"/>
      <c r="N294" s="3"/>
      <c r="O294" s="3"/>
      <c r="P294" s="3"/>
      <c r="AB294" s="149"/>
      <c r="AC294" s="149"/>
      <c r="AD294" s="149"/>
      <c r="AE294" s="149"/>
      <c r="AF294" s="149"/>
      <c r="AG294" s="14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row>
    <row r="295" spans="2:102">
      <c r="B295" s="3"/>
      <c r="C295" s="3"/>
      <c r="D295" s="3"/>
      <c r="E295" s="3"/>
      <c r="F295" s="3"/>
      <c r="G295" s="3"/>
      <c r="H295" s="3"/>
      <c r="I295" s="3"/>
      <c r="J295" s="3"/>
      <c r="K295" s="3"/>
      <c r="L295" s="3"/>
      <c r="M295" s="3"/>
      <c r="N295" s="3"/>
      <c r="O295" s="3"/>
      <c r="P295" s="3"/>
      <c r="AB295" s="149"/>
      <c r="AC295" s="149"/>
      <c r="AD295" s="149"/>
      <c r="AE295" s="149"/>
      <c r="AF295" s="149"/>
      <c r="AG295" s="14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row>
    <row r="296" spans="2:102">
      <c r="B296" s="3"/>
      <c r="C296" s="3"/>
      <c r="D296" s="3"/>
      <c r="E296" s="3"/>
      <c r="F296" s="3"/>
      <c r="G296" s="3"/>
      <c r="H296" s="3"/>
      <c r="I296" s="3"/>
      <c r="J296" s="3"/>
      <c r="K296" s="3"/>
      <c r="L296" s="3"/>
      <c r="M296" s="3"/>
      <c r="N296" s="3"/>
      <c r="O296" s="3"/>
      <c r="P296" s="3"/>
      <c r="AB296" s="149"/>
      <c r="AC296" s="149"/>
      <c r="AD296" s="149"/>
      <c r="AE296" s="149"/>
      <c r="AF296" s="149"/>
      <c r="AG296" s="14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row>
    <row r="297" spans="2:102">
      <c r="B297" s="3"/>
      <c r="C297" s="3"/>
      <c r="D297" s="3"/>
      <c r="E297" s="3"/>
      <c r="F297" s="3"/>
      <c r="G297" s="3"/>
      <c r="H297" s="3"/>
      <c r="I297" s="3"/>
      <c r="J297" s="3"/>
      <c r="K297" s="3"/>
      <c r="L297" s="3"/>
      <c r="M297" s="3"/>
      <c r="N297" s="3"/>
      <c r="O297" s="3"/>
      <c r="P297" s="3"/>
      <c r="AB297" s="149"/>
      <c r="AC297" s="149"/>
      <c r="AD297" s="149"/>
      <c r="AE297" s="149"/>
      <c r="AF297" s="149"/>
      <c r="AG297" s="14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row>
    <row r="298" spans="2:102">
      <c r="B298" s="3"/>
      <c r="C298" s="3"/>
      <c r="D298" s="3"/>
      <c r="E298" s="3"/>
      <c r="F298" s="3"/>
      <c r="G298" s="3"/>
      <c r="H298" s="3"/>
      <c r="I298" s="3"/>
      <c r="J298" s="3"/>
      <c r="K298" s="3"/>
      <c r="L298" s="3"/>
      <c r="M298" s="3"/>
      <c r="N298" s="3"/>
      <c r="O298" s="3"/>
      <c r="P298" s="3"/>
      <c r="AB298" s="149"/>
      <c r="AC298" s="149"/>
      <c r="AD298" s="149"/>
      <c r="AE298" s="149"/>
      <c r="AF298" s="149"/>
      <c r="AG298" s="14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row>
    <row r="299" spans="2:102">
      <c r="B299" s="3"/>
      <c r="C299" s="3"/>
      <c r="D299" s="3"/>
      <c r="E299" s="3"/>
      <c r="F299" s="3"/>
      <c r="G299" s="3"/>
      <c r="H299" s="3"/>
      <c r="I299" s="3"/>
      <c r="J299" s="3"/>
      <c r="K299" s="3"/>
      <c r="L299" s="3"/>
      <c r="M299" s="3"/>
      <c r="N299" s="3"/>
      <c r="O299" s="3"/>
      <c r="P299" s="3"/>
      <c r="AB299" s="149"/>
      <c r="AC299" s="149"/>
      <c r="AD299" s="149"/>
      <c r="AE299" s="149"/>
      <c r="AF299" s="149"/>
      <c r="AG299" s="14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row>
    <row r="300" spans="2:102">
      <c r="B300" s="3"/>
      <c r="C300" s="3"/>
      <c r="D300" s="3"/>
      <c r="E300" s="3"/>
      <c r="F300" s="3"/>
      <c r="G300" s="3"/>
      <c r="H300" s="3"/>
      <c r="I300" s="3"/>
      <c r="J300" s="3"/>
      <c r="K300" s="3"/>
      <c r="L300" s="3"/>
      <c r="M300" s="3"/>
      <c r="N300" s="3"/>
      <c r="O300" s="3"/>
      <c r="P300" s="3"/>
      <c r="AB300" s="149"/>
      <c r="AC300" s="149"/>
      <c r="AD300" s="149"/>
      <c r="AE300" s="149"/>
      <c r="AF300" s="149"/>
      <c r="AG300" s="14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row>
    <row r="301" spans="2:102">
      <c r="B301" s="3"/>
      <c r="C301" s="3"/>
      <c r="D301" s="3"/>
      <c r="E301" s="3"/>
      <c r="F301" s="3"/>
      <c r="G301" s="3"/>
      <c r="H301" s="3"/>
      <c r="I301" s="3"/>
      <c r="J301" s="3"/>
      <c r="K301" s="3"/>
      <c r="L301" s="3"/>
      <c r="M301" s="3"/>
      <c r="N301" s="3"/>
      <c r="O301" s="3"/>
      <c r="P301" s="3"/>
      <c r="AB301" s="149"/>
      <c r="AC301" s="149"/>
      <c r="AD301" s="149"/>
      <c r="AE301" s="149"/>
      <c r="AF301" s="149"/>
      <c r="AG301" s="14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row>
    <row r="302" spans="2:102">
      <c r="B302" s="3"/>
      <c r="C302" s="3"/>
      <c r="D302" s="3"/>
      <c r="E302" s="3"/>
      <c r="F302" s="3"/>
      <c r="G302" s="3"/>
      <c r="H302" s="3"/>
      <c r="I302" s="3"/>
      <c r="J302" s="3"/>
      <c r="K302" s="3"/>
      <c r="L302" s="3"/>
      <c r="M302" s="3"/>
      <c r="N302" s="3"/>
      <c r="O302" s="3"/>
      <c r="P302" s="3"/>
      <c r="AB302" s="149"/>
      <c r="AC302" s="149"/>
      <c r="AD302" s="149"/>
      <c r="AE302" s="149"/>
      <c r="AF302" s="149"/>
      <c r="AG302" s="14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row>
    <row r="303" spans="2:102">
      <c r="B303" s="3"/>
      <c r="C303" s="3"/>
      <c r="D303" s="3"/>
      <c r="E303" s="3"/>
      <c r="F303" s="3"/>
      <c r="G303" s="3"/>
      <c r="H303" s="3"/>
      <c r="I303" s="3"/>
      <c r="J303" s="3"/>
      <c r="K303" s="3"/>
      <c r="L303" s="3"/>
      <c r="M303" s="3"/>
      <c r="N303" s="3"/>
      <c r="O303" s="3"/>
      <c r="P303" s="3"/>
      <c r="AB303" s="149"/>
      <c r="AC303" s="149"/>
      <c r="AD303" s="149"/>
      <c r="AE303" s="149"/>
      <c r="AF303" s="149"/>
      <c r="AG303" s="14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row>
    <row r="304" spans="2:102">
      <c r="B304" s="3"/>
      <c r="C304" s="3"/>
      <c r="D304" s="3"/>
      <c r="E304" s="3"/>
      <c r="F304" s="3"/>
      <c r="G304" s="3"/>
      <c r="H304" s="3"/>
      <c r="I304" s="3"/>
      <c r="J304" s="3"/>
      <c r="K304" s="3"/>
      <c r="L304" s="3"/>
      <c r="M304" s="3"/>
      <c r="N304" s="3"/>
      <c r="O304" s="3"/>
      <c r="P304" s="3"/>
      <c r="AB304" s="149"/>
      <c r="AC304" s="149"/>
      <c r="AD304" s="149"/>
      <c r="AE304" s="149"/>
      <c r="AF304" s="149"/>
      <c r="AG304" s="14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row>
    <row r="305" spans="2:102">
      <c r="B305" s="3"/>
      <c r="C305" s="3"/>
      <c r="D305" s="3"/>
      <c r="E305" s="3"/>
      <c r="F305" s="3"/>
      <c r="G305" s="3"/>
      <c r="H305" s="3"/>
      <c r="I305" s="3"/>
      <c r="J305" s="3"/>
      <c r="K305" s="3"/>
      <c r="L305" s="3"/>
      <c r="M305" s="3"/>
      <c r="N305" s="3"/>
      <c r="O305" s="3"/>
      <c r="P305" s="3"/>
      <c r="AB305" s="149"/>
      <c r="AC305" s="149"/>
      <c r="AD305" s="149"/>
      <c r="AE305" s="149"/>
      <c r="AF305" s="149"/>
      <c r="AG305" s="14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row>
    <row r="306" spans="2:102">
      <c r="B306" s="3"/>
      <c r="C306" s="3"/>
      <c r="D306" s="3"/>
      <c r="E306" s="3"/>
      <c r="F306" s="3"/>
      <c r="G306" s="3"/>
      <c r="H306" s="3"/>
      <c r="I306" s="3"/>
      <c r="J306" s="3"/>
      <c r="K306" s="3"/>
      <c r="L306" s="3"/>
      <c r="M306" s="3"/>
      <c r="N306" s="3"/>
      <c r="O306" s="3"/>
      <c r="P306" s="3"/>
      <c r="AB306" s="149"/>
      <c r="AC306" s="149"/>
      <c r="AD306" s="149"/>
      <c r="AE306" s="149"/>
      <c r="AF306" s="149"/>
      <c r="AG306" s="14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row>
    <row r="307" spans="2:102">
      <c r="B307" s="3"/>
      <c r="C307" s="3"/>
      <c r="D307" s="3"/>
      <c r="E307" s="3"/>
      <c r="F307" s="3"/>
      <c r="G307" s="3"/>
      <c r="H307" s="3"/>
      <c r="I307" s="3"/>
      <c r="J307" s="3"/>
      <c r="K307" s="3"/>
      <c r="L307" s="3"/>
      <c r="M307" s="3"/>
      <c r="N307" s="3"/>
      <c r="O307" s="3"/>
      <c r="P307" s="3"/>
      <c r="AB307" s="149"/>
      <c r="AC307" s="149"/>
      <c r="AD307" s="149"/>
      <c r="AE307" s="149"/>
      <c r="AF307" s="149"/>
      <c r="AG307" s="14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row>
    <row r="308" spans="2:102">
      <c r="B308" s="3"/>
      <c r="C308" s="3"/>
      <c r="D308" s="3"/>
      <c r="E308" s="3"/>
      <c r="F308" s="3"/>
      <c r="G308" s="3"/>
      <c r="H308" s="3"/>
      <c r="I308" s="3"/>
      <c r="J308" s="3"/>
      <c r="K308" s="3"/>
      <c r="L308" s="3"/>
      <c r="M308" s="3"/>
      <c r="N308" s="3"/>
      <c r="O308" s="3"/>
      <c r="P308" s="3"/>
      <c r="AB308" s="149"/>
      <c r="AC308" s="149"/>
      <c r="AD308" s="149"/>
      <c r="AE308" s="149"/>
      <c r="AF308" s="149"/>
      <c r="AG308" s="14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row>
    <row r="309" spans="2:102">
      <c r="B309" s="3"/>
      <c r="C309" s="3"/>
      <c r="D309" s="3"/>
      <c r="E309" s="3"/>
      <c r="F309" s="3"/>
      <c r="G309" s="3"/>
      <c r="H309" s="3"/>
      <c r="I309" s="3"/>
      <c r="J309" s="3"/>
      <c r="K309" s="3"/>
      <c r="L309" s="3"/>
      <c r="M309" s="3"/>
      <c r="N309" s="3"/>
      <c r="O309" s="3"/>
      <c r="P309" s="3"/>
      <c r="AB309" s="149"/>
      <c r="AC309" s="149"/>
      <c r="AD309" s="149"/>
      <c r="AE309" s="149"/>
      <c r="AF309" s="149"/>
      <c r="AG309" s="14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row>
    <row r="310" spans="2:102">
      <c r="B310" s="3"/>
      <c r="C310" s="3"/>
      <c r="D310" s="3"/>
      <c r="E310" s="3"/>
      <c r="F310" s="3"/>
      <c r="G310" s="3"/>
      <c r="H310" s="3"/>
      <c r="I310" s="3"/>
      <c r="J310" s="3"/>
      <c r="K310" s="3"/>
      <c r="L310" s="3"/>
      <c r="M310" s="3"/>
      <c r="N310" s="3"/>
      <c r="O310" s="3"/>
      <c r="P310" s="3"/>
      <c r="AB310" s="149"/>
      <c r="AC310" s="149"/>
      <c r="AD310" s="149"/>
      <c r="AE310" s="149"/>
      <c r="AF310" s="149"/>
      <c r="AG310" s="14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row>
    <row r="311" spans="2:102">
      <c r="B311" s="3"/>
      <c r="C311" s="3"/>
      <c r="D311" s="3"/>
      <c r="E311" s="3"/>
      <c r="F311" s="3"/>
      <c r="G311" s="3"/>
      <c r="H311" s="3"/>
      <c r="I311" s="3"/>
      <c r="J311" s="3"/>
      <c r="K311" s="3"/>
      <c r="L311" s="3"/>
      <c r="M311" s="3"/>
      <c r="N311" s="3"/>
      <c r="O311" s="3"/>
      <c r="P311" s="3"/>
      <c r="AB311" s="149"/>
      <c r="AC311" s="149"/>
      <c r="AD311" s="149"/>
      <c r="AE311" s="149"/>
      <c r="AF311" s="149"/>
      <c r="AG311" s="14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row>
    <row r="312" spans="2:102">
      <c r="B312" s="3"/>
      <c r="C312" s="3"/>
      <c r="D312" s="3"/>
      <c r="E312" s="3"/>
      <c r="F312" s="3"/>
      <c r="G312" s="3"/>
      <c r="H312" s="3"/>
      <c r="I312" s="3"/>
      <c r="J312" s="3"/>
      <c r="K312" s="3"/>
      <c r="L312" s="3"/>
      <c r="M312" s="3"/>
      <c r="N312" s="3"/>
      <c r="O312" s="3"/>
      <c r="P312" s="3"/>
      <c r="AB312" s="149"/>
      <c r="AC312" s="149"/>
      <c r="AD312" s="149"/>
      <c r="AE312" s="149"/>
      <c r="AF312" s="149"/>
      <c r="AG312" s="14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row>
    <row r="313" spans="2:102">
      <c r="B313" s="3"/>
      <c r="C313" s="3"/>
      <c r="D313" s="3"/>
      <c r="E313" s="3"/>
      <c r="F313" s="3"/>
      <c r="G313" s="3"/>
      <c r="H313" s="3"/>
      <c r="I313" s="3"/>
      <c r="J313" s="3"/>
      <c r="K313" s="3"/>
      <c r="L313" s="3"/>
      <c r="M313" s="3"/>
      <c r="N313" s="3"/>
      <c r="O313" s="3"/>
      <c r="P313" s="3"/>
      <c r="AB313" s="149"/>
      <c r="AC313" s="149"/>
      <c r="AD313" s="149"/>
      <c r="AE313" s="149"/>
      <c r="AF313" s="149"/>
      <c r="AG313" s="14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row>
    <row r="314" spans="2:102">
      <c r="B314" s="3"/>
      <c r="C314" s="3"/>
      <c r="D314" s="3"/>
      <c r="E314" s="3"/>
      <c r="F314" s="3"/>
      <c r="G314" s="3"/>
      <c r="H314" s="3"/>
      <c r="I314" s="3"/>
      <c r="J314" s="3"/>
      <c r="K314" s="3"/>
      <c r="L314" s="3"/>
      <c r="M314" s="3"/>
      <c r="N314" s="3"/>
      <c r="O314" s="3"/>
      <c r="P314" s="3"/>
      <c r="AB314" s="149"/>
      <c r="AC314" s="149"/>
      <c r="AD314" s="149"/>
      <c r="AE314" s="149"/>
      <c r="AF314" s="149"/>
      <c r="AG314" s="14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row>
    <row r="315" spans="2:102">
      <c r="B315" s="3"/>
      <c r="C315" s="3"/>
      <c r="D315" s="3"/>
      <c r="E315" s="3"/>
      <c r="F315" s="3"/>
      <c r="G315" s="3"/>
      <c r="H315" s="3"/>
      <c r="I315" s="3"/>
      <c r="J315" s="3"/>
      <c r="K315" s="3"/>
      <c r="L315" s="3"/>
      <c r="M315" s="3"/>
      <c r="N315" s="3"/>
      <c r="O315" s="3"/>
      <c r="P315" s="3"/>
      <c r="AB315" s="149"/>
      <c r="AC315" s="149"/>
      <c r="AD315" s="149"/>
      <c r="AE315" s="149"/>
      <c r="AF315" s="149"/>
      <c r="AG315" s="14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row>
    <row r="316" spans="2:102">
      <c r="B316" s="3"/>
      <c r="C316" s="3"/>
      <c r="D316" s="3"/>
      <c r="E316" s="3"/>
      <c r="F316" s="3"/>
      <c r="G316" s="3"/>
      <c r="H316" s="3"/>
      <c r="I316" s="3"/>
      <c r="J316" s="3"/>
      <c r="K316" s="3"/>
      <c r="L316" s="3"/>
      <c r="M316" s="3"/>
      <c r="N316" s="3"/>
      <c r="O316" s="3"/>
      <c r="P316" s="3"/>
      <c r="AB316" s="149"/>
      <c r="AC316" s="149"/>
      <c r="AD316" s="149"/>
      <c r="AE316" s="149"/>
      <c r="AF316" s="149"/>
      <c r="AG316" s="14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row>
    <row r="317" spans="2:102">
      <c r="B317" s="3"/>
      <c r="C317" s="3"/>
      <c r="D317" s="3"/>
      <c r="E317" s="3"/>
      <c r="F317" s="3"/>
      <c r="G317" s="3"/>
      <c r="H317" s="3"/>
      <c r="I317" s="3"/>
      <c r="J317" s="3"/>
      <c r="K317" s="3"/>
      <c r="L317" s="3"/>
      <c r="M317" s="3"/>
      <c r="N317" s="3"/>
      <c r="O317" s="3"/>
      <c r="P317" s="3"/>
      <c r="AB317" s="149"/>
      <c r="AC317" s="149"/>
      <c r="AD317" s="149"/>
      <c r="AE317" s="149"/>
      <c r="AF317" s="149"/>
      <c r="AG317" s="14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row>
    <row r="318" spans="2:102">
      <c r="B318" s="3"/>
      <c r="C318" s="3"/>
      <c r="D318" s="3"/>
      <c r="E318" s="3"/>
      <c r="F318" s="3"/>
      <c r="G318" s="3"/>
      <c r="H318" s="3"/>
      <c r="I318" s="3"/>
      <c r="J318" s="3"/>
      <c r="K318" s="3"/>
      <c r="L318" s="3"/>
      <c r="M318" s="3"/>
      <c r="N318" s="3"/>
      <c r="O318" s="3"/>
      <c r="P318" s="3"/>
      <c r="AB318" s="149"/>
      <c r="AC318" s="149"/>
      <c r="AD318" s="149"/>
      <c r="AE318" s="149"/>
      <c r="AF318" s="149"/>
      <c r="AG318" s="14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row>
    <row r="319" spans="2:102">
      <c r="B319" s="3"/>
      <c r="C319" s="3"/>
      <c r="D319" s="3"/>
      <c r="E319" s="3"/>
      <c r="F319" s="3"/>
      <c r="G319" s="3"/>
      <c r="H319" s="3"/>
      <c r="I319" s="3"/>
      <c r="J319" s="3"/>
      <c r="K319" s="3"/>
      <c r="L319" s="3"/>
      <c r="M319" s="3"/>
      <c r="N319" s="3"/>
      <c r="O319" s="3"/>
      <c r="P319" s="3"/>
      <c r="AB319" s="149"/>
      <c r="AC319" s="149"/>
      <c r="AD319" s="149"/>
      <c r="AE319" s="149"/>
      <c r="AF319" s="149"/>
      <c r="AG319" s="14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row>
    <row r="320" spans="2:102">
      <c r="B320" s="3"/>
      <c r="C320" s="3"/>
      <c r="D320" s="3"/>
      <c r="E320" s="3"/>
      <c r="F320" s="3"/>
      <c r="G320" s="3"/>
      <c r="H320" s="3"/>
      <c r="I320" s="3"/>
      <c r="J320" s="3"/>
      <c r="K320" s="3"/>
      <c r="L320" s="3"/>
      <c r="M320" s="3"/>
      <c r="N320" s="3"/>
      <c r="O320" s="3"/>
      <c r="P320" s="3"/>
      <c r="AB320" s="149"/>
      <c r="AC320" s="149"/>
      <c r="AD320" s="149"/>
      <c r="AE320" s="149"/>
      <c r="AF320" s="149"/>
      <c r="AG320" s="14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row>
    <row r="321" spans="2:102">
      <c r="B321" s="3"/>
      <c r="C321" s="3"/>
      <c r="D321" s="3"/>
      <c r="E321" s="3"/>
      <c r="F321" s="3"/>
      <c r="G321" s="3"/>
      <c r="H321" s="3"/>
      <c r="I321" s="3"/>
      <c r="J321" s="3"/>
      <c r="K321" s="3"/>
      <c r="L321" s="3"/>
      <c r="M321" s="3"/>
      <c r="N321" s="3"/>
      <c r="O321" s="3"/>
      <c r="P321" s="3"/>
      <c r="AB321" s="149"/>
      <c r="AC321" s="149"/>
      <c r="AD321" s="149"/>
      <c r="AE321" s="149"/>
      <c r="AF321" s="149"/>
      <c r="AG321" s="14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row>
    <row r="322" spans="2:102">
      <c r="B322" s="3"/>
      <c r="C322" s="3"/>
      <c r="D322" s="3"/>
      <c r="E322" s="3"/>
      <c r="F322" s="3"/>
      <c r="G322" s="3"/>
      <c r="H322" s="3"/>
      <c r="I322" s="3"/>
      <c r="J322" s="3"/>
      <c r="K322" s="3"/>
      <c r="L322" s="3"/>
      <c r="M322" s="3"/>
      <c r="N322" s="3"/>
      <c r="O322" s="3"/>
      <c r="P322" s="3"/>
      <c r="AB322" s="149"/>
      <c r="AC322" s="149"/>
      <c r="AD322" s="149"/>
      <c r="AE322" s="149"/>
      <c r="AF322" s="149"/>
      <c r="AG322" s="14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row>
    <row r="323" spans="2:102">
      <c r="B323" s="3"/>
      <c r="C323" s="3"/>
      <c r="D323" s="3"/>
      <c r="E323" s="3"/>
      <c r="F323" s="3"/>
      <c r="G323" s="3"/>
      <c r="H323" s="3"/>
      <c r="I323" s="3"/>
      <c r="J323" s="3"/>
      <c r="K323" s="3"/>
      <c r="L323" s="3"/>
      <c r="M323" s="3"/>
      <c r="N323" s="3"/>
      <c r="O323" s="3"/>
      <c r="P323" s="3"/>
      <c r="AB323" s="149"/>
      <c r="AC323" s="149"/>
      <c r="AD323" s="149"/>
      <c r="AE323" s="149"/>
      <c r="AF323" s="149"/>
      <c r="AG323" s="14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row>
    <row r="324" spans="2:102">
      <c r="B324" s="3"/>
      <c r="C324" s="3"/>
      <c r="D324" s="3"/>
      <c r="E324" s="3"/>
      <c r="F324" s="3"/>
      <c r="G324" s="3"/>
      <c r="H324" s="3"/>
      <c r="I324" s="3"/>
      <c r="J324" s="3"/>
      <c r="K324" s="3"/>
      <c r="L324" s="3"/>
      <c r="M324" s="3"/>
      <c r="N324" s="3"/>
      <c r="O324" s="3"/>
      <c r="P324" s="3"/>
      <c r="AB324" s="149"/>
      <c r="AC324" s="149"/>
      <c r="AD324" s="149"/>
      <c r="AE324" s="149"/>
      <c r="AF324" s="149"/>
      <c r="AG324" s="14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row>
    <row r="325" spans="2:102">
      <c r="B325" s="3"/>
      <c r="C325" s="3"/>
      <c r="D325" s="3"/>
      <c r="E325" s="3"/>
      <c r="F325" s="3"/>
      <c r="G325" s="3"/>
      <c r="H325" s="3"/>
      <c r="I325" s="3"/>
      <c r="J325" s="3"/>
      <c r="K325" s="3"/>
      <c r="L325" s="3"/>
      <c r="M325" s="3"/>
      <c r="N325" s="3"/>
      <c r="O325" s="3"/>
      <c r="P325" s="3"/>
      <c r="AB325" s="149"/>
      <c r="AC325" s="149"/>
      <c r="AD325" s="149"/>
      <c r="AE325" s="149"/>
      <c r="AF325" s="149"/>
      <c r="AG325" s="14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row>
    <row r="326" spans="2:102">
      <c r="B326" s="3"/>
      <c r="C326" s="3"/>
      <c r="D326" s="3"/>
      <c r="E326" s="3"/>
      <c r="F326" s="3"/>
      <c r="G326" s="3"/>
      <c r="H326" s="3"/>
      <c r="I326" s="3"/>
      <c r="J326" s="3"/>
      <c r="K326" s="3"/>
      <c r="L326" s="3"/>
      <c r="M326" s="3"/>
      <c r="N326" s="3"/>
      <c r="O326" s="3"/>
      <c r="P326" s="3"/>
      <c r="AB326" s="149"/>
      <c r="AC326" s="149"/>
      <c r="AD326" s="149"/>
      <c r="AE326" s="149"/>
      <c r="AF326" s="149"/>
      <c r="AG326" s="14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row>
    <row r="327" spans="2:102">
      <c r="B327" s="3"/>
      <c r="C327" s="3"/>
      <c r="D327" s="3"/>
      <c r="E327" s="3"/>
      <c r="F327" s="3"/>
      <c r="G327" s="3"/>
      <c r="H327" s="3"/>
      <c r="I327" s="3"/>
      <c r="J327" s="3"/>
      <c r="K327" s="3"/>
      <c r="L327" s="3"/>
      <c r="M327" s="3"/>
      <c r="N327" s="3"/>
      <c r="O327" s="3"/>
      <c r="P327" s="3"/>
      <c r="AB327" s="149"/>
      <c r="AC327" s="149"/>
      <c r="AD327" s="149"/>
      <c r="AE327" s="149"/>
      <c r="AF327" s="149"/>
      <c r="AG327" s="14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row>
    <row r="328" spans="2:102">
      <c r="B328" s="3"/>
      <c r="C328" s="3"/>
      <c r="D328" s="3"/>
      <c r="E328" s="3"/>
      <c r="F328" s="3"/>
      <c r="G328" s="3"/>
      <c r="H328" s="3"/>
      <c r="I328" s="3"/>
      <c r="J328" s="3"/>
      <c r="K328" s="3"/>
      <c r="L328" s="3"/>
      <c r="M328" s="3"/>
      <c r="N328" s="3"/>
      <c r="O328" s="3"/>
      <c r="P328" s="3"/>
      <c r="AB328" s="149"/>
      <c r="AC328" s="149"/>
      <c r="AD328" s="149"/>
      <c r="AE328" s="149"/>
      <c r="AF328" s="149"/>
      <c r="AG328" s="14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row>
    <row r="329" spans="2:102">
      <c r="B329" s="3"/>
      <c r="C329" s="3"/>
      <c r="D329" s="3"/>
      <c r="E329" s="3"/>
      <c r="F329" s="3"/>
      <c r="G329" s="3"/>
      <c r="H329" s="3"/>
      <c r="I329" s="3"/>
      <c r="J329" s="3"/>
      <c r="K329" s="3"/>
      <c r="L329" s="3"/>
      <c r="M329" s="3"/>
      <c r="N329" s="3"/>
      <c r="O329" s="3"/>
      <c r="P329" s="3"/>
      <c r="AB329" s="149"/>
      <c r="AC329" s="149"/>
      <c r="AD329" s="149"/>
      <c r="AE329" s="149"/>
      <c r="AF329" s="149"/>
      <c r="AG329" s="14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row>
    <row r="330" spans="2:102">
      <c r="B330" s="3"/>
      <c r="C330" s="3"/>
      <c r="D330" s="3"/>
      <c r="E330" s="3"/>
      <c r="F330" s="3"/>
      <c r="G330" s="3"/>
      <c r="H330" s="3"/>
      <c r="I330" s="3"/>
      <c r="J330" s="3"/>
      <c r="K330" s="3"/>
      <c r="L330" s="3"/>
      <c r="M330" s="3"/>
      <c r="N330" s="3"/>
      <c r="O330" s="3"/>
      <c r="P330" s="3"/>
      <c r="AB330" s="149"/>
      <c r="AC330" s="149"/>
      <c r="AD330" s="149"/>
      <c r="AE330" s="149"/>
      <c r="AF330" s="149"/>
      <c r="AG330" s="14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row>
    <row r="331" spans="2:102">
      <c r="B331" s="3"/>
      <c r="C331" s="3"/>
      <c r="D331" s="3"/>
      <c r="E331" s="3"/>
      <c r="F331" s="3"/>
      <c r="G331" s="3"/>
      <c r="H331" s="3"/>
      <c r="I331" s="3"/>
      <c r="J331" s="3"/>
      <c r="K331" s="3"/>
      <c r="L331" s="3"/>
      <c r="M331" s="3"/>
      <c r="N331" s="3"/>
      <c r="O331" s="3"/>
      <c r="P331" s="3"/>
      <c r="AB331" s="149"/>
      <c r="AC331" s="149"/>
      <c r="AD331" s="149"/>
      <c r="AE331" s="149"/>
      <c r="AF331" s="149"/>
      <c r="AG331" s="14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row>
    <row r="332" spans="2:102">
      <c r="B332" s="3"/>
      <c r="C332" s="3"/>
      <c r="D332" s="3"/>
      <c r="E332" s="3"/>
      <c r="F332" s="3"/>
      <c r="G332" s="3"/>
      <c r="H332" s="3"/>
      <c r="I332" s="3"/>
      <c r="J332" s="3"/>
      <c r="K332" s="3"/>
      <c r="L332" s="3"/>
      <c r="M332" s="3"/>
      <c r="N332" s="3"/>
      <c r="O332" s="3"/>
      <c r="P332" s="3"/>
      <c r="AB332" s="149"/>
      <c r="AC332" s="149"/>
      <c r="AD332" s="149"/>
      <c r="AE332" s="149"/>
      <c r="AF332" s="149"/>
      <c r="AG332" s="14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row>
    <row r="333" spans="2:102">
      <c r="B333" s="3"/>
      <c r="C333" s="3"/>
      <c r="D333" s="3"/>
      <c r="E333" s="3"/>
      <c r="F333" s="3"/>
      <c r="G333" s="3"/>
      <c r="H333" s="3"/>
      <c r="I333" s="3"/>
      <c r="J333" s="3"/>
      <c r="K333" s="3"/>
      <c r="L333" s="3"/>
      <c r="M333" s="3"/>
      <c r="N333" s="3"/>
      <c r="O333" s="3"/>
      <c r="P333" s="3"/>
      <c r="AB333" s="149"/>
      <c r="AC333" s="149"/>
      <c r="AD333" s="149"/>
      <c r="AE333" s="149"/>
      <c r="AF333" s="149"/>
      <c r="AG333" s="14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row>
    <row r="334" spans="2:102">
      <c r="B334" s="3"/>
      <c r="C334" s="3"/>
      <c r="D334" s="3"/>
      <c r="E334" s="3"/>
      <c r="F334" s="3"/>
      <c r="G334" s="3"/>
      <c r="H334" s="3"/>
      <c r="I334" s="3"/>
      <c r="J334" s="3"/>
      <c r="K334" s="3"/>
      <c r="L334" s="3"/>
      <c r="M334" s="3"/>
      <c r="N334" s="3"/>
      <c r="O334" s="3"/>
      <c r="P334" s="3"/>
      <c r="AB334" s="149"/>
      <c r="AC334" s="149"/>
      <c r="AD334" s="149"/>
      <c r="AE334" s="149"/>
      <c r="AF334" s="149"/>
      <c r="AG334" s="14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row>
    <row r="335" spans="2:102">
      <c r="B335" s="3"/>
      <c r="C335" s="3"/>
      <c r="D335" s="3"/>
      <c r="E335" s="3"/>
      <c r="F335" s="3"/>
      <c r="G335" s="3"/>
      <c r="H335" s="3"/>
      <c r="I335" s="3"/>
      <c r="J335" s="3"/>
      <c r="K335" s="3"/>
      <c r="L335" s="3"/>
      <c r="M335" s="3"/>
      <c r="N335" s="3"/>
      <c r="O335" s="3"/>
      <c r="P335" s="3"/>
      <c r="AB335" s="149"/>
      <c r="AC335" s="149"/>
      <c r="AD335" s="149"/>
      <c r="AE335" s="149"/>
      <c r="AF335" s="149"/>
      <c r="AG335" s="14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row>
    <row r="336" spans="2:102">
      <c r="B336" s="3"/>
      <c r="C336" s="3"/>
      <c r="D336" s="3"/>
      <c r="E336" s="3"/>
      <c r="F336" s="3"/>
      <c r="G336" s="3"/>
      <c r="H336" s="3"/>
      <c r="I336" s="3"/>
      <c r="J336" s="3"/>
      <c r="K336" s="3"/>
      <c r="L336" s="3"/>
      <c r="M336" s="3"/>
      <c r="N336" s="3"/>
      <c r="O336" s="3"/>
      <c r="P336" s="3"/>
      <c r="AB336" s="149"/>
      <c r="AC336" s="149"/>
      <c r="AD336" s="149"/>
      <c r="AE336" s="149"/>
      <c r="AF336" s="149"/>
      <c r="AG336" s="14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row>
    <row r="337" spans="2:102">
      <c r="B337" s="3"/>
      <c r="C337" s="3"/>
      <c r="D337" s="3"/>
      <c r="E337" s="3"/>
      <c r="F337" s="3"/>
      <c r="G337" s="3"/>
      <c r="H337" s="3"/>
      <c r="I337" s="3"/>
      <c r="J337" s="3"/>
      <c r="K337" s="3"/>
      <c r="L337" s="3"/>
      <c r="M337" s="3"/>
      <c r="N337" s="3"/>
      <c r="O337" s="3"/>
      <c r="P337" s="3"/>
      <c r="AB337" s="149"/>
      <c r="AC337" s="149"/>
      <c r="AD337" s="149"/>
      <c r="AE337" s="149"/>
      <c r="AF337" s="149"/>
      <c r="AG337" s="14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row>
    <row r="338" spans="2:102">
      <c r="B338" s="3"/>
      <c r="C338" s="3"/>
      <c r="D338" s="3"/>
      <c r="E338" s="3"/>
      <c r="F338" s="3"/>
      <c r="G338" s="3"/>
      <c r="H338" s="3"/>
      <c r="I338" s="3"/>
      <c r="J338" s="3"/>
      <c r="K338" s="3"/>
      <c r="L338" s="3"/>
      <c r="M338" s="3"/>
      <c r="N338" s="3"/>
      <c r="O338" s="3"/>
      <c r="P338" s="3"/>
      <c r="AB338" s="149"/>
      <c r="AC338" s="149"/>
      <c r="AD338" s="149"/>
      <c r="AE338" s="149"/>
      <c r="AF338" s="149"/>
      <c r="AG338" s="14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row>
    <row r="339" spans="2:102">
      <c r="B339" s="3"/>
      <c r="C339" s="3"/>
      <c r="D339" s="3"/>
      <c r="E339" s="3"/>
      <c r="F339" s="3"/>
      <c r="G339" s="3"/>
      <c r="H339" s="3"/>
      <c r="I339" s="3"/>
      <c r="J339" s="3"/>
      <c r="K339" s="3"/>
      <c r="L339" s="3"/>
      <c r="M339" s="3"/>
      <c r="N339" s="3"/>
      <c r="O339" s="3"/>
      <c r="P339" s="3"/>
      <c r="AB339" s="149"/>
      <c r="AC339" s="149"/>
      <c r="AD339" s="149"/>
      <c r="AE339" s="149"/>
      <c r="AF339" s="149"/>
      <c r="AG339" s="14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row>
    <row r="340" spans="2:102">
      <c r="B340" s="3"/>
      <c r="C340" s="3"/>
      <c r="D340" s="3"/>
      <c r="E340" s="3"/>
      <c r="F340" s="3"/>
      <c r="G340" s="3"/>
      <c r="H340" s="3"/>
      <c r="I340" s="3"/>
      <c r="J340" s="3"/>
      <c r="K340" s="3"/>
      <c r="L340" s="3"/>
      <c r="M340" s="3"/>
      <c r="N340" s="3"/>
      <c r="O340" s="3"/>
      <c r="P340" s="3"/>
      <c r="AB340" s="149"/>
      <c r="AC340" s="149"/>
      <c r="AD340" s="149"/>
      <c r="AE340" s="149"/>
      <c r="AF340" s="149"/>
      <c r="AG340" s="14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row>
    <row r="341" spans="2:102">
      <c r="B341" s="3"/>
      <c r="C341" s="3"/>
      <c r="D341" s="3"/>
      <c r="E341" s="3"/>
      <c r="F341" s="3"/>
      <c r="G341" s="3"/>
      <c r="H341" s="3"/>
      <c r="I341" s="3"/>
      <c r="J341" s="3"/>
      <c r="K341" s="3"/>
      <c r="L341" s="3"/>
      <c r="M341" s="3"/>
      <c r="N341" s="3"/>
      <c r="O341" s="3"/>
      <c r="P341" s="3"/>
      <c r="AB341" s="149"/>
      <c r="AC341" s="149"/>
      <c r="AD341" s="149"/>
      <c r="AE341" s="149"/>
      <c r="AF341" s="149"/>
      <c r="AG341" s="14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row>
    <row r="342" spans="2:102">
      <c r="B342" s="3"/>
      <c r="C342" s="3"/>
      <c r="D342" s="3"/>
      <c r="E342" s="3"/>
      <c r="F342" s="3"/>
      <c r="G342" s="3"/>
      <c r="H342" s="3"/>
      <c r="I342" s="3"/>
      <c r="J342" s="3"/>
      <c r="K342" s="3"/>
      <c r="L342" s="3"/>
      <c r="M342" s="3"/>
      <c r="N342" s="3"/>
      <c r="O342" s="3"/>
      <c r="P342" s="3"/>
      <c r="AB342" s="149"/>
      <c r="AC342" s="149"/>
      <c r="AD342" s="149"/>
      <c r="AE342" s="149"/>
      <c r="AF342" s="149"/>
      <c r="AG342" s="14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row>
    <row r="343" spans="2:102">
      <c r="B343" s="3"/>
      <c r="C343" s="3"/>
      <c r="D343" s="3"/>
      <c r="E343" s="3"/>
      <c r="F343" s="3"/>
      <c r="G343" s="3"/>
      <c r="H343" s="3"/>
      <c r="I343" s="3"/>
      <c r="J343" s="3"/>
      <c r="K343" s="3"/>
      <c r="L343" s="3"/>
      <c r="M343" s="3"/>
      <c r="N343" s="3"/>
      <c r="O343" s="3"/>
      <c r="P343" s="3"/>
      <c r="AB343" s="149"/>
      <c r="AC343" s="149"/>
      <c r="AD343" s="149"/>
      <c r="AE343" s="149"/>
      <c r="AF343" s="149"/>
      <c r="AG343" s="14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row>
    <row r="344" spans="2:102">
      <c r="B344" s="3"/>
      <c r="C344" s="3"/>
      <c r="D344" s="3"/>
      <c r="E344" s="3"/>
      <c r="F344" s="3"/>
      <c r="G344" s="3"/>
      <c r="H344" s="3"/>
      <c r="I344" s="3"/>
      <c r="J344" s="3"/>
      <c r="K344" s="3"/>
      <c r="L344" s="3"/>
      <c r="M344" s="3"/>
      <c r="N344" s="3"/>
      <c r="O344" s="3"/>
      <c r="P344" s="3"/>
      <c r="AB344" s="149"/>
      <c r="AC344" s="149"/>
      <c r="AD344" s="149"/>
      <c r="AE344" s="149"/>
      <c r="AF344" s="149"/>
      <c r="AG344" s="14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row>
    <row r="345" spans="2:102">
      <c r="B345" s="3"/>
      <c r="C345" s="3"/>
      <c r="D345" s="3"/>
      <c r="E345" s="3"/>
      <c r="F345" s="3"/>
      <c r="G345" s="3"/>
      <c r="H345" s="3"/>
      <c r="I345" s="3"/>
      <c r="J345" s="3"/>
      <c r="K345" s="3"/>
      <c r="L345" s="3"/>
      <c r="M345" s="3"/>
      <c r="N345" s="3"/>
      <c r="O345" s="3"/>
      <c r="P345" s="3"/>
      <c r="AB345" s="149"/>
      <c r="AC345" s="149"/>
      <c r="AD345" s="149"/>
      <c r="AE345" s="149"/>
      <c r="AF345" s="149"/>
      <c r="AG345" s="14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row>
    <row r="346" spans="2:102">
      <c r="B346" s="3"/>
      <c r="C346" s="3"/>
      <c r="D346" s="3"/>
      <c r="E346" s="3"/>
      <c r="F346" s="3"/>
      <c r="G346" s="3"/>
      <c r="H346" s="3"/>
      <c r="I346" s="3"/>
      <c r="J346" s="3"/>
      <c r="K346" s="3"/>
      <c r="L346" s="3"/>
      <c r="M346" s="3"/>
      <c r="N346" s="3"/>
      <c r="O346" s="3"/>
      <c r="P346" s="3"/>
      <c r="AB346" s="149"/>
      <c r="AC346" s="149"/>
      <c r="AD346" s="149"/>
      <c r="AE346" s="149"/>
      <c r="AF346" s="149"/>
      <c r="AG346" s="14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row>
    <row r="347" spans="2:102">
      <c r="B347" s="3"/>
      <c r="C347" s="3"/>
      <c r="D347" s="3"/>
      <c r="E347" s="3"/>
      <c r="F347" s="3"/>
      <c r="G347" s="3"/>
      <c r="H347" s="3"/>
      <c r="I347" s="3"/>
      <c r="J347" s="3"/>
      <c r="K347" s="3"/>
      <c r="L347" s="3"/>
      <c r="M347" s="3"/>
      <c r="N347" s="3"/>
      <c r="O347" s="3"/>
      <c r="P347" s="3"/>
      <c r="AB347" s="149"/>
      <c r="AC347" s="149"/>
      <c r="AD347" s="149"/>
      <c r="AE347" s="149"/>
      <c r="AF347" s="149"/>
      <c r="AG347" s="14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row>
    <row r="348" spans="2:102">
      <c r="B348" s="3"/>
      <c r="C348" s="3"/>
      <c r="D348" s="3"/>
      <c r="E348" s="3"/>
      <c r="F348" s="3"/>
      <c r="G348" s="3"/>
      <c r="H348" s="3"/>
      <c r="I348" s="3"/>
      <c r="J348" s="3"/>
      <c r="K348" s="3"/>
      <c r="L348" s="3"/>
      <c r="M348" s="3"/>
      <c r="N348" s="3"/>
      <c r="O348" s="3"/>
      <c r="P348" s="3"/>
      <c r="AB348" s="149"/>
      <c r="AC348" s="149"/>
      <c r="AD348" s="149"/>
      <c r="AE348" s="149"/>
      <c r="AF348" s="149"/>
      <c r="AG348" s="14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row>
    <row r="349" spans="2:102">
      <c r="B349" s="3"/>
      <c r="C349" s="3"/>
      <c r="D349" s="3"/>
      <c r="E349" s="3"/>
      <c r="F349" s="3"/>
      <c r="G349" s="3"/>
      <c r="H349" s="3"/>
      <c r="I349" s="3"/>
      <c r="J349" s="3"/>
      <c r="K349" s="3"/>
      <c r="L349" s="3"/>
      <c r="M349" s="3"/>
      <c r="N349" s="3"/>
      <c r="O349" s="3"/>
      <c r="P349" s="3"/>
      <c r="AB349" s="149"/>
      <c r="AC349" s="149"/>
      <c r="AD349" s="149"/>
      <c r="AE349" s="149"/>
      <c r="AF349" s="149"/>
      <c r="AG349" s="14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row>
    <row r="350" spans="2:102">
      <c r="B350" s="3"/>
      <c r="C350" s="3"/>
      <c r="D350" s="3"/>
      <c r="E350" s="3"/>
      <c r="F350" s="3"/>
      <c r="G350" s="3"/>
      <c r="H350" s="3"/>
      <c r="I350" s="3"/>
      <c r="J350" s="3"/>
      <c r="K350" s="3"/>
      <c r="L350" s="3"/>
      <c r="M350" s="3"/>
      <c r="N350" s="3"/>
      <c r="O350" s="3"/>
      <c r="P350" s="3"/>
      <c r="AB350" s="149"/>
      <c r="AC350" s="149"/>
      <c r="AD350" s="149"/>
      <c r="AE350" s="149"/>
      <c r="AF350" s="149"/>
      <c r="AG350" s="14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row>
    <row r="351" spans="2:102">
      <c r="B351" s="3"/>
      <c r="C351" s="3"/>
      <c r="D351" s="3"/>
      <c r="E351" s="3"/>
      <c r="F351" s="3"/>
      <c r="G351" s="3"/>
      <c r="H351" s="3"/>
      <c r="I351" s="3"/>
      <c r="J351" s="3"/>
      <c r="K351" s="3"/>
      <c r="L351" s="3"/>
      <c r="M351" s="3"/>
      <c r="N351" s="3"/>
      <c r="O351" s="3"/>
      <c r="P351" s="3"/>
      <c r="AB351" s="149"/>
      <c r="AC351" s="149"/>
      <c r="AD351" s="149"/>
      <c r="AE351" s="149"/>
      <c r="AF351" s="149"/>
      <c r="AG351" s="14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row>
    <row r="352" spans="2:102">
      <c r="B352" s="3"/>
      <c r="C352" s="3"/>
      <c r="D352" s="3"/>
      <c r="E352" s="3"/>
      <c r="F352" s="3"/>
      <c r="G352" s="3"/>
      <c r="H352" s="3"/>
      <c r="I352" s="3"/>
      <c r="J352" s="3"/>
      <c r="K352" s="3"/>
      <c r="L352" s="3"/>
      <c r="M352" s="3"/>
      <c r="N352" s="3"/>
      <c r="O352" s="3"/>
      <c r="P352" s="3"/>
      <c r="AB352" s="149"/>
      <c r="AC352" s="149"/>
      <c r="AD352" s="149"/>
      <c r="AE352" s="149"/>
      <c r="AF352" s="149"/>
      <c r="AG352" s="14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row>
    <row r="353" spans="2:102">
      <c r="B353" s="3"/>
      <c r="C353" s="3"/>
      <c r="D353" s="3"/>
      <c r="E353" s="3"/>
      <c r="F353" s="3"/>
      <c r="G353" s="3"/>
      <c r="H353" s="3"/>
      <c r="I353" s="3"/>
      <c r="J353" s="3"/>
      <c r="K353" s="3"/>
      <c r="L353" s="3"/>
      <c r="M353" s="3"/>
      <c r="N353" s="3"/>
      <c r="O353" s="3"/>
      <c r="P353" s="3"/>
      <c r="AB353" s="149"/>
      <c r="AC353" s="149"/>
      <c r="AD353" s="149"/>
      <c r="AE353" s="149"/>
      <c r="AF353" s="149"/>
      <c r="AG353" s="14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row>
    <row r="354" spans="2:102">
      <c r="B354" s="3"/>
      <c r="C354" s="3"/>
      <c r="D354" s="3"/>
      <c r="E354" s="3"/>
      <c r="F354" s="3"/>
      <c r="G354" s="3"/>
      <c r="H354" s="3"/>
      <c r="I354" s="3"/>
      <c r="J354" s="3"/>
      <c r="K354" s="3"/>
      <c r="L354" s="3"/>
      <c r="M354" s="3"/>
      <c r="N354" s="3"/>
      <c r="O354" s="3"/>
      <c r="P354" s="3"/>
      <c r="AB354" s="149"/>
      <c r="AC354" s="149"/>
      <c r="AD354" s="149"/>
      <c r="AE354" s="149"/>
      <c r="AF354" s="149"/>
      <c r="AG354" s="14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row>
    <row r="355" spans="2:102">
      <c r="B355" s="3"/>
      <c r="C355" s="3"/>
      <c r="D355" s="3"/>
      <c r="E355" s="3"/>
      <c r="F355" s="3"/>
      <c r="G355" s="3"/>
      <c r="H355" s="3"/>
      <c r="I355" s="3"/>
      <c r="J355" s="3"/>
      <c r="K355" s="3"/>
      <c r="L355" s="3"/>
      <c r="M355" s="3"/>
      <c r="N355" s="3"/>
      <c r="O355" s="3"/>
      <c r="P355" s="3"/>
      <c r="AB355" s="149"/>
      <c r="AC355" s="149"/>
      <c r="AD355" s="149"/>
      <c r="AE355" s="149"/>
      <c r="AF355" s="149"/>
      <c r="AG355" s="14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row>
    <row r="356" spans="2:102">
      <c r="B356" s="3"/>
      <c r="C356" s="3"/>
      <c r="D356" s="3"/>
      <c r="E356" s="3"/>
      <c r="F356" s="3"/>
      <c r="G356" s="3"/>
      <c r="H356" s="3"/>
      <c r="I356" s="3"/>
      <c r="J356" s="3"/>
      <c r="K356" s="3"/>
      <c r="L356" s="3"/>
      <c r="M356" s="3"/>
      <c r="N356" s="3"/>
      <c r="O356" s="3"/>
      <c r="P356" s="3"/>
      <c r="AB356" s="149"/>
      <c r="AC356" s="149"/>
      <c r="AD356" s="149"/>
      <c r="AE356" s="149"/>
      <c r="AF356" s="149"/>
      <c r="AG356" s="14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row>
    <row r="357" spans="2:102">
      <c r="B357" s="3"/>
      <c r="C357" s="3"/>
      <c r="D357" s="3"/>
      <c r="E357" s="3"/>
      <c r="F357" s="3"/>
      <c r="G357" s="3"/>
      <c r="H357" s="3"/>
      <c r="I357" s="3"/>
      <c r="J357" s="3"/>
      <c r="K357" s="3"/>
      <c r="L357" s="3"/>
      <c r="M357" s="3"/>
      <c r="N357" s="3"/>
      <c r="O357" s="3"/>
      <c r="P357" s="3"/>
      <c r="AB357" s="149"/>
      <c r="AC357" s="149"/>
      <c r="AD357" s="149"/>
      <c r="AE357" s="149"/>
      <c r="AF357" s="149"/>
      <c r="AG357" s="14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row>
    <row r="358" spans="2:102">
      <c r="B358" s="3"/>
      <c r="C358" s="3"/>
      <c r="D358" s="3"/>
      <c r="E358" s="3"/>
      <c r="F358" s="3"/>
      <c r="G358" s="3"/>
      <c r="H358" s="3"/>
      <c r="I358" s="3"/>
      <c r="J358" s="3"/>
      <c r="K358" s="3"/>
      <c r="L358" s="3"/>
      <c r="M358" s="3"/>
      <c r="N358" s="3"/>
      <c r="O358" s="3"/>
      <c r="P358" s="3"/>
      <c r="AB358" s="149"/>
      <c r="AC358" s="149"/>
      <c r="AD358" s="149"/>
      <c r="AE358" s="149"/>
      <c r="AF358" s="149"/>
      <c r="AG358" s="14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row>
    <row r="359" spans="2:102">
      <c r="B359" s="3"/>
      <c r="C359" s="3"/>
      <c r="D359" s="3"/>
      <c r="E359" s="3"/>
      <c r="F359" s="3"/>
      <c r="G359" s="3"/>
      <c r="H359" s="3"/>
      <c r="I359" s="3"/>
      <c r="J359" s="3"/>
      <c r="K359" s="3"/>
      <c r="L359" s="3"/>
      <c r="M359" s="3"/>
      <c r="N359" s="3"/>
      <c r="O359" s="3"/>
      <c r="P359" s="3"/>
      <c r="AB359" s="149"/>
      <c r="AC359" s="149"/>
      <c r="AD359" s="149"/>
      <c r="AE359" s="149"/>
      <c r="AF359" s="149"/>
      <c r="AG359" s="14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row>
    <row r="360" spans="2:102">
      <c r="B360" s="3"/>
      <c r="C360" s="3"/>
      <c r="D360" s="3"/>
      <c r="E360" s="3"/>
      <c r="F360" s="3"/>
      <c r="G360" s="3"/>
      <c r="H360" s="3"/>
      <c r="I360" s="3"/>
      <c r="J360" s="3"/>
      <c r="K360" s="3"/>
      <c r="L360" s="3"/>
      <c r="M360" s="3"/>
      <c r="N360" s="3"/>
      <c r="O360" s="3"/>
      <c r="P360" s="3"/>
      <c r="AB360" s="149"/>
      <c r="AC360" s="149"/>
      <c r="AD360" s="149"/>
      <c r="AE360" s="149"/>
      <c r="AF360" s="149"/>
      <c r="AG360" s="14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row>
    <row r="361" spans="2:102">
      <c r="B361" s="3"/>
      <c r="C361" s="3"/>
      <c r="D361" s="3"/>
      <c r="E361" s="3"/>
      <c r="F361" s="3"/>
      <c r="G361" s="3"/>
      <c r="H361" s="3"/>
      <c r="I361" s="3"/>
      <c r="J361" s="3"/>
      <c r="K361" s="3"/>
      <c r="L361" s="3"/>
      <c r="M361" s="3"/>
      <c r="N361" s="3"/>
      <c r="O361" s="3"/>
      <c r="P361" s="3"/>
      <c r="AB361" s="149"/>
      <c r="AC361" s="149"/>
      <c r="AD361" s="149"/>
      <c r="AE361" s="149"/>
      <c r="AF361" s="149"/>
      <c r="AG361" s="14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row>
    <row r="362" spans="2:102">
      <c r="B362" s="3"/>
      <c r="C362" s="3"/>
      <c r="D362" s="3"/>
      <c r="E362" s="3"/>
      <c r="F362" s="3"/>
      <c r="G362" s="3"/>
      <c r="H362" s="3"/>
      <c r="I362" s="3"/>
      <c r="J362" s="3"/>
      <c r="K362" s="3"/>
      <c r="L362" s="3"/>
      <c r="M362" s="3"/>
      <c r="N362" s="3"/>
      <c r="O362" s="3"/>
      <c r="P362" s="3"/>
      <c r="AB362" s="149"/>
      <c r="AC362" s="149"/>
      <c r="AD362" s="149"/>
      <c r="AE362" s="149"/>
      <c r="AF362" s="149"/>
      <c r="AG362" s="14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row>
    <row r="363" spans="2:102">
      <c r="B363" s="3"/>
      <c r="C363" s="3"/>
      <c r="D363" s="3"/>
      <c r="E363" s="3"/>
      <c r="F363" s="3"/>
      <c r="G363" s="3"/>
      <c r="H363" s="3"/>
      <c r="I363" s="3"/>
      <c r="J363" s="3"/>
      <c r="K363" s="3"/>
      <c r="L363" s="3"/>
      <c r="M363" s="3"/>
      <c r="N363" s="3"/>
      <c r="O363" s="3"/>
      <c r="P363" s="3"/>
      <c r="AB363" s="149"/>
      <c r="AC363" s="149"/>
      <c r="AD363" s="149"/>
      <c r="AE363" s="149"/>
      <c r="AF363" s="149"/>
      <c r="AG363" s="14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row>
    <row r="364" spans="2:102">
      <c r="B364" s="3"/>
      <c r="C364" s="3"/>
      <c r="D364" s="3"/>
      <c r="E364" s="3"/>
      <c r="F364" s="3"/>
      <c r="G364" s="3"/>
      <c r="H364" s="3"/>
      <c r="I364" s="3"/>
      <c r="J364" s="3"/>
      <c r="K364" s="3"/>
      <c r="L364" s="3"/>
      <c r="M364" s="3"/>
      <c r="N364" s="3"/>
      <c r="O364" s="3"/>
      <c r="P364" s="3"/>
      <c r="AB364" s="149"/>
      <c r="AC364" s="149"/>
      <c r="AD364" s="149"/>
      <c r="AE364" s="149"/>
      <c r="AF364" s="149"/>
      <c r="AG364" s="14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row>
    <row r="365" spans="2:102">
      <c r="B365" s="3"/>
      <c r="C365" s="3"/>
      <c r="D365" s="3"/>
      <c r="E365" s="3"/>
      <c r="F365" s="3"/>
      <c r="G365" s="3"/>
      <c r="H365" s="3"/>
      <c r="I365" s="3"/>
      <c r="J365" s="3"/>
      <c r="K365" s="3"/>
      <c r="L365" s="3"/>
      <c r="M365" s="3"/>
      <c r="N365" s="3"/>
      <c r="O365" s="3"/>
      <c r="P365" s="3"/>
      <c r="AB365" s="149"/>
      <c r="AC365" s="149"/>
      <c r="AD365" s="149"/>
      <c r="AE365" s="149"/>
      <c r="AF365" s="149"/>
      <c r="AG365" s="14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row>
    <row r="366" spans="2:102">
      <c r="B366" s="3"/>
      <c r="C366" s="3"/>
      <c r="D366" s="3"/>
      <c r="E366" s="3"/>
      <c r="F366" s="3"/>
      <c r="G366" s="3"/>
      <c r="H366" s="3"/>
      <c r="I366" s="3"/>
      <c r="J366" s="3"/>
      <c r="K366" s="3"/>
      <c r="L366" s="3"/>
      <c r="M366" s="3"/>
      <c r="N366" s="3"/>
      <c r="O366" s="3"/>
      <c r="P366" s="3"/>
      <c r="AB366" s="149"/>
      <c r="AC366" s="149"/>
      <c r="AD366" s="149"/>
      <c r="AE366" s="149"/>
      <c r="AF366" s="149"/>
      <c r="AG366" s="14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row>
    <row r="367" spans="2:102">
      <c r="B367" s="3"/>
      <c r="C367" s="3"/>
      <c r="D367" s="3"/>
      <c r="E367" s="3"/>
      <c r="F367" s="3"/>
      <c r="G367" s="3"/>
      <c r="H367" s="3"/>
      <c r="I367" s="3"/>
      <c r="J367" s="3"/>
      <c r="K367" s="3"/>
      <c r="L367" s="3"/>
      <c r="M367" s="3"/>
      <c r="N367" s="3"/>
      <c r="O367" s="3"/>
      <c r="P367" s="3"/>
      <c r="AB367" s="149"/>
      <c r="AC367" s="149"/>
      <c r="AD367" s="149"/>
      <c r="AE367" s="149"/>
      <c r="AF367" s="149"/>
      <c r="AG367" s="14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row>
    <row r="368" spans="2:102">
      <c r="B368" s="3"/>
      <c r="C368" s="3"/>
      <c r="D368" s="3"/>
      <c r="E368" s="3"/>
      <c r="F368" s="3"/>
      <c r="G368" s="3"/>
      <c r="H368" s="3"/>
      <c r="I368" s="3"/>
      <c r="J368" s="3"/>
      <c r="K368" s="3"/>
      <c r="L368" s="3"/>
      <c r="M368" s="3"/>
      <c r="N368" s="3"/>
      <c r="O368" s="3"/>
      <c r="P368" s="3"/>
      <c r="AB368" s="149"/>
      <c r="AC368" s="149"/>
      <c r="AD368" s="149"/>
      <c r="AE368" s="149"/>
      <c r="AF368" s="149"/>
      <c r="AG368" s="14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row>
    <row r="369" spans="2:102">
      <c r="B369" s="3"/>
      <c r="C369" s="3"/>
      <c r="D369" s="3"/>
      <c r="E369" s="3"/>
      <c r="F369" s="3"/>
      <c r="G369" s="3"/>
      <c r="H369" s="3"/>
      <c r="I369" s="3"/>
      <c r="J369" s="3"/>
      <c r="K369" s="3"/>
      <c r="L369" s="3"/>
      <c r="M369" s="3"/>
      <c r="N369" s="3"/>
      <c r="O369" s="3"/>
      <c r="P369" s="3"/>
      <c r="AB369" s="149"/>
      <c r="AC369" s="149"/>
      <c r="AD369" s="149"/>
      <c r="AE369" s="149"/>
      <c r="AF369" s="149"/>
      <c r="AG369" s="14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row>
    <row r="370" spans="2:102">
      <c r="B370" s="3"/>
      <c r="C370" s="3"/>
      <c r="D370" s="3"/>
      <c r="E370" s="3"/>
      <c r="F370" s="3"/>
      <c r="G370" s="3"/>
      <c r="H370" s="3"/>
      <c r="I370" s="3"/>
      <c r="J370" s="3"/>
      <c r="K370" s="3"/>
      <c r="L370" s="3"/>
      <c r="M370" s="3"/>
      <c r="N370" s="3"/>
      <c r="O370" s="3"/>
      <c r="P370" s="3"/>
      <c r="AB370" s="149"/>
      <c r="AC370" s="149"/>
      <c r="AD370" s="149"/>
      <c r="AE370" s="149"/>
      <c r="AF370" s="149"/>
      <c r="AG370" s="14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row>
    <row r="371" spans="2:102">
      <c r="AB371" s="149"/>
      <c r="AC371" s="149"/>
      <c r="AD371" s="149"/>
      <c r="AE371" s="149"/>
      <c r="AF371" s="149"/>
      <c r="AG371" s="14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row>
    <row r="372" spans="2:102">
      <c r="AB372" s="149"/>
      <c r="AC372" s="149"/>
      <c r="AD372" s="149"/>
      <c r="AE372" s="149"/>
      <c r="AF372" s="149"/>
      <c r="AG372" s="14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row>
    <row r="373" spans="2:102">
      <c r="AB373" s="149"/>
      <c r="AC373" s="149"/>
      <c r="AD373" s="149"/>
      <c r="AE373" s="149"/>
      <c r="AF373" s="149"/>
      <c r="AG373" s="14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row>
    <row r="374" spans="2:102">
      <c r="AB374" s="149"/>
      <c r="AC374" s="149"/>
      <c r="AD374" s="149"/>
      <c r="AE374" s="149"/>
      <c r="AF374" s="149"/>
      <c r="AG374" s="14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row>
    <row r="375" spans="2:102">
      <c r="AB375" s="149"/>
      <c r="AC375" s="149"/>
      <c r="AD375" s="149"/>
      <c r="AE375" s="149"/>
      <c r="AF375" s="149"/>
      <c r="AG375" s="14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row>
    <row r="376" spans="2:102">
      <c r="AB376" s="149"/>
      <c r="AC376" s="149"/>
      <c r="AD376" s="149"/>
      <c r="AE376" s="149"/>
      <c r="AF376" s="149"/>
      <c r="AG376" s="14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row>
    <row r="377" spans="2:102">
      <c r="AB377" s="149"/>
      <c r="AC377" s="149"/>
      <c r="AD377" s="149"/>
      <c r="AE377" s="149"/>
      <c r="AF377" s="149"/>
      <c r="AG377" s="14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row>
    <row r="378" spans="2:102">
      <c r="AB378" s="149"/>
      <c r="AC378" s="149"/>
      <c r="AD378" s="149"/>
      <c r="AE378" s="149"/>
      <c r="AF378" s="149"/>
      <c r="AG378" s="14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row>
    <row r="379" spans="2:102">
      <c r="AB379" s="149"/>
      <c r="AC379" s="149"/>
      <c r="AD379" s="149"/>
      <c r="AE379" s="149"/>
      <c r="AF379" s="149"/>
      <c r="AG379" s="14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row>
    <row r="380" spans="2:102">
      <c r="AB380" s="149"/>
      <c r="AC380" s="149"/>
      <c r="AD380" s="149"/>
      <c r="AE380" s="149"/>
      <c r="AF380" s="149"/>
      <c r="AG380" s="14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row>
    <row r="381" spans="2:102">
      <c r="AB381" s="149"/>
      <c r="AC381" s="149"/>
      <c r="AD381" s="149"/>
      <c r="AE381" s="149"/>
      <c r="AF381" s="149"/>
      <c r="AG381" s="14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row>
    <row r="382" spans="2:102">
      <c r="AB382" s="149"/>
      <c r="AC382" s="149"/>
      <c r="AD382" s="149"/>
      <c r="AE382" s="149"/>
      <c r="AF382" s="149"/>
      <c r="AG382" s="14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row>
    <row r="383" spans="2:102">
      <c r="AB383" s="149"/>
      <c r="AC383" s="149"/>
      <c r="AD383" s="149"/>
      <c r="AE383" s="149"/>
      <c r="AF383" s="149"/>
      <c r="AG383" s="14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row>
    <row r="384" spans="2:102">
      <c r="AB384" s="149"/>
      <c r="AC384" s="149"/>
      <c r="AD384" s="149"/>
      <c r="AE384" s="149"/>
      <c r="AF384" s="149"/>
      <c r="AG384" s="14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row>
    <row r="385" spans="28:102">
      <c r="AB385" s="149"/>
      <c r="AC385" s="149"/>
      <c r="AD385" s="149"/>
      <c r="AE385" s="149"/>
      <c r="AF385" s="149"/>
      <c r="AG385" s="14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row>
    <row r="386" spans="28:102">
      <c r="AB386" s="149"/>
      <c r="AC386" s="149"/>
      <c r="AD386" s="149"/>
      <c r="AE386" s="149"/>
      <c r="AF386" s="149"/>
      <c r="AG386" s="14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row>
    <row r="387" spans="28:102">
      <c r="AB387" s="149"/>
      <c r="AC387" s="149"/>
      <c r="AD387" s="149"/>
      <c r="AE387" s="149"/>
      <c r="AF387" s="149"/>
      <c r="AG387" s="14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row>
    <row r="388" spans="28:102">
      <c r="AB388" s="149"/>
      <c r="AC388" s="149"/>
      <c r="AD388" s="149"/>
      <c r="AE388" s="149"/>
      <c r="AF388" s="149"/>
      <c r="AG388" s="14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row>
    <row r="389" spans="28:102">
      <c r="AB389" s="149"/>
      <c r="AC389" s="149"/>
      <c r="AD389" s="149"/>
      <c r="AE389" s="149"/>
      <c r="AF389" s="149"/>
      <c r="AG389" s="14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row>
    <row r="390" spans="28:102">
      <c r="AB390" s="149"/>
      <c r="AC390" s="149"/>
      <c r="AD390" s="149"/>
      <c r="AE390" s="149"/>
      <c r="AF390" s="149"/>
      <c r="AG390" s="14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row>
    <row r="391" spans="28:102">
      <c r="AB391" s="149"/>
      <c r="AC391" s="149"/>
      <c r="AD391" s="149"/>
      <c r="AE391" s="149"/>
      <c r="AF391" s="149"/>
      <c r="AG391" s="14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row>
    <row r="392" spans="28:102">
      <c r="AB392" s="149"/>
      <c r="AC392" s="149"/>
      <c r="AD392" s="149"/>
      <c r="AE392" s="149"/>
      <c r="AF392" s="149"/>
      <c r="AG392" s="14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row>
    <row r="393" spans="28:102">
      <c r="AB393" s="149"/>
      <c r="AC393" s="149"/>
      <c r="AD393" s="149"/>
      <c r="AE393" s="149"/>
      <c r="AF393" s="149"/>
      <c r="AG393" s="14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row>
    <row r="394" spans="28:102">
      <c r="AB394" s="149"/>
      <c r="AC394" s="149"/>
      <c r="AD394" s="149"/>
      <c r="AE394" s="149"/>
      <c r="AF394" s="149"/>
      <c r="AG394" s="14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row>
    <row r="395" spans="28:102">
      <c r="AB395" s="149"/>
      <c r="AC395" s="149"/>
      <c r="AD395" s="149"/>
      <c r="AE395" s="149"/>
      <c r="AF395" s="149"/>
      <c r="AG395" s="14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row>
    <row r="396" spans="28:102">
      <c r="AB396" s="149"/>
      <c r="AC396" s="149"/>
      <c r="AD396" s="149"/>
      <c r="AE396" s="149"/>
      <c r="AF396" s="149"/>
      <c r="AG396" s="14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row>
    <row r="397" spans="28:102">
      <c r="AB397" s="149"/>
      <c r="AC397" s="149"/>
      <c r="AD397" s="149"/>
      <c r="AE397" s="149"/>
      <c r="AF397" s="149"/>
      <c r="AG397" s="14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row>
    <row r="398" spans="28:102">
      <c r="AB398" s="149"/>
      <c r="AC398" s="149"/>
      <c r="AD398" s="149"/>
      <c r="AE398" s="149"/>
      <c r="AF398" s="149"/>
      <c r="AG398" s="14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row>
    <row r="399" spans="28:102">
      <c r="AB399" s="149"/>
      <c r="AC399" s="149"/>
      <c r="AD399" s="149"/>
      <c r="AE399" s="149"/>
      <c r="AF399" s="149"/>
      <c r="AG399" s="14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row>
    <row r="400" spans="28:102">
      <c r="AB400" s="149"/>
      <c r="AC400" s="149"/>
      <c r="AD400" s="149"/>
      <c r="AE400" s="149"/>
      <c r="AF400" s="149"/>
      <c r="AG400" s="14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row>
    <row r="401" spans="28:102">
      <c r="AB401" s="149"/>
      <c r="AC401" s="149"/>
      <c r="AD401" s="149"/>
      <c r="AE401" s="149"/>
      <c r="AF401" s="149"/>
      <c r="AG401" s="14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row>
    <row r="402" spans="28:102">
      <c r="AB402" s="149"/>
      <c r="AC402" s="149"/>
      <c r="AD402" s="149"/>
      <c r="AE402" s="149"/>
      <c r="AF402" s="149"/>
      <c r="AG402" s="14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row>
    <row r="403" spans="28:102">
      <c r="AB403" s="149"/>
      <c r="AC403" s="149"/>
      <c r="AD403" s="149"/>
      <c r="AE403" s="149"/>
      <c r="AF403" s="149"/>
      <c r="AG403" s="14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row>
    <row r="404" spans="28:102">
      <c r="AB404" s="149"/>
      <c r="AC404" s="149"/>
      <c r="AD404" s="149"/>
      <c r="AE404" s="149"/>
      <c r="AF404" s="149"/>
      <c r="AG404" s="14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row>
    <row r="405" spans="28:102">
      <c r="AB405" s="149"/>
      <c r="AC405" s="149"/>
      <c r="AD405" s="149"/>
      <c r="AE405" s="149"/>
      <c r="AF405" s="149"/>
      <c r="AG405" s="14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row>
    <row r="406" spans="28:102">
      <c r="AB406" s="149"/>
      <c r="AC406" s="149"/>
      <c r="AD406" s="149"/>
      <c r="AE406" s="149"/>
      <c r="AF406" s="149"/>
      <c r="AG406" s="14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row>
    <row r="407" spans="28:102">
      <c r="AB407" s="149"/>
      <c r="AC407" s="149"/>
      <c r="AD407" s="149"/>
      <c r="AE407" s="149"/>
      <c r="AF407" s="149"/>
      <c r="AG407" s="14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row>
    <row r="408" spans="28:102">
      <c r="AB408" s="149"/>
      <c r="AC408" s="149"/>
      <c r="AD408" s="149"/>
      <c r="AE408" s="149"/>
      <c r="AF408" s="149"/>
      <c r="AG408" s="14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row>
    <row r="409" spans="28:102">
      <c r="AB409" s="149"/>
      <c r="AC409" s="149"/>
      <c r="AD409" s="149"/>
      <c r="AE409" s="149"/>
      <c r="AF409" s="149"/>
      <c r="AG409" s="14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row>
    <row r="410" spans="28:102">
      <c r="AB410" s="149"/>
      <c r="AC410" s="149"/>
      <c r="AD410" s="149"/>
      <c r="AE410" s="149"/>
      <c r="AF410" s="149"/>
      <c r="AG410" s="14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row>
    <row r="411" spans="28:102">
      <c r="AB411" s="149"/>
      <c r="AC411" s="149"/>
      <c r="AD411" s="149"/>
      <c r="AE411" s="149"/>
      <c r="AF411" s="149"/>
      <c r="AG411" s="14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row>
    <row r="412" spans="28:102">
      <c r="AB412" s="149"/>
      <c r="AC412" s="149"/>
      <c r="AD412" s="149"/>
      <c r="AE412" s="149"/>
      <c r="AF412" s="149"/>
      <c r="AG412" s="14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row>
    <row r="413" spans="28:102">
      <c r="AB413" s="149"/>
      <c r="AC413" s="149"/>
      <c r="AD413" s="149"/>
      <c r="AE413" s="149"/>
      <c r="AF413" s="149"/>
      <c r="AG413" s="14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row>
    <row r="414" spans="28:102">
      <c r="AB414" s="149"/>
      <c r="AC414" s="149"/>
      <c r="AD414" s="149"/>
      <c r="AE414" s="149"/>
      <c r="AF414" s="149"/>
      <c r="AG414" s="14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row>
    <row r="415" spans="28:102">
      <c r="AB415" s="149"/>
      <c r="AC415" s="149"/>
      <c r="AD415" s="149"/>
      <c r="AE415" s="149"/>
      <c r="AF415" s="149"/>
      <c r="AG415" s="14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row>
    <row r="416" spans="28:102">
      <c r="AB416" s="149"/>
      <c r="AC416" s="149"/>
      <c r="AD416" s="149"/>
      <c r="AE416" s="149"/>
      <c r="AF416" s="149"/>
      <c r="AG416" s="14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row>
    <row r="417" spans="28:102">
      <c r="AB417" s="149"/>
      <c r="AC417" s="149"/>
      <c r="AD417" s="149"/>
      <c r="AE417" s="149"/>
      <c r="AF417" s="149"/>
      <c r="AG417" s="14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row>
    <row r="418" spans="28:102">
      <c r="AB418" s="149"/>
      <c r="AC418" s="149"/>
      <c r="AD418" s="149"/>
      <c r="AE418" s="149"/>
      <c r="AF418" s="149"/>
      <c r="AG418" s="14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row>
    <row r="419" spans="28:102">
      <c r="AB419" s="149"/>
      <c r="AC419" s="149"/>
      <c r="AD419" s="149"/>
      <c r="AE419" s="149"/>
      <c r="AF419" s="149"/>
      <c r="AG419" s="14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row>
    <row r="420" spans="28:102">
      <c r="AB420" s="149"/>
      <c r="AC420" s="149"/>
      <c r="AD420" s="149"/>
      <c r="AE420" s="149"/>
      <c r="AF420" s="149"/>
      <c r="AG420" s="14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row>
    <row r="421" spans="28:102">
      <c r="AB421" s="149"/>
      <c r="AC421" s="149"/>
      <c r="AD421" s="149"/>
      <c r="AE421" s="149"/>
      <c r="AF421" s="149"/>
      <c r="AG421" s="14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row>
    <row r="422" spans="28:102">
      <c r="AB422" s="149"/>
      <c r="AC422" s="149"/>
      <c r="AD422" s="149"/>
      <c r="AE422" s="149"/>
      <c r="AF422" s="149"/>
      <c r="AG422" s="14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row>
    <row r="423" spans="28:102">
      <c r="AB423" s="149"/>
      <c r="AC423" s="149"/>
      <c r="AD423" s="149"/>
      <c r="AE423" s="149"/>
      <c r="AF423" s="149"/>
      <c r="AG423" s="14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row>
    <row r="424" spans="28:102">
      <c r="AB424" s="149"/>
      <c r="AC424" s="149"/>
      <c r="AD424" s="149"/>
      <c r="AE424" s="149"/>
      <c r="AF424" s="149"/>
      <c r="AG424" s="14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row>
    <row r="425" spans="28:102">
      <c r="AB425" s="149"/>
      <c r="AC425" s="149"/>
      <c r="AD425" s="149"/>
      <c r="AE425" s="149"/>
      <c r="AF425" s="149"/>
      <c r="AG425" s="14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row>
    <row r="426" spans="28:102">
      <c r="AB426" s="149"/>
      <c r="AC426" s="149"/>
      <c r="AD426" s="149"/>
      <c r="AE426" s="149"/>
      <c r="AF426" s="149"/>
      <c r="AG426" s="14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row>
    <row r="427" spans="28:102">
      <c r="AB427" s="149"/>
      <c r="AC427" s="149"/>
      <c r="AD427" s="149"/>
      <c r="AE427" s="149"/>
      <c r="AF427" s="149"/>
      <c r="AG427" s="14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row>
    <row r="428" spans="28:102">
      <c r="AB428" s="149"/>
      <c r="AC428" s="149"/>
      <c r="AD428" s="149"/>
      <c r="AE428" s="149"/>
      <c r="AF428" s="149"/>
      <c r="AG428" s="14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row>
    <row r="429" spans="28:102">
      <c r="AB429" s="149"/>
      <c r="AC429" s="149"/>
      <c r="AD429" s="149"/>
      <c r="AE429" s="149"/>
      <c r="AF429" s="149"/>
      <c r="AG429" s="14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row>
    <row r="430" spans="28:102">
      <c r="AB430" s="149"/>
      <c r="AC430" s="149"/>
      <c r="AD430" s="149"/>
      <c r="AE430" s="149"/>
      <c r="AF430" s="149"/>
      <c r="AG430" s="14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row>
    <row r="431" spans="28:102">
      <c r="AB431" s="149"/>
      <c r="AC431" s="149"/>
      <c r="AD431" s="149"/>
      <c r="AE431" s="149"/>
      <c r="AF431" s="149"/>
      <c r="AG431" s="14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row>
    <row r="432" spans="28:102">
      <c r="AB432" s="149"/>
      <c r="AC432" s="149"/>
      <c r="AD432" s="149"/>
      <c r="AE432" s="149"/>
      <c r="AF432" s="149"/>
      <c r="AG432" s="14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row>
    <row r="433" spans="28:102">
      <c r="AB433" s="149"/>
      <c r="AC433" s="149"/>
      <c r="AD433" s="149"/>
      <c r="AE433" s="149"/>
      <c r="AF433" s="149"/>
      <c r="AG433" s="14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row>
    <row r="434" spans="28:102">
      <c r="AB434" s="149"/>
      <c r="AC434" s="149"/>
      <c r="AD434" s="149"/>
      <c r="AE434" s="149"/>
      <c r="AF434" s="149"/>
      <c r="AG434" s="14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row>
    <row r="435" spans="28:102">
      <c r="AB435" s="149"/>
      <c r="AC435" s="149"/>
      <c r="AD435" s="149"/>
      <c r="AE435" s="149"/>
      <c r="AF435" s="149"/>
      <c r="AG435" s="14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row>
    <row r="436" spans="28:102">
      <c r="AB436" s="149"/>
      <c r="AC436" s="149"/>
      <c r="AD436" s="149"/>
      <c r="AE436" s="149"/>
      <c r="AF436" s="149"/>
      <c r="AG436" s="14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row>
    <row r="437" spans="28:102">
      <c r="AB437" s="149"/>
      <c r="AC437" s="149"/>
      <c r="AD437" s="149"/>
      <c r="AE437" s="149"/>
      <c r="AF437" s="149"/>
      <c r="AG437" s="14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row>
    <row r="438" spans="28:102">
      <c r="AB438" s="149"/>
      <c r="AC438" s="149"/>
      <c r="AD438" s="149"/>
      <c r="AE438" s="149"/>
      <c r="AF438" s="149"/>
      <c r="AG438" s="14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row>
    <row r="439" spans="28:102">
      <c r="AB439" s="149"/>
      <c r="AC439" s="149"/>
      <c r="AD439" s="149"/>
      <c r="AE439" s="149"/>
      <c r="AF439" s="149"/>
      <c r="AG439" s="14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row>
    <row r="440" spans="28:102">
      <c r="AB440" s="149"/>
      <c r="AC440" s="149"/>
      <c r="AD440" s="149"/>
      <c r="AE440" s="149"/>
      <c r="AF440" s="149"/>
      <c r="AG440" s="14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row>
    <row r="441" spans="28:102">
      <c r="AB441" s="149"/>
      <c r="AC441" s="149"/>
      <c r="AD441" s="149"/>
      <c r="AE441" s="149"/>
      <c r="AF441" s="149"/>
      <c r="AG441" s="14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row>
    <row r="442" spans="28:102">
      <c r="AB442" s="149"/>
      <c r="AC442" s="149"/>
      <c r="AD442" s="149"/>
      <c r="AE442" s="149"/>
      <c r="AF442" s="149"/>
      <c r="AG442" s="14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row>
    <row r="443" spans="28:102">
      <c r="AB443" s="149"/>
      <c r="AC443" s="149"/>
      <c r="AD443" s="149"/>
      <c r="AE443" s="149"/>
      <c r="AF443" s="149"/>
      <c r="AG443" s="14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row>
    <row r="444" spans="28:102">
      <c r="AB444" s="149"/>
      <c r="AC444" s="149"/>
      <c r="AD444" s="149"/>
      <c r="AE444" s="149"/>
      <c r="AF444" s="149"/>
      <c r="AG444" s="14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row>
    <row r="445" spans="28:102">
      <c r="AB445" s="149"/>
      <c r="AC445" s="149"/>
      <c r="AD445" s="149"/>
      <c r="AE445" s="149"/>
      <c r="AF445" s="149"/>
      <c r="AG445" s="14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row>
    <row r="446" spans="28:102">
      <c r="AB446" s="149"/>
      <c r="AC446" s="149"/>
      <c r="AD446" s="149"/>
      <c r="AE446" s="149"/>
      <c r="AF446" s="149"/>
      <c r="AG446" s="14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row>
    <row r="447" spans="28:102">
      <c r="AB447" s="149"/>
      <c r="AC447" s="149"/>
      <c r="AD447" s="149"/>
      <c r="AE447" s="149"/>
      <c r="AF447" s="149"/>
      <c r="AG447" s="14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row>
    <row r="448" spans="28:102">
      <c r="AB448" s="149"/>
      <c r="AC448" s="149"/>
      <c r="AD448" s="149"/>
      <c r="AE448" s="149"/>
      <c r="AF448" s="149"/>
      <c r="AG448" s="14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row>
    <row r="449" spans="28:102">
      <c r="AB449" s="149"/>
      <c r="AC449" s="149"/>
      <c r="AD449" s="149"/>
      <c r="AE449" s="149"/>
      <c r="AF449" s="149"/>
      <c r="AG449" s="14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row>
    <row r="450" spans="28:102">
      <c r="AB450" s="149"/>
      <c r="AC450" s="149"/>
      <c r="AD450" s="149"/>
      <c r="AE450" s="149"/>
      <c r="AF450" s="149"/>
      <c r="AG450" s="14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row>
    <row r="451" spans="28:102">
      <c r="AB451" s="149"/>
      <c r="AC451" s="149"/>
      <c r="AD451" s="149"/>
      <c r="AE451" s="149"/>
      <c r="AF451" s="149"/>
      <c r="AG451" s="14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row>
    <row r="452" spans="28:102">
      <c r="AB452" s="149"/>
      <c r="AC452" s="149"/>
      <c r="AD452" s="149"/>
      <c r="AE452" s="149"/>
      <c r="AF452" s="149"/>
      <c r="AG452" s="14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row>
    <row r="453" spans="28:102">
      <c r="AB453" s="149"/>
      <c r="AC453" s="149"/>
      <c r="AD453" s="149"/>
      <c r="AE453" s="149"/>
      <c r="AF453" s="149"/>
      <c r="AG453" s="14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row>
    <row r="454" spans="28:102">
      <c r="AB454" s="149"/>
      <c r="AC454" s="149"/>
      <c r="AD454" s="149"/>
      <c r="AE454" s="149"/>
      <c r="AF454" s="149"/>
      <c r="AG454" s="14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row>
    <row r="455" spans="28:102">
      <c r="AB455" s="149"/>
      <c r="AC455" s="149"/>
      <c r="AD455" s="149"/>
      <c r="AE455" s="149"/>
      <c r="AF455" s="149"/>
      <c r="AG455" s="14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row>
    <row r="456" spans="28:102">
      <c r="AB456" s="149"/>
      <c r="AC456" s="149"/>
      <c r="AD456" s="149"/>
      <c r="AE456" s="149"/>
      <c r="AF456" s="149"/>
      <c r="AG456" s="14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row>
    <row r="457" spans="28:102">
      <c r="AB457" s="149"/>
      <c r="AC457" s="149"/>
      <c r="AD457" s="149"/>
      <c r="AE457" s="149"/>
      <c r="AF457" s="149"/>
      <c r="AG457" s="14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row>
    <row r="458" spans="28:102">
      <c r="AB458" s="149"/>
      <c r="AC458" s="149"/>
      <c r="AD458" s="149"/>
      <c r="AE458" s="149"/>
      <c r="AF458" s="149"/>
      <c r="AG458" s="14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row>
    <row r="459" spans="28:102">
      <c r="AB459" s="149"/>
      <c r="AC459" s="149"/>
      <c r="AD459" s="149"/>
      <c r="AE459" s="149"/>
      <c r="AF459" s="149"/>
      <c r="AG459" s="14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row>
    <row r="460" spans="28:102">
      <c r="AB460" s="149"/>
      <c r="AC460" s="149"/>
      <c r="AD460" s="149"/>
      <c r="AE460" s="149"/>
      <c r="AF460" s="149"/>
      <c r="AG460" s="14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row>
    <row r="461" spans="28:102">
      <c r="AB461" s="149"/>
      <c r="AC461" s="149"/>
      <c r="AD461" s="149"/>
      <c r="AE461" s="149"/>
      <c r="AF461" s="149"/>
      <c r="AG461" s="14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row>
    <row r="462" spans="28:102">
      <c r="AB462" s="149"/>
      <c r="AC462" s="149"/>
      <c r="AD462" s="149"/>
      <c r="AE462" s="149"/>
      <c r="AF462" s="149"/>
      <c r="AG462" s="14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row>
    <row r="463" spans="28:102">
      <c r="AB463" s="149"/>
      <c r="AC463" s="149"/>
      <c r="AD463" s="149"/>
      <c r="AE463" s="149"/>
      <c r="AF463" s="149"/>
      <c r="AG463" s="14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row>
    <row r="464" spans="28:102">
      <c r="AB464" s="149"/>
      <c r="AC464" s="149"/>
      <c r="AD464" s="149"/>
      <c r="AE464" s="149"/>
      <c r="AF464" s="149"/>
      <c r="AG464" s="14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row>
    <row r="465" spans="28:102">
      <c r="AB465" s="149"/>
      <c r="AC465" s="149"/>
      <c r="AD465" s="149"/>
      <c r="AE465" s="149"/>
      <c r="AF465" s="149"/>
      <c r="AG465" s="14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row>
    <row r="466" spans="28:102">
      <c r="AB466" s="149"/>
      <c r="AC466" s="149"/>
      <c r="AD466" s="149"/>
      <c r="AE466" s="149"/>
      <c r="AF466" s="149"/>
      <c r="AG466" s="14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row>
    <row r="467" spans="28:102">
      <c r="AB467" s="149"/>
      <c r="AC467" s="149"/>
      <c r="AD467" s="149"/>
      <c r="AE467" s="149"/>
      <c r="AF467" s="149"/>
      <c r="AG467" s="14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row>
    <row r="468" spans="28:102">
      <c r="AB468" s="149"/>
      <c r="AC468" s="149"/>
      <c r="AD468" s="149"/>
      <c r="AE468" s="149"/>
      <c r="AF468" s="149"/>
      <c r="AG468" s="14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row>
    <row r="469" spans="28:102">
      <c r="AB469" s="149"/>
      <c r="AC469" s="149"/>
      <c r="AD469" s="149"/>
      <c r="AE469" s="149"/>
      <c r="AF469" s="149"/>
      <c r="AG469" s="14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row>
    <row r="470" spans="28:102">
      <c r="AB470" s="149"/>
      <c r="AC470" s="149"/>
      <c r="AD470" s="149"/>
      <c r="AE470" s="149"/>
      <c r="AF470" s="149"/>
      <c r="AG470" s="14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row>
    <row r="471" spans="28:102">
      <c r="AB471" s="149"/>
      <c r="AC471" s="149"/>
      <c r="AD471" s="149"/>
      <c r="AE471" s="149"/>
      <c r="AF471" s="149"/>
      <c r="AG471" s="14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row>
    <row r="472" spans="28:102">
      <c r="AB472" s="149"/>
      <c r="AC472" s="149"/>
      <c r="AD472" s="149"/>
      <c r="AE472" s="149"/>
      <c r="AF472" s="149"/>
      <c r="AG472" s="14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row>
    <row r="473" spans="28:102">
      <c r="AB473" s="149"/>
      <c r="AC473" s="149"/>
      <c r="AD473" s="149"/>
      <c r="AE473" s="149"/>
      <c r="AF473" s="149"/>
      <c r="AG473" s="14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row>
    <row r="474" spans="28:102">
      <c r="AB474" s="149"/>
      <c r="AC474" s="149"/>
      <c r="AD474" s="149"/>
      <c r="AE474" s="149"/>
      <c r="AF474" s="149"/>
      <c r="AG474" s="14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row>
    <row r="475" spans="28:102">
      <c r="AB475" s="149"/>
      <c r="AC475" s="149"/>
      <c r="AD475" s="149"/>
      <c r="AE475" s="149"/>
      <c r="AF475" s="149"/>
      <c r="AG475" s="14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row>
    <row r="476" spans="28:102">
      <c r="AB476" s="149"/>
      <c r="AC476" s="149"/>
      <c r="AD476" s="149"/>
      <c r="AE476" s="149"/>
      <c r="AF476" s="149"/>
      <c r="AG476" s="14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row>
    <row r="477" spans="28:102">
      <c r="AB477" s="149"/>
      <c r="AC477" s="149"/>
      <c r="AD477" s="149"/>
      <c r="AE477" s="149"/>
      <c r="AF477" s="149"/>
      <c r="AG477" s="14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row>
    <row r="478" spans="28:102">
      <c r="AB478" s="149"/>
      <c r="AC478" s="149"/>
      <c r="AD478" s="149"/>
      <c r="AE478" s="149"/>
      <c r="AF478" s="149"/>
      <c r="AG478" s="14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row>
    <row r="479" spans="28:102">
      <c r="AB479" s="149"/>
      <c r="AC479" s="149"/>
      <c r="AD479" s="149"/>
      <c r="AE479" s="149"/>
      <c r="AF479" s="149"/>
      <c r="AG479" s="14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row>
    <row r="480" spans="28:102">
      <c r="AB480" s="149"/>
      <c r="AC480" s="149"/>
      <c r="AD480" s="149"/>
      <c r="AE480" s="149"/>
      <c r="AF480" s="149"/>
      <c r="AG480" s="14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row>
    <row r="481" spans="28:102">
      <c r="AB481" s="149"/>
      <c r="AC481" s="149"/>
      <c r="AD481" s="149"/>
      <c r="AE481" s="149"/>
      <c r="AF481" s="149"/>
      <c r="AG481" s="14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row>
    <row r="482" spans="28:102">
      <c r="AB482" s="149"/>
      <c r="AC482" s="149"/>
      <c r="AD482" s="149"/>
      <c r="AE482" s="149"/>
      <c r="AF482" s="149"/>
      <c r="AG482" s="14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row>
    <row r="483" spans="28:102">
      <c r="AB483" s="149"/>
      <c r="AC483" s="149"/>
      <c r="AD483" s="149"/>
      <c r="AE483" s="149"/>
      <c r="AF483" s="149"/>
      <c r="AG483" s="14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row>
    <row r="484" spans="28:102">
      <c r="AB484" s="149"/>
      <c r="AC484" s="149"/>
      <c r="AD484" s="149"/>
      <c r="AE484" s="149"/>
      <c r="AF484" s="149"/>
      <c r="AG484" s="14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row>
    <row r="485" spans="28:102">
      <c r="AB485" s="149"/>
      <c r="AC485" s="149"/>
      <c r="AD485" s="149"/>
      <c r="AE485" s="149"/>
      <c r="AF485" s="149"/>
      <c r="AG485" s="14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row>
    <row r="486" spans="28:102">
      <c r="AB486" s="149"/>
      <c r="AC486" s="149"/>
      <c r="AD486" s="149"/>
      <c r="AE486" s="149"/>
      <c r="AF486" s="149"/>
      <c r="AG486" s="14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row>
    <row r="487" spans="28:102">
      <c r="AB487" s="149"/>
      <c r="AC487" s="149"/>
      <c r="AD487" s="149"/>
      <c r="AE487" s="149"/>
      <c r="AF487" s="149"/>
      <c r="AG487" s="14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row>
    <row r="488" spans="28:102">
      <c r="AB488" s="149"/>
      <c r="AC488" s="149"/>
      <c r="AD488" s="149"/>
      <c r="AE488" s="149"/>
      <c r="AF488" s="149"/>
      <c r="AG488" s="14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row>
    <row r="489" spans="28:102">
      <c r="AB489" s="149"/>
      <c r="AC489" s="149"/>
      <c r="AD489" s="149"/>
      <c r="AE489" s="149"/>
      <c r="AF489" s="149"/>
      <c r="AG489" s="14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row>
    <row r="490" spans="28:102">
      <c r="AB490" s="149"/>
      <c r="AC490" s="149"/>
      <c r="AD490" s="149"/>
      <c r="AE490" s="149"/>
      <c r="AF490" s="149"/>
      <c r="AG490" s="14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row>
    <row r="491" spans="28:102">
      <c r="AB491" s="149"/>
      <c r="AC491" s="149"/>
      <c r="AD491" s="149"/>
      <c r="AE491" s="149"/>
      <c r="AF491" s="149"/>
      <c r="AG491" s="14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row>
    <row r="492" spans="28:102">
      <c r="AB492" s="149"/>
      <c r="AC492" s="149"/>
      <c r="AD492" s="149"/>
      <c r="AE492" s="149"/>
      <c r="AF492" s="149"/>
      <c r="AG492" s="14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row>
    <row r="493" spans="28:102">
      <c r="AB493" s="149"/>
      <c r="AC493" s="149"/>
      <c r="AD493" s="149"/>
      <c r="AE493" s="149"/>
      <c r="AF493" s="149"/>
      <c r="AG493" s="14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row>
    <row r="494" spans="28:102">
      <c r="AB494" s="149"/>
      <c r="AC494" s="149"/>
      <c r="AD494" s="149"/>
      <c r="AE494" s="149"/>
      <c r="AF494" s="149"/>
      <c r="AG494" s="14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row>
    <row r="495" spans="28:102">
      <c r="AB495" s="149"/>
      <c r="AC495" s="149"/>
      <c r="AD495" s="149"/>
      <c r="AE495" s="149"/>
      <c r="AF495" s="149"/>
      <c r="AG495" s="14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row>
    <row r="496" spans="28:102">
      <c r="AB496" s="149"/>
      <c r="AC496" s="149"/>
      <c r="AD496" s="149"/>
      <c r="AE496" s="149"/>
      <c r="AF496" s="149"/>
      <c r="AG496" s="14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row>
    <row r="497" spans="28:102">
      <c r="AB497" s="149"/>
      <c r="AC497" s="149"/>
      <c r="AD497" s="149"/>
      <c r="AE497" s="149"/>
      <c r="AF497" s="149"/>
      <c r="AG497" s="14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row>
    <row r="498" spans="28:102">
      <c r="AB498" s="149"/>
      <c r="AC498" s="149"/>
      <c r="AD498" s="149"/>
      <c r="AE498" s="149"/>
      <c r="AF498" s="149"/>
      <c r="AG498" s="14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row>
    <row r="499" spans="28:102">
      <c r="AB499" s="149"/>
      <c r="AC499" s="149"/>
      <c r="AD499" s="149"/>
      <c r="AE499" s="149"/>
      <c r="AF499" s="149"/>
      <c r="AG499" s="14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row>
    <row r="500" spans="28:102">
      <c r="AB500" s="149"/>
      <c r="AC500" s="149"/>
      <c r="AD500" s="149"/>
      <c r="AE500" s="149"/>
      <c r="AF500" s="149"/>
      <c r="AG500" s="14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row>
    <row r="501" spans="28:102">
      <c r="AB501" s="149"/>
      <c r="AC501" s="149"/>
      <c r="AD501" s="149"/>
      <c r="AE501" s="149"/>
      <c r="AF501" s="149"/>
      <c r="AG501" s="14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row>
    <row r="502" spans="28:102">
      <c r="AB502" s="149"/>
      <c r="AC502" s="149"/>
      <c r="AD502" s="149"/>
      <c r="AE502" s="149"/>
      <c r="AF502" s="149"/>
      <c r="AG502" s="14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row>
    <row r="503" spans="28:102">
      <c r="AB503" s="149"/>
      <c r="AC503" s="149"/>
      <c r="AD503" s="149"/>
      <c r="AE503" s="149"/>
      <c r="AF503" s="149"/>
      <c r="AG503" s="14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row>
    <row r="504" spans="28:102">
      <c r="AB504" s="149"/>
      <c r="AC504" s="149"/>
      <c r="AD504" s="149"/>
      <c r="AE504" s="149"/>
      <c r="AF504" s="149"/>
      <c r="AG504" s="14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row>
    <row r="505" spans="28:102">
      <c r="AB505" s="149"/>
      <c r="AC505" s="149"/>
      <c r="AD505" s="149"/>
      <c r="AE505" s="149"/>
      <c r="AF505" s="149"/>
      <c r="AG505" s="14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row>
    <row r="506" spans="28:102">
      <c r="AB506" s="149"/>
      <c r="AC506" s="149"/>
      <c r="AD506" s="149"/>
      <c r="AE506" s="149"/>
      <c r="AF506" s="149"/>
      <c r="AG506" s="14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row>
    <row r="507" spans="28:102">
      <c r="AB507" s="149"/>
      <c r="AC507" s="149"/>
      <c r="AD507" s="149"/>
      <c r="AE507" s="149"/>
      <c r="AF507" s="149"/>
      <c r="AG507" s="14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row>
    <row r="508" spans="28:102">
      <c r="AB508" s="149"/>
      <c r="AC508" s="149"/>
      <c r="AD508" s="149"/>
      <c r="AE508" s="149"/>
      <c r="AF508" s="149"/>
      <c r="AG508" s="14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row>
    <row r="509" spans="28:102">
      <c r="AB509" s="149"/>
      <c r="AC509" s="149"/>
      <c r="AD509" s="149"/>
      <c r="AE509" s="149"/>
      <c r="AF509" s="149"/>
      <c r="AG509" s="14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row>
    <row r="510" spans="28:102">
      <c r="AB510" s="149"/>
      <c r="AC510" s="149"/>
      <c r="AD510" s="149"/>
      <c r="AE510" s="149"/>
      <c r="AF510" s="149"/>
      <c r="AG510" s="14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row>
    <row r="511" spans="28:102">
      <c r="AB511" s="149"/>
      <c r="AC511" s="149"/>
      <c r="AD511" s="149"/>
      <c r="AE511" s="149"/>
      <c r="AF511" s="149"/>
      <c r="AG511" s="14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row>
    <row r="512" spans="28:102">
      <c r="AB512" s="149"/>
      <c r="AC512" s="149"/>
      <c r="AD512" s="149"/>
      <c r="AE512" s="149"/>
      <c r="AF512" s="149"/>
      <c r="AG512" s="14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row>
    <row r="513" spans="28:102">
      <c r="AB513" s="149"/>
      <c r="AC513" s="149"/>
      <c r="AD513" s="149"/>
      <c r="AE513" s="149"/>
      <c r="AF513" s="149"/>
      <c r="AG513" s="14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row>
    <row r="514" spans="28:102">
      <c r="AB514" s="149"/>
      <c r="AC514" s="149"/>
      <c r="AD514" s="149"/>
      <c r="AE514" s="149"/>
      <c r="AF514" s="149"/>
      <c r="AG514" s="14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row>
    <row r="515" spans="28:102">
      <c r="AB515" s="149"/>
      <c r="AC515" s="149"/>
      <c r="AD515" s="149"/>
      <c r="AE515" s="149"/>
      <c r="AF515" s="149"/>
      <c r="AG515" s="14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row>
    <row r="516" spans="28:102">
      <c r="AB516" s="149"/>
      <c r="AC516" s="149"/>
      <c r="AD516" s="149"/>
      <c r="AE516" s="149"/>
      <c r="AF516" s="149"/>
      <c r="AG516" s="14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row>
    <row r="517" spans="28:102">
      <c r="AB517" s="149"/>
      <c r="AC517" s="149"/>
      <c r="AD517" s="149"/>
      <c r="AE517" s="149"/>
      <c r="AF517" s="149"/>
      <c r="AG517" s="14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row>
    <row r="518" spans="28:102">
      <c r="AB518" s="149"/>
      <c r="AC518" s="149"/>
      <c r="AD518" s="149"/>
      <c r="AE518" s="149"/>
      <c r="AF518" s="149"/>
      <c r="AG518" s="14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row>
    <row r="519" spans="28:102">
      <c r="AB519" s="149"/>
      <c r="AC519" s="149"/>
      <c r="AD519" s="149"/>
      <c r="AE519" s="149"/>
      <c r="AF519" s="149"/>
      <c r="AG519" s="14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row>
    <row r="520" spans="28:102">
      <c r="AB520" s="149"/>
      <c r="AC520" s="149"/>
      <c r="AD520" s="149"/>
      <c r="AE520" s="149"/>
      <c r="AF520" s="149"/>
      <c r="AG520" s="14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row>
    <row r="521" spans="28:102">
      <c r="AB521" s="149"/>
      <c r="AC521" s="149"/>
      <c r="AD521" s="149"/>
      <c r="AE521" s="149"/>
      <c r="AF521" s="149"/>
      <c r="AG521" s="14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row>
    <row r="522" spans="28:102">
      <c r="AB522" s="149"/>
      <c r="AC522" s="149"/>
      <c r="AD522" s="149"/>
      <c r="AE522" s="149"/>
      <c r="AF522" s="149"/>
      <c r="AG522" s="14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row>
    <row r="523" spans="28:102">
      <c r="AB523" s="149"/>
      <c r="AC523" s="149"/>
      <c r="AD523" s="149"/>
      <c r="AE523" s="149"/>
      <c r="AF523" s="149"/>
      <c r="AG523" s="14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row>
    <row r="524" spans="28:102">
      <c r="AB524" s="149"/>
      <c r="AC524" s="149"/>
      <c r="AD524" s="149"/>
      <c r="AE524" s="149"/>
      <c r="AF524" s="149"/>
      <c r="AG524" s="14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row>
    <row r="525" spans="28:102">
      <c r="AB525" s="149"/>
      <c r="AC525" s="149"/>
      <c r="AD525" s="149"/>
      <c r="AE525" s="149"/>
      <c r="AF525" s="149"/>
      <c r="AG525" s="14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row>
    <row r="526" spans="28:102">
      <c r="AB526" s="149"/>
      <c r="AC526" s="149"/>
      <c r="AD526" s="149"/>
      <c r="AE526" s="149"/>
      <c r="AF526" s="149"/>
      <c r="AG526" s="14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row>
    <row r="527" spans="28:102">
      <c r="AB527" s="149"/>
      <c r="AC527" s="149"/>
      <c r="AD527" s="149"/>
      <c r="AE527" s="149"/>
      <c r="AF527" s="149"/>
      <c r="AG527" s="14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row>
    <row r="528" spans="28:102">
      <c r="AB528" s="149"/>
      <c r="AC528" s="149"/>
      <c r="AD528" s="149"/>
      <c r="AE528" s="149"/>
      <c r="AF528" s="149"/>
      <c r="AG528" s="14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row>
    <row r="529" spans="28:102">
      <c r="AB529" s="149"/>
      <c r="AC529" s="149"/>
      <c r="AD529" s="149"/>
      <c r="AE529" s="149"/>
      <c r="AF529" s="149"/>
      <c r="AG529" s="14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row>
    <row r="530" spans="28:102">
      <c r="AB530" s="149"/>
      <c r="AC530" s="149"/>
      <c r="AD530" s="149"/>
      <c r="AE530" s="149"/>
      <c r="AF530" s="149"/>
      <c r="AG530" s="14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row>
    <row r="531" spans="28:102">
      <c r="AB531" s="149"/>
      <c r="AC531" s="149"/>
      <c r="AD531" s="149"/>
      <c r="AE531" s="149"/>
      <c r="AF531" s="149"/>
      <c r="AG531" s="14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row>
    <row r="532" spans="28:102">
      <c r="AB532" s="149"/>
      <c r="AC532" s="149"/>
      <c r="AD532" s="149"/>
      <c r="AE532" s="149"/>
      <c r="AF532" s="149"/>
      <c r="AG532" s="14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row>
    <row r="533" spans="28:102">
      <c r="AB533" s="149"/>
      <c r="AC533" s="149"/>
      <c r="AD533" s="149"/>
      <c r="AE533" s="149"/>
      <c r="AF533" s="149"/>
      <c r="AG533" s="14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row>
    <row r="534" spans="28:102">
      <c r="AB534" s="149"/>
      <c r="AC534" s="149"/>
      <c r="AD534" s="149"/>
      <c r="AE534" s="149"/>
      <c r="AF534" s="149"/>
      <c r="AG534" s="14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row>
    <row r="535" spans="28:102">
      <c r="AB535" s="149"/>
      <c r="AC535" s="149"/>
      <c r="AD535" s="149"/>
      <c r="AE535" s="149"/>
      <c r="AF535" s="149"/>
      <c r="AG535" s="14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row>
    <row r="536" spans="28:102">
      <c r="AB536" s="149"/>
      <c r="AC536" s="149"/>
      <c r="AD536" s="149"/>
      <c r="AE536" s="149"/>
      <c r="AF536" s="149"/>
      <c r="AG536" s="14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row>
    <row r="537" spans="28:102">
      <c r="AB537" s="149"/>
      <c r="AC537" s="149"/>
      <c r="AD537" s="149"/>
      <c r="AE537" s="149"/>
      <c r="AF537" s="149"/>
      <c r="AG537" s="14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row>
    <row r="538" spans="28:102">
      <c r="AB538" s="149"/>
      <c r="AC538" s="149"/>
      <c r="AD538" s="149"/>
      <c r="AE538" s="149"/>
      <c r="AF538" s="149"/>
      <c r="AG538" s="14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row>
    <row r="539" spans="28:102">
      <c r="AB539" s="149"/>
      <c r="AC539" s="149"/>
      <c r="AD539" s="149"/>
      <c r="AE539" s="149"/>
      <c r="AF539" s="149"/>
      <c r="AG539" s="14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row>
    <row r="540" spans="28:102">
      <c r="AB540" s="149"/>
      <c r="AC540" s="149"/>
      <c r="AD540" s="149"/>
      <c r="AE540" s="149"/>
      <c r="AF540" s="149"/>
      <c r="AG540" s="14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row>
    <row r="541" spans="28:102">
      <c r="AB541" s="149"/>
      <c r="AC541" s="149"/>
      <c r="AD541" s="149"/>
      <c r="AE541" s="149"/>
      <c r="AF541" s="149"/>
      <c r="AG541" s="14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row>
    <row r="542" spans="28:102">
      <c r="AB542" s="149"/>
      <c r="AC542" s="149"/>
      <c r="AD542" s="149"/>
      <c r="AE542" s="149"/>
      <c r="AF542" s="149"/>
      <c r="AG542" s="14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row>
    <row r="543" spans="28:102">
      <c r="AB543" s="149"/>
      <c r="AC543" s="149"/>
      <c r="AD543" s="149"/>
      <c r="AE543" s="149"/>
      <c r="AF543" s="149"/>
      <c r="AG543" s="14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row>
    <row r="544" spans="28:102">
      <c r="AB544" s="149"/>
      <c r="AC544" s="149"/>
      <c r="AD544" s="149"/>
      <c r="AE544" s="149"/>
      <c r="AF544" s="149"/>
      <c r="AG544" s="14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row>
    <row r="545" spans="28:102">
      <c r="AB545" s="149"/>
      <c r="AC545" s="149"/>
      <c r="AD545" s="149"/>
      <c r="AE545" s="149"/>
      <c r="AF545" s="149"/>
      <c r="AG545" s="14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row>
    <row r="546" spans="28:102">
      <c r="AB546" s="149"/>
      <c r="AC546" s="149"/>
      <c r="AD546" s="149"/>
      <c r="AE546" s="149"/>
      <c r="AF546" s="149"/>
      <c r="AG546" s="14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row>
    <row r="547" spans="28:102">
      <c r="AB547" s="149"/>
      <c r="AC547" s="149"/>
      <c r="AD547" s="149"/>
      <c r="AE547" s="149"/>
      <c r="AF547" s="149"/>
      <c r="AG547" s="14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row>
    <row r="548" spans="28:102">
      <c r="AB548" s="149"/>
      <c r="AC548" s="149"/>
      <c r="AD548" s="149"/>
      <c r="AE548" s="149"/>
      <c r="AF548" s="149"/>
      <c r="AG548" s="14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row>
    <row r="549" spans="28:102">
      <c r="AB549" s="149"/>
      <c r="AC549" s="149"/>
      <c r="AD549" s="149"/>
      <c r="AE549" s="149"/>
      <c r="AF549" s="149"/>
      <c r="AG549" s="14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row>
    <row r="550" spans="28:102">
      <c r="AB550" s="149"/>
      <c r="AC550" s="149"/>
      <c r="AD550" s="149"/>
      <c r="AE550" s="149"/>
      <c r="AF550" s="149"/>
      <c r="AG550" s="14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row>
    <row r="551" spans="28:102">
      <c r="AB551" s="149"/>
      <c r="AC551" s="149"/>
      <c r="AD551" s="149"/>
      <c r="AE551" s="149"/>
      <c r="AF551" s="149"/>
      <c r="AG551" s="14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row>
    <row r="552" spans="28:102">
      <c r="AB552" s="149"/>
      <c r="AC552" s="149"/>
      <c r="AD552" s="149"/>
      <c r="AE552" s="149"/>
      <c r="AF552" s="149"/>
      <c r="AG552" s="14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row>
    <row r="553" spans="28:102">
      <c r="AB553" s="149"/>
      <c r="AC553" s="149"/>
      <c r="AD553" s="149"/>
      <c r="AE553" s="149"/>
      <c r="AF553" s="149"/>
      <c r="AG553" s="14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row>
    <row r="554" spans="28:102">
      <c r="AB554" s="149"/>
      <c r="AC554" s="149"/>
      <c r="AD554" s="149"/>
      <c r="AE554" s="149"/>
      <c r="AF554" s="149"/>
      <c r="AG554" s="14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row>
    <row r="555" spans="28:102">
      <c r="AB555" s="149"/>
      <c r="AC555" s="149"/>
      <c r="AD555" s="149"/>
      <c r="AE555" s="149"/>
      <c r="AF555" s="149"/>
      <c r="AG555" s="14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row>
    <row r="556" spans="28:102">
      <c r="AB556" s="149"/>
      <c r="AC556" s="149"/>
      <c r="AD556" s="149"/>
      <c r="AE556" s="149"/>
      <c r="AF556" s="149"/>
      <c r="AG556" s="14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row>
    <row r="557" spans="28:102">
      <c r="AB557" s="149"/>
      <c r="AC557" s="149"/>
      <c r="AD557" s="149"/>
      <c r="AE557" s="149"/>
      <c r="AF557" s="149"/>
      <c r="AG557" s="14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row>
    <row r="558" spans="28:102">
      <c r="AB558" s="149"/>
      <c r="AC558" s="149"/>
      <c r="AD558" s="149"/>
      <c r="AE558" s="149"/>
      <c r="AF558" s="149"/>
      <c r="AG558" s="14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row>
    <row r="559" spans="28:102">
      <c r="AB559" s="149"/>
      <c r="AC559" s="149"/>
      <c r="AD559" s="149"/>
      <c r="AE559" s="149"/>
      <c r="AF559" s="149"/>
      <c r="AG559" s="14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row>
    <row r="560" spans="28:102">
      <c r="AB560" s="149"/>
      <c r="AC560" s="149"/>
      <c r="AD560" s="149"/>
      <c r="AE560" s="149"/>
      <c r="AF560" s="149"/>
      <c r="AG560" s="14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row>
    <row r="561" spans="28:102">
      <c r="AB561" s="149"/>
      <c r="AC561" s="149"/>
      <c r="AD561" s="149"/>
      <c r="AE561" s="149"/>
      <c r="AF561" s="149"/>
      <c r="AG561" s="14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row>
    <row r="562" spans="28:102">
      <c r="AB562" s="149"/>
      <c r="AC562" s="149"/>
      <c r="AD562" s="149"/>
      <c r="AE562" s="149"/>
      <c r="AF562" s="149"/>
      <c r="AG562" s="14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row>
    <row r="563" spans="28:102">
      <c r="AB563" s="149"/>
      <c r="AC563" s="149"/>
      <c r="AD563" s="149"/>
      <c r="AE563" s="149"/>
      <c r="AF563" s="149"/>
      <c r="AG563" s="14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row>
    <row r="564" spans="28:102">
      <c r="AB564" s="149"/>
      <c r="AC564" s="149"/>
      <c r="AD564" s="149"/>
      <c r="AE564" s="149"/>
      <c r="AF564" s="149"/>
      <c r="AG564" s="14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row>
    <row r="565" spans="28:102">
      <c r="AB565" s="149"/>
      <c r="AC565" s="149"/>
      <c r="AD565" s="149"/>
      <c r="AE565" s="149"/>
      <c r="AF565" s="149"/>
      <c r="AG565" s="14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row>
    <row r="566" spans="28:102">
      <c r="AB566" s="149"/>
      <c r="AC566" s="149"/>
      <c r="AD566" s="149"/>
      <c r="AE566" s="149"/>
      <c r="AF566" s="149"/>
      <c r="AG566" s="14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row>
    <row r="567" spans="28:102">
      <c r="AB567" s="149"/>
      <c r="AC567" s="149"/>
      <c r="AD567" s="149"/>
      <c r="AE567" s="149"/>
      <c r="AF567" s="149"/>
      <c r="AG567" s="14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row>
    <row r="568" spans="28:102">
      <c r="AB568" s="149"/>
      <c r="AC568" s="149"/>
      <c r="AD568" s="149"/>
      <c r="AE568" s="149"/>
      <c r="AF568" s="149"/>
      <c r="AG568" s="14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row>
    <row r="569" spans="28:102">
      <c r="AB569" s="149"/>
      <c r="AC569" s="149"/>
      <c r="AD569" s="149"/>
      <c r="AE569" s="149"/>
      <c r="AF569" s="149"/>
      <c r="AG569" s="14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row>
    <row r="570" spans="28:102">
      <c r="AB570" s="149"/>
      <c r="AC570" s="149"/>
      <c r="AD570" s="149"/>
      <c r="AE570" s="149"/>
      <c r="AF570" s="149"/>
      <c r="AG570" s="14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row>
    <row r="571" spans="28:102">
      <c r="AB571" s="149"/>
      <c r="AC571" s="149"/>
      <c r="AD571" s="149"/>
      <c r="AE571" s="149"/>
      <c r="AF571" s="149"/>
      <c r="AG571" s="14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row>
    <row r="572" spans="28:102">
      <c r="AB572" s="149"/>
      <c r="AC572" s="149"/>
      <c r="AD572" s="149"/>
      <c r="AE572" s="149"/>
      <c r="AF572" s="149"/>
      <c r="AG572" s="14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row>
    <row r="573" spans="28:102">
      <c r="AB573" s="149"/>
      <c r="AC573" s="149"/>
      <c r="AD573" s="149"/>
      <c r="AE573" s="149"/>
      <c r="AF573" s="149"/>
      <c r="AG573" s="14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row>
    <row r="574" spans="28:102">
      <c r="AB574" s="149"/>
      <c r="AC574" s="149"/>
      <c r="AD574" s="149"/>
      <c r="AE574" s="149"/>
      <c r="AF574" s="149"/>
      <c r="AG574" s="14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row>
    <row r="575" spans="28:102">
      <c r="AB575" s="149"/>
      <c r="AC575" s="149"/>
      <c r="AD575" s="149"/>
      <c r="AE575" s="149"/>
      <c r="AF575" s="149"/>
      <c r="AG575" s="14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row>
    <row r="576" spans="28:102">
      <c r="AB576" s="149"/>
      <c r="AC576" s="149"/>
      <c r="AD576" s="149"/>
      <c r="AE576" s="149"/>
      <c r="AF576" s="149"/>
      <c r="AG576" s="14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row>
    <row r="577" spans="28:102">
      <c r="AB577" s="149"/>
      <c r="AC577" s="149"/>
      <c r="AD577" s="149"/>
      <c r="AE577" s="149"/>
      <c r="AF577" s="149"/>
      <c r="AG577" s="14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row>
    <row r="578" spans="28:102">
      <c r="AB578" s="149"/>
      <c r="AC578" s="149"/>
      <c r="AD578" s="149"/>
      <c r="AE578" s="149"/>
      <c r="AF578" s="149"/>
      <c r="AG578" s="14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row>
    <row r="579" spans="28:102">
      <c r="AB579" s="149"/>
      <c r="AC579" s="149"/>
      <c r="AD579" s="149"/>
      <c r="AE579" s="149"/>
      <c r="AF579" s="149"/>
      <c r="AG579" s="14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row>
    <row r="580" spans="28:102">
      <c r="AB580" s="149"/>
      <c r="AC580" s="149"/>
      <c r="AD580" s="149"/>
      <c r="AE580" s="149"/>
      <c r="AF580" s="149"/>
      <c r="AG580" s="14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row>
    <row r="581" spans="28:102">
      <c r="AB581" s="149"/>
      <c r="AC581" s="149"/>
      <c r="AD581" s="149"/>
      <c r="AE581" s="149"/>
      <c r="AF581" s="149"/>
      <c r="AG581" s="14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row>
    <row r="582" spans="28:102">
      <c r="AB582" s="149"/>
      <c r="AC582" s="149"/>
      <c r="AD582" s="149"/>
      <c r="AE582" s="149"/>
      <c r="AF582" s="149"/>
      <c r="AG582" s="14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row>
    <row r="583" spans="28:102">
      <c r="AB583" s="149"/>
      <c r="AC583" s="149"/>
      <c r="AD583" s="149"/>
      <c r="AE583" s="149"/>
      <c r="AF583" s="149"/>
      <c r="AG583" s="14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row>
    <row r="584" spans="28:102">
      <c r="AB584" s="149"/>
      <c r="AC584" s="149"/>
      <c r="AD584" s="149"/>
      <c r="AE584" s="149"/>
      <c r="AF584" s="149"/>
      <c r="AG584" s="14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row>
    <row r="585" spans="28:102">
      <c r="AB585" s="149"/>
      <c r="AC585" s="149"/>
      <c r="AD585" s="149"/>
      <c r="AE585" s="149"/>
      <c r="AF585" s="149"/>
      <c r="AG585" s="14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row>
    <row r="586" spans="28:102">
      <c r="AB586" s="149"/>
      <c r="AC586" s="149"/>
      <c r="AD586" s="149"/>
      <c r="AE586" s="149"/>
      <c r="AF586" s="149"/>
      <c r="AG586" s="14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row>
    <row r="587" spans="28:102">
      <c r="AB587" s="149"/>
      <c r="AC587" s="149"/>
      <c r="AD587" s="149"/>
      <c r="AE587" s="149"/>
      <c r="AF587" s="149"/>
      <c r="AG587" s="14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row>
    <row r="588" spans="28:102">
      <c r="AB588" s="149"/>
      <c r="AC588" s="149"/>
      <c r="AD588" s="149"/>
      <c r="AE588" s="149"/>
      <c r="AF588" s="149"/>
      <c r="AG588" s="14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row>
    <row r="589" spans="28:102">
      <c r="AB589" s="149"/>
      <c r="AC589" s="149"/>
      <c r="AD589" s="149"/>
      <c r="AE589" s="149"/>
      <c r="AF589" s="149"/>
      <c r="AG589" s="14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row>
    <row r="590" spans="28:102">
      <c r="AB590" s="149"/>
      <c r="AC590" s="149"/>
      <c r="AD590" s="149"/>
      <c r="AE590" s="149"/>
      <c r="AF590" s="149"/>
      <c r="AG590" s="14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row>
    <row r="591" spans="28:102">
      <c r="AB591" s="149"/>
      <c r="AC591" s="149"/>
      <c r="AD591" s="149"/>
      <c r="AE591" s="149"/>
      <c r="AF591" s="149"/>
      <c r="AG591" s="14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row>
    <row r="592" spans="28:102">
      <c r="AB592" s="149"/>
      <c r="AC592" s="149"/>
      <c r="AD592" s="149"/>
      <c r="AE592" s="149"/>
      <c r="AF592" s="149"/>
      <c r="AG592" s="14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row>
    <row r="593" spans="28:102">
      <c r="AB593" s="149"/>
      <c r="AC593" s="149"/>
      <c r="AD593" s="149"/>
      <c r="AE593" s="149"/>
      <c r="AF593" s="149"/>
      <c r="AG593" s="14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row>
    <row r="594" spans="28:102">
      <c r="AB594" s="149"/>
      <c r="AC594" s="149"/>
      <c r="AD594" s="149"/>
      <c r="AE594" s="149"/>
      <c r="AF594" s="149"/>
      <c r="AG594" s="14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row>
    <row r="595" spans="28:102">
      <c r="AB595" s="149"/>
      <c r="AC595" s="149"/>
      <c r="AD595" s="149"/>
      <c r="AE595" s="149"/>
      <c r="AF595" s="149"/>
      <c r="AG595" s="14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row>
    <row r="596" spans="28:102">
      <c r="AB596" s="149"/>
      <c r="AC596" s="149"/>
      <c r="AD596" s="149"/>
      <c r="AE596" s="149"/>
      <c r="AF596" s="149"/>
      <c r="AG596" s="14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row>
    <row r="597" spans="28:102">
      <c r="AB597" s="149"/>
      <c r="AC597" s="149"/>
      <c r="AD597" s="149"/>
      <c r="AE597" s="149"/>
      <c r="AF597" s="149"/>
      <c r="AG597" s="14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row>
    <row r="598" spans="28:102">
      <c r="AB598" s="149"/>
      <c r="AC598" s="149"/>
      <c r="AD598" s="149"/>
      <c r="AE598" s="149"/>
      <c r="AF598" s="149"/>
      <c r="AG598" s="14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row>
    <row r="599" spans="28:102">
      <c r="AB599" s="149"/>
      <c r="AC599" s="149"/>
      <c r="AD599" s="149"/>
      <c r="AE599" s="149"/>
      <c r="AF599" s="149"/>
      <c r="AG599" s="14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row>
    <row r="600" spans="28:102">
      <c r="AB600" s="149"/>
      <c r="AC600" s="149"/>
      <c r="AD600" s="149"/>
      <c r="AE600" s="149"/>
      <c r="AF600" s="149"/>
      <c r="AG600" s="14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row>
    <row r="601" spans="28:102">
      <c r="AB601" s="149"/>
      <c r="AC601" s="149"/>
      <c r="AD601" s="149"/>
      <c r="AE601" s="149"/>
      <c r="AF601" s="149"/>
      <c r="AG601" s="14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row>
    <row r="602" spans="28:102">
      <c r="AB602" s="149"/>
      <c r="AC602" s="149"/>
      <c r="AD602" s="149"/>
      <c r="AE602" s="149"/>
      <c r="AF602" s="149"/>
      <c r="AG602" s="14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row>
    <row r="603" spans="28:102">
      <c r="AB603" s="149"/>
      <c r="AC603" s="149"/>
      <c r="AD603" s="149"/>
      <c r="AE603" s="149"/>
      <c r="AF603" s="149"/>
      <c r="AG603" s="14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row>
    <row r="604" spans="28:102">
      <c r="AB604" s="149"/>
      <c r="AC604" s="149"/>
      <c r="AD604" s="149"/>
      <c r="AE604" s="149"/>
      <c r="AF604" s="149"/>
      <c r="AG604" s="14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row>
    <row r="605" spans="28:102">
      <c r="AB605" s="149"/>
      <c r="AC605" s="149"/>
      <c r="AD605" s="149"/>
      <c r="AE605" s="149"/>
      <c r="AF605" s="149"/>
      <c r="AG605" s="14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row>
    <row r="606" spans="28:102">
      <c r="AB606" s="149"/>
      <c r="AC606" s="149"/>
      <c r="AD606" s="149"/>
      <c r="AE606" s="149"/>
      <c r="AF606" s="149"/>
      <c r="AG606" s="14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row>
    <row r="607" spans="28:102">
      <c r="AB607" s="149"/>
      <c r="AC607" s="149"/>
      <c r="AD607" s="149"/>
      <c r="AE607" s="149"/>
      <c r="AF607" s="149"/>
      <c r="AG607" s="14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row>
    <row r="608" spans="28:102">
      <c r="AB608" s="149"/>
      <c r="AC608" s="149"/>
      <c r="AD608" s="149"/>
      <c r="AE608" s="149"/>
      <c r="AF608" s="149"/>
      <c r="AG608" s="14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row>
    <row r="609" spans="28:102">
      <c r="AB609" s="149"/>
      <c r="AC609" s="149"/>
      <c r="AD609" s="149"/>
      <c r="AE609" s="149"/>
      <c r="AF609" s="149"/>
      <c r="AG609" s="14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row>
    <row r="610" spans="28:102">
      <c r="AB610" s="149"/>
      <c r="AC610" s="149"/>
      <c r="AD610" s="149"/>
      <c r="AE610" s="149"/>
      <c r="AF610" s="149"/>
      <c r="AG610" s="14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row>
    <row r="611" spans="28:102">
      <c r="AB611" s="149"/>
      <c r="AC611" s="149"/>
      <c r="AD611" s="149"/>
      <c r="AE611" s="149"/>
      <c r="AF611" s="149"/>
      <c r="AG611" s="14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row>
    <row r="612" spans="28:102">
      <c r="AB612" s="149"/>
      <c r="AC612" s="149"/>
      <c r="AD612" s="149"/>
      <c r="AE612" s="149"/>
      <c r="AF612" s="149"/>
      <c r="AG612" s="14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row>
    <row r="613" spans="28:102">
      <c r="AB613" s="149"/>
      <c r="AC613" s="149"/>
      <c r="AD613" s="149"/>
      <c r="AE613" s="149"/>
      <c r="AF613" s="149"/>
      <c r="AG613" s="14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row>
    <row r="614" spans="28:102">
      <c r="AB614" s="149"/>
      <c r="AC614" s="149"/>
      <c r="AD614" s="149"/>
      <c r="AE614" s="149"/>
      <c r="AF614" s="149"/>
      <c r="AG614" s="14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row>
    <row r="615" spans="28:102">
      <c r="AB615" s="149"/>
      <c r="AC615" s="149"/>
      <c r="AD615" s="149"/>
      <c r="AE615" s="149"/>
      <c r="AF615" s="149"/>
      <c r="AG615" s="14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row>
    <row r="616" spans="28:102">
      <c r="AB616" s="149"/>
      <c r="AC616" s="149"/>
      <c r="AD616" s="149"/>
      <c r="AE616" s="149"/>
      <c r="AF616" s="149"/>
      <c r="AG616" s="14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row>
    <row r="617" spans="28:102">
      <c r="AB617" s="149"/>
      <c r="AC617" s="149"/>
      <c r="AD617" s="149"/>
      <c r="AE617" s="149"/>
      <c r="AF617" s="149"/>
      <c r="AG617" s="14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row>
    <row r="618" spans="28:102">
      <c r="AB618" s="149"/>
      <c r="AC618" s="149"/>
      <c r="AD618" s="149"/>
      <c r="AE618" s="149"/>
      <c r="AF618" s="149"/>
      <c r="AG618" s="14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row>
    <row r="619" spans="28:102">
      <c r="AB619" s="149"/>
      <c r="AC619" s="149"/>
      <c r="AD619" s="149"/>
      <c r="AE619" s="149"/>
      <c r="AF619" s="149"/>
      <c r="AG619" s="14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row>
    <row r="620" spans="28:102">
      <c r="AB620" s="149"/>
      <c r="AC620" s="149"/>
      <c r="AD620" s="149"/>
      <c r="AE620" s="149"/>
      <c r="AF620" s="149"/>
      <c r="AG620" s="14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row>
    <row r="621" spans="28:102">
      <c r="AB621" s="149"/>
      <c r="AC621" s="149"/>
      <c r="AD621" s="149"/>
      <c r="AE621" s="149"/>
      <c r="AF621" s="149"/>
      <c r="AG621" s="14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row>
    <row r="622" spans="28:102">
      <c r="AB622" s="149"/>
      <c r="AC622" s="149"/>
      <c r="AD622" s="149"/>
      <c r="AE622" s="149"/>
      <c r="AF622" s="149"/>
      <c r="AG622" s="14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row>
    <row r="623" spans="28:102">
      <c r="AB623" s="149"/>
      <c r="AC623" s="149"/>
      <c r="AD623" s="149"/>
      <c r="AE623" s="149"/>
      <c r="AF623" s="149"/>
      <c r="AG623" s="14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row>
    <row r="624" spans="28:102">
      <c r="AB624" s="149"/>
      <c r="AC624" s="149"/>
      <c r="AD624" s="149"/>
      <c r="AE624" s="149"/>
      <c r="AF624" s="149"/>
      <c r="AG624" s="14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row>
    <row r="625" spans="28:102">
      <c r="AB625" s="149"/>
      <c r="AC625" s="149"/>
      <c r="AD625" s="149"/>
      <c r="AE625" s="149"/>
      <c r="AF625" s="149"/>
      <c r="AG625" s="14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row>
    <row r="626" spans="28:102">
      <c r="AB626" s="149"/>
      <c r="AC626" s="149"/>
      <c r="AD626" s="149"/>
      <c r="AE626" s="149"/>
      <c r="AF626" s="149"/>
      <c r="AG626" s="14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row>
    <row r="627" spans="28:102">
      <c r="AB627" s="149"/>
      <c r="AC627" s="149"/>
      <c r="AD627" s="149"/>
      <c r="AE627" s="149"/>
      <c r="AF627" s="149"/>
      <c r="AG627" s="14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row>
    <row r="628" spans="28:102">
      <c r="AB628" s="149"/>
      <c r="AC628" s="149"/>
      <c r="AD628" s="149"/>
      <c r="AE628" s="149"/>
      <c r="AF628" s="149"/>
      <c r="AG628" s="14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row>
    <row r="629" spans="28:102">
      <c r="AB629" s="149"/>
      <c r="AC629" s="149"/>
      <c r="AD629" s="149"/>
      <c r="AE629" s="149"/>
      <c r="AF629" s="149"/>
      <c r="AG629" s="14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row>
    <row r="630" spans="28:102">
      <c r="AB630" s="149"/>
      <c r="AC630" s="149"/>
      <c r="AD630" s="149"/>
      <c r="AE630" s="149"/>
      <c r="AF630" s="149"/>
      <c r="AG630" s="14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row>
    <row r="631" spans="28:102">
      <c r="AB631" s="149"/>
      <c r="AC631" s="149"/>
      <c r="AD631" s="149"/>
      <c r="AE631" s="149"/>
      <c r="AF631" s="149"/>
      <c r="AG631" s="14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row>
    <row r="632" spans="28:102">
      <c r="AB632" s="149"/>
      <c r="AC632" s="149"/>
      <c r="AD632" s="149"/>
      <c r="AE632" s="149"/>
      <c r="AF632" s="149"/>
      <c r="AG632" s="14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row>
    <row r="633" spans="28:102">
      <c r="AB633" s="149"/>
      <c r="AC633" s="149"/>
      <c r="AD633" s="149"/>
      <c r="AE633" s="149"/>
      <c r="AF633" s="149"/>
      <c r="AG633" s="14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row>
    <row r="634" spans="28:102">
      <c r="AB634" s="149"/>
      <c r="AC634" s="149"/>
      <c r="AD634" s="149"/>
      <c r="AE634" s="149"/>
      <c r="AF634" s="149"/>
      <c r="AG634" s="14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row>
    <row r="635" spans="28:102">
      <c r="AB635" s="149"/>
      <c r="AC635" s="149"/>
      <c r="AD635" s="149"/>
      <c r="AE635" s="149"/>
      <c r="AF635" s="149"/>
      <c r="AG635" s="14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row>
    <row r="636" spans="28:102">
      <c r="AB636" s="149"/>
      <c r="AC636" s="149"/>
      <c r="AD636" s="149"/>
      <c r="AE636" s="149"/>
      <c r="AF636" s="149"/>
      <c r="AG636" s="14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row>
    <row r="637" spans="28:102">
      <c r="AB637" s="149"/>
      <c r="AC637" s="149"/>
      <c r="AD637" s="149"/>
      <c r="AE637" s="149"/>
      <c r="AF637" s="149"/>
      <c r="AG637" s="14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row>
    <row r="638" spans="28:102">
      <c r="AB638" s="149"/>
      <c r="AC638" s="149"/>
      <c r="AD638" s="149"/>
      <c r="AE638" s="149"/>
      <c r="AF638" s="149"/>
      <c r="AG638" s="14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row>
    <row r="639" spans="28:102">
      <c r="AB639" s="149"/>
      <c r="AC639" s="149"/>
      <c r="AD639" s="149"/>
      <c r="AE639" s="149"/>
      <c r="AF639" s="149"/>
      <c r="AG639" s="14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row>
    <row r="640" spans="28:102">
      <c r="AB640" s="149"/>
      <c r="AC640" s="149"/>
      <c r="AD640" s="149"/>
      <c r="AE640" s="149"/>
      <c r="AF640" s="149"/>
      <c r="AG640" s="14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row>
    <row r="641" spans="28:102">
      <c r="AB641" s="149"/>
      <c r="AC641" s="149"/>
      <c r="AD641" s="149"/>
      <c r="AE641" s="149"/>
      <c r="AF641" s="149"/>
      <c r="AG641" s="14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row>
    <row r="642" spans="28:102">
      <c r="AB642" s="149"/>
      <c r="AC642" s="149"/>
      <c r="AD642" s="149"/>
      <c r="AE642" s="149"/>
      <c r="AF642" s="149"/>
      <c r="AG642" s="14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row>
    <row r="643" spans="28:102">
      <c r="AB643" s="149"/>
      <c r="AC643" s="149"/>
      <c r="AD643" s="149"/>
      <c r="AE643" s="149"/>
      <c r="AF643" s="149"/>
      <c r="AG643" s="14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row>
    <row r="644" spans="28:102">
      <c r="AB644" s="149"/>
      <c r="AC644" s="149"/>
      <c r="AD644" s="149"/>
      <c r="AE644" s="149"/>
      <c r="AF644" s="149"/>
      <c r="AG644" s="14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row>
    <row r="645" spans="28:102">
      <c r="AB645" s="149"/>
      <c r="AC645" s="149"/>
      <c r="AD645" s="149"/>
      <c r="AE645" s="149"/>
      <c r="AF645" s="149"/>
      <c r="AG645" s="14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row>
    <row r="646" spans="28:102">
      <c r="AB646" s="149"/>
      <c r="AC646" s="149"/>
      <c r="AD646" s="149"/>
      <c r="AE646" s="149"/>
      <c r="AF646" s="149"/>
      <c r="AG646" s="14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row>
    <row r="647" spans="28:102">
      <c r="AB647" s="149"/>
      <c r="AC647" s="149"/>
      <c r="AD647" s="149"/>
      <c r="AE647" s="149"/>
      <c r="AF647" s="149"/>
      <c r="AG647" s="14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row>
    <row r="648" spans="28:102">
      <c r="AB648" s="149"/>
      <c r="AC648" s="149"/>
      <c r="AD648" s="149"/>
      <c r="AE648" s="149"/>
      <c r="AF648" s="149"/>
      <c r="AG648" s="14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row>
    <row r="649" spans="28:102">
      <c r="AB649" s="149"/>
      <c r="AC649" s="149"/>
      <c r="AD649" s="149"/>
      <c r="AE649" s="149"/>
      <c r="AF649" s="149"/>
      <c r="AG649" s="14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row>
    <row r="650" spans="28:102">
      <c r="AB650" s="149"/>
      <c r="AC650" s="149"/>
      <c r="AD650" s="149"/>
      <c r="AE650" s="149"/>
      <c r="AF650" s="149"/>
      <c r="AG650" s="14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row>
    <row r="651" spans="28:102">
      <c r="AB651" s="149"/>
      <c r="AC651" s="149"/>
      <c r="AD651" s="149"/>
      <c r="AE651" s="149"/>
      <c r="AF651" s="149"/>
      <c r="AG651" s="14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row>
    <row r="652" spans="28:102">
      <c r="AB652" s="149"/>
      <c r="AC652" s="149"/>
      <c r="AD652" s="149"/>
      <c r="AE652" s="149"/>
      <c r="AF652" s="149"/>
      <c r="AG652" s="14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row>
    <row r="653" spans="28:102">
      <c r="AB653" s="149"/>
      <c r="AC653" s="149"/>
      <c r="AD653" s="149"/>
      <c r="AE653" s="149"/>
      <c r="AF653" s="149"/>
      <c r="AG653" s="14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row>
    <row r="654" spans="28:102">
      <c r="AB654" s="149"/>
      <c r="AC654" s="149"/>
      <c r="AD654" s="149"/>
      <c r="AE654" s="149"/>
      <c r="AF654" s="149"/>
      <c r="AG654" s="14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row>
    <row r="655" spans="28:102">
      <c r="AB655" s="149"/>
      <c r="AC655" s="149"/>
      <c r="AD655" s="149"/>
      <c r="AE655" s="149"/>
      <c r="AF655" s="149"/>
      <c r="AG655" s="14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row>
    <row r="656" spans="28:102">
      <c r="AB656" s="149"/>
      <c r="AC656" s="149"/>
      <c r="AD656" s="149"/>
      <c r="AE656" s="149"/>
      <c r="AF656" s="149"/>
      <c r="AG656" s="14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row>
    <row r="657" spans="28:102">
      <c r="AB657" s="149"/>
      <c r="AC657" s="149"/>
      <c r="AD657" s="149"/>
      <c r="AE657" s="149"/>
      <c r="AF657" s="149"/>
      <c r="AG657" s="14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row>
    <row r="658" spans="28:102">
      <c r="AB658" s="149"/>
      <c r="AC658" s="149"/>
      <c r="AD658" s="149"/>
      <c r="AE658" s="149"/>
      <c r="AF658" s="149"/>
      <c r="AG658" s="14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row>
    <row r="659" spans="28:102">
      <c r="AB659" s="149"/>
      <c r="AC659" s="149"/>
      <c r="AD659" s="149"/>
      <c r="AE659" s="149"/>
      <c r="AF659" s="149"/>
      <c r="AG659" s="14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row>
    <row r="660" spans="28:102">
      <c r="AB660" s="149"/>
      <c r="AC660" s="149"/>
      <c r="AD660" s="149"/>
      <c r="AE660" s="149"/>
      <c r="AF660" s="149"/>
      <c r="AG660" s="14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row>
    <row r="661" spans="28:102">
      <c r="AB661" s="149"/>
      <c r="AC661" s="149"/>
      <c r="AD661" s="149"/>
      <c r="AE661" s="149"/>
      <c r="AF661" s="149"/>
      <c r="AG661" s="14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row>
    <row r="662" spans="28:102">
      <c r="AB662" s="149"/>
      <c r="AC662" s="149"/>
      <c r="AD662" s="149"/>
      <c r="AE662" s="149"/>
      <c r="AF662" s="149"/>
      <c r="AG662" s="14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row>
    <row r="663" spans="28:102">
      <c r="AB663" s="149"/>
      <c r="AC663" s="149"/>
      <c r="AD663" s="149"/>
      <c r="AE663" s="149"/>
      <c r="AF663" s="149"/>
      <c r="AG663" s="14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row>
    <row r="664" spans="28:102">
      <c r="AB664" s="149"/>
      <c r="AC664" s="149"/>
      <c r="AD664" s="149"/>
      <c r="AE664" s="149"/>
      <c r="AF664" s="149"/>
      <c r="AG664" s="14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row>
    <row r="665" spans="28:102">
      <c r="AB665" s="149"/>
      <c r="AC665" s="149"/>
      <c r="AD665" s="149"/>
      <c r="AE665" s="149"/>
      <c r="AF665" s="149"/>
      <c r="AG665" s="14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row>
    <row r="666" spans="28:102">
      <c r="AB666" s="149"/>
      <c r="AC666" s="149"/>
      <c r="AD666" s="149"/>
      <c r="AE666" s="149"/>
      <c r="AF666" s="149"/>
      <c r="AG666" s="14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row>
    <row r="667" spans="28:102">
      <c r="AB667" s="149"/>
      <c r="AC667" s="149"/>
      <c r="AD667" s="149"/>
      <c r="AE667" s="149"/>
      <c r="AF667" s="149"/>
      <c r="AG667" s="14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row>
    <row r="668" spans="28:102">
      <c r="AB668" s="149"/>
      <c r="AC668" s="149"/>
      <c r="AD668" s="149"/>
      <c r="AE668" s="149"/>
      <c r="AF668" s="149"/>
      <c r="AG668" s="14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row>
    <row r="669" spans="28:102">
      <c r="AB669" s="149"/>
      <c r="AC669" s="149"/>
      <c r="AD669" s="149"/>
      <c r="AE669" s="149"/>
      <c r="AF669" s="149"/>
      <c r="AG669" s="14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row>
    <row r="670" spans="28:102">
      <c r="AB670" s="149"/>
      <c r="AC670" s="149"/>
      <c r="AD670" s="149"/>
      <c r="AE670" s="149"/>
      <c r="AF670" s="149"/>
      <c r="AG670" s="14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row>
    <row r="671" spans="28:102">
      <c r="AB671" s="149"/>
      <c r="AC671" s="149"/>
      <c r="AD671" s="149"/>
      <c r="AE671" s="149"/>
      <c r="AF671" s="149"/>
      <c r="AG671" s="14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row>
    <row r="672" spans="28:102">
      <c r="AB672" s="149"/>
      <c r="AC672" s="149"/>
      <c r="AD672" s="149"/>
      <c r="AE672" s="149"/>
      <c r="AF672" s="149"/>
      <c r="AG672" s="14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row>
    <row r="673" spans="28:102">
      <c r="AB673" s="149"/>
      <c r="AC673" s="149"/>
      <c r="AD673" s="149"/>
      <c r="AE673" s="149"/>
      <c r="AF673" s="149"/>
      <c r="AG673" s="14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row>
    <row r="674" spans="28:102">
      <c r="AB674" s="149"/>
      <c r="AC674" s="149"/>
      <c r="AD674" s="149"/>
      <c r="AE674" s="149"/>
      <c r="AF674" s="149"/>
      <c r="AG674" s="14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row>
    <row r="675" spans="28:102">
      <c r="AB675" s="149"/>
      <c r="AC675" s="149"/>
      <c r="AD675" s="149"/>
      <c r="AE675" s="149"/>
      <c r="AF675" s="149"/>
      <c r="AG675" s="14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row>
    <row r="676" spans="28:102">
      <c r="AB676" s="149"/>
      <c r="AC676" s="149"/>
      <c r="AD676" s="149"/>
      <c r="AE676" s="149"/>
      <c r="AF676" s="149"/>
      <c r="AG676" s="14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row>
    <row r="677" spans="28:102">
      <c r="AB677" s="149"/>
      <c r="AC677" s="149"/>
      <c r="AD677" s="149"/>
      <c r="AE677" s="149"/>
      <c r="AF677" s="149"/>
      <c r="AG677" s="14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row>
    <row r="678" spans="28:102">
      <c r="AB678" s="149"/>
      <c r="AC678" s="149"/>
      <c r="AD678" s="149"/>
      <c r="AE678" s="149"/>
      <c r="AF678" s="149"/>
      <c r="AG678" s="14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row>
    <row r="679" spans="28:102">
      <c r="AB679" s="149"/>
      <c r="AC679" s="149"/>
      <c r="AD679" s="149"/>
      <c r="AE679" s="149"/>
      <c r="AF679" s="149"/>
      <c r="AG679" s="14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row>
    <row r="680" spans="28:102">
      <c r="AB680" s="149"/>
      <c r="AC680" s="149"/>
      <c r="AD680" s="149"/>
      <c r="AE680" s="149"/>
      <c r="AF680" s="149"/>
      <c r="AG680" s="14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row>
    <row r="681" spans="28:102">
      <c r="AB681" s="149"/>
      <c r="AC681" s="149"/>
      <c r="AD681" s="149"/>
      <c r="AE681" s="149"/>
      <c r="AF681" s="149"/>
      <c r="AG681" s="14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row>
    <row r="682" spans="28:102">
      <c r="AB682" s="149"/>
      <c r="AC682" s="149"/>
      <c r="AD682" s="149"/>
      <c r="AE682" s="149"/>
      <c r="AF682" s="149"/>
      <c r="AG682" s="14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row>
    <row r="683" spans="28:102">
      <c r="AB683" s="149"/>
      <c r="AC683" s="149"/>
      <c r="AD683" s="149"/>
      <c r="AE683" s="149"/>
      <c r="AF683" s="149"/>
      <c r="AG683" s="14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row>
    <row r="684" spans="28:102">
      <c r="AB684" s="149"/>
      <c r="AC684" s="149"/>
      <c r="AD684" s="149"/>
      <c r="AE684" s="149"/>
      <c r="AF684" s="149"/>
      <c r="AG684" s="14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row>
    <row r="685" spans="28:102">
      <c r="AB685" s="149"/>
      <c r="AC685" s="149"/>
      <c r="AD685" s="149"/>
      <c r="AE685" s="149"/>
      <c r="AF685" s="149"/>
      <c r="AG685" s="14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row>
    <row r="686" spans="28:102">
      <c r="AB686" s="149"/>
      <c r="AC686" s="149"/>
      <c r="AD686" s="149"/>
      <c r="AE686" s="149"/>
      <c r="AF686" s="149"/>
      <c r="AG686" s="14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row>
    <row r="687" spans="28:102">
      <c r="AB687" s="149"/>
      <c r="AC687" s="149"/>
      <c r="AD687" s="149"/>
      <c r="AE687" s="149"/>
      <c r="AF687" s="149"/>
      <c r="AG687" s="14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row>
    <row r="688" spans="28:102">
      <c r="AB688" s="149"/>
      <c r="AC688" s="149"/>
      <c r="AD688" s="149"/>
      <c r="AE688" s="149"/>
      <c r="AF688" s="149"/>
      <c r="AG688" s="14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row>
    <row r="689" spans="28:102">
      <c r="AB689" s="149"/>
      <c r="AC689" s="149"/>
      <c r="AD689" s="149"/>
      <c r="AE689" s="149"/>
      <c r="AF689" s="149"/>
      <c r="AG689" s="14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row>
    <row r="690" spans="28:102">
      <c r="AB690" s="149"/>
      <c r="AC690" s="149"/>
      <c r="AD690" s="149"/>
      <c r="AE690" s="149"/>
      <c r="AF690" s="149"/>
      <c r="AG690" s="14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row>
    <row r="691" spans="28:102">
      <c r="AB691" s="149"/>
      <c r="AC691" s="149"/>
      <c r="AD691" s="149"/>
      <c r="AE691" s="149"/>
      <c r="AF691" s="149"/>
      <c r="AG691" s="14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row>
    <row r="692" spans="28:102">
      <c r="AB692" s="149"/>
      <c r="AC692" s="149"/>
      <c r="AD692" s="149"/>
      <c r="AE692" s="149"/>
      <c r="AF692" s="149"/>
      <c r="AG692" s="14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row>
    <row r="693" spans="28:102">
      <c r="AB693" s="149"/>
      <c r="AC693" s="149"/>
      <c r="AD693" s="149"/>
      <c r="AE693" s="149"/>
      <c r="AF693" s="149"/>
      <c r="AG693" s="14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row>
    <row r="694" spans="28:102">
      <c r="AB694" s="149"/>
      <c r="AC694" s="149"/>
      <c r="AD694" s="149"/>
      <c r="AE694" s="149"/>
      <c r="AF694" s="149"/>
      <c r="AG694" s="14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row>
    <row r="695" spans="28:102">
      <c r="AB695" s="149"/>
      <c r="AC695" s="149"/>
      <c r="AD695" s="149"/>
      <c r="AE695" s="149"/>
      <c r="AF695" s="149"/>
      <c r="AG695" s="14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row>
    <row r="696" spans="28:102">
      <c r="AB696" s="149"/>
      <c r="AC696" s="149"/>
      <c r="AD696" s="149"/>
      <c r="AE696" s="149"/>
      <c r="AF696" s="149"/>
      <c r="AG696" s="14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row>
    <row r="697" spans="28:102">
      <c r="AB697" s="149"/>
      <c r="AC697" s="149"/>
      <c r="AD697" s="149"/>
      <c r="AE697" s="149"/>
      <c r="AF697" s="149"/>
      <c r="AG697" s="14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row>
    <row r="698" spans="28:102">
      <c r="AB698" s="149"/>
      <c r="AC698" s="149"/>
      <c r="AD698" s="149"/>
      <c r="AE698" s="149"/>
      <c r="AF698" s="149"/>
      <c r="AG698" s="14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row>
    <row r="699" spans="28:102">
      <c r="AB699" s="149"/>
      <c r="AC699" s="149"/>
      <c r="AD699" s="149"/>
      <c r="AE699" s="149"/>
      <c r="AF699" s="149"/>
      <c r="AG699" s="14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row>
    <row r="700" spans="28:102">
      <c r="AB700" s="149"/>
      <c r="AC700" s="149"/>
      <c r="AD700" s="149"/>
      <c r="AE700" s="149"/>
      <c r="AF700" s="149"/>
      <c r="AG700" s="14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row>
    <row r="701" spans="28:102">
      <c r="AB701" s="149"/>
      <c r="AC701" s="149"/>
      <c r="AD701" s="149"/>
      <c r="AE701" s="149"/>
      <c r="AF701" s="149"/>
      <c r="AG701" s="14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row>
    <row r="702" spans="28:102">
      <c r="AB702" s="149"/>
      <c r="AC702" s="149"/>
      <c r="AD702" s="149"/>
      <c r="AE702" s="149"/>
      <c r="AF702" s="149"/>
      <c r="AG702" s="14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row>
    <row r="703" spans="28:102">
      <c r="AB703" s="149"/>
      <c r="AC703" s="149"/>
      <c r="AD703" s="149"/>
      <c r="AE703" s="149"/>
      <c r="AF703" s="149"/>
      <c r="AG703" s="14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row>
    <row r="704" spans="28:102">
      <c r="AB704" s="149"/>
      <c r="AC704" s="149"/>
      <c r="AD704" s="149"/>
      <c r="AE704" s="149"/>
      <c r="AF704" s="149"/>
      <c r="AG704" s="14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row>
    <row r="705" spans="28:102">
      <c r="AB705" s="149"/>
      <c r="AC705" s="149"/>
      <c r="AD705" s="149"/>
      <c r="AE705" s="149"/>
      <c r="AF705" s="149"/>
      <c r="AG705" s="14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row>
    <row r="706" spans="28:102">
      <c r="AB706" s="149"/>
      <c r="AC706" s="149"/>
      <c r="AD706" s="149"/>
      <c r="AE706" s="149"/>
      <c r="AF706" s="149"/>
      <c r="AG706" s="14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row>
    <row r="707" spans="28:102">
      <c r="AB707" s="149"/>
      <c r="AC707" s="149"/>
      <c r="AD707" s="149"/>
      <c r="AE707" s="149"/>
      <c r="AF707" s="149"/>
      <c r="AG707" s="14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row>
    <row r="708" spans="28:102">
      <c r="AB708" s="149"/>
      <c r="AC708" s="149"/>
      <c r="AD708" s="149"/>
      <c r="AE708" s="149"/>
      <c r="AF708" s="149"/>
      <c r="AG708" s="14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row>
    <row r="709" spans="28:102">
      <c r="AB709" s="149"/>
      <c r="AC709" s="149"/>
      <c r="AD709" s="149"/>
      <c r="AE709" s="149"/>
      <c r="AF709" s="149"/>
      <c r="AG709" s="14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row>
    <row r="710" spans="28:102">
      <c r="AB710" s="149"/>
      <c r="AC710" s="149"/>
      <c r="AD710" s="149"/>
      <c r="AE710" s="149"/>
      <c r="AF710" s="149"/>
      <c r="AG710" s="14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row>
    <row r="711" spans="28:102">
      <c r="AB711" s="149"/>
      <c r="AC711" s="149"/>
      <c r="AD711" s="149"/>
      <c r="AE711" s="149"/>
      <c r="AF711" s="149"/>
      <c r="AG711" s="14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row>
    <row r="712" spans="28:102">
      <c r="AB712" s="149"/>
      <c r="AC712" s="149"/>
      <c r="AD712" s="149"/>
      <c r="AE712" s="149"/>
      <c r="AF712" s="149"/>
      <c r="AG712" s="14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row>
    <row r="713" spans="28:102">
      <c r="AB713" s="149"/>
      <c r="AC713" s="149"/>
      <c r="AD713" s="149"/>
      <c r="AE713" s="149"/>
      <c r="AF713" s="149"/>
      <c r="AG713" s="14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row>
    <row r="714" spans="28:102">
      <c r="AB714" s="149"/>
      <c r="AC714" s="149"/>
      <c r="AD714" s="149"/>
      <c r="AE714" s="149"/>
      <c r="AF714" s="149"/>
      <c r="AG714" s="14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row>
    <row r="715" spans="28:102">
      <c r="AB715" s="149"/>
      <c r="AC715" s="149"/>
      <c r="AD715" s="149"/>
      <c r="AE715" s="149"/>
      <c r="AF715" s="149"/>
      <c r="AG715" s="14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row>
    <row r="716" spans="28:102">
      <c r="AB716" s="149"/>
      <c r="AC716" s="149"/>
      <c r="AD716" s="149"/>
      <c r="AE716" s="149"/>
      <c r="AF716" s="149"/>
      <c r="AG716" s="14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row>
    <row r="717" spans="28:102">
      <c r="AB717" s="149"/>
      <c r="AC717" s="149"/>
      <c r="AD717" s="149"/>
      <c r="AE717" s="149"/>
      <c r="AF717" s="149"/>
      <c r="AG717" s="14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row>
    <row r="718" spans="28:102">
      <c r="AB718" s="149"/>
      <c r="AC718" s="149"/>
      <c r="AD718" s="149"/>
      <c r="AE718" s="149"/>
      <c r="AF718" s="149"/>
      <c r="AG718" s="14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row>
    <row r="719" spans="28:102">
      <c r="AB719" s="149"/>
      <c r="AC719" s="149"/>
      <c r="AD719" s="149"/>
      <c r="AE719" s="149"/>
      <c r="AF719" s="149"/>
      <c r="AG719" s="14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row>
    <row r="720" spans="28:102">
      <c r="AB720" s="149"/>
      <c r="AC720" s="149"/>
      <c r="AD720" s="149"/>
      <c r="AE720" s="149"/>
      <c r="AF720" s="149"/>
      <c r="AG720" s="14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row>
    <row r="721" spans="28:102">
      <c r="AB721" s="149"/>
      <c r="AC721" s="149"/>
      <c r="AD721" s="149"/>
      <c r="AE721" s="149"/>
      <c r="AF721" s="149"/>
      <c r="AG721" s="14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row>
    <row r="722" spans="28:102">
      <c r="AB722" s="149"/>
      <c r="AC722" s="149"/>
      <c r="AD722" s="149"/>
      <c r="AE722" s="149"/>
      <c r="AF722" s="149"/>
      <c r="AG722" s="14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row>
    <row r="723" spans="28:102">
      <c r="AB723" s="149"/>
      <c r="AC723" s="149"/>
      <c r="AD723" s="149"/>
      <c r="AE723" s="149"/>
      <c r="AF723" s="149"/>
      <c r="AG723" s="14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row>
    <row r="724" spans="28:102">
      <c r="AB724" s="149"/>
      <c r="AC724" s="149"/>
      <c r="AD724" s="149"/>
      <c r="AE724" s="149"/>
      <c r="AF724" s="149"/>
      <c r="AG724" s="14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row>
    <row r="725" spans="28:102">
      <c r="AB725" s="149"/>
      <c r="AC725" s="149"/>
      <c r="AD725" s="149"/>
      <c r="AE725" s="149"/>
      <c r="AF725" s="149"/>
      <c r="AG725" s="14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row>
    <row r="726" spans="28:102">
      <c r="AB726" s="149"/>
      <c r="AC726" s="149"/>
      <c r="AD726" s="149"/>
      <c r="AE726" s="149"/>
      <c r="AF726" s="149"/>
      <c r="AG726" s="14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row>
    <row r="727" spans="28:102">
      <c r="AB727" s="149"/>
      <c r="AC727" s="149"/>
      <c r="AD727" s="149"/>
      <c r="AE727" s="149"/>
      <c r="AF727" s="149"/>
      <c r="AG727" s="14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row>
    <row r="728" spans="28:102">
      <c r="AB728" s="149"/>
      <c r="AC728" s="149"/>
      <c r="AD728" s="149"/>
      <c r="AE728" s="149"/>
      <c r="AF728" s="149"/>
      <c r="AG728" s="14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row>
    <row r="729" spans="28:102">
      <c r="AB729" s="149"/>
      <c r="AC729" s="149"/>
      <c r="AD729" s="149"/>
      <c r="AE729" s="149"/>
      <c r="AF729" s="149"/>
      <c r="AG729" s="14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row>
    <row r="730" spans="28:102">
      <c r="AB730" s="149"/>
      <c r="AC730" s="149"/>
      <c r="AD730" s="149"/>
      <c r="AE730" s="149"/>
      <c r="AF730" s="149"/>
      <c r="AG730" s="14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row>
    <row r="731" spans="28:102">
      <c r="AB731" s="149"/>
      <c r="AC731" s="149"/>
      <c r="AD731" s="149"/>
      <c r="AE731" s="149"/>
      <c r="AF731" s="149"/>
      <c r="AG731" s="14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row>
    <row r="732" spans="28:102">
      <c r="AB732" s="149"/>
      <c r="AC732" s="149"/>
      <c r="AD732" s="149"/>
      <c r="AE732" s="149"/>
      <c r="AF732" s="149"/>
      <c r="AG732" s="14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row>
    <row r="733" spans="28:102">
      <c r="AB733" s="149"/>
      <c r="AC733" s="149"/>
      <c r="AD733" s="149"/>
      <c r="AE733" s="149"/>
      <c r="AF733" s="149"/>
      <c r="AG733" s="14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row>
    <row r="734" spans="28:102">
      <c r="AB734" s="149"/>
      <c r="AC734" s="149"/>
      <c r="AD734" s="149"/>
      <c r="AE734" s="149"/>
      <c r="AF734" s="149"/>
      <c r="AG734" s="14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row>
  </sheetData>
  <sheetProtection algorithmName="SHA-512" hashValue="X0HhG+Bux9ztpSZFna8Ker6un+XYzufpEXLWjJYG6e1kPrd0Jgol+qnl7rYeV8/3Z1jG2yll3kL1/hffG0rkIw==" saltValue="wO0ha/iWX2NiC+/Q3I1w4Q==" spinCount="100000" sheet="1" objects="1" scenarios="1" selectLockedCells="1"/>
  <mergeCells count="49">
    <mergeCell ref="B116:P117"/>
    <mergeCell ref="B118:P119"/>
    <mergeCell ref="B82:M83"/>
    <mergeCell ref="B88:M89"/>
    <mergeCell ref="H91:H92"/>
    <mergeCell ref="J101:O109"/>
    <mergeCell ref="J111:O111"/>
    <mergeCell ref="C91:D92"/>
    <mergeCell ref="C93:D93"/>
    <mergeCell ref="E91:E92"/>
    <mergeCell ref="F91:G92"/>
    <mergeCell ref="F93:G93"/>
    <mergeCell ref="C101:H111"/>
    <mergeCell ref="G56:H56"/>
    <mergeCell ref="C56:D56"/>
    <mergeCell ref="E56:F56"/>
    <mergeCell ref="B57:M57"/>
    <mergeCell ref="C63:H73"/>
    <mergeCell ref="J63:O71"/>
    <mergeCell ref="J73:O73"/>
    <mergeCell ref="E54:F54"/>
    <mergeCell ref="C52:D53"/>
    <mergeCell ref="C54:D54"/>
    <mergeCell ref="J42:O42"/>
    <mergeCell ref="G55:H55"/>
    <mergeCell ref="C55:D55"/>
    <mergeCell ref="E55:F55"/>
    <mergeCell ref="E23:F23"/>
    <mergeCell ref="E24:F24"/>
    <mergeCell ref="C32:H42"/>
    <mergeCell ref="K52:K53"/>
    <mergeCell ref="I52:J53"/>
    <mergeCell ref="E52:F53"/>
    <mergeCell ref="C137:H147"/>
    <mergeCell ref="J137:O145"/>
    <mergeCell ref="J147:O147"/>
    <mergeCell ref="I18:J18"/>
    <mergeCell ref="I19:J19"/>
    <mergeCell ref="J32:O40"/>
    <mergeCell ref="G123:H123"/>
    <mergeCell ref="I123:J123"/>
    <mergeCell ref="C18:D18"/>
    <mergeCell ref="C19:D19"/>
    <mergeCell ref="E18:F18"/>
    <mergeCell ref="E19:F19"/>
    <mergeCell ref="G18:H18"/>
    <mergeCell ref="G19:H19"/>
    <mergeCell ref="G52:H53"/>
    <mergeCell ref="G54:H54"/>
  </mergeCells>
  <conditionalFormatting sqref="A3:A10">
    <cfRule type="cellIs" dxfId="218" priority="15" operator="equal">
      <formula>"In Progress"</formula>
    </cfRule>
    <cfRule type="cellIs" dxfId="217" priority="16" operator="equal">
      <formula>"Not Started"</formula>
    </cfRule>
    <cfRule type="cellIs" dxfId="216" priority="17" operator="equal">
      <formula>"Completed"</formula>
    </cfRule>
  </conditionalFormatting>
  <conditionalFormatting sqref="B13:B14">
    <cfRule type="expression" dxfId="215" priority="212">
      <formula>NOT($Q$16)</formula>
    </cfRule>
  </conditionalFormatting>
  <dataValidations count="1">
    <dataValidation type="custom" allowBlank="1" showInputMessage="1" showErrorMessage="1" sqref="L1" xr:uid="{99B1AEDF-9E72-4D09-8122-DE413218A050}">
      <formula1>"&lt;0&gt;0"</formula1>
    </dataValidation>
  </dataValidations>
  <pageMargins left="0.7" right="0.7" top="0.75" bottom="0.75" header="0.3" footer="0.3"/>
  <pageSetup scale="43" orientation="portrait" r:id="rId1"/>
  <headerFooter>
    <oddHeader>&amp;L&amp;G</oddHeader>
    <oddFooter>&amp;LVersion - 2023.0.01&amp;CWHEDA MULTIFAMILY APPLICATION&amp;R&amp;P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7938A-0AF0-5244-B69C-254B5B0C2342}">
  <sheetPr codeName="Sheet34"/>
  <dimension ref="A1:AO167"/>
  <sheetViews>
    <sheetView topLeftCell="W1" workbookViewId="0"/>
  </sheetViews>
  <sheetFormatPr baseColWidth="10" defaultColWidth="11.5" defaultRowHeight="15"/>
  <cols>
    <col min="1" max="1" width="9.1640625" customWidth="1"/>
    <col min="2" max="2" width="7.5" bestFit="1" customWidth="1"/>
    <col min="3" max="3" width="15" bestFit="1" customWidth="1"/>
    <col min="4" max="4" width="36.5" customWidth="1"/>
    <col min="5" max="5" width="22.5" bestFit="1" customWidth="1"/>
    <col min="6" max="6" width="31.5" bestFit="1" customWidth="1"/>
    <col min="7" max="7" width="15.5" bestFit="1" customWidth="1"/>
    <col min="8" max="8" width="15" bestFit="1" customWidth="1"/>
    <col min="9" max="9" width="11.5" bestFit="1" customWidth="1"/>
    <col min="10" max="10" width="11.5" customWidth="1"/>
    <col min="11" max="11" width="18.5" bestFit="1" customWidth="1"/>
    <col min="12" max="13" width="26.5" bestFit="1" customWidth="1"/>
    <col min="14" max="14" width="30.5" bestFit="1" customWidth="1"/>
    <col min="15" max="15" width="21.5" bestFit="1" customWidth="1"/>
    <col min="16" max="16" width="29" bestFit="1" customWidth="1"/>
    <col min="17" max="17" width="35.33203125" bestFit="1" customWidth="1"/>
    <col min="18" max="18" width="21.5" bestFit="1" customWidth="1"/>
    <col min="19" max="19" width="12.5" bestFit="1" customWidth="1"/>
    <col min="20" max="20" width="13.5" bestFit="1" customWidth="1"/>
    <col min="21" max="21" width="6.83203125" bestFit="1" customWidth="1"/>
    <col min="22" max="22" width="27.5" bestFit="1" customWidth="1"/>
    <col min="23" max="23" width="13" bestFit="1" customWidth="1"/>
    <col min="24" max="24" width="14.6640625" style="66" customWidth="1"/>
    <col min="25" max="25" width="14.5" bestFit="1" customWidth="1"/>
    <col min="26" max="26" width="44.5" customWidth="1"/>
    <col min="27" max="27" width="27.5" bestFit="1" customWidth="1"/>
    <col min="28" max="28" width="12.33203125" bestFit="1" customWidth="1"/>
    <col min="29" max="29" width="41.33203125" style="57" bestFit="1" customWidth="1"/>
    <col min="30" max="30" width="13.33203125" customWidth="1"/>
    <col min="31" max="31" width="13.5" customWidth="1"/>
    <col min="32" max="32" width="11.33203125" bestFit="1" customWidth="1"/>
    <col min="33" max="33" width="13.33203125" customWidth="1"/>
    <col min="34" max="34" width="17" bestFit="1" customWidth="1"/>
    <col min="35" max="35" width="27.83203125" bestFit="1" customWidth="1"/>
    <col min="36" max="38" width="35.1640625" bestFit="1" customWidth="1"/>
  </cols>
  <sheetData>
    <row r="1" spans="1:41" s="401" customFormat="1" ht="60">
      <c r="A1" s="398" t="s">
        <v>205</v>
      </c>
      <c r="B1" s="398" t="s">
        <v>206</v>
      </c>
      <c r="C1" s="398" t="s">
        <v>207</v>
      </c>
      <c r="D1" s="398" t="s">
        <v>208</v>
      </c>
      <c r="E1" s="398" t="s">
        <v>209</v>
      </c>
      <c r="F1" s="398" t="s">
        <v>210</v>
      </c>
      <c r="G1" s="399" t="s">
        <v>211</v>
      </c>
      <c r="H1" s="398" t="s">
        <v>212</v>
      </c>
      <c r="I1" s="398" t="s">
        <v>213</v>
      </c>
      <c r="J1" s="398" t="s">
        <v>214</v>
      </c>
      <c r="K1" s="399" t="s">
        <v>215</v>
      </c>
      <c r="L1" s="399" t="s">
        <v>216</v>
      </c>
      <c r="M1" s="399" t="s">
        <v>217</v>
      </c>
      <c r="N1" s="399" t="s">
        <v>218</v>
      </c>
      <c r="O1" s="399" t="s">
        <v>219</v>
      </c>
      <c r="P1" s="399" t="s">
        <v>220</v>
      </c>
      <c r="Q1" s="399" t="s">
        <v>221</v>
      </c>
      <c r="R1" s="399" t="s">
        <v>222</v>
      </c>
      <c r="S1" s="398" t="s">
        <v>223</v>
      </c>
      <c r="T1" s="397" t="s">
        <v>224</v>
      </c>
      <c r="U1" s="397" t="s">
        <v>225</v>
      </c>
      <c r="V1" s="400" t="s">
        <v>226</v>
      </c>
      <c r="W1" s="401" t="s">
        <v>227</v>
      </c>
      <c r="X1" s="399" t="s">
        <v>228</v>
      </c>
      <c r="Y1" s="399" t="s">
        <v>229</v>
      </c>
      <c r="Z1" s="401" t="s">
        <v>230</v>
      </c>
      <c r="AA1" s="401" t="s">
        <v>231</v>
      </c>
      <c r="AB1" s="399" t="s">
        <v>232</v>
      </c>
      <c r="AC1" s="676" t="s">
        <v>233</v>
      </c>
      <c r="AD1" s="399" t="s">
        <v>234</v>
      </c>
      <c r="AE1" s="399" t="s">
        <v>235</v>
      </c>
      <c r="AF1" s="399" t="s">
        <v>236</v>
      </c>
      <c r="AG1" s="399" t="s">
        <v>237</v>
      </c>
      <c r="AH1" s="399" t="s">
        <v>238</v>
      </c>
      <c r="AI1" s="401" t="s">
        <v>239</v>
      </c>
      <c r="AJ1" s="401" t="s">
        <v>240</v>
      </c>
      <c r="AK1" s="401" t="s">
        <v>241</v>
      </c>
      <c r="AL1" s="401" t="s">
        <v>242</v>
      </c>
    </row>
    <row r="2" spans="1:41" ht="17">
      <c r="A2" s="226" t="s">
        <v>19</v>
      </c>
      <c r="B2" s="226">
        <v>0</v>
      </c>
      <c r="C2" s="2" t="s">
        <v>243</v>
      </c>
      <c r="D2" s="226" t="s">
        <v>244</v>
      </c>
      <c r="E2" s="227" t="s">
        <v>245</v>
      </c>
      <c r="F2" s="228" t="s">
        <v>246</v>
      </c>
      <c r="G2" s="226" t="s">
        <v>247</v>
      </c>
      <c r="H2" s="226" t="s">
        <v>248</v>
      </c>
      <c r="I2" s="229">
        <v>0.2</v>
      </c>
      <c r="J2" s="229">
        <v>0.3</v>
      </c>
      <c r="K2" s="226" t="s">
        <v>249</v>
      </c>
      <c r="L2" s="226" t="s">
        <v>250</v>
      </c>
      <c r="M2" s="226" t="s">
        <v>251</v>
      </c>
      <c r="N2" s="226" t="s">
        <v>252</v>
      </c>
      <c r="O2" s="226" t="s">
        <v>253</v>
      </c>
      <c r="P2" s="226" t="s">
        <v>254</v>
      </c>
      <c r="Q2" s="226" t="s">
        <v>255</v>
      </c>
      <c r="R2" s="226" t="s">
        <v>256</v>
      </c>
      <c r="S2" s="226" t="s">
        <v>223</v>
      </c>
      <c r="T2" s="226" t="s">
        <v>224</v>
      </c>
      <c r="U2" s="226" t="s">
        <v>225</v>
      </c>
      <c r="V2" s="226" t="s">
        <v>257</v>
      </c>
      <c r="W2" s="226" t="s">
        <v>258</v>
      </c>
      <c r="X2" s="723" t="s">
        <v>258</v>
      </c>
      <c r="Y2" s="226" t="s">
        <v>259</v>
      </c>
      <c r="Z2" s="226" t="s">
        <v>260</v>
      </c>
      <c r="AA2" s="226" t="s">
        <v>261</v>
      </c>
      <c r="AB2" t="s">
        <v>262</v>
      </c>
      <c r="AC2" s="228" t="s">
        <v>263</v>
      </c>
      <c r="AD2" s="226">
        <v>1</v>
      </c>
      <c r="AE2" s="226">
        <f>ROUNDUP(AD2/3,0)</f>
        <v>1</v>
      </c>
      <c r="AF2" s="226">
        <v>1</v>
      </c>
      <c r="AG2" s="226" t="s">
        <v>264</v>
      </c>
      <c r="AH2" s="226" t="s">
        <v>265</v>
      </c>
      <c r="AI2" s="226" t="s">
        <v>266</v>
      </c>
      <c r="AJ2" s="226" t="s">
        <v>267</v>
      </c>
      <c r="AK2" s="226" t="s">
        <v>268</v>
      </c>
      <c r="AL2" s="226" t="s">
        <v>268</v>
      </c>
      <c r="AM2" s="226"/>
      <c r="AN2" s="226"/>
      <c r="AO2" s="226"/>
    </row>
    <row r="3" spans="1:41" ht="17">
      <c r="A3" s="226" t="s">
        <v>13</v>
      </c>
      <c r="B3" s="226">
        <v>1</v>
      </c>
      <c r="C3" s="2" t="s">
        <v>269</v>
      </c>
      <c r="D3" s="226" t="s">
        <v>270</v>
      </c>
      <c r="E3" s="227" t="s">
        <v>271</v>
      </c>
      <c r="F3" s="228" t="s">
        <v>272</v>
      </c>
      <c r="G3" s="226" t="s">
        <v>273</v>
      </c>
      <c r="H3" s="226" t="s">
        <v>274</v>
      </c>
      <c r="I3" s="229">
        <v>0.3</v>
      </c>
      <c r="J3" s="229">
        <v>0.6</v>
      </c>
      <c r="K3" s="226" t="s">
        <v>275</v>
      </c>
      <c r="L3" s="226" t="s">
        <v>276</v>
      </c>
      <c r="M3" s="226" t="s">
        <v>277</v>
      </c>
      <c r="N3" s="226" t="s">
        <v>278</v>
      </c>
      <c r="O3" s="226" t="s">
        <v>279</v>
      </c>
      <c r="P3" s="226" t="s">
        <v>280</v>
      </c>
      <c r="Q3" s="226" t="s">
        <v>268</v>
      </c>
      <c r="R3" s="226" t="s">
        <v>281</v>
      </c>
      <c r="S3" s="226">
        <v>0</v>
      </c>
      <c r="T3" s="226">
        <v>1</v>
      </c>
      <c r="U3" s="226" t="s">
        <v>282</v>
      </c>
      <c r="V3" s="226" t="s">
        <v>283</v>
      </c>
      <c r="W3" s="226" t="s">
        <v>284</v>
      </c>
      <c r="X3" s="723" t="s">
        <v>285</v>
      </c>
      <c r="Y3" s="226" t="s">
        <v>17</v>
      </c>
      <c r="Z3" s="226" t="s">
        <v>286</v>
      </c>
      <c r="AA3" s="226" t="s">
        <v>287</v>
      </c>
      <c r="AB3" t="s">
        <v>288</v>
      </c>
      <c r="AC3" s="228" t="s">
        <v>289</v>
      </c>
      <c r="AD3" s="226">
        <v>2</v>
      </c>
      <c r="AE3" s="226">
        <f t="shared" ref="AE3:AE66" si="0">ROUNDUP(AD3/3,0)</f>
        <v>1</v>
      </c>
      <c r="AF3" s="226">
        <v>2</v>
      </c>
      <c r="AG3" s="226" t="s">
        <v>290</v>
      </c>
      <c r="AH3" s="226" t="s">
        <v>291</v>
      </c>
      <c r="AI3" s="226" t="s">
        <v>292</v>
      </c>
      <c r="AJ3" s="226" t="s">
        <v>293</v>
      </c>
      <c r="AK3" s="226" t="s">
        <v>255</v>
      </c>
      <c r="AL3" s="226" t="s">
        <v>255</v>
      </c>
      <c r="AM3" s="226"/>
      <c r="AN3" s="226"/>
      <c r="AO3" s="226"/>
    </row>
    <row r="4" spans="1:41" ht="17">
      <c r="A4" s="226"/>
      <c r="B4" s="226">
        <v>2</v>
      </c>
      <c r="C4" s="2" t="s">
        <v>294</v>
      </c>
      <c r="D4" s="226" t="s">
        <v>295</v>
      </c>
      <c r="E4" s="226" t="s">
        <v>296</v>
      </c>
      <c r="F4" s="230" t="s">
        <v>297</v>
      </c>
      <c r="G4" s="226" t="s">
        <v>298</v>
      </c>
      <c r="H4" s="226" t="s">
        <v>299</v>
      </c>
      <c r="I4" s="229">
        <v>0.4</v>
      </c>
      <c r="J4" s="229"/>
      <c r="K4" s="226"/>
      <c r="L4" s="226" t="s">
        <v>300</v>
      </c>
      <c r="M4" s="226" t="s">
        <v>301</v>
      </c>
      <c r="N4" s="226" t="s">
        <v>302</v>
      </c>
      <c r="O4" s="226"/>
      <c r="P4" s="226" t="s">
        <v>303</v>
      </c>
      <c r="Q4" s="226" t="s">
        <v>304</v>
      </c>
      <c r="R4" s="226" t="s">
        <v>305</v>
      </c>
      <c r="S4" s="226">
        <v>1</v>
      </c>
      <c r="T4" s="226">
        <v>1.5</v>
      </c>
      <c r="U4" s="226" t="s">
        <v>306</v>
      </c>
      <c r="V4" s="226" t="s">
        <v>249</v>
      </c>
      <c r="W4" s="226" t="s">
        <v>307</v>
      </c>
      <c r="X4" s="723" t="s">
        <v>308</v>
      </c>
      <c r="Y4" s="226"/>
      <c r="Z4" s="226" t="s">
        <v>309</v>
      </c>
      <c r="AB4" t="s">
        <v>310</v>
      </c>
      <c r="AC4" s="228" t="s">
        <v>311</v>
      </c>
      <c r="AD4" s="226">
        <v>3</v>
      </c>
      <c r="AE4" s="226">
        <f t="shared" si="0"/>
        <v>1</v>
      </c>
      <c r="AF4" s="226">
        <v>3</v>
      </c>
      <c r="AG4" s="226"/>
      <c r="AH4" s="226" t="s">
        <v>312</v>
      </c>
      <c r="AI4" s="226" t="s">
        <v>313</v>
      </c>
      <c r="AJ4" s="226" t="s">
        <v>314</v>
      </c>
      <c r="AK4" s="226" t="s">
        <v>315</v>
      </c>
      <c r="AL4" s="226" t="s">
        <v>316</v>
      </c>
      <c r="AM4" s="226"/>
      <c r="AN4" s="226"/>
      <c r="AO4" s="226"/>
    </row>
    <row r="5" spans="1:41" ht="16">
      <c r="A5" s="226"/>
      <c r="B5" s="226"/>
      <c r="C5" s="2" t="s">
        <v>317</v>
      </c>
      <c r="D5" s="226" t="s">
        <v>318</v>
      </c>
      <c r="E5" s="226"/>
      <c r="F5" s="228" t="s">
        <v>319</v>
      </c>
      <c r="G5" s="226"/>
      <c r="H5" s="226" t="s">
        <v>320</v>
      </c>
      <c r="I5" s="229">
        <v>0.5</v>
      </c>
      <c r="J5" s="229"/>
      <c r="K5" s="226"/>
      <c r="L5" s="226" t="s">
        <v>321</v>
      </c>
      <c r="M5" s="226"/>
      <c r="N5" s="226" t="s">
        <v>322</v>
      </c>
      <c r="O5" s="226"/>
      <c r="P5" s="226"/>
      <c r="Q5" s="226" t="s">
        <v>323</v>
      </c>
      <c r="R5" s="226" t="s">
        <v>324</v>
      </c>
      <c r="S5" s="226">
        <v>2</v>
      </c>
      <c r="T5" s="226">
        <v>2</v>
      </c>
      <c r="U5" s="226" t="s">
        <v>325</v>
      </c>
      <c r="V5" s="226" t="s">
        <v>326</v>
      </c>
      <c r="W5" s="226" t="s">
        <v>308</v>
      </c>
      <c r="X5" s="723"/>
      <c r="Y5" s="226"/>
      <c r="Z5" s="226" t="s">
        <v>327</v>
      </c>
      <c r="AB5" t="s">
        <v>328</v>
      </c>
      <c r="AC5" s="228" t="s">
        <v>329</v>
      </c>
      <c r="AD5" s="226">
        <v>4</v>
      </c>
      <c r="AE5" s="226">
        <f t="shared" si="0"/>
        <v>2</v>
      </c>
      <c r="AF5" s="226">
        <v>4</v>
      </c>
      <c r="AG5" s="226"/>
      <c r="AH5" s="226" t="s">
        <v>330</v>
      </c>
      <c r="AI5" s="226" t="s">
        <v>331</v>
      </c>
      <c r="AJ5" s="226" t="s">
        <v>332</v>
      </c>
      <c r="AK5" s="226" t="s">
        <v>323</v>
      </c>
      <c r="AL5" s="226" t="s">
        <v>323</v>
      </c>
      <c r="AM5" s="226"/>
      <c r="AN5" s="226"/>
      <c r="AO5" s="226"/>
    </row>
    <row r="6" spans="1:41" ht="16">
      <c r="A6" s="226" t="s">
        <v>19</v>
      </c>
      <c r="B6" s="226"/>
      <c r="C6" s="2" t="s">
        <v>262</v>
      </c>
      <c r="D6" s="226" t="s">
        <v>333</v>
      </c>
      <c r="E6" s="226"/>
      <c r="F6" s="228"/>
      <c r="G6" s="226"/>
      <c r="H6" s="226"/>
      <c r="I6" s="229">
        <v>0.6</v>
      </c>
      <c r="J6" s="229"/>
      <c r="K6" s="226"/>
      <c r="L6" s="226" t="s">
        <v>334</v>
      </c>
      <c r="M6" s="226"/>
      <c r="N6" s="226" t="s">
        <v>335</v>
      </c>
      <c r="O6" s="226"/>
      <c r="P6" s="226"/>
      <c r="Q6" s="226"/>
      <c r="R6" s="226" t="s">
        <v>336</v>
      </c>
      <c r="S6" s="226">
        <v>3</v>
      </c>
      <c r="T6" s="226">
        <v>2.5</v>
      </c>
      <c r="U6" s="226" t="s">
        <v>337</v>
      </c>
      <c r="V6" s="226" t="s">
        <v>338</v>
      </c>
      <c r="W6" s="226"/>
      <c r="X6" s="723"/>
      <c r="Y6" s="226"/>
      <c r="Z6" s="226" t="s">
        <v>339</v>
      </c>
      <c r="AA6" s="226"/>
      <c r="AB6" t="s">
        <v>340</v>
      </c>
      <c r="AC6" s="228" t="s">
        <v>341</v>
      </c>
      <c r="AD6" s="226">
        <v>5</v>
      </c>
      <c r="AE6" s="226">
        <f t="shared" si="0"/>
        <v>2</v>
      </c>
      <c r="AF6" s="226">
        <v>5</v>
      </c>
      <c r="AG6" s="226"/>
      <c r="AH6" s="226" t="s">
        <v>342</v>
      </c>
      <c r="AI6" s="226" t="s">
        <v>343</v>
      </c>
      <c r="AJ6" s="226" t="s">
        <v>323</v>
      </c>
      <c r="AK6" s="226"/>
      <c r="AL6" s="226"/>
      <c r="AM6" s="226"/>
      <c r="AN6" s="226"/>
      <c r="AO6" s="226"/>
    </row>
    <row r="7" spans="1:41" ht="16">
      <c r="A7" s="226" t="s">
        <v>17</v>
      </c>
      <c r="B7" s="226"/>
      <c r="C7" s="2" t="s">
        <v>344</v>
      </c>
      <c r="D7" s="226" t="s">
        <v>345</v>
      </c>
      <c r="E7" s="226"/>
      <c r="F7" s="228"/>
      <c r="G7" s="226"/>
      <c r="H7" s="226"/>
      <c r="I7" s="229">
        <v>0.7</v>
      </c>
      <c r="J7" s="229"/>
      <c r="K7" s="226"/>
      <c r="L7" s="226" t="s">
        <v>346</v>
      </c>
      <c r="M7" s="226"/>
      <c r="N7" s="226" t="s">
        <v>347</v>
      </c>
      <c r="O7" s="226"/>
      <c r="P7" s="226"/>
      <c r="Q7" s="226"/>
      <c r="R7" s="226" t="s">
        <v>348</v>
      </c>
      <c r="S7" s="226">
        <v>4</v>
      </c>
      <c r="T7" s="226">
        <v>3</v>
      </c>
      <c r="U7" s="226" t="s">
        <v>349</v>
      </c>
      <c r="V7" s="226" t="s">
        <v>347</v>
      </c>
      <c r="W7" s="226"/>
      <c r="X7" s="723"/>
      <c r="Y7" s="226"/>
      <c r="Z7" s="226" t="s">
        <v>350</v>
      </c>
      <c r="AA7" s="226"/>
      <c r="AB7" t="s">
        <v>351</v>
      </c>
      <c r="AC7" s="228" t="s">
        <v>352</v>
      </c>
      <c r="AD7" s="226">
        <v>6</v>
      </c>
      <c r="AE7" s="226">
        <f t="shared" si="0"/>
        <v>2</v>
      </c>
      <c r="AF7" s="226">
        <v>6</v>
      </c>
      <c r="AG7" s="226"/>
      <c r="AH7" s="226"/>
      <c r="AI7" s="226"/>
      <c r="AJ7" s="226"/>
      <c r="AK7" s="226"/>
      <c r="AL7" s="226"/>
      <c r="AM7" s="226"/>
      <c r="AN7" s="226"/>
      <c r="AO7" s="226"/>
    </row>
    <row r="8" spans="1:41" ht="16">
      <c r="A8" s="226"/>
      <c r="B8" s="226"/>
      <c r="C8" s="2" t="s">
        <v>353</v>
      </c>
      <c r="D8" s="226" t="s">
        <v>354</v>
      </c>
      <c r="E8" s="226"/>
      <c r="F8" s="230"/>
      <c r="G8" s="226"/>
      <c r="H8" s="226"/>
      <c r="I8" s="229">
        <v>0.8</v>
      </c>
      <c r="J8" s="229"/>
      <c r="K8" s="226"/>
      <c r="L8" s="226" t="s">
        <v>347</v>
      </c>
      <c r="M8" s="226"/>
      <c r="N8" s="226"/>
      <c r="O8" s="226"/>
      <c r="P8" s="226"/>
      <c r="Q8" s="226"/>
      <c r="R8" s="226" t="s">
        <v>355</v>
      </c>
      <c r="S8" s="226">
        <v>5</v>
      </c>
      <c r="T8" s="226"/>
      <c r="U8" s="226" t="s">
        <v>356</v>
      </c>
      <c r="V8" s="226"/>
      <c r="W8" s="226"/>
      <c r="X8" s="723"/>
      <c r="Y8" s="226"/>
      <c r="Z8" s="226" t="s">
        <v>357</v>
      </c>
      <c r="AA8" s="226"/>
      <c r="AB8" t="s">
        <v>358</v>
      </c>
      <c r="AC8" s="228" t="s">
        <v>359</v>
      </c>
      <c r="AD8" s="226">
        <v>7</v>
      </c>
      <c r="AE8" s="226">
        <f t="shared" si="0"/>
        <v>3</v>
      </c>
      <c r="AF8" s="226">
        <v>7</v>
      </c>
      <c r="AG8" s="226"/>
      <c r="AH8" s="226"/>
      <c r="AI8" s="226"/>
      <c r="AJ8" s="226"/>
      <c r="AK8" s="226"/>
      <c r="AL8" s="226"/>
      <c r="AM8" s="226"/>
      <c r="AN8" s="226"/>
      <c r="AO8" s="226"/>
    </row>
    <row r="9" spans="1:41" ht="16">
      <c r="A9" s="226"/>
      <c r="B9" s="226"/>
      <c r="C9" s="2" t="s">
        <v>288</v>
      </c>
      <c r="E9" s="226"/>
      <c r="F9" s="231"/>
      <c r="G9" s="226"/>
      <c r="H9" s="226"/>
      <c r="I9" s="229"/>
      <c r="J9" s="229"/>
      <c r="K9" s="226"/>
      <c r="L9" s="226"/>
      <c r="M9" s="226"/>
      <c r="N9" s="226"/>
      <c r="O9" s="226"/>
      <c r="P9" s="226"/>
      <c r="Q9" s="226"/>
      <c r="R9" s="226" t="s">
        <v>360</v>
      </c>
      <c r="S9" s="226"/>
      <c r="T9" s="226"/>
      <c r="U9" s="226" t="s">
        <v>361</v>
      </c>
      <c r="V9" s="226"/>
      <c r="W9" s="226"/>
      <c r="X9" s="723"/>
      <c r="Y9" s="226"/>
      <c r="Z9" s="226" t="s">
        <v>362</v>
      </c>
      <c r="AA9" s="226"/>
      <c r="AB9" t="s">
        <v>363</v>
      </c>
      <c r="AC9" s="228" t="s">
        <v>364</v>
      </c>
      <c r="AD9" s="226">
        <v>8</v>
      </c>
      <c r="AE9" s="226">
        <f t="shared" si="0"/>
        <v>3</v>
      </c>
      <c r="AF9" s="226">
        <v>8</v>
      </c>
      <c r="AG9" s="226"/>
      <c r="AH9" s="226"/>
      <c r="AI9" s="226"/>
      <c r="AJ9" s="226"/>
      <c r="AK9" s="226"/>
      <c r="AL9" s="226"/>
      <c r="AM9" s="226"/>
      <c r="AN9" s="226"/>
      <c r="AO9" s="226"/>
    </row>
    <row r="10" spans="1:41" ht="16">
      <c r="A10" s="226"/>
      <c r="B10" s="226"/>
      <c r="C10" s="2" t="s">
        <v>310</v>
      </c>
      <c r="E10" s="226"/>
      <c r="F10" s="231"/>
      <c r="G10" s="226"/>
      <c r="H10" s="226"/>
      <c r="I10" s="229"/>
      <c r="J10" s="229"/>
      <c r="K10" s="226"/>
      <c r="L10" s="226"/>
      <c r="M10" s="226"/>
      <c r="N10" s="226"/>
      <c r="O10" s="226"/>
      <c r="P10" s="226"/>
      <c r="Q10" s="226"/>
      <c r="R10" s="226" t="s">
        <v>323</v>
      </c>
      <c r="S10" s="226"/>
      <c r="T10" s="226"/>
      <c r="U10" s="226" t="s">
        <v>365</v>
      </c>
      <c r="V10" s="226"/>
      <c r="W10" s="226"/>
      <c r="X10" s="723"/>
      <c r="Y10" s="226"/>
      <c r="Z10" s="226" t="s">
        <v>366</v>
      </c>
      <c r="AA10" s="226"/>
      <c r="AB10" t="s">
        <v>367</v>
      </c>
      <c r="AC10" s="228" t="s">
        <v>368</v>
      </c>
      <c r="AD10" s="226">
        <v>9</v>
      </c>
      <c r="AE10" s="226">
        <f t="shared" si="0"/>
        <v>3</v>
      </c>
      <c r="AF10" s="226"/>
      <c r="AG10" s="226"/>
      <c r="AH10" s="226"/>
      <c r="AI10" s="226"/>
      <c r="AJ10" s="226"/>
      <c r="AK10" s="226"/>
      <c r="AL10" s="226"/>
      <c r="AM10" s="226"/>
      <c r="AN10" s="226"/>
      <c r="AO10" s="226"/>
    </row>
    <row r="11" spans="1:41" ht="16">
      <c r="A11" s="226"/>
      <c r="B11" s="226"/>
      <c r="C11" s="2" t="s">
        <v>369</v>
      </c>
      <c r="E11" s="226"/>
      <c r="F11" s="226"/>
      <c r="G11" s="226"/>
      <c r="H11" s="226"/>
      <c r="I11" s="226"/>
      <c r="J11" s="226"/>
      <c r="K11" s="226"/>
      <c r="L11" s="226"/>
      <c r="M11" s="226"/>
      <c r="N11" s="226"/>
      <c r="O11" s="226"/>
      <c r="P11" s="226"/>
      <c r="Q11" s="226"/>
      <c r="R11" s="226"/>
      <c r="S11" s="226"/>
      <c r="T11" s="226"/>
      <c r="U11" s="226" t="s">
        <v>370</v>
      </c>
      <c r="V11" s="226"/>
      <c r="W11" s="226"/>
      <c r="X11" s="723"/>
      <c r="Y11" s="226"/>
      <c r="Z11" s="226" t="s">
        <v>371</v>
      </c>
      <c r="AA11" s="226"/>
      <c r="AB11" t="s">
        <v>372</v>
      </c>
      <c r="AC11" s="228" t="s">
        <v>373</v>
      </c>
      <c r="AD11" s="226">
        <v>10</v>
      </c>
      <c r="AE11" s="226">
        <f t="shared" si="0"/>
        <v>4</v>
      </c>
      <c r="AF11" s="226"/>
      <c r="AG11" s="226"/>
      <c r="AH11" s="226"/>
      <c r="AI11" s="226"/>
      <c r="AJ11" s="226"/>
      <c r="AK11" s="226"/>
      <c r="AL11" s="226"/>
      <c r="AM11" s="226"/>
      <c r="AN11" s="226"/>
      <c r="AO11" s="226"/>
    </row>
    <row r="12" spans="1:41" ht="16">
      <c r="A12" s="226"/>
      <c r="B12" s="226"/>
      <c r="C12" s="2" t="s">
        <v>328</v>
      </c>
      <c r="E12" s="226"/>
      <c r="F12" s="226"/>
      <c r="G12" s="226"/>
      <c r="H12" s="226"/>
      <c r="I12" s="226"/>
      <c r="J12" s="226"/>
      <c r="K12" s="226"/>
      <c r="L12" s="226"/>
      <c r="M12" s="226"/>
      <c r="N12" s="226"/>
      <c r="O12" s="226"/>
      <c r="P12" s="226"/>
      <c r="Q12" s="226"/>
      <c r="R12" s="226"/>
      <c r="S12" s="226"/>
      <c r="T12" s="226"/>
      <c r="U12" s="226" t="s">
        <v>374</v>
      </c>
      <c r="V12" s="226"/>
      <c r="W12" s="226"/>
      <c r="X12" s="723"/>
      <c r="Y12" s="226"/>
      <c r="Z12" s="226" t="s">
        <v>375</v>
      </c>
      <c r="AA12" s="226"/>
      <c r="AB12" t="s">
        <v>376</v>
      </c>
      <c r="AC12" s="228" t="s">
        <v>377</v>
      </c>
      <c r="AD12" s="226">
        <v>11</v>
      </c>
      <c r="AE12" s="226">
        <f t="shared" si="0"/>
        <v>4</v>
      </c>
      <c r="AF12" s="226"/>
      <c r="AG12" s="226"/>
      <c r="AH12" s="226"/>
      <c r="AI12" s="226"/>
      <c r="AJ12" s="226"/>
      <c r="AK12" s="226"/>
      <c r="AL12" s="226"/>
      <c r="AM12" s="226"/>
      <c r="AN12" s="226"/>
      <c r="AO12" s="226"/>
    </row>
    <row r="13" spans="1:41" ht="16">
      <c r="A13" s="226"/>
      <c r="B13" s="226"/>
      <c r="C13" s="2" t="s">
        <v>378</v>
      </c>
      <c r="D13" s="226"/>
      <c r="E13" s="226"/>
      <c r="F13" s="226"/>
      <c r="G13" s="226"/>
      <c r="H13" s="226"/>
      <c r="I13" s="226"/>
      <c r="J13" s="226"/>
      <c r="K13" s="226"/>
      <c r="L13" s="226"/>
      <c r="M13" s="226"/>
      <c r="N13" s="226"/>
      <c r="O13" s="226"/>
      <c r="P13" s="226"/>
      <c r="Q13" s="226"/>
      <c r="R13" s="226"/>
      <c r="S13" s="226"/>
      <c r="T13" s="226"/>
      <c r="U13" s="226" t="s">
        <v>379</v>
      </c>
      <c r="V13" s="226"/>
      <c r="W13" s="226"/>
      <c r="X13" s="723"/>
      <c r="Y13" s="226"/>
      <c r="Z13" s="226"/>
      <c r="AA13" s="226"/>
      <c r="AB13" t="s">
        <v>380</v>
      </c>
      <c r="AC13" s="228"/>
      <c r="AD13" s="226">
        <v>12</v>
      </c>
      <c r="AE13" s="226">
        <f t="shared" si="0"/>
        <v>4</v>
      </c>
      <c r="AF13" s="226"/>
      <c r="AG13" s="226"/>
      <c r="AH13" s="226"/>
      <c r="AI13" s="226"/>
      <c r="AJ13" s="226"/>
      <c r="AK13" s="226"/>
      <c r="AL13" s="226"/>
      <c r="AM13" s="226"/>
      <c r="AN13" s="226"/>
      <c r="AO13" s="226"/>
    </row>
    <row r="14" spans="1:41" ht="16">
      <c r="A14" s="226"/>
      <c r="B14" s="226"/>
      <c r="C14" s="2" t="s">
        <v>340</v>
      </c>
      <c r="D14" s="226"/>
      <c r="E14" s="226"/>
      <c r="F14" s="226"/>
      <c r="G14" s="226"/>
      <c r="H14" s="226"/>
      <c r="I14" s="226"/>
      <c r="J14" s="226"/>
      <c r="K14" s="226"/>
      <c r="L14" s="226"/>
      <c r="M14" s="226"/>
      <c r="N14" s="226"/>
      <c r="O14" s="226"/>
      <c r="P14" s="226"/>
      <c r="Q14" s="226"/>
      <c r="R14" s="226"/>
      <c r="S14" s="226"/>
      <c r="T14" s="226"/>
      <c r="U14" s="226" t="s">
        <v>381</v>
      </c>
      <c r="V14" s="226"/>
      <c r="W14" s="226"/>
      <c r="X14" s="723"/>
      <c r="Y14" s="226"/>
      <c r="Z14" s="226"/>
      <c r="AA14" s="226"/>
      <c r="AB14" t="s">
        <v>382</v>
      </c>
      <c r="AC14" s="228"/>
      <c r="AD14" s="226">
        <v>13</v>
      </c>
      <c r="AE14" s="226">
        <f t="shared" si="0"/>
        <v>5</v>
      </c>
      <c r="AF14" s="226"/>
      <c r="AG14" s="226"/>
      <c r="AH14" s="226"/>
      <c r="AI14" s="226"/>
      <c r="AJ14" s="226"/>
      <c r="AK14" s="226"/>
      <c r="AL14" s="226"/>
      <c r="AM14" s="226"/>
      <c r="AN14" s="226"/>
      <c r="AO14" s="226"/>
    </row>
    <row r="15" spans="1:41" ht="16">
      <c r="A15" s="226"/>
      <c r="B15" s="226"/>
      <c r="C15" s="2" t="s">
        <v>383</v>
      </c>
      <c r="D15" s="226"/>
      <c r="E15" s="226"/>
      <c r="F15" s="226"/>
      <c r="G15" s="226"/>
      <c r="H15" s="226"/>
      <c r="I15" s="226"/>
      <c r="J15" s="226"/>
      <c r="K15" s="226"/>
      <c r="L15" s="226"/>
      <c r="M15" s="226"/>
      <c r="N15" s="226"/>
      <c r="O15" s="226"/>
      <c r="P15" s="226"/>
      <c r="Q15" s="226"/>
      <c r="R15" s="226"/>
      <c r="S15" s="226"/>
      <c r="T15" s="226"/>
      <c r="U15" s="226" t="s">
        <v>384</v>
      </c>
      <c r="V15" s="226"/>
      <c r="W15" s="226"/>
      <c r="X15" s="723"/>
      <c r="Y15" s="226"/>
      <c r="Z15" s="226"/>
      <c r="AA15" s="226"/>
      <c r="AB15" t="s">
        <v>385</v>
      </c>
      <c r="AC15" s="228"/>
      <c r="AD15" s="226">
        <v>14</v>
      </c>
      <c r="AE15" s="226">
        <f t="shared" si="0"/>
        <v>5</v>
      </c>
      <c r="AF15" s="226"/>
      <c r="AG15" s="226"/>
      <c r="AH15" s="226"/>
      <c r="AI15" s="226"/>
      <c r="AJ15" s="226"/>
      <c r="AK15" s="226"/>
      <c r="AL15" s="226"/>
      <c r="AM15" s="226"/>
      <c r="AN15" s="226"/>
      <c r="AO15" s="226"/>
    </row>
    <row r="16" spans="1:41" ht="16">
      <c r="A16" s="226"/>
      <c r="B16" s="226"/>
      <c r="C16" s="2" t="s">
        <v>386</v>
      </c>
      <c r="D16" s="226"/>
      <c r="E16" s="226"/>
      <c r="F16" s="226"/>
      <c r="G16" s="226"/>
      <c r="H16" s="226"/>
      <c r="I16" s="226"/>
      <c r="J16" s="226"/>
      <c r="K16" s="226"/>
      <c r="L16" s="226"/>
      <c r="M16" s="226"/>
      <c r="N16" s="226"/>
      <c r="O16" s="226"/>
      <c r="P16" s="226"/>
      <c r="Q16" s="226"/>
      <c r="R16" s="226"/>
      <c r="S16" s="226"/>
      <c r="T16" s="226"/>
      <c r="U16" s="226" t="s">
        <v>387</v>
      </c>
      <c r="V16" s="226"/>
      <c r="W16" s="226"/>
      <c r="X16" s="723"/>
      <c r="Y16" s="226"/>
      <c r="Z16" s="226"/>
      <c r="AA16" s="226"/>
      <c r="AB16" t="s">
        <v>388</v>
      </c>
      <c r="AC16" s="228"/>
      <c r="AD16" s="226">
        <v>15</v>
      </c>
      <c r="AE16" s="226">
        <f t="shared" si="0"/>
        <v>5</v>
      </c>
      <c r="AF16" s="226"/>
      <c r="AG16" s="226"/>
      <c r="AH16" s="226"/>
      <c r="AI16" s="226"/>
      <c r="AJ16" s="226"/>
      <c r="AK16" s="226"/>
      <c r="AL16" s="226"/>
      <c r="AM16" s="226"/>
      <c r="AN16" s="226"/>
      <c r="AO16" s="226"/>
    </row>
    <row r="17" spans="1:41" ht="16">
      <c r="A17" s="226"/>
      <c r="B17" s="226"/>
      <c r="C17" s="2" t="s">
        <v>351</v>
      </c>
      <c r="D17" s="226"/>
      <c r="E17" s="226"/>
      <c r="F17" s="226"/>
      <c r="G17" s="226"/>
      <c r="H17" s="226"/>
      <c r="I17" s="226"/>
      <c r="J17" s="226"/>
      <c r="K17" s="226"/>
      <c r="L17" s="226"/>
      <c r="M17" s="226"/>
      <c r="N17" s="226"/>
      <c r="O17" s="226"/>
      <c r="P17" s="226"/>
      <c r="Q17" s="226"/>
      <c r="R17" s="226"/>
      <c r="S17" s="226"/>
      <c r="T17" s="226"/>
      <c r="U17" s="226" t="s">
        <v>389</v>
      </c>
      <c r="V17" s="226"/>
      <c r="W17" s="226"/>
      <c r="X17" s="723"/>
      <c r="Y17" s="226"/>
      <c r="Z17" s="226"/>
      <c r="AA17" s="226"/>
      <c r="AB17" t="s">
        <v>390</v>
      </c>
      <c r="AC17" s="677"/>
      <c r="AD17" s="226">
        <v>16</v>
      </c>
      <c r="AE17" s="226">
        <f t="shared" si="0"/>
        <v>6</v>
      </c>
      <c r="AF17" s="226"/>
      <c r="AG17" s="226"/>
      <c r="AH17" s="226"/>
      <c r="AI17" s="226"/>
      <c r="AJ17" s="226"/>
      <c r="AK17" s="226"/>
      <c r="AL17" s="226"/>
      <c r="AM17" s="226"/>
      <c r="AN17" s="226"/>
      <c r="AO17" s="226"/>
    </row>
    <row r="18" spans="1:41" ht="16">
      <c r="A18" s="226"/>
      <c r="B18" s="226"/>
      <c r="C18" s="2" t="s">
        <v>391</v>
      </c>
      <c r="D18" s="226"/>
      <c r="E18" s="226"/>
      <c r="F18" s="226"/>
      <c r="G18" s="226"/>
      <c r="H18" s="226"/>
      <c r="I18" s="226"/>
      <c r="J18" s="226"/>
      <c r="K18" s="226"/>
      <c r="L18" s="226"/>
      <c r="M18" s="226"/>
      <c r="N18" s="226"/>
      <c r="O18" s="226"/>
      <c r="P18" s="226"/>
      <c r="Q18" s="226"/>
      <c r="R18" s="226"/>
      <c r="S18" s="226"/>
      <c r="T18" s="226"/>
      <c r="U18" s="226" t="s">
        <v>392</v>
      </c>
      <c r="V18" s="226"/>
      <c r="W18" s="226"/>
      <c r="X18" s="723"/>
      <c r="Y18" s="226"/>
      <c r="Z18" s="226"/>
      <c r="AA18" s="226"/>
      <c r="AB18" t="s">
        <v>393</v>
      </c>
      <c r="AC18" s="228"/>
      <c r="AD18" s="226">
        <v>17</v>
      </c>
      <c r="AE18" s="226">
        <f t="shared" si="0"/>
        <v>6</v>
      </c>
      <c r="AF18" s="226"/>
      <c r="AG18" s="226"/>
      <c r="AH18" s="226"/>
      <c r="AI18" s="226"/>
      <c r="AJ18" s="226"/>
      <c r="AK18" s="226"/>
      <c r="AL18" s="226"/>
      <c r="AM18" s="226"/>
      <c r="AN18" s="226"/>
      <c r="AO18" s="226"/>
    </row>
    <row r="19" spans="1:41" ht="16">
      <c r="A19" s="226"/>
      <c r="B19" s="226"/>
      <c r="C19" s="2" t="s">
        <v>358</v>
      </c>
      <c r="D19" s="226"/>
      <c r="E19" s="226"/>
      <c r="F19" s="226"/>
      <c r="G19" s="226"/>
      <c r="H19" s="226"/>
      <c r="I19" s="226"/>
      <c r="J19" s="226"/>
      <c r="K19" s="226"/>
      <c r="L19" s="226"/>
      <c r="M19" s="226"/>
      <c r="N19" s="226"/>
      <c r="O19" s="226"/>
      <c r="P19" s="226"/>
      <c r="Q19" s="226"/>
      <c r="R19" s="226"/>
      <c r="S19" s="226"/>
      <c r="T19" s="226"/>
      <c r="U19" s="226" t="s">
        <v>394</v>
      </c>
      <c r="V19" s="226"/>
      <c r="W19" s="226"/>
      <c r="X19" s="723"/>
      <c r="Y19" s="226"/>
      <c r="Z19" s="226"/>
      <c r="AA19" s="226"/>
      <c r="AB19" t="s">
        <v>395</v>
      </c>
      <c r="AC19" s="228"/>
      <c r="AD19" s="226">
        <v>18</v>
      </c>
      <c r="AE19" s="226">
        <f t="shared" si="0"/>
        <v>6</v>
      </c>
      <c r="AF19" s="226"/>
      <c r="AG19" s="226"/>
      <c r="AH19" s="226"/>
      <c r="AI19" s="226"/>
      <c r="AJ19" s="226"/>
      <c r="AK19" s="226"/>
      <c r="AL19" s="226"/>
      <c r="AM19" s="226"/>
      <c r="AN19" s="226"/>
      <c r="AO19" s="226"/>
    </row>
    <row r="20" spans="1:41" ht="16">
      <c r="A20" s="226"/>
      <c r="B20" s="226"/>
      <c r="C20" s="2" t="s">
        <v>396</v>
      </c>
      <c r="D20" s="226"/>
      <c r="E20" s="226"/>
      <c r="F20" s="226"/>
      <c r="G20" s="226"/>
      <c r="H20" s="226"/>
      <c r="I20" s="226"/>
      <c r="J20" s="226"/>
      <c r="K20" s="226"/>
      <c r="L20" s="226"/>
      <c r="M20" s="226"/>
      <c r="N20" s="226"/>
      <c r="O20" s="226"/>
      <c r="P20" s="226"/>
      <c r="Q20" s="226"/>
      <c r="R20" s="226"/>
      <c r="S20" s="226"/>
      <c r="T20" s="226"/>
      <c r="U20" s="226" t="s">
        <v>397</v>
      </c>
      <c r="V20" s="226"/>
      <c r="W20" s="226"/>
      <c r="X20" s="723"/>
      <c r="Y20" s="226"/>
      <c r="Z20" s="226"/>
      <c r="AA20" s="226"/>
      <c r="AB20" t="s">
        <v>398</v>
      </c>
      <c r="AC20" s="228"/>
      <c r="AD20" s="226">
        <v>19</v>
      </c>
      <c r="AE20" s="226">
        <f t="shared" si="0"/>
        <v>7</v>
      </c>
      <c r="AF20" s="226"/>
      <c r="AG20" s="226"/>
      <c r="AH20" s="226"/>
      <c r="AI20" s="226"/>
      <c r="AJ20" s="226"/>
      <c r="AK20" s="226"/>
      <c r="AL20" s="226"/>
      <c r="AM20" s="226"/>
      <c r="AN20" s="226"/>
      <c r="AO20" s="226"/>
    </row>
    <row r="21" spans="1:41" ht="16">
      <c r="A21" s="226"/>
      <c r="B21" s="226"/>
      <c r="C21" s="2" t="s">
        <v>363</v>
      </c>
      <c r="D21" s="226"/>
      <c r="E21" s="226"/>
      <c r="F21" s="226"/>
      <c r="G21" s="226"/>
      <c r="H21" s="226"/>
      <c r="I21" s="226"/>
      <c r="J21" s="226"/>
      <c r="K21" s="226"/>
      <c r="L21" s="226"/>
      <c r="M21" s="226"/>
      <c r="N21" s="226"/>
      <c r="O21" s="226"/>
      <c r="P21" s="226"/>
      <c r="Q21" s="226"/>
      <c r="R21" s="226"/>
      <c r="S21" s="226"/>
      <c r="T21" s="226"/>
      <c r="U21" s="226" t="s">
        <v>399</v>
      </c>
      <c r="V21" s="226"/>
      <c r="W21" s="226"/>
      <c r="X21" s="723"/>
      <c r="Y21" s="226"/>
      <c r="Z21" s="226"/>
      <c r="AA21" s="226"/>
      <c r="AB21" t="s">
        <v>400</v>
      </c>
      <c r="AC21" s="228"/>
      <c r="AD21" s="226">
        <v>20</v>
      </c>
      <c r="AE21" s="226">
        <f t="shared" si="0"/>
        <v>7</v>
      </c>
      <c r="AF21" s="226"/>
      <c r="AG21" s="226"/>
      <c r="AH21" s="226"/>
      <c r="AI21" s="226"/>
      <c r="AJ21" s="226"/>
      <c r="AK21" s="226"/>
      <c r="AL21" s="226"/>
      <c r="AM21" s="226"/>
      <c r="AN21" s="226"/>
      <c r="AO21" s="226"/>
    </row>
    <row r="22" spans="1:41" ht="16">
      <c r="A22" s="226"/>
      <c r="B22" s="226"/>
      <c r="C22" s="2" t="s">
        <v>401</v>
      </c>
      <c r="D22" s="226"/>
      <c r="E22" s="226"/>
      <c r="F22" s="226"/>
      <c r="G22" s="226"/>
      <c r="H22" s="226"/>
      <c r="I22" s="226"/>
      <c r="J22" s="226"/>
      <c r="K22" s="226"/>
      <c r="L22" s="226"/>
      <c r="M22" s="226"/>
      <c r="N22" s="226"/>
      <c r="O22" s="226"/>
      <c r="P22" s="226"/>
      <c r="Q22" s="226"/>
      <c r="R22" s="226"/>
      <c r="S22" s="226"/>
      <c r="T22" s="226"/>
      <c r="U22" s="226" t="s">
        <v>402</v>
      </c>
      <c r="V22" s="226"/>
      <c r="W22" s="226"/>
      <c r="X22" s="723"/>
      <c r="Y22" s="226"/>
      <c r="Z22" s="226"/>
      <c r="AA22" s="226"/>
      <c r="AB22" t="s">
        <v>403</v>
      </c>
      <c r="AC22" s="228"/>
      <c r="AD22" s="226">
        <v>21</v>
      </c>
      <c r="AE22" s="226">
        <f t="shared" si="0"/>
        <v>7</v>
      </c>
      <c r="AF22" s="226"/>
      <c r="AG22" s="226"/>
      <c r="AH22" s="226"/>
      <c r="AI22" s="226"/>
      <c r="AJ22" s="226"/>
      <c r="AK22" s="226"/>
      <c r="AL22" s="226"/>
      <c r="AM22" s="226"/>
      <c r="AN22" s="226"/>
      <c r="AO22" s="226"/>
    </row>
    <row r="23" spans="1:41" ht="16">
      <c r="A23" s="226"/>
      <c r="B23" s="226"/>
      <c r="C23" s="2" t="s">
        <v>404</v>
      </c>
      <c r="D23" s="226"/>
      <c r="E23" s="226"/>
      <c r="F23" s="226"/>
      <c r="G23" s="226"/>
      <c r="H23" s="226"/>
      <c r="I23" s="226"/>
      <c r="J23" s="226"/>
      <c r="K23" s="226"/>
      <c r="L23" s="226"/>
      <c r="M23" s="226"/>
      <c r="N23" s="226"/>
      <c r="O23" s="226"/>
      <c r="P23" s="226"/>
      <c r="Q23" s="226"/>
      <c r="R23" s="226"/>
      <c r="S23" s="226"/>
      <c r="T23" s="226"/>
      <c r="U23" s="226" t="s">
        <v>405</v>
      </c>
      <c r="V23" s="226"/>
      <c r="W23" s="226"/>
      <c r="X23" s="723"/>
      <c r="Y23" s="226"/>
      <c r="Z23" s="226"/>
      <c r="AA23" s="226"/>
      <c r="AB23" t="s">
        <v>406</v>
      </c>
      <c r="AC23" s="228"/>
      <c r="AD23" s="226">
        <v>22</v>
      </c>
      <c r="AE23" s="226">
        <f t="shared" si="0"/>
        <v>8</v>
      </c>
      <c r="AF23" s="226"/>
      <c r="AG23" s="226"/>
      <c r="AH23" s="226"/>
      <c r="AI23" s="226"/>
      <c r="AJ23" s="226"/>
      <c r="AK23" s="226"/>
      <c r="AL23" s="226"/>
      <c r="AM23" s="226"/>
      <c r="AN23" s="226"/>
      <c r="AO23" s="226"/>
    </row>
    <row r="24" spans="1:41" ht="16">
      <c r="A24" s="226"/>
      <c r="B24" s="226"/>
      <c r="C24" s="2" t="s">
        <v>367</v>
      </c>
      <c r="D24" s="226"/>
      <c r="E24" s="226"/>
      <c r="F24" s="226"/>
      <c r="G24" s="226"/>
      <c r="H24" s="226"/>
      <c r="I24" s="226"/>
      <c r="J24" s="226"/>
      <c r="K24" s="226"/>
      <c r="L24" s="226"/>
      <c r="M24" s="226"/>
      <c r="N24" s="226"/>
      <c r="O24" s="226"/>
      <c r="P24" s="226"/>
      <c r="Q24" s="226"/>
      <c r="R24" s="226"/>
      <c r="S24" s="226"/>
      <c r="T24" s="226"/>
      <c r="U24" s="226" t="s">
        <v>407</v>
      </c>
      <c r="V24" s="226"/>
      <c r="W24" s="226"/>
      <c r="X24" s="723"/>
      <c r="Y24" s="226"/>
      <c r="Z24" s="226"/>
      <c r="AA24" s="226"/>
      <c r="AB24" t="s">
        <v>408</v>
      </c>
      <c r="AC24" s="228"/>
      <c r="AD24" s="226">
        <v>23</v>
      </c>
      <c r="AE24" s="226">
        <f t="shared" si="0"/>
        <v>8</v>
      </c>
      <c r="AF24" s="226"/>
      <c r="AG24" s="226"/>
      <c r="AH24" s="226"/>
      <c r="AI24" s="226"/>
      <c r="AJ24" s="226"/>
      <c r="AK24" s="226"/>
      <c r="AL24" s="226"/>
      <c r="AM24" s="226"/>
      <c r="AN24" s="226"/>
      <c r="AO24" s="226"/>
    </row>
    <row r="25" spans="1:41" ht="16">
      <c r="A25" s="226"/>
      <c r="B25" s="226"/>
      <c r="C25" s="2" t="s">
        <v>409</v>
      </c>
      <c r="D25" s="226"/>
      <c r="E25" s="226"/>
      <c r="F25" s="226"/>
      <c r="G25" s="226"/>
      <c r="H25" s="226"/>
      <c r="I25" s="226"/>
      <c r="J25" s="226"/>
      <c r="K25" s="226"/>
      <c r="L25" s="226"/>
      <c r="M25" s="226"/>
      <c r="N25" s="226"/>
      <c r="O25" s="226"/>
      <c r="P25" s="226"/>
      <c r="Q25" s="226"/>
      <c r="R25" s="226"/>
      <c r="S25" s="226"/>
      <c r="T25" s="226"/>
      <c r="U25" s="226" t="s">
        <v>410</v>
      </c>
      <c r="V25" s="226"/>
      <c r="W25" s="226"/>
      <c r="X25" s="723"/>
      <c r="Y25" s="226"/>
      <c r="Z25" s="226"/>
      <c r="AA25" s="226"/>
      <c r="AB25" t="s">
        <v>411</v>
      </c>
      <c r="AC25" s="228"/>
      <c r="AD25" s="226">
        <v>24</v>
      </c>
      <c r="AE25" s="226">
        <f t="shared" si="0"/>
        <v>8</v>
      </c>
      <c r="AF25" s="226"/>
      <c r="AG25" s="226"/>
      <c r="AH25" s="226"/>
      <c r="AI25" s="226"/>
      <c r="AJ25" s="226"/>
      <c r="AK25" s="226"/>
      <c r="AL25" s="226"/>
      <c r="AM25" s="226"/>
      <c r="AN25" s="226"/>
      <c r="AO25" s="226"/>
    </row>
    <row r="26" spans="1:41" ht="16">
      <c r="A26" s="226"/>
      <c r="B26" s="226"/>
      <c r="C26" s="2" t="s">
        <v>372</v>
      </c>
      <c r="D26" s="226"/>
      <c r="E26" s="226"/>
      <c r="F26" s="226"/>
      <c r="G26" s="226"/>
      <c r="H26" s="226"/>
      <c r="I26" s="226"/>
      <c r="J26" s="226"/>
      <c r="K26" s="226"/>
      <c r="L26" s="226"/>
      <c r="M26" s="226"/>
      <c r="N26" s="226"/>
      <c r="O26" s="226"/>
      <c r="P26" s="226"/>
      <c r="Q26" s="226"/>
      <c r="R26" s="226"/>
      <c r="S26" s="226"/>
      <c r="T26" s="226"/>
      <c r="U26" s="226" t="s">
        <v>412</v>
      </c>
      <c r="V26" s="226"/>
      <c r="W26" s="226"/>
      <c r="X26" s="723"/>
      <c r="Y26" s="226"/>
      <c r="Z26" s="226"/>
      <c r="AA26" s="226"/>
      <c r="AB26" t="s">
        <v>413</v>
      </c>
      <c r="AC26" s="228"/>
      <c r="AD26" s="226">
        <v>25</v>
      </c>
      <c r="AE26" s="226">
        <f t="shared" si="0"/>
        <v>9</v>
      </c>
      <c r="AF26" s="226"/>
      <c r="AG26" s="226"/>
      <c r="AH26" s="226"/>
      <c r="AI26" s="226"/>
      <c r="AJ26" s="226"/>
      <c r="AK26" s="226"/>
      <c r="AL26" s="226"/>
      <c r="AM26" s="226"/>
      <c r="AN26" s="226"/>
      <c r="AO26" s="226"/>
    </row>
    <row r="27" spans="1:41" ht="16">
      <c r="A27" s="226"/>
      <c r="B27" s="226"/>
      <c r="C27" s="2" t="s">
        <v>414</v>
      </c>
      <c r="D27" s="226"/>
      <c r="E27" s="226"/>
      <c r="F27" s="226"/>
      <c r="G27" s="226"/>
      <c r="H27" s="226"/>
      <c r="I27" s="226"/>
      <c r="J27" s="226"/>
      <c r="K27" s="226"/>
      <c r="L27" s="226"/>
      <c r="M27" s="226"/>
      <c r="N27" s="226"/>
      <c r="O27" s="226"/>
      <c r="P27" s="226"/>
      <c r="Q27" s="226"/>
      <c r="R27" s="226"/>
      <c r="S27" s="226"/>
      <c r="T27" s="226"/>
      <c r="U27" s="226" t="s">
        <v>415</v>
      </c>
      <c r="V27" s="226"/>
      <c r="W27" s="226"/>
      <c r="X27" s="723"/>
      <c r="Y27" s="226"/>
      <c r="Z27" s="226"/>
      <c r="AA27" s="226"/>
      <c r="AC27" s="228"/>
      <c r="AD27" s="226">
        <v>26</v>
      </c>
      <c r="AE27" s="226">
        <f t="shared" si="0"/>
        <v>9</v>
      </c>
      <c r="AF27" s="226"/>
      <c r="AG27" s="226"/>
      <c r="AH27" s="226"/>
      <c r="AI27" s="226"/>
      <c r="AJ27" s="226"/>
      <c r="AK27" s="226"/>
      <c r="AL27" s="226"/>
      <c r="AM27" s="226"/>
      <c r="AN27" s="226"/>
      <c r="AO27" s="226"/>
    </row>
    <row r="28" spans="1:41" ht="16">
      <c r="A28" s="226"/>
      <c r="B28" s="226"/>
      <c r="C28" s="2" t="s">
        <v>416</v>
      </c>
      <c r="D28" s="226"/>
      <c r="E28" s="226"/>
      <c r="F28" s="226"/>
      <c r="G28" s="226"/>
      <c r="H28" s="226"/>
      <c r="I28" s="226"/>
      <c r="J28" s="226"/>
      <c r="K28" s="226"/>
      <c r="L28" s="226"/>
      <c r="M28" s="226"/>
      <c r="N28" s="226"/>
      <c r="O28" s="226"/>
      <c r="P28" s="226"/>
      <c r="Q28" s="226"/>
      <c r="R28" s="226"/>
      <c r="S28" s="226"/>
      <c r="T28" s="226"/>
      <c r="U28" s="226" t="s">
        <v>417</v>
      </c>
      <c r="V28" s="226"/>
      <c r="W28" s="226"/>
      <c r="X28" s="723"/>
      <c r="Y28" s="226"/>
      <c r="Z28" s="226"/>
      <c r="AA28" s="226"/>
      <c r="AC28" s="228"/>
      <c r="AD28" s="226">
        <v>27</v>
      </c>
      <c r="AE28" s="226">
        <f t="shared" si="0"/>
        <v>9</v>
      </c>
      <c r="AF28" s="226"/>
      <c r="AG28" s="226"/>
      <c r="AH28" s="226"/>
      <c r="AI28" s="226"/>
      <c r="AJ28" s="226"/>
      <c r="AK28" s="226"/>
      <c r="AL28" s="226"/>
      <c r="AM28" s="226"/>
      <c r="AN28" s="226"/>
      <c r="AO28" s="226"/>
    </row>
    <row r="29" spans="1:41" ht="16">
      <c r="A29" s="226"/>
      <c r="B29" s="226"/>
      <c r="C29" s="2" t="s">
        <v>418</v>
      </c>
      <c r="D29" s="226"/>
      <c r="E29" s="226"/>
      <c r="F29" s="226"/>
      <c r="G29" s="226"/>
      <c r="H29" s="226"/>
      <c r="I29" s="226"/>
      <c r="J29" s="226"/>
      <c r="K29" s="226"/>
      <c r="L29" s="226"/>
      <c r="M29" s="226"/>
      <c r="N29" s="226"/>
      <c r="O29" s="226"/>
      <c r="P29" s="226"/>
      <c r="Q29" s="226"/>
      <c r="R29" s="226"/>
      <c r="S29" s="226"/>
      <c r="T29" s="226"/>
      <c r="U29" s="226" t="s">
        <v>419</v>
      </c>
      <c r="V29" s="226"/>
      <c r="W29" s="226"/>
      <c r="X29" s="723"/>
      <c r="Y29" s="226"/>
      <c r="Z29" s="226"/>
      <c r="AA29" s="226"/>
      <c r="AB29" s="226"/>
      <c r="AC29" s="228"/>
      <c r="AD29" s="226">
        <v>28</v>
      </c>
      <c r="AE29" s="226">
        <f t="shared" si="0"/>
        <v>10</v>
      </c>
      <c r="AF29" s="226"/>
      <c r="AG29" s="226"/>
      <c r="AH29" s="226"/>
      <c r="AI29" s="226"/>
      <c r="AJ29" s="226"/>
      <c r="AK29" s="226"/>
      <c r="AL29" s="226"/>
      <c r="AM29" s="226"/>
      <c r="AN29" s="226"/>
      <c r="AO29" s="226"/>
    </row>
    <row r="30" spans="1:41" ht="16">
      <c r="A30" s="226"/>
      <c r="B30" s="226"/>
      <c r="C30" s="2" t="s">
        <v>420</v>
      </c>
      <c r="D30" s="226"/>
      <c r="E30" s="226"/>
      <c r="F30" s="226"/>
      <c r="G30" s="226"/>
      <c r="H30" s="226"/>
      <c r="I30" s="226"/>
      <c r="J30" s="226"/>
      <c r="K30" s="226"/>
      <c r="L30" s="226"/>
      <c r="M30" s="226"/>
      <c r="N30" s="226"/>
      <c r="O30" s="226"/>
      <c r="P30" s="226"/>
      <c r="Q30" s="226"/>
      <c r="R30" s="226"/>
      <c r="S30" s="226"/>
      <c r="T30" s="226"/>
      <c r="U30" s="226" t="s">
        <v>421</v>
      </c>
      <c r="V30" s="226"/>
      <c r="W30" s="226"/>
      <c r="X30" s="723"/>
      <c r="Y30" s="226"/>
      <c r="Z30" s="226"/>
      <c r="AA30" s="226"/>
      <c r="AB30" s="226"/>
      <c r="AC30" s="228"/>
      <c r="AD30" s="226">
        <v>29</v>
      </c>
      <c r="AE30" s="226">
        <f t="shared" si="0"/>
        <v>10</v>
      </c>
      <c r="AF30" s="226"/>
      <c r="AG30" s="226"/>
      <c r="AH30" s="226"/>
      <c r="AI30" s="226"/>
      <c r="AJ30" s="226"/>
      <c r="AK30" s="226"/>
      <c r="AL30" s="226"/>
      <c r="AM30" s="226"/>
      <c r="AN30" s="226"/>
      <c r="AO30" s="226"/>
    </row>
    <row r="31" spans="1:41" ht="16">
      <c r="A31" s="226"/>
      <c r="B31" s="226"/>
      <c r="C31" s="2" t="s">
        <v>376</v>
      </c>
      <c r="D31" s="226"/>
      <c r="E31" s="226"/>
      <c r="F31" s="226"/>
      <c r="G31" s="226"/>
      <c r="H31" s="226"/>
      <c r="I31" s="226"/>
      <c r="J31" s="226"/>
      <c r="K31" s="226"/>
      <c r="L31" s="226"/>
      <c r="M31" s="226"/>
      <c r="N31" s="226"/>
      <c r="O31" s="226"/>
      <c r="P31" s="226"/>
      <c r="Q31" s="226"/>
      <c r="R31" s="226"/>
      <c r="S31" s="226"/>
      <c r="T31" s="226"/>
      <c r="U31" s="226" t="s">
        <v>422</v>
      </c>
      <c r="V31" s="226"/>
      <c r="W31" s="226"/>
      <c r="X31" s="723"/>
      <c r="Y31" s="226"/>
      <c r="Z31" s="226"/>
      <c r="AA31" s="226"/>
      <c r="AB31" s="226"/>
      <c r="AC31" s="228"/>
      <c r="AD31" s="226">
        <v>30</v>
      </c>
      <c r="AE31" s="226">
        <f t="shared" si="0"/>
        <v>10</v>
      </c>
      <c r="AF31" s="226"/>
      <c r="AG31" s="226"/>
      <c r="AH31" s="226"/>
      <c r="AI31" s="226"/>
      <c r="AJ31" s="226"/>
      <c r="AK31" s="226"/>
      <c r="AL31" s="226"/>
      <c r="AM31" s="226"/>
      <c r="AN31" s="226"/>
      <c r="AO31" s="226"/>
    </row>
    <row r="32" spans="1:41" ht="16">
      <c r="A32" s="226"/>
      <c r="B32" s="226"/>
      <c r="C32" s="2" t="s">
        <v>423</v>
      </c>
      <c r="D32" s="226"/>
      <c r="E32" s="226"/>
      <c r="F32" s="226"/>
      <c r="G32" s="226"/>
      <c r="H32" s="226"/>
      <c r="I32" s="226"/>
      <c r="J32" s="226"/>
      <c r="K32" s="226"/>
      <c r="L32" s="226"/>
      <c r="M32" s="226"/>
      <c r="N32" s="226"/>
      <c r="O32" s="226"/>
      <c r="P32" s="226"/>
      <c r="Q32" s="226"/>
      <c r="R32" s="226"/>
      <c r="S32" s="226"/>
      <c r="T32" s="226"/>
      <c r="U32" s="226" t="s">
        <v>424</v>
      </c>
      <c r="V32" s="226"/>
      <c r="W32" s="226"/>
      <c r="X32" s="723"/>
      <c r="Y32" s="226"/>
      <c r="Z32" s="226"/>
      <c r="AA32" s="226"/>
      <c r="AB32" s="226"/>
      <c r="AC32" s="228"/>
      <c r="AD32" s="226">
        <v>31</v>
      </c>
      <c r="AE32" s="226">
        <f t="shared" si="0"/>
        <v>11</v>
      </c>
      <c r="AF32" s="226"/>
      <c r="AG32" s="226"/>
      <c r="AH32" s="226"/>
      <c r="AI32" s="226"/>
      <c r="AJ32" s="226"/>
      <c r="AK32" s="226"/>
      <c r="AL32" s="226"/>
      <c r="AM32" s="226"/>
      <c r="AN32" s="226"/>
      <c r="AO32" s="226"/>
    </row>
    <row r="33" spans="1:41" ht="16">
      <c r="A33" s="226"/>
      <c r="B33" s="226"/>
      <c r="C33" s="2" t="s">
        <v>380</v>
      </c>
      <c r="D33" s="226"/>
      <c r="E33" s="226"/>
      <c r="F33" s="226"/>
      <c r="G33" s="226"/>
      <c r="H33" s="226"/>
      <c r="I33" s="226"/>
      <c r="J33" s="226"/>
      <c r="K33" s="226"/>
      <c r="L33" s="226"/>
      <c r="M33" s="226"/>
      <c r="N33" s="226"/>
      <c r="O33" s="226"/>
      <c r="P33" s="226"/>
      <c r="Q33" s="226"/>
      <c r="R33" s="226"/>
      <c r="S33" s="226"/>
      <c r="T33" s="226"/>
      <c r="U33" s="226" t="s">
        <v>425</v>
      </c>
      <c r="V33" s="226"/>
      <c r="W33" s="226"/>
      <c r="X33" s="723"/>
      <c r="Y33" s="226"/>
      <c r="Z33" s="226"/>
      <c r="AA33" s="226"/>
      <c r="AB33" s="226"/>
      <c r="AC33" s="228"/>
      <c r="AD33" s="226">
        <v>32</v>
      </c>
      <c r="AE33" s="226">
        <f t="shared" si="0"/>
        <v>11</v>
      </c>
      <c r="AF33" s="226"/>
      <c r="AG33" s="226"/>
      <c r="AH33" s="226"/>
      <c r="AI33" s="226"/>
      <c r="AJ33" s="226"/>
      <c r="AK33" s="226"/>
      <c r="AL33" s="226"/>
      <c r="AM33" s="226"/>
      <c r="AN33" s="226"/>
      <c r="AO33" s="226"/>
    </row>
    <row r="34" spans="1:41" ht="16">
      <c r="A34" s="226"/>
      <c r="B34" s="226"/>
      <c r="C34" s="2" t="s">
        <v>426</v>
      </c>
      <c r="D34" s="226"/>
      <c r="E34" s="226"/>
      <c r="F34" s="226"/>
      <c r="G34" s="226"/>
      <c r="H34" s="226"/>
      <c r="I34" s="226"/>
      <c r="J34" s="226"/>
      <c r="K34" s="226"/>
      <c r="L34" s="226"/>
      <c r="M34" s="226"/>
      <c r="N34" s="226"/>
      <c r="O34" s="226"/>
      <c r="P34" s="226"/>
      <c r="Q34" s="226"/>
      <c r="R34" s="226"/>
      <c r="S34" s="226"/>
      <c r="T34" s="226"/>
      <c r="U34" s="226" t="s">
        <v>427</v>
      </c>
      <c r="V34" s="226"/>
      <c r="W34" s="226"/>
      <c r="X34" s="723"/>
      <c r="Y34" s="226"/>
      <c r="Z34" s="226"/>
      <c r="AA34" s="226"/>
      <c r="AB34" s="226"/>
      <c r="AC34" s="228"/>
      <c r="AD34" s="226">
        <v>33</v>
      </c>
      <c r="AE34" s="226">
        <f t="shared" si="0"/>
        <v>11</v>
      </c>
      <c r="AF34" s="226"/>
      <c r="AG34" s="226"/>
      <c r="AH34" s="226"/>
      <c r="AI34" s="226"/>
      <c r="AJ34" s="226"/>
      <c r="AK34" s="226"/>
      <c r="AL34" s="226"/>
      <c r="AM34" s="226"/>
      <c r="AN34" s="226"/>
      <c r="AO34" s="226"/>
    </row>
    <row r="35" spans="1:41" ht="16">
      <c r="A35" s="226"/>
      <c r="B35" s="226"/>
      <c r="C35" s="2" t="s">
        <v>428</v>
      </c>
      <c r="D35" s="226"/>
      <c r="E35" s="226"/>
      <c r="F35" s="226"/>
      <c r="G35" s="226"/>
      <c r="H35" s="226"/>
      <c r="I35" s="226"/>
      <c r="J35" s="226"/>
      <c r="K35" s="226"/>
      <c r="L35" s="226"/>
      <c r="M35" s="226"/>
      <c r="N35" s="226"/>
      <c r="O35" s="226"/>
      <c r="P35" s="226"/>
      <c r="Q35" s="226"/>
      <c r="R35" s="226"/>
      <c r="S35" s="226"/>
      <c r="T35" s="226"/>
      <c r="U35" s="226" t="s">
        <v>429</v>
      </c>
      <c r="V35" s="226"/>
      <c r="W35" s="226"/>
      <c r="X35" s="723"/>
      <c r="Y35" s="226"/>
      <c r="Z35" s="226"/>
      <c r="AA35" s="226"/>
      <c r="AB35" s="226"/>
      <c r="AC35" s="228"/>
      <c r="AD35" s="226">
        <v>34</v>
      </c>
      <c r="AE35" s="226">
        <f t="shared" si="0"/>
        <v>12</v>
      </c>
      <c r="AF35" s="226"/>
      <c r="AG35" s="226"/>
      <c r="AH35" s="226"/>
      <c r="AI35" s="226"/>
      <c r="AJ35" s="226"/>
      <c r="AK35" s="226"/>
      <c r="AL35" s="226"/>
      <c r="AM35" s="226"/>
      <c r="AN35" s="226"/>
      <c r="AO35" s="226"/>
    </row>
    <row r="36" spans="1:41" ht="16">
      <c r="A36" s="226"/>
      <c r="B36" s="226"/>
      <c r="C36" s="2" t="s">
        <v>430</v>
      </c>
      <c r="D36" s="226"/>
      <c r="E36" s="226"/>
      <c r="F36" s="226"/>
      <c r="G36" s="226"/>
      <c r="H36" s="226"/>
      <c r="I36" s="226"/>
      <c r="J36" s="226"/>
      <c r="K36" s="226"/>
      <c r="L36" s="226"/>
      <c r="M36" s="226"/>
      <c r="N36" s="226"/>
      <c r="O36" s="226"/>
      <c r="P36" s="226"/>
      <c r="Q36" s="226"/>
      <c r="R36" s="226"/>
      <c r="S36" s="226"/>
      <c r="T36" s="226"/>
      <c r="U36" s="226" t="s">
        <v>431</v>
      </c>
      <c r="V36" s="226"/>
      <c r="W36" s="226"/>
      <c r="X36" s="723"/>
      <c r="Y36" s="226"/>
      <c r="Z36" s="226"/>
      <c r="AA36" s="226"/>
      <c r="AB36" s="226"/>
      <c r="AC36" s="228"/>
      <c r="AD36" s="226">
        <v>35</v>
      </c>
      <c r="AE36" s="226">
        <f t="shared" si="0"/>
        <v>12</v>
      </c>
      <c r="AF36" s="226"/>
      <c r="AG36" s="226"/>
      <c r="AH36" s="226"/>
      <c r="AI36" s="226"/>
      <c r="AJ36" s="226"/>
      <c r="AK36" s="226"/>
      <c r="AL36" s="226"/>
      <c r="AM36" s="226"/>
      <c r="AN36" s="226"/>
      <c r="AO36" s="226"/>
    </row>
    <row r="37" spans="1:41" ht="16">
      <c r="A37" s="226"/>
      <c r="B37" s="226"/>
      <c r="C37" s="2" t="s">
        <v>432</v>
      </c>
      <c r="D37" s="226"/>
      <c r="E37" s="226"/>
      <c r="F37" s="226"/>
      <c r="G37" s="226"/>
      <c r="H37" s="226"/>
      <c r="I37" s="226"/>
      <c r="J37" s="226"/>
      <c r="K37" s="226"/>
      <c r="L37" s="226"/>
      <c r="M37" s="226"/>
      <c r="N37" s="226"/>
      <c r="O37" s="226"/>
      <c r="P37" s="226"/>
      <c r="Q37" s="226"/>
      <c r="R37" s="226"/>
      <c r="S37" s="226"/>
      <c r="T37" s="226"/>
      <c r="U37" s="226" t="s">
        <v>433</v>
      </c>
      <c r="V37" s="226"/>
      <c r="W37" s="226"/>
      <c r="X37" s="723"/>
      <c r="Y37" s="226"/>
      <c r="Z37" s="226"/>
      <c r="AA37" s="226"/>
      <c r="AB37" s="226"/>
      <c r="AC37" s="228"/>
      <c r="AD37" s="226">
        <v>36</v>
      </c>
      <c r="AE37" s="226">
        <f t="shared" si="0"/>
        <v>12</v>
      </c>
      <c r="AF37" s="226"/>
      <c r="AG37" s="226"/>
      <c r="AH37" s="226"/>
      <c r="AI37" s="226"/>
      <c r="AJ37" s="226"/>
      <c r="AK37" s="226"/>
      <c r="AL37" s="226"/>
      <c r="AM37" s="226"/>
      <c r="AN37" s="226"/>
      <c r="AO37" s="226"/>
    </row>
    <row r="38" spans="1:41" ht="16">
      <c r="A38" s="226"/>
      <c r="B38" s="226"/>
      <c r="C38" s="2" t="s">
        <v>382</v>
      </c>
      <c r="D38" s="226"/>
      <c r="E38" s="226"/>
      <c r="F38" s="226"/>
      <c r="G38" s="226"/>
      <c r="H38" s="226"/>
      <c r="I38" s="226"/>
      <c r="J38" s="226"/>
      <c r="K38" s="226"/>
      <c r="L38" s="226"/>
      <c r="M38" s="226"/>
      <c r="N38" s="226"/>
      <c r="O38" s="226"/>
      <c r="P38" s="226"/>
      <c r="Q38" s="226"/>
      <c r="R38" s="226"/>
      <c r="S38" s="226"/>
      <c r="T38" s="226"/>
      <c r="U38" s="226" t="s">
        <v>434</v>
      </c>
      <c r="V38" s="226"/>
      <c r="W38" s="226"/>
      <c r="X38" s="723"/>
      <c r="Y38" s="226"/>
      <c r="Z38" s="226"/>
      <c r="AA38" s="226"/>
      <c r="AB38" s="226"/>
      <c r="AC38" s="228"/>
      <c r="AD38" s="226">
        <v>37</v>
      </c>
      <c r="AE38" s="226">
        <f t="shared" si="0"/>
        <v>13</v>
      </c>
      <c r="AF38" s="226"/>
      <c r="AG38" s="226"/>
      <c r="AH38" s="226"/>
      <c r="AI38" s="226"/>
      <c r="AJ38" s="226"/>
      <c r="AK38" s="226"/>
      <c r="AL38" s="226"/>
      <c r="AM38" s="226"/>
      <c r="AN38" s="226"/>
      <c r="AO38" s="226"/>
    </row>
    <row r="39" spans="1:41" ht="16">
      <c r="A39" s="226"/>
      <c r="B39" s="226"/>
      <c r="C39" s="2" t="s">
        <v>435</v>
      </c>
      <c r="D39" s="226"/>
      <c r="E39" s="226"/>
      <c r="F39" s="226"/>
      <c r="G39" s="226"/>
      <c r="H39" s="226"/>
      <c r="I39" s="226"/>
      <c r="J39" s="226"/>
      <c r="K39" s="226"/>
      <c r="L39" s="226"/>
      <c r="M39" s="226"/>
      <c r="N39" s="226"/>
      <c r="O39" s="226"/>
      <c r="P39" s="226"/>
      <c r="Q39" s="226"/>
      <c r="R39" s="226"/>
      <c r="S39" s="226"/>
      <c r="T39" s="226"/>
      <c r="U39" s="226" t="s">
        <v>436</v>
      </c>
      <c r="V39" s="226"/>
      <c r="W39" s="226"/>
      <c r="X39" s="723"/>
      <c r="Y39" s="226"/>
      <c r="Z39" s="226"/>
      <c r="AA39" s="226"/>
      <c r="AB39" s="226"/>
      <c r="AC39" s="228"/>
      <c r="AD39" s="226">
        <v>38</v>
      </c>
      <c r="AE39" s="226">
        <f t="shared" si="0"/>
        <v>13</v>
      </c>
      <c r="AF39" s="226"/>
      <c r="AG39" s="226"/>
      <c r="AH39" s="226"/>
      <c r="AI39" s="226"/>
      <c r="AJ39" s="226"/>
      <c r="AK39" s="226"/>
      <c r="AL39" s="226"/>
      <c r="AM39" s="226"/>
      <c r="AN39" s="226"/>
      <c r="AO39" s="226"/>
    </row>
    <row r="40" spans="1:41" ht="16">
      <c r="A40" s="226"/>
      <c r="B40" s="226"/>
      <c r="C40" s="2" t="s">
        <v>437</v>
      </c>
      <c r="D40" s="226"/>
      <c r="E40" s="226"/>
      <c r="F40" s="226"/>
      <c r="G40" s="226"/>
      <c r="H40" s="226"/>
      <c r="I40" s="226"/>
      <c r="J40" s="226"/>
      <c r="K40" s="226"/>
      <c r="L40" s="226"/>
      <c r="M40" s="226"/>
      <c r="N40" s="226"/>
      <c r="O40" s="226"/>
      <c r="P40" s="226"/>
      <c r="Q40" s="226"/>
      <c r="R40" s="226"/>
      <c r="S40" s="226"/>
      <c r="T40" s="226"/>
      <c r="U40" s="226" t="s">
        <v>438</v>
      </c>
      <c r="V40" s="226"/>
      <c r="W40" s="226"/>
      <c r="X40" s="723"/>
      <c r="Y40" s="226"/>
      <c r="Z40" s="226"/>
      <c r="AA40" s="226"/>
      <c r="AB40" s="226"/>
      <c r="AC40" s="228"/>
      <c r="AD40" s="226">
        <v>39</v>
      </c>
      <c r="AE40" s="226">
        <f t="shared" si="0"/>
        <v>13</v>
      </c>
      <c r="AF40" s="226"/>
      <c r="AG40" s="226"/>
      <c r="AH40" s="226"/>
      <c r="AI40" s="226"/>
      <c r="AJ40" s="226"/>
      <c r="AK40" s="226"/>
      <c r="AL40" s="226"/>
      <c r="AM40" s="226"/>
      <c r="AN40" s="226"/>
      <c r="AO40" s="226"/>
    </row>
    <row r="41" spans="1:41" ht="16">
      <c r="A41" s="226"/>
      <c r="B41" s="226"/>
      <c r="C41" s="2" t="s">
        <v>439</v>
      </c>
      <c r="D41" s="226"/>
      <c r="E41" s="226"/>
      <c r="F41" s="226"/>
      <c r="G41" s="226"/>
      <c r="H41" s="226"/>
      <c r="I41" s="226"/>
      <c r="J41" s="226"/>
      <c r="K41" s="226"/>
      <c r="L41" s="226"/>
      <c r="M41" s="226"/>
      <c r="N41" s="226"/>
      <c r="O41" s="226"/>
      <c r="P41" s="226"/>
      <c r="Q41" s="226"/>
      <c r="R41" s="226"/>
      <c r="S41" s="226"/>
      <c r="T41" s="226"/>
      <c r="U41" s="226" t="s">
        <v>440</v>
      </c>
      <c r="V41" s="226"/>
      <c r="W41" s="226"/>
      <c r="X41" s="723"/>
      <c r="Y41" s="226"/>
      <c r="Z41" s="226"/>
      <c r="AA41" s="226"/>
      <c r="AB41" s="226"/>
      <c r="AC41" s="228"/>
      <c r="AD41" s="226">
        <v>40</v>
      </c>
      <c r="AE41" s="226">
        <f t="shared" si="0"/>
        <v>14</v>
      </c>
      <c r="AF41" s="226"/>
      <c r="AG41" s="226"/>
      <c r="AH41" s="226"/>
      <c r="AI41" s="226"/>
      <c r="AJ41" s="226"/>
      <c r="AK41" s="226"/>
      <c r="AL41" s="226"/>
      <c r="AM41" s="226"/>
      <c r="AN41" s="226"/>
      <c r="AO41" s="226"/>
    </row>
    <row r="42" spans="1:41" ht="16">
      <c r="A42" s="226"/>
      <c r="B42" s="226"/>
      <c r="C42" s="2" t="s">
        <v>385</v>
      </c>
      <c r="D42" s="226"/>
      <c r="E42" s="226"/>
      <c r="F42" s="226"/>
      <c r="G42" s="226"/>
      <c r="H42" s="226"/>
      <c r="I42" s="226"/>
      <c r="J42" s="226"/>
      <c r="K42" s="226"/>
      <c r="L42" s="226"/>
      <c r="M42" s="226"/>
      <c r="N42" s="226"/>
      <c r="O42" s="226"/>
      <c r="P42" s="226"/>
      <c r="Q42" s="226"/>
      <c r="R42" s="226"/>
      <c r="S42" s="226"/>
      <c r="T42" s="226"/>
      <c r="U42" s="226" t="s">
        <v>441</v>
      </c>
      <c r="V42" s="226"/>
      <c r="W42" s="226"/>
      <c r="X42" s="723"/>
      <c r="Y42" s="226"/>
      <c r="Z42" s="226"/>
      <c r="AA42" s="226"/>
      <c r="AB42" s="226"/>
      <c r="AC42" s="228"/>
      <c r="AD42" s="226">
        <v>41</v>
      </c>
      <c r="AE42" s="226">
        <f t="shared" si="0"/>
        <v>14</v>
      </c>
      <c r="AF42" s="226"/>
      <c r="AG42" s="226"/>
      <c r="AH42" s="226"/>
      <c r="AI42" s="226"/>
      <c r="AJ42" s="226"/>
      <c r="AK42" s="226"/>
      <c r="AL42" s="226"/>
      <c r="AM42" s="226"/>
      <c r="AN42" s="226"/>
      <c r="AO42" s="226"/>
    </row>
    <row r="43" spans="1:41" ht="16">
      <c r="A43" s="226"/>
      <c r="B43" s="226"/>
      <c r="C43" s="2" t="s">
        <v>442</v>
      </c>
      <c r="D43" s="226"/>
      <c r="E43" s="226"/>
      <c r="F43" s="226"/>
      <c r="G43" s="226"/>
      <c r="H43" s="226"/>
      <c r="I43" s="226"/>
      <c r="J43" s="226"/>
      <c r="K43" s="226"/>
      <c r="L43" s="226"/>
      <c r="M43" s="226"/>
      <c r="N43" s="226"/>
      <c r="O43" s="226"/>
      <c r="P43" s="226"/>
      <c r="Q43" s="226"/>
      <c r="R43" s="226"/>
      <c r="S43" s="226"/>
      <c r="T43" s="226"/>
      <c r="U43" s="226" t="s">
        <v>443</v>
      </c>
      <c r="V43" s="226"/>
      <c r="W43" s="226"/>
      <c r="X43" s="723"/>
      <c r="Y43" s="226"/>
      <c r="Z43" s="226"/>
      <c r="AA43" s="226"/>
      <c r="AB43" s="226"/>
      <c r="AC43" s="228"/>
      <c r="AD43" s="226">
        <v>42</v>
      </c>
      <c r="AE43" s="226">
        <f t="shared" si="0"/>
        <v>14</v>
      </c>
      <c r="AF43" s="226"/>
      <c r="AG43" s="226"/>
      <c r="AH43" s="226"/>
      <c r="AI43" s="226"/>
      <c r="AJ43" s="226"/>
      <c r="AK43" s="226"/>
      <c r="AL43" s="226"/>
      <c r="AM43" s="226"/>
      <c r="AN43" s="226"/>
      <c r="AO43" s="226"/>
    </row>
    <row r="44" spans="1:41" ht="16">
      <c r="A44" s="226"/>
      <c r="B44" s="226"/>
      <c r="C44" s="2" t="s">
        <v>388</v>
      </c>
      <c r="D44" s="226"/>
      <c r="E44" s="226"/>
      <c r="F44" s="226"/>
      <c r="G44" s="226"/>
      <c r="H44" s="226"/>
      <c r="I44" s="226"/>
      <c r="J44" s="226"/>
      <c r="K44" s="226"/>
      <c r="L44" s="226"/>
      <c r="M44" s="226"/>
      <c r="N44" s="226"/>
      <c r="O44" s="226"/>
      <c r="P44" s="226"/>
      <c r="Q44" s="226"/>
      <c r="R44" s="226"/>
      <c r="S44" s="226"/>
      <c r="T44" s="226"/>
      <c r="U44" s="226" t="s">
        <v>444</v>
      </c>
      <c r="V44" s="226"/>
      <c r="W44" s="226"/>
      <c r="X44" s="723"/>
      <c r="Y44" s="226"/>
      <c r="Z44" s="226"/>
      <c r="AA44" s="226"/>
      <c r="AB44" s="226"/>
      <c r="AC44" s="228"/>
      <c r="AD44" s="226">
        <v>43</v>
      </c>
      <c r="AE44" s="226">
        <f t="shared" si="0"/>
        <v>15</v>
      </c>
      <c r="AF44" s="226"/>
      <c r="AG44" s="226"/>
      <c r="AH44" s="226"/>
      <c r="AI44" s="226"/>
      <c r="AJ44" s="226"/>
      <c r="AK44" s="226"/>
      <c r="AL44" s="226"/>
      <c r="AM44" s="226"/>
      <c r="AN44" s="226"/>
      <c r="AO44" s="226"/>
    </row>
    <row r="45" spans="1:41" ht="16">
      <c r="A45" s="226"/>
      <c r="B45" s="226"/>
      <c r="C45" s="2" t="s">
        <v>445</v>
      </c>
      <c r="D45" s="226"/>
      <c r="E45" s="226"/>
      <c r="F45" s="226"/>
      <c r="G45" s="226"/>
      <c r="H45" s="226"/>
      <c r="I45" s="226"/>
      <c r="J45" s="226"/>
      <c r="K45" s="226"/>
      <c r="L45" s="226"/>
      <c r="M45" s="226"/>
      <c r="N45" s="226"/>
      <c r="O45" s="226"/>
      <c r="P45" s="226"/>
      <c r="Q45" s="226"/>
      <c r="R45" s="226"/>
      <c r="S45" s="226"/>
      <c r="T45" s="226"/>
      <c r="U45" s="226" t="s">
        <v>446</v>
      </c>
      <c r="V45" s="226"/>
      <c r="W45" s="226"/>
      <c r="X45" s="723"/>
      <c r="Y45" s="226"/>
      <c r="Z45" s="226"/>
      <c r="AA45" s="226"/>
      <c r="AB45" s="226"/>
      <c r="AC45" s="228"/>
      <c r="AD45" s="226">
        <v>44</v>
      </c>
      <c r="AE45" s="226">
        <f t="shared" si="0"/>
        <v>15</v>
      </c>
      <c r="AF45" s="226"/>
      <c r="AG45" s="226"/>
      <c r="AH45" s="226"/>
      <c r="AI45" s="226"/>
      <c r="AJ45" s="226"/>
      <c r="AK45" s="226"/>
      <c r="AL45" s="226"/>
      <c r="AM45" s="226"/>
      <c r="AN45" s="226"/>
      <c r="AO45" s="226"/>
    </row>
    <row r="46" spans="1:41" ht="16">
      <c r="A46" s="226"/>
      <c r="B46" s="226"/>
      <c r="C46" s="2" t="s">
        <v>390</v>
      </c>
      <c r="D46" s="226"/>
      <c r="E46" s="226"/>
      <c r="F46" s="226"/>
      <c r="G46" s="226"/>
      <c r="H46" s="226"/>
      <c r="I46" s="226"/>
      <c r="J46" s="226"/>
      <c r="K46" s="226"/>
      <c r="L46" s="226"/>
      <c r="M46" s="226"/>
      <c r="N46" s="226"/>
      <c r="O46" s="226"/>
      <c r="P46" s="226"/>
      <c r="Q46" s="226"/>
      <c r="R46" s="226"/>
      <c r="S46" s="226"/>
      <c r="T46" s="226"/>
      <c r="U46" s="226" t="s">
        <v>447</v>
      </c>
      <c r="V46" s="226"/>
      <c r="W46" s="226"/>
      <c r="X46" s="723"/>
      <c r="Y46" s="226"/>
      <c r="Z46" s="226"/>
      <c r="AA46" s="226"/>
      <c r="AB46" s="226"/>
      <c r="AC46" s="228"/>
      <c r="AD46" s="226">
        <v>45</v>
      </c>
      <c r="AE46" s="226">
        <f t="shared" si="0"/>
        <v>15</v>
      </c>
      <c r="AF46" s="226"/>
      <c r="AG46" s="226"/>
      <c r="AH46" s="226"/>
      <c r="AI46" s="226"/>
      <c r="AJ46" s="226"/>
      <c r="AK46" s="226"/>
      <c r="AL46" s="226"/>
      <c r="AM46" s="226"/>
      <c r="AN46" s="226"/>
      <c r="AO46" s="226"/>
    </row>
    <row r="47" spans="1:41" ht="16">
      <c r="A47" s="226"/>
      <c r="B47" s="226"/>
      <c r="C47" s="2" t="s">
        <v>393</v>
      </c>
      <c r="D47" s="226"/>
      <c r="E47" s="226"/>
      <c r="F47" s="226"/>
      <c r="G47" s="226"/>
      <c r="H47" s="226"/>
      <c r="I47" s="226"/>
      <c r="J47" s="226"/>
      <c r="K47" s="226"/>
      <c r="L47" s="226"/>
      <c r="M47" s="226"/>
      <c r="N47" s="226"/>
      <c r="O47" s="226"/>
      <c r="P47" s="226"/>
      <c r="Q47" s="226"/>
      <c r="R47" s="226"/>
      <c r="S47" s="226"/>
      <c r="T47" s="226"/>
      <c r="U47" s="226" t="s">
        <v>448</v>
      </c>
      <c r="V47" s="226"/>
      <c r="W47" s="226"/>
      <c r="X47" s="723"/>
      <c r="Y47" s="226"/>
      <c r="Z47" s="226"/>
      <c r="AA47" s="226"/>
      <c r="AB47" s="226"/>
      <c r="AC47" s="228"/>
      <c r="AD47" s="226">
        <v>46</v>
      </c>
      <c r="AE47" s="226">
        <f t="shared" si="0"/>
        <v>16</v>
      </c>
      <c r="AF47" s="226"/>
      <c r="AG47" s="226"/>
      <c r="AH47" s="226"/>
      <c r="AI47" s="226"/>
      <c r="AJ47" s="226"/>
      <c r="AK47" s="226"/>
      <c r="AL47" s="226"/>
      <c r="AM47" s="226"/>
      <c r="AN47" s="226"/>
      <c r="AO47" s="226"/>
    </row>
    <row r="48" spans="1:41" ht="16">
      <c r="A48" s="226"/>
      <c r="B48" s="226"/>
      <c r="C48" s="2" t="s">
        <v>449</v>
      </c>
      <c r="D48" s="226"/>
      <c r="E48" s="226"/>
      <c r="F48" s="226"/>
      <c r="G48" s="226"/>
      <c r="H48" s="226"/>
      <c r="I48" s="226"/>
      <c r="J48" s="226"/>
      <c r="K48" s="226"/>
      <c r="L48" s="226"/>
      <c r="M48" s="226"/>
      <c r="N48" s="226"/>
      <c r="O48" s="226"/>
      <c r="P48" s="226"/>
      <c r="Q48" s="226"/>
      <c r="R48" s="226"/>
      <c r="S48" s="226"/>
      <c r="T48" s="226"/>
      <c r="U48" s="226" t="s">
        <v>450</v>
      </c>
      <c r="V48" s="226"/>
      <c r="W48" s="226"/>
      <c r="X48" s="723"/>
      <c r="Y48" s="226"/>
      <c r="Z48" s="226"/>
      <c r="AA48" s="226"/>
      <c r="AB48" s="226"/>
      <c r="AC48" s="228"/>
      <c r="AD48" s="226">
        <v>47</v>
      </c>
      <c r="AE48" s="226">
        <f t="shared" si="0"/>
        <v>16</v>
      </c>
      <c r="AF48" s="226"/>
      <c r="AG48" s="226"/>
      <c r="AH48" s="226"/>
      <c r="AI48" s="226"/>
      <c r="AJ48" s="226"/>
      <c r="AK48" s="226"/>
      <c r="AL48" s="226"/>
      <c r="AM48" s="226"/>
      <c r="AN48" s="226"/>
      <c r="AO48" s="226"/>
    </row>
    <row r="49" spans="1:41" ht="16">
      <c r="A49" s="226"/>
      <c r="B49" s="226"/>
      <c r="C49" s="2" t="s">
        <v>395</v>
      </c>
      <c r="D49" s="226"/>
      <c r="E49" s="226"/>
      <c r="F49" s="226"/>
      <c r="G49" s="226"/>
      <c r="H49" s="226"/>
      <c r="I49" s="226"/>
      <c r="J49" s="226"/>
      <c r="K49" s="226"/>
      <c r="L49" s="226"/>
      <c r="M49" s="226"/>
      <c r="N49" s="226"/>
      <c r="O49" s="226"/>
      <c r="P49" s="226"/>
      <c r="Q49" s="226"/>
      <c r="R49" s="226"/>
      <c r="S49" s="226"/>
      <c r="T49" s="226"/>
      <c r="U49" s="226" t="s">
        <v>451</v>
      </c>
      <c r="V49" s="226"/>
      <c r="W49" s="226"/>
      <c r="X49" s="723"/>
      <c r="Y49" s="226"/>
      <c r="Z49" s="226"/>
      <c r="AA49" s="226"/>
      <c r="AB49" s="226"/>
      <c r="AC49" s="228"/>
      <c r="AD49" s="226">
        <v>48</v>
      </c>
      <c r="AE49" s="226">
        <f t="shared" si="0"/>
        <v>16</v>
      </c>
      <c r="AF49" s="226"/>
      <c r="AG49" s="226"/>
      <c r="AH49" s="226"/>
      <c r="AI49" s="226"/>
      <c r="AJ49" s="226"/>
      <c r="AK49" s="226"/>
      <c r="AL49" s="226"/>
      <c r="AM49" s="226"/>
      <c r="AN49" s="226"/>
      <c r="AO49" s="226"/>
    </row>
    <row r="50" spans="1:41" ht="16">
      <c r="A50" s="226"/>
      <c r="B50" s="226"/>
      <c r="C50" s="2" t="s">
        <v>452</v>
      </c>
      <c r="D50" s="226"/>
      <c r="E50" s="226"/>
      <c r="F50" s="226"/>
      <c r="G50" s="226"/>
      <c r="H50" s="226"/>
      <c r="I50" s="226"/>
      <c r="J50" s="226"/>
      <c r="K50" s="226"/>
      <c r="L50" s="226"/>
      <c r="M50" s="226"/>
      <c r="N50" s="226"/>
      <c r="O50" s="226"/>
      <c r="P50" s="226"/>
      <c r="Q50" s="226"/>
      <c r="R50" s="226"/>
      <c r="S50" s="226"/>
      <c r="T50" s="226"/>
      <c r="U50" s="226" t="s">
        <v>453</v>
      </c>
      <c r="V50" s="226"/>
      <c r="W50" s="226"/>
      <c r="X50" s="723"/>
      <c r="Y50" s="226"/>
      <c r="Z50" s="226"/>
      <c r="AA50" s="226"/>
      <c r="AB50" s="226"/>
      <c r="AC50" s="228"/>
      <c r="AD50" s="226">
        <v>49</v>
      </c>
      <c r="AE50" s="226">
        <f t="shared" si="0"/>
        <v>17</v>
      </c>
      <c r="AF50" s="226"/>
      <c r="AG50" s="226"/>
      <c r="AH50" s="226"/>
      <c r="AI50" s="226"/>
      <c r="AJ50" s="226"/>
      <c r="AK50" s="226"/>
      <c r="AL50" s="226"/>
      <c r="AM50" s="226"/>
      <c r="AN50" s="226"/>
      <c r="AO50" s="226"/>
    </row>
    <row r="51" spans="1:41" ht="16">
      <c r="A51" s="226"/>
      <c r="B51" s="226"/>
      <c r="C51" s="2" t="s">
        <v>454</v>
      </c>
      <c r="D51" s="226"/>
      <c r="E51" s="226"/>
      <c r="F51" s="226"/>
      <c r="G51" s="226"/>
      <c r="H51" s="226"/>
      <c r="I51" s="226"/>
      <c r="J51" s="226"/>
      <c r="K51" s="226"/>
      <c r="L51" s="226"/>
      <c r="M51" s="226"/>
      <c r="N51" s="226"/>
      <c r="O51" s="226"/>
      <c r="P51" s="226"/>
      <c r="Q51" s="226"/>
      <c r="R51" s="226"/>
      <c r="S51" s="226"/>
      <c r="T51" s="226"/>
      <c r="U51" s="226" t="s">
        <v>455</v>
      </c>
      <c r="V51" s="226"/>
      <c r="W51" s="226"/>
      <c r="X51" s="723"/>
      <c r="Y51" s="226"/>
      <c r="Z51" s="226"/>
      <c r="AA51" s="226"/>
      <c r="AB51" s="226"/>
      <c r="AC51" s="228"/>
      <c r="AD51" s="226">
        <v>50</v>
      </c>
      <c r="AE51" s="226">
        <f t="shared" si="0"/>
        <v>17</v>
      </c>
      <c r="AF51" s="226"/>
      <c r="AG51" s="226"/>
      <c r="AH51" s="226"/>
      <c r="AI51" s="226"/>
      <c r="AJ51" s="226"/>
      <c r="AK51" s="226"/>
      <c r="AL51" s="226"/>
      <c r="AM51" s="226"/>
      <c r="AN51" s="226"/>
      <c r="AO51" s="226"/>
    </row>
    <row r="52" spans="1:41" ht="16">
      <c r="A52" s="226"/>
      <c r="B52" s="226"/>
      <c r="C52" s="2" t="s">
        <v>456</v>
      </c>
      <c r="D52" s="226"/>
      <c r="E52" s="226"/>
      <c r="F52" s="226"/>
      <c r="G52" s="226"/>
      <c r="H52" s="226"/>
      <c r="I52" s="226"/>
      <c r="J52" s="226"/>
      <c r="K52" s="226"/>
      <c r="L52" s="226"/>
      <c r="M52" s="226"/>
      <c r="N52" s="226"/>
      <c r="O52" s="226"/>
      <c r="P52" s="226"/>
      <c r="Q52" s="226"/>
      <c r="R52" s="226"/>
      <c r="S52" s="226"/>
      <c r="T52" s="226"/>
      <c r="U52" s="226" t="s">
        <v>457</v>
      </c>
      <c r="V52" s="226"/>
      <c r="W52" s="226"/>
      <c r="X52" s="723"/>
      <c r="Y52" s="226"/>
      <c r="Z52" s="226"/>
      <c r="AA52" s="226"/>
      <c r="AB52" s="226"/>
      <c r="AC52" s="228"/>
      <c r="AD52" s="226">
        <v>51</v>
      </c>
      <c r="AE52" s="226">
        <f t="shared" si="0"/>
        <v>17</v>
      </c>
      <c r="AF52" s="226"/>
      <c r="AG52" s="226"/>
      <c r="AH52" s="226"/>
      <c r="AI52" s="226"/>
      <c r="AJ52" s="226"/>
      <c r="AK52" s="226"/>
      <c r="AL52" s="226"/>
      <c r="AM52" s="226"/>
      <c r="AN52" s="226"/>
      <c r="AO52" s="226"/>
    </row>
    <row r="53" spans="1:41" ht="16">
      <c r="A53" s="226"/>
      <c r="B53" s="226"/>
      <c r="C53" s="2" t="s">
        <v>398</v>
      </c>
      <c r="D53" s="226"/>
      <c r="E53" s="226"/>
      <c r="F53" s="226"/>
      <c r="G53" s="226"/>
      <c r="H53" s="226"/>
      <c r="I53" s="226"/>
      <c r="J53" s="226"/>
      <c r="K53" s="226"/>
      <c r="L53" s="226"/>
      <c r="M53" s="226"/>
      <c r="N53" s="226"/>
      <c r="O53" s="226"/>
      <c r="P53" s="226"/>
      <c r="Q53" s="226"/>
      <c r="R53" s="226"/>
      <c r="S53" s="226"/>
      <c r="T53" s="226"/>
      <c r="U53" s="226" t="s">
        <v>458</v>
      </c>
      <c r="V53" s="226"/>
      <c r="W53" s="226"/>
      <c r="X53" s="723"/>
      <c r="Y53" s="226"/>
      <c r="Z53" s="226"/>
      <c r="AA53" s="226"/>
      <c r="AB53" s="226"/>
      <c r="AC53" s="228"/>
      <c r="AD53" s="226">
        <v>52</v>
      </c>
      <c r="AE53" s="226">
        <f t="shared" si="0"/>
        <v>18</v>
      </c>
      <c r="AF53" s="226"/>
      <c r="AG53" s="226"/>
      <c r="AH53" s="226"/>
      <c r="AI53" s="226"/>
      <c r="AJ53" s="226"/>
      <c r="AK53" s="226"/>
      <c r="AL53" s="226"/>
      <c r="AM53" s="226"/>
      <c r="AN53" s="226"/>
      <c r="AO53" s="226"/>
    </row>
    <row r="54" spans="1:41" ht="16">
      <c r="A54" s="226"/>
      <c r="B54" s="226"/>
      <c r="C54" s="2" t="s">
        <v>459</v>
      </c>
      <c r="D54" s="226"/>
      <c r="E54" s="226"/>
      <c r="F54" s="226"/>
      <c r="G54" s="226"/>
      <c r="H54" s="226"/>
      <c r="I54" s="226"/>
      <c r="J54" s="226"/>
      <c r="K54" s="226"/>
      <c r="L54" s="226"/>
      <c r="M54" s="226"/>
      <c r="N54" s="226"/>
      <c r="O54" s="226"/>
      <c r="P54" s="226"/>
      <c r="Q54" s="226"/>
      <c r="R54" s="226"/>
      <c r="S54" s="226"/>
      <c r="T54" s="226"/>
      <c r="U54" s="226"/>
      <c r="V54" s="226"/>
      <c r="W54" s="226"/>
      <c r="X54" s="723"/>
      <c r="Y54" s="226"/>
      <c r="Z54" s="226"/>
      <c r="AA54" s="226"/>
      <c r="AB54" s="226"/>
      <c r="AC54" s="228"/>
      <c r="AD54" s="226">
        <v>53</v>
      </c>
      <c r="AE54" s="226">
        <f t="shared" si="0"/>
        <v>18</v>
      </c>
      <c r="AF54" s="226"/>
      <c r="AG54" s="226"/>
      <c r="AH54" s="226"/>
      <c r="AI54" s="226"/>
      <c r="AJ54" s="226"/>
      <c r="AK54" s="226"/>
      <c r="AL54" s="226"/>
      <c r="AM54" s="226"/>
      <c r="AN54" s="226"/>
      <c r="AO54" s="226"/>
    </row>
    <row r="55" spans="1:41" ht="16">
      <c r="A55" s="226"/>
      <c r="B55" s="226"/>
      <c r="C55" s="2" t="s">
        <v>400</v>
      </c>
      <c r="D55" s="226"/>
      <c r="E55" s="226"/>
      <c r="F55" s="226"/>
      <c r="G55" s="226"/>
      <c r="H55" s="226"/>
      <c r="I55" s="226"/>
      <c r="J55" s="226"/>
      <c r="K55" s="226"/>
      <c r="L55" s="226"/>
      <c r="M55" s="226"/>
      <c r="N55" s="226"/>
      <c r="O55" s="226"/>
      <c r="P55" s="226"/>
      <c r="Q55" s="226"/>
      <c r="R55" s="226"/>
      <c r="S55" s="226"/>
      <c r="T55" s="226"/>
      <c r="U55" s="226"/>
      <c r="V55" s="226"/>
      <c r="W55" s="226"/>
      <c r="X55" s="723"/>
      <c r="Y55" s="226"/>
      <c r="Z55" s="226"/>
      <c r="AA55" s="226"/>
      <c r="AB55" s="226"/>
      <c r="AC55" s="228"/>
      <c r="AD55" s="226">
        <v>54</v>
      </c>
      <c r="AE55" s="226">
        <f t="shared" si="0"/>
        <v>18</v>
      </c>
      <c r="AF55" s="226"/>
      <c r="AG55" s="226"/>
      <c r="AH55" s="226"/>
      <c r="AI55" s="226"/>
      <c r="AJ55" s="226"/>
      <c r="AK55" s="226"/>
      <c r="AL55" s="226"/>
      <c r="AM55" s="226"/>
      <c r="AN55" s="226"/>
      <c r="AO55" s="226"/>
    </row>
    <row r="56" spans="1:41" ht="16">
      <c r="A56" s="226"/>
      <c r="B56" s="226"/>
      <c r="C56" s="2" t="s">
        <v>460</v>
      </c>
      <c r="D56" s="226"/>
      <c r="E56" s="226"/>
      <c r="F56" s="226"/>
      <c r="G56" s="226"/>
      <c r="H56" s="226"/>
      <c r="I56" s="226"/>
      <c r="J56" s="226"/>
      <c r="K56" s="226"/>
      <c r="L56" s="226"/>
      <c r="M56" s="226"/>
      <c r="N56" s="226"/>
      <c r="O56" s="226"/>
      <c r="P56" s="226"/>
      <c r="Q56" s="226"/>
      <c r="R56" s="226"/>
      <c r="S56" s="226"/>
      <c r="T56" s="226"/>
      <c r="U56" s="226"/>
      <c r="V56" s="226"/>
      <c r="W56" s="226"/>
      <c r="X56" s="723"/>
      <c r="Y56" s="226"/>
      <c r="Z56" s="226"/>
      <c r="AA56" s="226"/>
      <c r="AB56" s="226"/>
      <c r="AC56" s="228"/>
      <c r="AD56" s="226">
        <v>55</v>
      </c>
      <c r="AE56" s="226">
        <f t="shared" si="0"/>
        <v>19</v>
      </c>
      <c r="AF56" s="226"/>
      <c r="AG56" s="226"/>
      <c r="AH56" s="226"/>
      <c r="AI56" s="226"/>
      <c r="AJ56" s="226"/>
      <c r="AK56" s="226"/>
      <c r="AL56" s="226"/>
      <c r="AM56" s="226"/>
      <c r="AN56" s="226"/>
      <c r="AO56" s="226"/>
    </row>
    <row r="57" spans="1:41" ht="16">
      <c r="A57" s="226"/>
      <c r="B57" s="226"/>
      <c r="C57" s="2" t="s">
        <v>406</v>
      </c>
      <c r="D57" s="226"/>
      <c r="E57" s="226"/>
      <c r="F57" s="226"/>
      <c r="G57" s="226"/>
      <c r="H57" s="226"/>
      <c r="I57" s="226"/>
      <c r="J57" s="226"/>
      <c r="K57" s="226"/>
      <c r="L57" s="226"/>
      <c r="M57" s="226"/>
      <c r="N57" s="226"/>
      <c r="O57" s="226"/>
      <c r="P57" s="226"/>
      <c r="Q57" s="226"/>
      <c r="R57" s="226"/>
      <c r="S57" s="226"/>
      <c r="T57" s="226"/>
      <c r="U57" s="226"/>
      <c r="V57" s="226"/>
      <c r="W57" s="226"/>
      <c r="X57" s="723"/>
      <c r="Y57" s="226"/>
      <c r="Z57" s="226"/>
      <c r="AA57" s="226"/>
      <c r="AB57" s="226"/>
      <c r="AC57" s="228"/>
      <c r="AD57" s="226">
        <v>56</v>
      </c>
      <c r="AE57" s="226">
        <f t="shared" si="0"/>
        <v>19</v>
      </c>
      <c r="AF57" s="226"/>
      <c r="AG57" s="226"/>
      <c r="AH57" s="226"/>
      <c r="AI57" s="226"/>
      <c r="AJ57" s="226"/>
      <c r="AK57" s="226"/>
      <c r="AL57" s="226"/>
      <c r="AM57" s="226"/>
      <c r="AN57" s="226"/>
      <c r="AO57" s="226"/>
    </row>
    <row r="58" spans="1:41" ht="16">
      <c r="A58" s="226"/>
      <c r="B58" s="226"/>
      <c r="C58" s="2" t="s">
        <v>461</v>
      </c>
      <c r="D58" s="226"/>
      <c r="E58" s="226"/>
      <c r="F58" s="226"/>
      <c r="G58" s="226"/>
      <c r="H58" s="226"/>
      <c r="I58" s="226"/>
      <c r="J58" s="226"/>
      <c r="K58" s="226"/>
      <c r="L58" s="226"/>
      <c r="M58" s="226"/>
      <c r="N58" s="226"/>
      <c r="O58" s="226"/>
      <c r="P58" s="226"/>
      <c r="Q58" s="226"/>
      <c r="R58" s="226"/>
      <c r="S58" s="226"/>
      <c r="T58" s="226"/>
      <c r="U58" s="226"/>
      <c r="V58" s="226"/>
      <c r="W58" s="226"/>
      <c r="X58" s="723"/>
      <c r="Y58" s="226"/>
      <c r="Z58" s="226"/>
      <c r="AA58" s="226"/>
      <c r="AB58" s="226"/>
      <c r="AC58" s="228"/>
      <c r="AD58" s="226">
        <v>57</v>
      </c>
      <c r="AE58" s="226">
        <f t="shared" si="0"/>
        <v>19</v>
      </c>
      <c r="AF58" s="226"/>
      <c r="AG58" s="226"/>
      <c r="AH58" s="226"/>
      <c r="AI58" s="226"/>
      <c r="AJ58" s="226"/>
      <c r="AK58" s="226"/>
      <c r="AL58" s="226"/>
      <c r="AM58" s="226"/>
      <c r="AN58" s="226"/>
      <c r="AO58" s="226"/>
    </row>
    <row r="59" spans="1:41" ht="16">
      <c r="A59" s="226"/>
      <c r="B59" s="226"/>
      <c r="C59" s="2" t="s">
        <v>462</v>
      </c>
      <c r="D59" s="226"/>
      <c r="E59" s="226"/>
      <c r="F59" s="226"/>
      <c r="G59" s="226"/>
      <c r="H59" s="226"/>
      <c r="I59" s="226"/>
      <c r="J59" s="226"/>
      <c r="K59" s="226"/>
      <c r="L59" s="226"/>
      <c r="M59" s="226"/>
      <c r="N59" s="226"/>
      <c r="O59" s="226"/>
      <c r="P59" s="226"/>
      <c r="Q59" s="226"/>
      <c r="R59" s="226"/>
      <c r="S59" s="226"/>
      <c r="T59" s="226"/>
      <c r="U59" s="226"/>
      <c r="V59" s="226"/>
      <c r="W59" s="226"/>
      <c r="X59" s="723"/>
      <c r="Y59" s="226"/>
      <c r="Z59" s="226"/>
      <c r="AA59" s="226"/>
      <c r="AB59" s="226"/>
      <c r="AC59" s="228"/>
      <c r="AD59" s="226">
        <v>58</v>
      </c>
      <c r="AE59" s="226">
        <f t="shared" si="0"/>
        <v>20</v>
      </c>
      <c r="AF59" s="226"/>
      <c r="AG59" s="226"/>
      <c r="AH59" s="226"/>
      <c r="AI59" s="226"/>
      <c r="AJ59" s="226"/>
      <c r="AK59" s="226"/>
      <c r="AL59" s="226"/>
      <c r="AM59" s="226"/>
      <c r="AN59" s="226"/>
      <c r="AO59" s="226"/>
    </row>
    <row r="60" spans="1:41" ht="16">
      <c r="A60" s="226"/>
      <c r="B60" s="226"/>
      <c r="C60" s="2" t="s">
        <v>463</v>
      </c>
      <c r="D60" s="226"/>
      <c r="E60" s="226"/>
      <c r="F60" s="226"/>
      <c r="G60" s="226"/>
      <c r="H60" s="226"/>
      <c r="I60" s="226"/>
      <c r="J60" s="226"/>
      <c r="K60" s="226"/>
      <c r="L60" s="226"/>
      <c r="M60" s="226"/>
      <c r="N60" s="226"/>
      <c r="O60" s="226"/>
      <c r="P60" s="226"/>
      <c r="Q60" s="226"/>
      <c r="R60" s="226"/>
      <c r="S60" s="226"/>
      <c r="T60" s="226"/>
      <c r="U60" s="226"/>
      <c r="V60" s="226"/>
      <c r="W60" s="226"/>
      <c r="X60" s="723"/>
      <c r="Y60" s="226"/>
      <c r="Z60" s="226"/>
      <c r="AA60" s="226"/>
      <c r="AB60" s="226"/>
      <c r="AC60" s="228"/>
      <c r="AD60" s="226">
        <v>59</v>
      </c>
      <c r="AE60" s="226">
        <f t="shared" si="0"/>
        <v>20</v>
      </c>
      <c r="AF60" s="226"/>
      <c r="AG60" s="226"/>
      <c r="AH60" s="226"/>
      <c r="AI60" s="226"/>
      <c r="AJ60" s="226"/>
      <c r="AK60" s="226"/>
      <c r="AL60" s="226"/>
      <c r="AM60" s="226"/>
      <c r="AN60" s="226"/>
      <c r="AO60" s="226"/>
    </row>
    <row r="61" spans="1:41" ht="16">
      <c r="A61" s="226"/>
      <c r="B61" s="226"/>
      <c r="C61" s="2" t="s">
        <v>403</v>
      </c>
      <c r="D61" s="226"/>
      <c r="E61" s="226"/>
      <c r="F61" s="226"/>
      <c r="G61" s="226"/>
      <c r="H61" s="226"/>
      <c r="I61" s="226"/>
      <c r="J61" s="226"/>
      <c r="K61" s="226"/>
      <c r="L61" s="226"/>
      <c r="M61" s="226"/>
      <c r="N61" s="226"/>
      <c r="O61" s="226"/>
      <c r="P61" s="226"/>
      <c r="Q61" s="226"/>
      <c r="R61" s="226"/>
      <c r="S61" s="226"/>
      <c r="T61" s="226"/>
      <c r="U61" s="226"/>
      <c r="V61" s="226"/>
      <c r="W61" s="226"/>
      <c r="X61" s="723"/>
      <c r="Y61" s="226"/>
      <c r="Z61" s="226"/>
      <c r="AA61" s="226"/>
      <c r="AB61" s="226"/>
      <c r="AC61" s="228"/>
      <c r="AD61" s="226">
        <v>60</v>
      </c>
      <c r="AE61" s="226">
        <f t="shared" si="0"/>
        <v>20</v>
      </c>
      <c r="AF61" s="226"/>
      <c r="AG61" s="226"/>
      <c r="AH61" s="226"/>
      <c r="AI61" s="226"/>
      <c r="AJ61" s="226"/>
      <c r="AK61" s="226"/>
      <c r="AL61" s="226"/>
      <c r="AM61" s="226"/>
      <c r="AN61" s="226"/>
      <c r="AO61" s="226"/>
    </row>
    <row r="62" spans="1:41" ht="16">
      <c r="A62" s="226"/>
      <c r="B62" s="226"/>
      <c r="C62" s="2" t="s">
        <v>464</v>
      </c>
      <c r="D62" s="226"/>
      <c r="E62" s="226"/>
      <c r="F62" s="226"/>
      <c r="G62" s="226"/>
      <c r="H62" s="226"/>
      <c r="I62" s="226"/>
      <c r="J62" s="226"/>
      <c r="K62" s="226"/>
      <c r="L62" s="226"/>
      <c r="M62" s="226"/>
      <c r="N62" s="226"/>
      <c r="O62" s="226"/>
      <c r="P62" s="226"/>
      <c r="Q62" s="226"/>
      <c r="R62" s="226"/>
      <c r="S62" s="226"/>
      <c r="T62" s="226"/>
      <c r="U62" s="226"/>
      <c r="V62" s="226"/>
      <c r="W62" s="226"/>
      <c r="X62" s="723"/>
      <c r="Y62" s="226"/>
      <c r="Z62" s="226"/>
      <c r="AA62" s="226"/>
      <c r="AB62" s="226"/>
      <c r="AC62" s="228"/>
      <c r="AD62" s="226">
        <v>61</v>
      </c>
      <c r="AE62" s="226">
        <f t="shared" si="0"/>
        <v>21</v>
      </c>
      <c r="AF62" s="226"/>
      <c r="AG62" s="226"/>
      <c r="AH62" s="226"/>
      <c r="AI62" s="226"/>
      <c r="AJ62" s="226"/>
      <c r="AK62" s="226"/>
      <c r="AL62" s="226"/>
      <c r="AM62" s="226"/>
      <c r="AN62" s="226"/>
      <c r="AO62" s="226"/>
    </row>
    <row r="63" spans="1:41" ht="16">
      <c r="A63" s="226"/>
      <c r="B63" s="226"/>
      <c r="C63" s="2" t="s">
        <v>465</v>
      </c>
      <c r="D63" s="226"/>
      <c r="E63" s="226"/>
      <c r="F63" s="226"/>
      <c r="G63" s="226"/>
      <c r="H63" s="226"/>
      <c r="I63" s="226"/>
      <c r="J63" s="226"/>
      <c r="K63" s="226"/>
      <c r="L63" s="226"/>
      <c r="M63" s="226"/>
      <c r="N63" s="226"/>
      <c r="O63" s="226"/>
      <c r="P63" s="226"/>
      <c r="Q63" s="226"/>
      <c r="R63" s="226"/>
      <c r="S63" s="226"/>
      <c r="T63" s="226"/>
      <c r="U63" s="226"/>
      <c r="V63" s="226"/>
      <c r="W63" s="226"/>
      <c r="X63" s="723"/>
      <c r="Y63" s="226"/>
      <c r="Z63" s="226"/>
      <c r="AA63" s="226"/>
      <c r="AB63" s="226"/>
      <c r="AC63" s="228"/>
      <c r="AD63" s="226">
        <v>62</v>
      </c>
      <c r="AE63" s="226">
        <f t="shared" si="0"/>
        <v>21</v>
      </c>
      <c r="AF63" s="226"/>
      <c r="AG63" s="226"/>
      <c r="AH63" s="226"/>
      <c r="AI63" s="226"/>
      <c r="AJ63" s="226"/>
      <c r="AK63" s="226"/>
      <c r="AL63" s="226"/>
      <c r="AM63" s="226"/>
      <c r="AN63" s="226"/>
      <c r="AO63" s="226"/>
    </row>
    <row r="64" spans="1:41" ht="16">
      <c r="A64" s="226"/>
      <c r="B64" s="226"/>
      <c r="C64" s="2" t="s">
        <v>466</v>
      </c>
      <c r="D64" s="226"/>
      <c r="E64" s="226"/>
      <c r="F64" s="226"/>
      <c r="G64" s="226"/>
      <c r="H64" s="226"/>
      <c r="I64" s="226"/>
      <c r="J64" s="226"/>
      <c r="K64" s="226"/>
      <c r="L64" s="226"/>
      <c r="M64" s="226"/>
      <c r="N64" s="226"/>
      <c r="O64" s="226"/>
      <c r="P64" s="226"/>
      <c r="Q64" s="226"/>
      <c r="R64" s="226"/>
      <c r="S64" s="226"/>
      <c r="T64" s="226"/>
      <c r="U64" s="226"/>
      <c r="V64" s="226"/>
      <c r="W64" s="226"/>
      <c r="X64" s="723"/>
      <c r="Y64" s="226"/>
      <c r="Z64" s="226"/>
      <c r="AA64" s="226"/>
      <c r="AB64" s="226"/>
      <c r="AC64" s="228"/>
      <c r="AD64" s="226">
        <v>63</v>
      </c>
      <c r="AE64" s="226">
        <f t="shared" si="0"/>
        <v>21</v>
      </c>
      <c r="AF64" s="226"/>
      <c r="AG64" s="226"/>
      <c r="AH64" s="226"/>
      <c r="AI64" s="226"/>
      <c r="AJ64" s="226"/>
      <c r="AK64" s="226"/>
      <c r="AL64" s="226"/>
      <c r="AM64" s="226"/>
      <c r="AN64" s="226"/>
      <c r="AO64" s="226"/>
    </row>
    <row r="65" spans="1:41" ht="16">
      <c r="A65" s="226"/>
      <c r="B65" s="226"/>
      <c r="C65" s="2" t="s">
        <v>467</v>
      </c>
      <c r="D65" s="226"/>
      <c r="E65" s="226"/>
      <c r="F65" s="226"/>
      <c r="G65" s="226"/>
      <c r="H65" s="226"/>
      <c r="I65" s="226"/>
      <c r="J65" s="226"/>
      <c r="K65" s="226"/>
      <c r="L65" s="226"/>
      <c r="M65" s="226"/>
      <c r="N65" s="226"/>
      <c r="O65" s="226"/>
      <c r="P65" s="226"/>
      <c r="Q65" s="226"/>
      <c r="R65" s="226"/>
      <c r="S65" s="226"/>
      <c r="T65" s="226"/>
      <c r="U65" s="226"/>
      <c r="V65" s="226"/>
      <c r="W65" s="226"/>
      <c r="X65" s="723"/>
      <c r="Y65" s="226"/>
      <c r="Z65" s="226"/>
      <c r="AA65" s="226"/>
      <c r="AB65" s="226"/>
      <c r="AC65" s="228"/>
      <c r="AD65" s="226">
        <v>64</v>
      </c>
      <c r="AE65" s="226">
        <f t="shared" si="0"/>
        <v>22</v>
      </c>
      <c r="AF65" s="226"/>
      <c r="AG65" s="226"/>
      <c r="AH65" s="226"/>
      <c r="AI65" s="226"/>
      <c r="AJ65" s="226"/>
      <c r="AK65" s="226"/>
      <c r="AL65" s="226"/>
      <c r="AM65" s="226"/>
      <c r="AN65" s="226"/>
      <c r="AO65" s="226"/>
    </row>
    <row r="66" spans="1:41" ht="16">
      <c r="A66" s="226"/>
      <c r="B66" s="226"/>
      <c r="C66" s="2" t="s">
        <v>468</v>
      </c>
      <c r="D66" s="226"/>
      <c r="E66" s="226"/>
      <c r="F66" s="226"/>
      <c r="G66" s="226"/>
      <c r="H66" s="226"/>
      <c r="I66" s="226"/>
      <c r="J66" s="226"/>
      <c r="K66" s="226"/>
      <c r="L66" s="226"/>
      <c r="M66" s="226"/>
      <c r="N66" s="226"/>
      <c r="O66" s="226"/>
      <c r="P66" s="226"/>
      <c r="Q66" s="226"/>
      <c r="R66" s="226"/>
      <c r="S66" s="226"/>
      <c r="T66" s="226"/>
      <c r="U66" s="226"/>
      <c r="V66" s="226"/>
      <c r="W66" s="226"/>
      <c r="X66" s="723"/>
      <c r="Y66" s="226"/>
      <c r="Z66" s="226"/>
      <c r="AA66" s="226"/>
      <c r="AB66" s="226"/>
      <c r="AC66" s="228"/>
      <c r="AD66" s="226">
        <v>65</v>
      </c>
      <c r="AE66" s="226">
        <f t="shared" si="0"/>
        <v>22</v>
      </c>
      <c r="AF66" s="226"/>
      <c r="AG66" s="226"/>
      <c r="AH66" s="226"/>
      <c r="AI66" s="226"/>
      <c r="AJ66" s="226"/>
      <c r="AK66" s="226"/>
      <c r="AL66" s="226"/>
      <c r="AM66" s="226"/>
      <c r="AN66" s="226"/>
      <c r="AO66" s="226"/>
    </row>
    <row r="67" spans="1:41" ht="16">
      <c r="A67" s="226"/>
      <c r="B67" s="226"/>
      <c r="C67" s="2" t="s">
        <v>469</v>
      </c>
      <c r="D67" s="226"/>
      <c r="E67" s="226"/>
      <c r="F67" s="226"/>
      <c r="G67" s="226"/>
      <c r="H67" s="226"/>
      <c r="I67" s="226"/>
      <c r="J67" s="226"/>
      <c r="K67" s="226"/>
      <c r="L67" s="226"/>
      <c r="M67" s="226"/>
      <c r="N67" s="226"/>
      <c r="O67" s="226"/>
      <c r="P67" s="226"/>
      <c r="Q67" s="226"/>
      <c r="R67" s="226"/>
      <c r="S67" s="226"/>
      <c r="T67" s="226"/>
      <c r="U67" s="226"/>
      <c r="V67" s="226"/>
      <c r="W67" s="226"/>
      <c r="X67" s="723"/>
      <c r="Y67" s="226"/>
      <c r="Z67" s="226"/>
      <c r="AA67" s="226"/>
      <c r="AB67" s="226"/>
      <c r="AC67" s="228"/>
      <c r="AD67" s="226">
        <v>66</v>
      </c>
      <c r="AE67" s="226">
        <f t="shared" ref="AE67:AE100" si="1">ROUNDUP(AD67/3,0)</f>
        <v>22</v>
      </c>
      <c r="AF67" s="226"/>
      <c r="AG67" s="226"/>
      <c r="AH67" s="226"/>
      <c r="AI67" s="226"/>
      <c r="AJ67" s="226"/>
      <c r="AK67" s="226"/>
      <c r="AL67" s="226"/>
      <c r="AM67" s="226"/>
      <c r="AN67" s="226"/>
      <c r="AO67" s="226"/>
    </row>
    <row r="68" spans="1:41" ht="16">
      <c r="A68" s="226"/>
      <c r="B68" s="226"/>
      <c r="C68" s="2" t="s">
        <v>408</v>
      </c>
      <c r="D68" s="226"/>
      <c r="E68" s="226"/>
      <c r="F68" s="226"/>
      <c r="G68" s="226"/>
      <c r="H68" s="226"/>
      <c r="I68" s="226"/>
      <c r="J68" s="226"/>
      <c r="K68" s="226"/>
      <c r="L68" s="226"/>
      <c r="M68" s="226"/>
      <c r="N68" s="226"/>
      <c r="O68" s="226"/>
      <c r="P68" s="226"/>
      <c r="Q68" s="226"/>
      <c r="R68" s="226"/>
      <c r="S68" s="226"/>
      <c r="T68" s="226"/>
      <c r="U68" s="226"/>
      <c r="V68" s="226"/>
      <c r="W68" s="226"/>
      <c r="X68" s="723"/>
      <c r="Y68" s="226"/>
      <c r="Z68" s="226"/>
      <c r="AA68" s="226"/>
      <c r="AB68" s="226"/>
      <c r="AC68" s="228"/>
      <c r="AD68" s="226">
        <v>67</v>
      </c>
      <c r="AE68" s="226">
        <f t="shared" si="1"/>
        <v>23</v>
      </c>
      <c r="AF68" s="226"/>
      <c r="AG68" s="226"/>
      <c r="AH68" s="226"/>
      <c r="AI68" s="226"/>
      <c r="AJ68" s="226"/>
      <c r="AK68" s="226"/>
      <c r="AL68" s="226"/>
      <c r="AM68" s="226"/>
      <c r="AN68" s="226"/>
      <c r="AO68" s="226"/>
    </row>
    <row r="69" spans="1:41" ht="16">
      <c r="A69" s="226"/>
      <c r="B69" s="226"/>
      <c r="C69" s="2" t="s">
        <v>411</v>
      </c>
      <c r="D69" s="226"/>
      <c r="E69" s="226"/>
      <c r="F69" s="226"/>
      <c r="G69" s="226"/>
      <c r="H69" s="226"/>
      <c r="I69" s="226"/>
      <c r="J69" s="226"/>
      <c r="K69" s="226"/>
      <c r="L69" s="226"/>
      <c r="M69" s="226"/>
      <c r="N69" s="226"/>
      <c r="O69" s="226"/>
      <c r="P69" s="226"/>
      <c r="Q69" s="226"/>
      <c r="R69" s="226"/>
      <c r="S69" s="226"/>
      <c r="T69" s="226"/>
      <c r="U69" s="226"/>
      <c r="V69" s="226"/>
      <c r="W69" s="226"/>
      <c r="X69" s="723"/>
      <c r="Y69" s="226"/>
      <c r="Z69" s="226"/>
      <c r="AA69" s="226"/>
      <c r="AB69" s="226"/>
      <c r="AC69" s="228"/>
      <c r="AD69" s="226">
        <v>68</v>
      </c>
      <c r="AE69" s="226">
        <f t="shared" si="1"/>
        <v>23</v>
      </c>
      <c r="AF69" s="226"/>
      <c r="AG69" s="226"/>
      <c r="AH69" s="226"/>
      <c r="AI69" s="226"/>
      <c r="AJ69" s="226"/>
      <c r="AK69" s="226"/>
      <c r="AL69" s="226"/>
      <c r="AM69" s="226"/>
      <c r="AN69" s="226"/>
      <c r="AO69" s="226"/>
    </row>
    <row r="70" spans="1:41" ht="16">
      <c r="A70" s="226"/>
      <c r="B70" s="226"/>
      <c r="C70" s="2" t="s">
        <v>470</v>
      </c>
      <c r="D70" s="226"/>
      <c r="E70" s="226"/>
      <c r="F70" s="226"/>
      <c r="G70" s="226"/>
      <c r="H70" s="226"/>
      <c r="I70" s="226"/>
      <c r="J70" s="226"/>
      <c r="K70" s="226"/>
      <c r="L70" s="226"/>
      <c r="M70" s="226"/>
      <c r="N70" s="226"/>
      <c r="O70" s="226"/>
      <c r="P70" s="226"/>
      <c r="Q70" s="226"/>
      <c r="R70" s="226"/>
      <c r="S70" s="226"/>
      <c r="T70" s="226"/>
      <c r="U70" s="226"/>
      <c r="V70" s="226"/>
      <c r="W70" s="226"/>
      <c r="X70" s="723"/>
      <c r="Y70" s="226"/>
      <c r="Z70" s="226"/>
      <c r="AA70" s="226"/>
      <c r="AB70" s="226"/>
      <c r="AC70" s="228"/>
      <c r="AD70" s="226">
        <v>69</v>
      </c>
      <c r="AE70" s="226">
        <f t="shared" si="1"/>
        <v>23</v>
      </c>
      <c r="AF70" s="226"/>
      <c r="AG70" s="226"/>
      <c r="AH70" s="226"/>
      <c r="AI70" s="226"/>
      <c r="AJ70" s="226"/>
      <c r="AK70" s="226"/>
      <c r="AL70" s="226"/>
      <c r="AM70" s="226"/>
      <c r="AN70" s="226"/>
      <c r="AO70" s="226"/>
    </row>
    <row r="71" spans="1:41" ht="16">
      <c r="A71" s="226"/>
      <c r="B71" s="226"/>
      <c r="C71" s="2" t="s">
        <v>471</v>
      </c>
      <c r="D71" s="226"/>
      <c r="E71" s="226"/>
      <c r="F71" s="226"/>
      <c r="G71" s="226"/>
      <c r="H71" s="226"/>
      <c r="I71" s="226"/>
      <c r="J71" s="226"/>
      <c r="K71" s="226"/>
      <c r="L71" s="226"/>
      <c r="M71" s="226"/>
      <c r="N71" s="226"/>
      <c r="O71" s="226"/>
      <c r="P71" s="226"/>
      <c r="Q71" s="226"/>
      <c r="R71" s="226"/>
      <c r="S71" s="226"/>
      <c r="T71" s="226"/>
      <c r="U71" s="226"/>
      <c r="V71" s="226"/>
      <c r="W71" s="226"/>
      <c r="X71" s="723"/>
      <c r="Y71" s="226"/>
      <c r="Z71" s="226"/>
      <c r="AA71" s="226"/>
      <c r="AB71" s="226"/>
      <c r="AC71" s="228"/>
      <c r="AD71" s="226">
        <v>70</v>
      </c>
      <c r="AE71" s="226">
        <f t="shared" si="1"/>
        <v>24</v>
      </c>
      <c r="AF71" s="226"/>
      <c r="AG71" s="226"/>
      <c r="AH71" s="226"/>
      <c r="AI71" s="226"/>
      <c r="AJ71" s="226"/>
      <c r="AK71" s="226"/>
      <c r="AL71" s="226"/>
      <c r="AM71" s="226"/>
      <c r="AN71" s="226"/>
      <c r="AO71" s="226"/>
    </row>
    <row r="72" spans="1:41" ht="16">
      <c r="A72" s="226"/>
      <c r="B72" s="226"/>
      <c r="C72" s="2" t="s">
        <v>413</v>
      </c>
      <c r="D72" s="226"/>
      <c r="E72" s="226"/>
      <c r="F72" s="226"/>
      <c r="G72" s="226"/>
      <c r="H72" s="226"/>
      <c r="I72" s="226"/>
      <c r="J72" s="226"/>
      <c r="K72" s="226"/>
      <c r="L72" s="226"/>
      <c r="M72" s="226"/>
      <c r="N72" s="226"/>
      <c r="O72" s="226"/>
      <c r="P72" s="226"/>
      <c r="Q72" s="226"/>
      <c r="R72" s="226"/>
      <c r="S72" s="226"/>
      <c r="T72" s="226"/>
      <c r="U72" s="226"/>
      <c r="V72" s="226"/>
      <c r="W72" s="226"/>
      <c r="X72" s="723"/>
      <c r="Y72" s="226"/>
      <c r="Z72" s="226"/>
      <c r="AA72" s="226"/>
      <c r="AB72" s="226"/>
      <c r="AC72" s="228"/>
      <c r="AD72" s="226">
        <v>71</v>
      </c>
      <c r="AE72" s="226">
        <f t="shared" si="1"/>
        <v>24</v>
      </c>
      <c r="AF72" s="226"/>
      <c r="AG72" s="226"/>
      <c r="AH72" s="226"/>
      <c r="AI72" s="226"/>
      <c r="AJ72" s="226"/>
      <c r="AK72" s="226"/>
      <c r="AL72" s="226"/>
      <c r="AM72" s="226"/>
      <c r="AN72" s="226"/>
      <c r="AO72" s="226"/>
    </row>
    <row r="73" spans="1:41" ht="16">
      <c r="A73" s="226"/>
      <c r="B73" s="226"/>
      <c r="C73" s="2" t="s">
        <v>472</v>
      </c>
      <c r="D73" s="226"/>
      <c r="E73" s="226"/>
      <c r="F73" s="226"/>
      <c r="G73" s="226"/>
      <c r="H73" s="226"/>
      <c r="I73" s="226"/>
      <c r="J73" s="226"/>
      <c r="K73" s="226"/>
      <c r="L73" s="226"/>
      <c r="M73" s="226"/>
      <c r="N73" s="226"/>
      <c r="O73" s="226"/>
      <c r="P73" s="226"/>
      <c r="Q73" s="226"/>
      <c r="R73" s="226"/>
      <c r="S73" s="226"/>
      <c r="T73" s="226"/>
      <c r="U73" s="226"/>
      <c r="V73" s="226"/>
      <c r="W73" s="226"/>
      <c r="X73" s="723"/>
      <c r="Y73" s="226"/>
      <c r="Z73" s="226"/>
      <c r="AA73" s="226"/>
      <c r="AB73" s="226"/>
      <c r="AC73" s="228"/>
      <c r="AD73" s="226">
        <v>72</v>
      </c>
      <c r="AE73" s="226">
        <f t="shared" si="1"/>
        <v>24</v>
      </c>
      <c r="AF73" s="226"/>
      <c r="AG73" s="226"/>
      <c r="AH73" s="226"/>
      <c r="AI73" s="226"/>
      <c r="AJ73" s="226"/>
      <c r="AK73" s="226"/>
      <c r="AL73" s="226"/>
      <c r="AM73" s="226"/>
      <c r="AN73" s="226"/>
      <c r="AO73" s="226"/>
    </row>
    <row r="74" spans="1:41" ht="16">
      <c r="A74" s="226"/>
      <c r="B74" s="226"/>
      <c r="C74" s="2"/>
      <c r="D74" s="226"/>
      <c r="E74" s="226"/>
      <c r="F74" s="226"/>
      <c r="G74" s="226"/>
      <c r="H74" s="226"/>
      <c r="I74" s="226"/>
      <c r="J74" s="226"/>
      <c r="K74" s="226"/>
      <c r="L74" s="226"/>
      <c r="M74" s="226"/>
      <c r="N74" s="226"/>
      <c r="O74" s="226"/>
      <c r="P74" s="226"/>
      <c r="Q74" s="226"/>
      <c r="R74" s="226"/>
      <c r="S74" s="226"/>
      <c r="T74" s="226"/>
      <c r="U74" s="226"/>
      <c r="V74" s="226"/>
      <c r="W74" s="226"/>
      <c r="X74" s="723"/>
      <c r="Y74" s="226"/>
      <c r="Z74" s="226"/>
      <c r="AA74" s="226"/>
      <c r="AB74" s="226"/>
      <c r="AC74" s="228"/>
      <c r="AD74" s="226">
        <v>73</v>
      </c>
      <c r="AE74" s="226">
        <f t="shared" si="1"/>
        <v>25</v>
      </c>
      <c r="AF74" s="226"/>
      <c r="AG74" s="226"/>
      <c r="AH74" s="226"/>
      <c r="AI74" s="226"/>
      <c r="AJ74" s="226"/>
      <c r="AK74" s="226"/>
      <c r="AL74" s="226"/>
      <c r="AM74" s="226"/>
      <c r="AN74" s="226"/>
      <c r="AO74" s="226"/>
    </row>
    <row r="75" spans="1:41" ht="16">
      <c r="A75" s="226"/>
      <c r="B75" s="226"/>
      <c r="C75" s="2"/>
      <c r="D75" s="226"/>
      <c r="E75" s="226"/>
      <c r="F75" s="226"/>
      <c r="G75" s="226"/>
      <c r="H75" s="226"/>
      <c r="I75" s="226"/>
      <c r="J75" s="226"/>
      <c r="K75" s="226"/>
      <c r="L75" s="226"/>
      <c r="M75" s="226"/>
      <c r="N75" s="226"/>
      <c r="O75" s="226"/>
      <c r="P75" s="226"/>
      <c r="Q75" s="226"/>
      <c r="R75" s="226"/>
      <c r="S75" s="226"/>
      <c r="T75" s="226"/>
      <c r="U75" s="226"/>
      <c r="V75" s="226"/>
      <c r="W75" s="226"/>
      <c r="X75" s="723"/>
      <c r="Y75" s="226"/>
      <c r="Z75" s="226"/>
      <c r="AA75" s="226"/>
      <c r="AB75" s="226"/>
      <c r="AC75" s="228"/>
      <c r="AD75" s="226">
        <v>74</v>
      </c>
      <c r="AE75" s="226">
        <f t="shared" si="1"/>
        <v>25</v>
      </c>
      <c r="AF75" s="226"/>
      <c r="AG75" s="226"/>
      <c r="AH75" s="226"/>
      <c r="AI75" s="226"/>
      <c r="AJ75" s="226"/>
      <c r="AK75" s="226"/>
      <c r="AL75" s="226"/>
      <c r="AM75" s="226"/>
      <c r="AN75" s="226"/>
      <c r="AO75" s="226"/>
    </row>
    <row r="76" spans="1:41" ht="16">
      <c r="A76" s="226"/>
      <c r="B76" s="226"/>
      <c r="C76" s="2"/>
      <c r="D76" s="226"/>
      <c r="E76" s="226"/>
      <c r="F76" s="226"/>
      <c r="G76" s="226"/>
      <c r="H76" s="226"/>
      <c r="I76" s="226"/>
      <c r="J76" s="226"/>
      <c r="K76" s="226"/>
      <c r="L76" s="226"/>
      <c r="M76" s="226"/>
      <c r="N76" s="226"/>
      <c r="O76" s="226"/>
      <c r="P76" s="226"/>
      <c r="Q76" s="226"/>
      <c r="R76" s="226"/>
      <c r="S76" s="226"/>
      <c r="T76" s="226"/>
      <c r="U76" s="226"/>
      <c r="V76" s="226"/>
      <c r="W76" s="226"/>
      <c r="X76" s="723"/>
      <c r="Y76" s="226"/>
      <c r="Z76" s="226"/>
      <c r="AA76" s="226"/>
      <c r="AB76" s="226"/>
      <c r="AC76" s="228"/>
      <c r="AD76" s="226">
        <v>75</v>
      </c>
      <c r="AE76" s="226">
        <f t="shared" si="1"/>
        <v>25</v>
      </c>
      <c r="AF76" s="226"/>
      <c r="AG76" s="226"/>
      <c r="AH76" s="226"/>
      <c r="AI76" s="226"/>
      <c r="AJ76" s="226"/>
      <c r="AK76" s="226"/>
      <c r="AL76" s="226"/>
      <c r="AM76" s="226"/>
      <c r="AN76" s="226"/>
      <c r="AO76" s="226"/>
    </row>
    <row r="77" spans="1:41" ht="16">
      <c r="A77" s="226"/>
      <c r="B77" s="226"/>
      <c r="C77" s="2"/>
      <c r="D77" s="226"/>
      <c r="E77" s="226"/>
      <c r="F77" s="226"/>
      <c r="G77" s="226"/>
      <c r="H77" s="226"/>
      <c r="I77" s="226"/>
      <c r="J77" s="226"/>
      <c r="K77" s="226"/>
      <c r="L77" s="226"/>
      <c r="M77" s="226"/>
      <c r="N77" s="226"/>
      <c r="O77" s="226"/>
      <c r="P77" s="226"/>
      <c r="Q77" s="226"/>
      <c r="R77" s="226"/>
      <c r="S77" s="226"/>
      <c r="T77" s="226"/>
      <c r="U77" s="226"/>
      <c r="V77" s="226"/>
      <c r="W77" s="226"/>
      <c r="X77" s="723"/>
      <c r="Y77" s="226"/>
      <c r="Z77" s="226"/>
      <c r="AA77" s="226"/>
      <c r="AB77" s="226"/>
      <c r="AC77" s="228"/>
      <c r="AD77" s="226">
        <v>76</v>
      </c>
      <c r="AE77" s="226">
        <f t="shared" si="1"/>
        <v>26</v>
      </c>
      <c r="AF77" s="226"/>
      <c r="AG77" s="226"/>
      <c r="AH77" s="226"/>
      <c r="AI77" s="226"/>
      <c r="AJ77" s="226"/>
      <c r="AK77" s="226"/>
      <c r="AL77" s="226"/>
      <c r="AM77" s="226"/>
      <c r="AN77" s="226"/>
      <c r="AO77" s="226"/>
    </row>
    <row r="78" spans="1:41" ht="16">
      <c r="A78" s="226"/>
      <c r="B78" s="226"/>
      <c r="C78" s="2"/>
      <c r="D78" s="226"/>
      <c r="E78" s="226"/>
      <c r="F78" s="226"/>
      <c r="G78" s="226"/>
      <c r="H78" s="226"/>
      <c r="I78" s="226"/>
      <c r="J78" s="226"/>
      <c r="K78" s="226"/>
      <c r="L78" s="226"/>
      <c r="M78" s="226"/>
      <c r="N78" s="226"/>
      <c r="O78" s="226"/>
      <c r="P78" s="226"/>
      <c r="Q78" s="226"/>
      <c r="R78" s="226"/>
      <c r="S78" s="226"/>
      <c r="T78" s="226"/>
      <c r="U78" s="226"/>
      <c r="V78" s="226"/>
      <c r="W78" s="226"/>
      <c r="X78" s="723"/>
      <c r="Y78" s="226"/>
      <c r="Z78" s="226"/>
      <c r="AA78" s="226"/>
      <c r="AB78" s="226"/>
      <c r="AC78" s="228"/>
      <c r="AD78" s="226">
        <v>77</v>
      </c>
      <c r="AE78" s="226">
        <f t="shared" si="1"/>
        <v>26</v>
      </c>
      <c r="AF78" s="226"/>
      <c r="AG78" s="226"/>
      <c r="AH78" s="226"/>
      <c r="AI78" s="226"/>
      <c r="AJ78" s="226"/>
      <c r="AK78" s="226"/>
      <c r="AL78" s="226"/>
      <c r="AM78" s="226"/>
      <c r="AN78" s="226"/>
      <c r="AO78" s="226"/>
    </row>
    <row r="79" spans="1:41" ht="16">
      <c r="A79" s="226"/>
      <c r="B79" s="226"/>
      <c r="C79" s="2"/>
      <c r="D79" s="226"/>
      <c r="E79" s="226"/>
      <c r="F79" s="226"/>
      <c r="G79" s="226"/>
      <c r="H79" s="226"/>
      <c r="I79" s="226"/>
      <c r="J79" s="226"/>
      <c r="K79" s="226"/>
      <c r="L79" s="226"/>
      <c r="M79" s="226"/>
      <c r="N79" s="226"/>
      <c r="O79" s="226"/>
      <c r="P79" s="226"/>
      <c r="Q79" s="226"/>
      <c r="R79" s="226"/>
      <c r="S79" s="226"/>
      <c r="T79" s="226"/>
      <c r="U79" s="226"/>
      <c r="V79" s="226"/>
      <c r="W79" s="226"/>
      <c r="X79" s="723"/>
      <c r="Y79" s="226"/>
      <c r="Z79" s="226"/>
      <c r="AA79" s="226"/>
      <c r="AB79" s="226"/>
      <c r="AC79" s="228"/>
      <c r="AD79" s="226">
        <v>78</v>
      </c>
      <c r="AE79" s="226">
        <f t="shared" si="1"/>
        <v>26</v>
      </c>
      <c r="AF79" s="226"/>
      <c r="AG79" s="226"/>
      <c r="AH79" s="226"/>
      <c r="AI79" s="226"/>
      <c r="AJ79" s="226"/>
      <c r="AK79" s="226"/>
      <c r="AL79" s="226"/>
      <c r="AM79" s="226"/>
      <c r="AN79" s="226"/>
      <c r="AO79" s="226"/>
    </row>
    <row r="80" spans="1:41" ht="16">
      <c r="A80" s="226"/>
      <c r="B80" s="226"/>
      <c r="C80" s="2"/>
      <c r="D80" s="226"/>
      <c r="E80" s="226"/>
      <c r="F80" s="226"/>
      <c r="G80" s="226"/>
      <c r="H80" s="226"/>
      <c r="I80" s="226"/>
      <c r="J80" s="226"/>
      <c r="K80" s="226"/>
      <c r="L80" s="226"/>
      <c r="M80" s="226"/>
      <c r="N80" s="226"/>
      <c r="O80" s="226"/>
      <c r="P80" s="226"/>
      <c r="Q80" s="226"/>
      <c r="R80" s="226"/>
      <c r="S80" s="226"/>
      <c r="T80" s="226"/>
      <c r="U80" s="226"/>
      <c r="V80" s="226"/>
      <c r="W80" s="226"/>
      <c r="X80" s="723"/>
      <c r="Y80" s="226"/>
      <c r="Z80" s="226"/>
      <c r="AA80" s="226"/>
      <c r="AB80" s="226"/>
      <c r="AC80" s="228"/>
      <c r="AD80" s="226">
        <v>79</v>
      </c>
      <c r="AE80" s="226">
        <f t="shared" si="1"/>
        <v>27</v>
      </c>
      <c r="AF80" s="226"/>
      <c r="AG80" s="226"/>
      <c r="AH80" s="226"/>
      <c r="AI80" s="226"/>
      <c r="AJ80" s="226"/>
      <c r="AK80" s="226"/>
      <c r="AL80" s="226"/>
      <c r="AM80" s="226"/>
      <c r="AN80" s="226"/>
      <c r="AO80" s="226"/>
    </row>
    <row r="81" spans="1:41" ht="16">
      <c r="A81" s="226"/>
      <c r="B81" s="226"/>
      <c r="C81" s="2"/>
      <c r="D81" s="226"/>
      <c r="E81" s="226"/>
      <c r="F81" s="226"/>
      <c r="G81" s="226"/>
      <c r="H81" s="226"/>
      <c r="I81" s="226"/>
      <c r="J81" s="226"/>
      <c r="K81" s="226"/>
      <c r="L81" s="226"/>
      <c r="M81" s="226"/>
      <c r="N81" s="226"/>
      <c r="O81" s="226"/>
      <c r="P81" s="226"/>
      <c r="Q81" s="226"/>
      <c r="R81" s="226"/>
      <c r="S81" s="226"/>
      <c r="T81" s="226"/>
      <c r="U81" s="226"/>
      <c r="V81" s="226"/>
      <c r="W81" s="226"/>
      <c r="X81" s="723"/>
      <c r="Y81" s="226"/>
      <c r="Z81" s="226"/>
      <c r="AA81" s="226"/>
      <c r="AB81" s="226"/>
      <c r="AC81" s="228"/>
      <c r="AD81" s="226">
        <v>80</v>
      </c>
      <c r="AE81" s="226">
        <f t="shared" si="1"/>
        <v>27</v>
      </c>
      <c r="AF81" s="226"/>
      <c r="AG81" s="226"/>
      <c r="AH81" s="226"/>
      <c r="AI81" s="226"/>
      <c r="AJ81" s="226"/>
      <c r="AK81" s="226"/>
      <c r="AL81" s="226"/>
      <c r="AM81" s="226"/>
      <c r="AN81" s="226"/>
      <c r="AO81" s="226"/>
    </row>
    <row r="82" spans="1:41" ht="16">
      <c r="A82" s="226"/>
      <c r="B82" s="226"/>
      <c r="C82" s="2"/>
      <c r="D82" s="226"/>
      <c r="E82" s="226"/>
      <c r="F82" s="226"/>
      <c r="G82" s="226"/>
      <c r="H82" s="226"/>
      <c r="I82" s="226"/>
      <c r="J82" s="226"/>
      <c r="K82" s="226"/>
      <c r="L82" s="226"/>
      <c r="M82" s="226"/>
      <c r="N82" s="226"/>
      <c r="O82" s="226"/>
      <c r="P82" s="226"/>
      <c r="Q82" s="226"/>
      <c r="R82" s="226"/>
      <c r="S82" s="226"/>
      <c r="T82" s="226"/>
      <c r="U82" s="226"/>
      <c r="V82" s="226"/>
      <c r="W82" s="226"/>
      <c r="X82" s="723"/>
      <c r="Y82" s="226"/>
      <c r="Z82" s="226"/>
      <c r="AA82" s="226"/>
      <c r="AB82" s="226"/>
      <c r="AC82" s="228"/>
      <c r="AD82" s="226">
        <v>81</v>
      </c>
      <c r="AE82" s="226">
        <f t="shared" si="1"/>
        <v>27</v>
      </c>
      <c r="AF82" s="226"/>
      <c r="AG82" s="226"/>
      <c r="AH82" s="226"/>
      <c r="AI82" s="226"/>
      <c r="AJ82" s="226"/>
      <c r="AK82" s="226"/>
      <c r="AL82" s="226"/>
      <c r="AM82" s="226"/>
      <c r="AN82" s="226"/>
      <c r="AO82" s="226"/>
    </row>
    <row r="83" spans="1:41" ht="16">
      <c r="A83" s="226"/>
      <c r="B83" s="226"/>
      <c r="C83" s="2"/>
      <c r="D83" s="226"/>
      <c r="E83" s="226"/>
      <c r="F83" s="226"/>
      <c r="G83" s="226"/>
      <c r="H83" s="226"/>
      <c r="I83" s="226"/>
      <c r="J83" s="226"/>
      <c r="K83" s="226"/>
      <c r="L83" s="226"/>
      <c r="M83" s="226"/>
      <c r="N83" s="226"/>
      <c r="O83" s="226"/>
      <c r="P83" s="226"/>
      <c r="Q83" s="226"/>
      <c r="R83" s="226"/>
      <c r="S83" s="226"/>
      <c r="T83" s="226"/>
      <c r="U83" s="226"/>
      <c r="V83" s="226"/>
      <c r="W83" s="226"/>
      <c r="X83" s="723"/>
      <c r="Y83" s="226"/>
      <c r="Z83" s="226"/>
      <c r="AA83" s="226"/>
      <c r="AB83" s="226"/>
      <c r="AC83" s="228"/>
      <c r="AD83" s="226">
        <v>82</v>
      </c>
      <c r="AE83" s="226">
        <f t="shared" si="1"/>
        <v>28</v>
      </c>
      <c r="AF83" s="226"/>
      <c r="AG83" s="226"/>
      <c r="AH83" s="226"/>
      <c r="AI83" s="226"/>
      <c r="AJ83" s="226"/>
      <c r="AK83" s="226"/>
      <c r="AL83" s="226"/>
      <c r="AM83" s="226"/>
      <c r="AN83" s="226"/>
      <c r="AO83" s="226"/>
    </row>
    <row r="84" spans="1:41" ht="16">
      <c r="A84" s="226"/>
      <c r="B84" s="226"/>
      <c r="C84" s="2"/>
      <c r="D84" s="226"/>
      <c r="E84" s="226"/>
      <c r="F84" s="226"/>
      <c r="G84" s="226"/>
      <c r="H84" s="226"/>
      <c r="I84" s="226"/>
      <c r="J84" s="226"/>
      <c r="K84" s="226"/>
      <c r="L84" s="226"/>
      <c r="M84" s="226"/>
      <c r="N84" s="226"/>
      <c r="O84" s="226"/>
      <c r="P84" s="226"/>
      <c r="Q84" s="226"/>
      <c r="R84" s="226"/>
      <c r="S84" s="226"/>
      <c r="T84" s="226"/>
      <c r="U84" s="226"/>
      <c r="V84" s="226"/>
      <c r="W84" s="226"/>
      <c r="X84" s="723"/>
      <c r="Y84" s="226"/>
      <c r="Z84" s="226"/>
      <c r="AA84" s="226"/>
      <c r="AB84" s="226"/>
      <c r="AC84" s="228"/>
      <c r="AD84" s="226">
        <v>83</v>
      </c>
      <c r="AE84" s="226">
        <f t="shared" si="1"/>
        <v>28</v>
      </c>
      <c r="AF84" s="226"/>
      <c r="AG84" s="226"/>
      <c r="AH84" s="226"/>
      <c r="AI84" s="226"/>
      <c r="AJ84" s="226"/>
      <c r="AK84" s="226"/>
      <c r="AL84" s="226"/>
      <c r="AM84" s="226"/>
      <c r="AN84" s="226"/>
      <c r="AO84" s="226"/>
    </row>
    <row r="85" spans="1:41" ht="16">
      <c r="A85" s="226"/>
      <c r="B85" s="226"/>
      <c r="C85" s="2"/>
      <c r="D85" s="226"/>
      <c r="E85" s="226"/>
      <c r="F85" s="226"/>
      <c r="G85" s="226"/>
      <c r="H85" s="226"/>
      <c r="I85" s="226"/>
      <c r="J85" s="226"/>
      <c r="K85" s="226"/>
      <c r="L85" s="226"/>
      <c r="M85" s="226"/>
      <c r="N85" s="226"/>
      <c r="O85" s="226"/>
      <c r="P85" s="226"/>
      <c r="Q85" s="226"/>
      <c r="R85" s="226"/>
      <c r="S85" s="226"/>
      <c r="T85" s="226"/>
      <c r="U85" s="226"/>
      <c r="V85" s="226"/>
      <c r="W85" s="226"/>
      <c r="X85" s="723"/>
      <c r="Y85" s="226"/>
      <c r="Z85" s="226"/>
      <c r="AA85" s="226"/>
      <c r="AB85" s="226"/>
      <c r="AC85" s="228"/>
      <c r="AD85" s="226">
        <v>84</v>
      </c>
      <c r="AE85" s="226">
        <f t="shared" si="1"/>
        <v>28</v>
      </c>
      <c r="AF85" s="226"/>
      <c r="AG85" s="226"/>
      <c r="AH85" s="226"/>
      <c r="AI85" s="226"/>
      <c r="AJ85" s="226"/>
      <c r="AK85" s="226"/>
      <c r="AL85" s="226"/>
      <c r="AM85" s="226"/>
      <c r="AN85" s="226"/>
      <c r="AO85" s="226"/>
    </row>
    <row r="86" spans="1:41" ht="16">
      <c r="A86" s="226"/>
      <c r="B86" s="226"/>
      <c r="C86" s="2"/>
      <c r="D86" s="226"/>
      <c r="E86" s="226"/>
      <c r="F86" s="226"/>
      <c r="G86" s="226"/>
      <c r="H86" s="226"/>
      <c r="I86" s="226"/>
      <c r="J86" s="226"/>
      <c r="K86" s="226"/>
      <c r="L86" s="226"/>
      <c r="M86" s="226"/>
      <c r="N86" s="226"/>
      <c r="O86" s="226"/>
      <c r="P86" s="226"/>
      <c r="Q86" s="226"/>
      <c r="R86" s="226"/>
      <c r="S86" s="226"/>
      <c r="T86" s="226"/>
      <c r="U86" s="226"/>
      <c r="V86" s="226"/>
      <c r="W86" s="226"/>
      <c r="X86" s="723"/>
      <c r="Y86" s="226"/>
      <c r="Z86" s="226"/>
      <c r="AA86" s="226"/>
      <c r="AB86" s="226"/>
      <c r="AC86" s="228"/>
      <c r="AD86" s="226">
        <v>85</v>
      </c>
      <c r="AE86" s="226">
        <f t="shared" si="1"/>
        <v>29</v>
      </c>
      <c r="AF86" s="226"/>
      <c r="AG86" s="226"/>
      <c r="AH86" s="226"/>
      <c r="AI86" s="226"/>
      <c r="AJ86" s="226"/>
      <c r="AK86" s="226"/>
      <c r="AL86" s="226"/>
      <c r="AM86" s="226"/>
      <c r="AN86" s="226"/>
      <c r="AO86" s="226"/>
    </row>
    <row r="87" spans="1:41" ht="16">
      <c r="A87" s="226"/>
      <c r="B87" s="226"/>
      <c r="C87" s="2"/>
      <c r="D87" s="226"/>
      <c r="E87" s="226"/>
      <c r="F87" s="226"/>
      <c r="G87" s="226"/>
      <c r="H87" s="226"/>
      <c r="I87" s="226"/>
      <c r="J87" s="226"/>
      <c r="K87" s="226"/>
      <c r="L87" s="226"/>
      <c r="M87" s="226"/>
      <c r="N87" s="226"/>
      <c r="O87" s="226"/>
      <c r="P87" s="226"/>
      <c r="Q87" s="226"/>
      <c r="R87" s="226"/>
      <c r="S87" s="226"/>
      <c r="T87" s="226"/>
      <c r="U87" s="226"/>
      <c r="V87" s="226"/>
      <c r="W87" s="226"/>
      <c r="X87" s="723"/>
      <c r="Y87" s="226"/>
      <c r="Z87" s="226"/>
      <c r="AA87" s="226"/>
      <c r="AB87" s="226"/>
      <c r="AC87" s="228"/>
      <c r="AD87" s="226">
        <v>86</v>
      </c>
      <c r="AE87" s="226">
        <f t="shared" si="1"/>
        <v>29</v>
      </c>
      <c r="AF87" s="226"/>
      <c r="AG87" s="226"/>
      <c r="AH87" s="226"/>
      <c r="AI87" s="226"/>
      <c r="AJ87" s="226"/>
      <c r="AK87" s="226"/>
      <c r="AL87" s="226"/>
      <c r="AM87" s="226"/>
      <c r="AN87" s="226"/>
      <c r="AO87" s="226"/>
    </row>
    <row r="88" spans="1:41" ht="16">
      <c r="A88" s="226"/>
      <c r="B88" s="226"/>
      <c r="C88" s="2"/>
      <c r="D88" s="226"/>
      <c r="E88" s="226"/>
      <c r="F88" s="226"/>
      <c r="G88" s="226"/>
      <c r="H88" s="226"/>
      <c r="I88" s="226"/>
      <c r="J88" s="226"/>
      <c r="K88" s="226"/>
      <c r="L88" s="226"/>
      <c r="M88" s="226"/>
      <c r="N88" s="226"/>
      <c r="O88" s="226"/>
      <c r="P88" s="226"/>
      <c r="Q88" s="226"/>
      <c r="R88" s="226"/>
      <c r="S88" s="226"/>
      <c r="T88" s="226"/>
      <c r="U88" s="226"/>
      <c r="V88" s="226"/>
      <c r="W88" s="226"/>
      <c r="X88" s="723"/>
      <c r="Y88" s="226"/>
      <c r="Z88" s="226"/>
      <c r="AA88" s="226"/>
      <c r="AB88" s="226"/>
      <c r="AC88" s="228"/>
      <c r="AD88" s="226">
        <v>87</v>
      </c>
      <c r="AE88" s="226">
        <f t="shared" si="1"/>
        <v>29</v>
      </c>
      <c r="AF88" s="226"/>
      <c r="AG88" s="226"/>
      <c r="AH88" s="226"/>
      <c r="AI88" s="226"/>
      <c r="AJ88" s="226"/>
      <c r="AK88" s="226"/>
      <c r="AL88" s="226"/>
      <c r="AM88" s="226"/>
      <c r="AN88" s="226"/>
      <c r="AO88" s="226"/>
    </row>
    <row r="89" spans="1:41" ht="16">
      <c r="A89" s="226"/>
      <c r="B89" s="226"/>
      <c r="C89" s="2"/>
      <c r="D89" s="226"/>
      <c r="E89" s="226"/>
      <c r="F89" s="226"/>
      <c r="G89" s="226"/>
      <c r="H89" s="226"/>
      <c r="I89" s="226"/>
      <c r="J89" s="226"/>
      <c r="K89" s="226"/>
      <c r="L89" s="226"/>
      <c r="M89" s="226"/>
      <c r="N89" s="226"/>
      <c r="O89" s="226"/>
      <c r="P89" s="226"/>
      <c r="Q89" s="226"/>
      <c r="R89" s="226"/>
      <c r="S89" s="226"/>
      <c r="T89" s="226"/>
      <c r="U89" s="226"/>
      <c r="V89" s="226"/>
      <c r="W89" s="226"/>
      <c r="X89" s="723"/>
      <c r="Y89" s="226"/>
      <c r="Z89" s="226"/>
      <c r="AA89" s="226"/>
      <c r="AB89" s="226"/>
      <c r="AC89" s="228"/>
      <c r="AD89" s="226">
        <v>88</v>
      </c>
      <c r="AE89" s="226">
        <f t="shared" si="1"/>
        <v>30</v>
      </c>
      <c r="AF89" s="226"/>
      <c r="AG89" s="226"/>
      <c r="AH89" s="226"/>
      <c r="AI89" s="226"/>
      <c r="AJ89" s="226"/>
      <c r="AK89" s="226"/>
      <c r="AL89" s="226"/>
      <c r="AM89" s="226"/>
      <c r="AN89" s="226"/>
      <c r="AO89" s="226"/>
    </row>
    <row r="90" spans="1:41" ht="16">
      <c r="A90" s="226"/>
      <c r="B90" s="226"/>
      <c r="C90" s="2"/>
      <c r="D90" s="226"/>
      <c r="E90" s="226"/>
      <c r="F90" s="226"/>
      <c r="G90" s="226"/>
      <c r="H90" s="226"/>
      <c r="I90" s="226"/>
      <c r="J90" s="226"/>
      <c r="K90" s="226"/>
      <c r="L90" s="226"/>
      <c r="M90" s="226"/>
      <c r="N90" s="226"/>
      <c r="O90" s="226"/>
      <c r="P90" s="226"/>
      <c r="Q90" s="226"/>
      <c r="R90" s="226"/>
      <c r="S90" s="226"/>
      <c r="T90" s="226"/>
      <c r="U90" s="226"/>
      <c r="V90" s="226"/>
      <c r="W90" s="226"/>
      <c r="X90" s="723"/>
      <c r="Y90" s="226"/>
      <c r="Z90" s="226"/>
      <c r="AA90" s="226"/>
      <c r="AB90" s="226"/>
      <c r="AC90" s="228"/>
      <c r="AD90" s="226">
        <v>89</v>
      </c>
      <c r="AE90" s="226">
        <f t="shared" si="1"/>
        <v>30</v>
      </c>
      <c r="AF90" s="226"/>
      <c r="AG90" s="226"/>
      <c r="AH90" s="226"/>
      <c r="AI90" s="226"/>
      <c r="AJ90" s="226"/>
      <c r="AK90" s="226"/>
      <c r="AL90" s="226"/>
      <c r="AM90" s="226"/>
      <c r="AN90" s="226"/>
      <c r="AO90" s="226"/>
    </row>
    <row r="91" spans="1:41" ht="16">
      <c r="A91" s="226"/>
      <c r="B91" s="226"/>
      <c r="C91" s="2"/>
      <c r="D91" s="226"/>
      <c r="E91" s="226"/>
      <c r="F91" s="226"/>
      <c r="G91" s="226"/>
      <c r="H91" s="226"/>
      <c r="I91" s="226"/>
      <c r="J91" s="226"/>
      <c r="K91" s="226"/>
      <c r="L91" s="226"/>
      <c r="M91" s="226"/>
      <c r="N91" s="226"/>
      <c r="O91" s="226"/>
      <c r="P91" s="226"/>
      <c r="Q91" s="226"/>
      <c r="R91" s="226"/>
      <c r="S91" s="226"/>
      <c r="T91" s="226"/>
      <c r="U91" s="226"/>
      <c r="V91" s="226"/>
      <c r="W91" s="226"/>
      <c r="X91" s="723"/>
      <c r="Y91" s="226"/>
      <c r="Z91" s="226"/>
      <c r="AA91" s="226"/>
      <c r="AB91" s="226"/>
      <c r="AC91" s="228"/>
      <c r="AD91" s="226">
        <v>90</v>
      </c>
      <c r="AE91" s="226">
        <f t="shared" si="1"/>
        <v>30</v>
      </c>
      <c r="AF91" s="226"/>
      <c r="AG91" s="226"/>
      <c r="AH91" s="226"/>
      <c r="AI91" s="226"/>
      <c r="AJ91" s="226"/>
      <c r="AK91" s="226"/>
      <c r="AL91" s="226"/>
      <c r="AM91" s="226"/>
      <c r="AN91" s="226"/>
      <c r="AO91" s="226"/>
    </row>
    <row r="92" spans="1:41" ht="16">
      <c r="A92" s="226"/>
      <c r="B92" s="226"/>
      <c r="C92" s="2"/>
      <c r="D92" s="226"/>
      <c r="E92" s="226"/>
      <c r="F92" s="226"/>
      <c r="G92" s="226"/>
      <c r="H92" s="226"/>
      <c r="I92" s="226"/>
      <c r="J92" s="226"/>
      <c r="K92" s="226"/>
      <c r="L92" s="226"/>
      <c r="M92" s="226"/>
      <c r="N92" s="226"/>
      <c r="O92" s="226"/>
      <c r="P92" s="226"/>
      <c r="Q92" s="226"/>
      <c r="R92" s="226"/>
      <c r="S92" s="226"/>
      <c r="T92" s="226"/>
      <c r="U92" s="226"/>
      <c r="V92" s="226"/>
      <c r="W92" s="226"/>
      <c r="X92" s="723"/>
      <c r="Y92" s="226"/>
      <c r="Z92" s="226"/>
      <c r="AA92" s="226"/>
      <c r="AB92" s="226"/>
      <c r="AC92" s="228"/>
      <c r="AD92" s="226">
        <v>91</v>
      </c>
      <c r="AE92" s="226">
        <f t="shared" si="1"/>
        <v>31</v>
      </c>
      <c r="AF92" s="226"/>
      <c r="AG92" s="226"/>
      <c r="AH92" s="226"/>
      <c r="AI92" s="226"/>
      <c r="AJ92" s="226"/>
      <c r="AK92" s="226"/>
      <c r="AL92" s="226"/>
      <c r="AM92" s="226"/>
      <c r="AN92" s="226"/>
      <c r="AO92" s="226"/>
    </row>
    <row r="93" spans="1:41" ht="16">
      <c r="A93" s="226"/>
      <c r="B93" s="226"/>
      <c r="C93" s="2"/>
      <c r="D93" s="226"/>
      <c r="E93" s="226"/>
      <c r="F93" s="226"/>
      <c r="G93" s="226"/>
      <c r="H93" s="226"/>
      <c r="I93" s="226"/>
      <c r="J93" s="226"/>
      <c r="K93" s="226"/>
      <c r="L93" s="226"/>
      <c r="M93" s="226"/>
      <c r="N93" s="226"/>
      <c r="O93" s="226"/>
      <c r="P93" s="226"/>
      <c r="Q93" s="226"/>
      <c r="R93" s="226"/>
      <c r="S93" s="226"/>
      <c r="T93" s="226"/>
      <c r="U93" s="226"/>
      <c r="V93" s="226"/>
      <c r="W93" s="226"/>
      <c r="X93" s="723"/>
      <c r="Y93" s="226"/>
      <c r="Z93" s="226"/>
      <c r="AA93" s="226"/>
      <c r="AB93" s="226"/>
      <c r="AC93" s="228"/>
      <c r="AD93" s="226">
        <v>92</v>
      </c>
      <c r="AE93" s="226">
        <f t="shared" si="1"/>
        <v>31</v>
      </c>
      <c r="AF93" s="226"/>
      <c r="AG93" s="226"/>
      <c r="AH93" s="226"/>
      <c r="AI93" s="226"/>
      <c r="AJ93" s="226"/>
      <c r="AK93" s="226"/>
      <c r="AL93" s="226"/>
      <c r="AM93" s="226"/>
      <c r="AN93" s="226"/>
      <c r="AO93" s="226"/>
    </row>
    <row r="94" spans="1:41" ht="16">
      <c r="A94" s="226"/>
      <c r="B94" s="226"/>
      <c r="C94" s="2"/>
      <c r="D94" s="226"/>
      <c r="E94" s="226"/>
      <c r="F94" s="226"/>
      <c r="G94" s="226"/>
      <c r="H94" s="226"/>
      <c r="I94" s="226"/>
      <c r="J94" s="226"/>
      <c r="K94" s="226"/>
      <c r="L94" s="226"/>
      <c r="M94" s="226"/>
      <c r="N94" s="226"/>
      <c r="O94" s="226"/>
      <c r="P94" s="226"/>
      <c r="Q94" s="226"/>
      <c r="R94" s="226"/>
      <c r="S94" s="226"/>
      <c r="T94" s="226"/>
      <c r="U94" s="226"/>
      <c r="V94" s="226"/>
      <c r="W94" s="226"/>
      <c r="X94" s="723"/>
      <c r="Y94" s="226"/>
      <c r="Z94" s="226"/>
      <c r="AA94" s="226"/>
      <c r="AB94" s="226"/>
      <c r="AC94" s="228"/>
      <c r="AD94" s="226">
        <v>93</v>
      </c>
      <c r="AE94" s="226">
        <f t="shared" si="1"/>
        <v>31</v>
      </c>
      <c r="AF94" s="226"/>
      <c r="AG94" s="226"/>
      <c r="AH94" s="226"/>
      <c r="AI94" s="226"/>
      <c r="AJ94" s="226"/>
      <c r="AK94" s="226"/>
      <c r="AL94" s="226"/>
      <c r="AM94" s="226"/>
      <c r="AN94" s="226"/>
      <c r="AO94" s="226"/>
    </row>
    <row r="95" spans="1:41" ht="16">
      <c r="A95" s="226"/>
      <c r="B95" s="226"/>
      <c r="C95" s="2"/>
      <c r="D95" s="226"/>
      <c r="E95" s="226"/>
      <c r="F95" s="226"/>
      <c r="G95" s="226"/>
      <c r="H95" s="226"/>
      <c r="I95" s="226"/>
      <c r="J95" s="226"/>
      <c r="K95" s="226"/>
      <c r="L95" s="226"/>
      <c r="M95" s="226"/>
      <c r="N95" s="226"/>
      <c r="O95" s="226"/>
      <c r="P95" s="226"/>
      <c r="Q95" s="226"/>
      <c r="R95" s="226"/>
      <c r="S95" s="226"/>
      <c r="T95" s="226"/>
      <c r="U95" s="226"/>
      <c r="V95" s="226"/>
      <c r="W95" s="226"/>
      <c r="X95" s="723"/>
      <c r="Y95" s="226"/>
      <c r="Z95" s="226"/>
      <c r="AA95" s="226"/>
      <c r="AB95" s="226"/>
      <c r="AC95" s="228"/>
      <c r="AD95" s="226">
        <v>94</v>
      </c>
      <c r="AE95" s="226">
        <f t="shared" si="1"/>
        <v>32</v>
      </c>
      <c r="AF95" s="226"/>
      <c r="AG95" s="226"/>
      <c r="AH95" s="226"/>
      <c r="AI95" s="226"/>
      <c r="AJ95" s="226"/>
      <c r="AK95" s="226"/>
      <c r="AL95" s="226"/>
      <c r="AM95" s="226"/>
      <c r="AN95" s="226"/>
      <c r="AO95" s="226"/>
    </row>
    <row r="96" spans="1:41" ht="16">
      <c r="A96" s="226"/>
      <c r="B96" s="226"/>
      <c r="C96" s="2"/>
      <c r="D96" s="226"/>
      <c r="E96" s="226"/>
      <c r="F96" s="226"/>
      <c r="G96" s="226"/>
      <c r="H96" s="226"/>
      <c r="I96" s="226"/>
      <c r="J96" s="226"/>
      <c r="K96" s="226"/>
      <c r="L96" s="226"/>
      <c r="M96" s="226"/>
      <c r="N96" s="226"/>
      <c r="O96" s="226"/>
      <c r="P96" s="226"/>
      <c r="Q96" s="226"/>
      <c r="R96" s="226"/>
      <c r="S96" s="226"/>
      <c r="T96" s="226"/>
      <c r="U96" s="226"/>
      <c r="V96" s="226"/>
      <c r="W96" s="226"/>
      <c r="X96" s="723"/>
      <c r="Y96" s="226"/>
      <c r="Z96" s="226"/>
      <c r="AA96" s="226"/>
      <c r="AB96" s="226"/>
      <c r="AC96" s="228"/>
      <c r="AD96" s="226">
        <v>95</v>
      </c>
      <c r="AE96" s="226">
        <f t="shared" si="1"/>
        <v>32</v>
      </c>
      <c r="AF96" s="226"/>
      <c r="AG96" s="226"/>
      <c r="AH96" s="226"/>
      <c r="AI96" s="226"/>
      <c r="AJ96" s="226"/>
      <c r="AK96" s="226"/>
      <c r="AL96" s="226"/>
      <c r="AM96" s="226"/>
      <c r="AN96" s="226"/>
      <c r="AO96" s="226"/>
    </row>
    <row r="97" spans="1:41" ht="16">
      <c r="A97" s="226"/>
      <c r="B97" s="226"/>
      <c r="C97" s="2"/>
      <c r="D97" s="226"/>
      <c r="E97" s="226"/>
      <c r="F97" s="226"/>
      <c r="G97" s="226"/>
      <c r="H97" s="226"/>
      <c r="I97" s="226"/>
      <c r="J97" s="226"/>
      <c r="K97" s="226"/>
      <c r="L97" s="226"/>
      <c r="M97" s="226"/>
      <c r="N97" s="226"/>
      <c r="O97" s="226"/>
      <c r="P97" s="226"/>
      <c r="Q97" s="226"/>
      <c r="R97" s="226"/>
      <c r="S97" s="226"/>
      <c r="T97" s="226"/>
      <c r="U97" s="226"/>
      <c r="V97" s="226"/>
      <c r="W97" s="226"/>
      <c r="X97" s="723"/>
      <c r="Y97" s="226"/>
      <c r="Z97" s="226"/>
      <c r="AA97" s="226"/>
      <c r="AB97" s="226"/>
      <c r="AC97" s="228"/>
      <c r="AD97" s="226">
        <v>96</v>
      </c>
      <c r="AE97" s="226">
        <f t="shared" si="1"/>
        <v>32</v>
      </c>
      <c r="AF97" s="226"/>
      <c r="AG97" s="226"/>
      <c r="AH97" s="226"/>
      <c r="AI97" s="226"/>
      <c r="AJ97" s="226"/>
      <c r="AK97" s="226"/>
      <c r="AL97" s="226"/>
      <c r="AM97" s="226"/>
      <c r="AN97" s="226"/>
      <c r="AO97" s="226"/>
    </row>
    <row r="98" spans="1:41" ht="16">
      <c r="A98" s="226"/>
      <c r="B98" s="226"/>
      <c r="C98" s="2"/>
      <c r="D98" s="226"/>
      <c r="E98" s="226"/>
      <c r="F98" s="226"/>
      <c r="G98" s="226"/>
      <c r="H98" s="226"/>
      <c r="I98" s="226"/>
      <c r="J98" s="226"/>
      <c r="K98" s="226"/>
      <c r="L98" s="226"/>
      <c r="M98" s="226"/>
      <c r="N98" s="226"/>
      <c r="O98" s="226"/>
      <c r="P98" s="226"/>
      <c r="Q98" s="226"/>
      <c r="R98" s="226"/>
      <c r="S98" s="226"/>
      <c r="T98" s="226"/>
      <c r="U98" s="226"/>
      <c r="V98" s="226"/>
      <c r="W98" s="226"/>
      <c r="X98" s="723"/>
      <c r="Y98" s="226"/>
      <c r="Z98" s="226"/>
      <c r="AA98" s="226"/>
      <c r="AB98" s="226"/>
      <c r="AC98" s="228"/>
      <c r="AD98" s="226">
        <v>97</v>
      </c>
      <c r="AE98" s="226">
        <f t="shared" si="1"/>
        <v>33</v>
      </c>
      <c r="AF98" s="226"/>
      <c r="AG98" s="226"/>
      <c r="AH98" s="226"/>
      <c r="AI98" s="226"/>
      <c r="AJ98" s="226"/>
      <c r="AK98" s="226"/>
      <c r="AL98" s="226"/>
      <c r="AM98" s="226"/>
      <c r="AN98" s="226"/>
      <c r="AO98" s="226"/>
    </row>
    <row r="99" spans="1:41" ht="16">
      <c r="A99" s="226"/>
      <c r="B99" s="226"/>
      <c r="C99" s="2"/>
      <c r="D99" s="226"/>
      <c r="E99" s="226"/>
      <c r="F99" s="226"/>
      <c r="G99" s="226"/>
      <c r="H99" s="226"/>
      <c r="I99" s="226"/>
      <c r="J99" s="226"/>
      <c r="K99" s="226"/>
      <c r="L99" s="226"/>
      <c r="M99" s="226"/>
      <c r="N99" s="226"/>
      <c r="O99" s="226"/>
      <c r="P99" s="226"/>
      <c r="Q99" s="226"/>
      <c r="R99" s="226"/>
      <c r="S99" s="226"/>
      <c r="T99" s="226"/>
      <c r="U99" s="226"/>
      <c r="V99" s="226"/>
      <c r="W99" s="226"/>
      <c r="X99" s="723"/>
      <c r="Y99" s="226"/>
      <c r="Z99" s="226"/>
      <c r="AA99" s="226"/>
      <c r="AB99" s="226"/>
      <c r="AC99" s="228"/>
      <c r="AD99" s="226">
        <v>98</v>
      </c>
      <c r="AE99" s="226">
        <f t="shared" si="1"/>
        <v>33</v>
      </c>
      <c r="AF99" s="226"/>
      <c r="AG99" s="226"/>
      <c r="AH99" s="226"/>
      <c r="AI99" s="226"/>
      <c r="AJ99" s="226"/>
      <c r="AK99" s="226"/>
      <c r="AL99" s="226"/>
      <c r="AM99" s="226"/>
      <c r="AN99" s="226"/>
      <c r="AO99" s="226"/>
    </row>
    <row r="100" spans="1:41" ht="16">
      <c r="A100" s="226"/>
      <c r="B100" s="226"/>
      <c r="C100" s="2"/>
      <c r="D100" s="226"/>
      <c r="E100" s="226"/>
      <c r="F100" s="226"/>
      <c r="G100" s="226"/>
      <c r="H100" s="226"/>
      <c r="I100" s="226"/>
      <c r="J100" s="226"/>
      <c r="K100" s="226"/>
      <c r="L100" s="226"/>
      <c r="M100" s="226"/>
      <c r="N100" s="226"/>
      <c r="O100" s="226"/>
      <c r="P100" s="226"/>
      <c r="Q100" s="226"/>
      <c r="R100" s="226"/>
      <c r="S100" s="226"/>
      <c r="T100" s="226"/>
      <c r="U100" s="226"/>
      <c r="V100" s="226"/>
      <c r="W100" s="226"/>
      <c r="X100" s="723"/>
      <c r="Y100" s="226"/>
      <c r="Z100" s="226"/>
      <c r="AA100" s="226"/>
      <c r="AB100" s="226"/>
      <c r="AC100" s="228"/>
      <c r="AD100" s="226">
        <v>99</v>
      </c>
      <c r="AE100" s="226">
        <f t="shared" si="1"/>
        <v>33</v>
      </c>
      <c r="AF100" s="226"/>
      <c r="AG100" s="226"/>
      <c r="AH100" s="226"/>
      <c r="AI100" s="226"/>
      <c r="AJ100" s="226"/>
      <c r="AK100" s="226"/>
      <c r="AL100" s="226"/>
      <c r="AM100" s="226"/>
      <c r="AN100" s="226"/>
      <c r="AO100" s="226"/>
    </row>
    <row r="101" spans="1:41" ht="16">
      <c r="A101" s="226"/>
      <c r="B101" s="226"/>
      <c r="C101" s="2"/>
      <c r="D101" s="226"/>
      <c r="E101" s="226"/>
      <c r="F101" s="226"/>
      <c r="G101" s="226"/>
      <c r="H101" s="226"/>
      <c r="I101" s="226"/>
      <c r="J101" s="226"/>
      <c r="K101" s="226"/>
      <c r="L101" s="226"/>
      <c r="M101" s="226"/>
      <c r="N101" s="226"/>
      <c r="O101" s="226"/>
      <c r="P101" s="226"/>
      <c r="Q101" s="226"/>
      <c r="R101" s="226"/>
      <c r="S101" s="226"/>
      <c r="T101" s="226"/>
      <c r="U101" s="226"/>
      <c r="V101" s="226"/>
      <c r="W101" s="226"/>
      <c r="X101" s="723"/>
      <c r="Y101" s="226"/>
      <c r="Z101" s="226"/>
      <c r="AA101" s="226"/>
      <c r="AB101" s="226"/>
      <c r="AC101" s="228"/>
      <c r="AD101" s="226"/>
      <c r="AE101" s="226"/>
      <c r="AF101" s="226"/>
      <c r="AG101" s="226"/>
      <c r="AH101" s="226"/>
      <c r="AI101" s="226"/>
      <c r="AJ101" s="226"/>
      <c r="AK101" s="226"/>
      <c r="AL101" s="226"/>
      <c r="AM101" s="226"/>
      <c r="AN101" s="226"/>
      <c r="AO101" s="226"/>
    </row>
    <row r="102" spans="1:41" ht="16">
      <c r="A102" s="226"/>
      <c r="B102" s="226"/>
      <c r="C102" s="2"/>
      <c r="D102" s="226"/>
      <c r="E102" s="226"/>
      <c r="F102" s="226"/>
      <c r="G102" s="226"/>
      <c r="H102" s="226"/>
      <c r="I102" s="226"/>
      <c r="J102" s="226"/>
      <c r="K102" s="226"/>
      <c r="L102" s="226"/>
      <c r="M102" s="226"/>
      <c r="N102" s="226"/>
      <c r="O102" s="226"/>
      <c r="P102" s="226"/>
      <c r="Q102" s="226"/>
      <c r="R102" s="226"/>
      <c r="S102" s="226"/>
      <c r="T102" s="226"/>
      <c r="U102" s="226"/>
      <c r="V102" s="226"/>
      <c r="W102" s="226"/>
      <c r="X102" s="723"/>
      <c r="Y102" s="226"/>
      <c r="Z102" s="226"/>
      <c r="AA102" s="226"/>
      <c r="AB102" s="226"/>
      <c r="AC102" s="228"/>
      <c r="AD102" s="226"/>
      <c r="AE102" s="226"/>
      <c r="AF102" s="226"/>
      <c r="AG102" s="226"/>
      <c r="AH102" s="226"/>
      <c r="AI102" s="226"/>
      <c r="AJ102" s="226"/>
      <c r="AK102" s="226"/>
      <c r="AL102" s="226"/>
      <c r="AM102" s="226"/>
      <c r="AN102" s="226"/>
      <c r="AO102" s="226"/>
    </row>
    <row r="103" spans="1:41" ht="16">
      <c r="A103" s="226"/>
      <c r="B103" s="226"/>
      <c r="C103" s="2"/>
      <c r="D103" s="226"/>
      <c r="E103" s="226"/>
      <c r="F103" s="226"/>
      <c r="G103" s="226"/>
      <c r="H103" s="226"/>
      <c r="I103" s="226"/>
      <c r="J103" s="226"/>
      <c r="K103" s="226"/>
      <c r="L103" s="226"/>
      <c r="M103" s="226"/>
      <c r="N103" s="226"/>
      <c r="O103" s="226"/>
      <c r="P103" s="226"/>
      <c r="Q103" s="226"/>
      <c r="R103" s="226"/>
      <c r="S103" s="226"/>
      <c r="T103" s="226"/>
      <c r="U103" s="226"/>
      <c r="V103" s="226"/>
      <c r="W103" s="226"/>
      <c r="X103" s="723"/>
      <c r="Y103" s="226"/>
      <c r="Z103" s="226"/>
      <c r="AA103" s="226"/>
      <c r="AB103" s="226"/>
      <c r="AC103" s="228"/>
      <c r="AD103" s="226"/>
      <c r="AE103" s="226"/>
      <c r="AF103" s="226"/>
      <c r="AG103" s="226"/>
      <c r="AH103" s="226"/>
      <c r="AI103" s="226"/>
      <c r="AJ103" s="226"/>
      <c r="AK103" s="226"/>
      <c r="AL103" s="226"/>
      <c r="AM103" s="226"/>
      <c r="AN103" s="226"/>
      <c r="AO103" s="226"/>
    </row>
    <row r="104" spans="1:41" ht="16">
      <c r="A104" s="226"/>
      <c r="B104" s="226"/>
      <c r="C104" s="2"/>
      <c r="D104" s="226"/>
      <c r="E104" s="226"/>
      <c r="F104" s="226"/>
      <c r="G104" s="226"/>
      <c r="H104" s="226"/>
      <c r="I104" s="226"/>
      <c r="J104" s="226"/>
      <c r="K104" s="226"/>
      <c r="L104" s="226"/>
      <c r="M104" s="226"/>
      <c r="N104" s="226"/>
      <c r="O104" s="226"/>
      <c r="P104" s="226"/>
      <c r="Q104" s="226"/>
      <c r="R104" s="226"/>
      <c r="S104" s="226"/>
      <c r="T104" s="226"/>
      <c r="U104" s="226"/>
      <c r="V104" s="226"/>
      <c r="W104" s="226"/>
      <c r="X104" s="723"/>
      <c r="Y104" s="226"/>
      <c r="Z104" s="226"/>
      <c r="AA104" s="226"/>
      <c r="AB104" s="226"/>
      <c r="AC104" s="228"/>
      <c r="AD104" s="226"/>
      <c r="AE104" s="226"/>
      <c r="AF104" s="226"/>
      <c r="AG104" s="226"/>
      <c r="AH104" s="226"/>
      <c r="AI104" s="226"/>
      <c r="AJ104" s="226"/>
      <c r="AK104" s="226"/>
      <c r="AL104" s="226"/>
      <c r="AM104" s="226"/>
      <c r="AN104" s="226"/>
      <c r="AO104" s="226"/>
    </row>
    <row r="105" spans="1:41" ht="16">
      <c r="A105" s="226"/>
      <c r="B105" s="226"/>
      <c r="C105" s="2"/>
      <c r="D105" s="226"/>
      <c r="E105" s="226"/>
      <c r="F105" s="226"/>
      <c r="G105" s="226"/>
      <c r="H105" s="226"/>
      <c r="I105" s="226"/>
      <c r="J105" s="226"/>
      <c r="K105" s="226"/>
      <c r="L105" s="226"/>
      <c r="M105" s="226"/>
      <c r="N105" s="226"/>
      <c r="O105" s="226"/>
      <c r="P105" s="226"/>
      <c r="Q105" s="226"/>
      <c r="R105" s="226"/>
      <c r="S105" s="226"/>
      <c r="T105" s="226"/>
      <c r="U105" s="226"/>
      <c r="V105" s="226"/>
      <c r="W105" s="226"/>
      <c r="X105" s="723"/>
      <c r="Y105" s="226"/>
      <c r="Z105" s="226"/>
      <c r="AA105" s="226"/>
      <c r="AB105" s="226"/>
      <c r="AC105" s="228"/>
      <c r="AD105" s="226"/>
      <c r="AE105" s="226"/>
      <c r="AF105" s="226"/>
      <c r="AG105" s="226"/>
      <c r="AH105" s="226"/>
      <c r="AI105" s="226"/>
      <c r="AJ105" s="226"/>
      <c r="AK105" s="226"/>
      <c r="AL105" s="226"/>
      <c r="AM105" s="226"/>
      <c r="AN105" s="226"/>
      <c r="AO105" s="226"/>
    </row>
    <row r="106" spans="1:41" ht="16">
      <c r="A106" s="226"/>
      <c r="B106" s="226"/>
      <c r="C106" s="2"/>
      <c r="D106" s="226"/>
      <c r="E106" s="226"/>
      <c r="F106" s="226"/>
      <c r="G106" s="226"/>
      <c r="H106" s="226"/>
      <c r="I106" s="226"/>
      <c r="J106" s="226"/>
      <c r="K106" s="226"/>
      <c r="L106" s="226"/>
      <c r="M106" s="226"/>
      <c r="N106" s="226"/>
      <c r="O106" s="226"/>
      <c r="P106" s="226"/>
      <c r="Q106" s="226"/>
      <c r="R106" s="226"/>
      <c r="S106" s="226"/>
      <c r="T106" s="226"/>
      <c r="U106" s="226"/>
      <c r="V106" s="226"/>
      <c r="W106" s="226"/>
      <c r="X106" s="723"/>
      <c r="Y106" s="226"/>
      <c r="Z106" s="226"/>
      <c r="AA106" s="226"/>
      <c r="AB106" s="226"/>
      <c r="AC106" s="228"/>
      <c r="AD106" s="226"/>
      <c r="AE106" s="226"/>
      <c r="AF106" s="226"/>
      <c r="AG106" s="226"/>
      <c r="AH106" s="226"/>
      <c r="AI106" s="226"/>
      <c r="AJ106" s="226"/>
      <c r="AK106" s="226"/>
      <c r="AL106" s="226"/>
      <c r="AM106" s="226"/>
      <c r="AN106" s="226"/>
      <c r="AO106" s="226"/>
    </row>
    <row r="107" spans="1:41" ht="16">
      <c r="A107" s="226"/>
      <c r="B107" s="226"/>
      <c r="C107" s="2"/>
      <c r="D107" s="226"/>
      <c r="E107" s="226"/>
      <c r="F107" s="226"/>
      <c r="G107" s="226"/>
      <c r="H107" s="226"/>
      <c r="I107" s="226"/>
      <c r="J107" s="226"/>
      <c r="K107" s="226"/>
      <c r="L107" s="226"/>
      <c r="M107" s="226"/>
      <c r="N107" s="226"/>
      <c r="O107" s="226"/>
      <c r="P107" s="226"/>
      <c r="Q107" s="226"/>
      <c r="R107" s="226"/>
      <c r="S107" s="226"/>
      <c r="T107" s="226"/>
      <c r="U107" s="226"/>
      <c r="V107" s="226"/>
      <c r="W107" s="226"/>
      <c r="X107" s="723"/>
      <c r="Y107" s="226"/>
      <c r="Z107" s="226"/>
      <c r="AA107" s="226"/>
      <c r="AB107" s="226"/>
      <c r="AC107" s="228"/>
      <c r="AD107" s="226"/>
      <c r="AE107" s="226"/>
      <c r="AF107" s="226"/>
      <c r="AG107" s="226"/>
      <c r="AH107" s="226"/>
      <c r="AI107" s="226"/>
      <c r="AJ107" s="226"/>
      <c r="AK107" s="226"/>
      <c r="AL107" s="226"/>
      <c r="AM107" s="226"/>
      <c r="AN107" s="226"/>
      <c r="AO107" s="226"/>
    </row>
    <row r="108" spans="1:41" ht="16">
      <c r="A108" s="226"/>
      <c r="B108" s="226"/>
      <c r="C108" s="2"/>
      <c r="D108" s="226"/>
      <c r="E108" s="226"/>
      <c r="F108" s="226"/>
      <c r="G108" s="226"/>
      <c r="H108" s="226"/>
      <c r="I108" s="226"/>
      <c r="J108" s="226"/>
      <c r="K108" s="226"/>
      <c r="L108" s="226"/>
      <c r="M108" s="226"/>
      <c r="N108" s="226"/>
      <c r="O108" s="226"/>
      <c r="P108" s="226"/>
      <c r="Q108" s="226"/>
      <c r="R108" s="226"/>
      <c r="S108" s="226"/>
      <c r="T108" s="226"/>
      <c r="U108" s="226"/>
      <c r="V108" s="226"/>
      <c r="W108" s="226"/>
      <c r="X108" s="723"/>
      <c r="Y108" s="226"/>
      <c r="Z108" s="226"/>
      <c r="AA108" s="226"/>
      <c r="AB108" s="226"/>
      <c r="AC108" s="228"/>
      <c r="AD108" s="226"/>
      <c r="AE108" s="226"/>
      <c r="AF108" s="226"/>
      <c r="AG108" s="226"/>
      <c r="AH108" s="226"/>
      <c r="AI108" s="226"/>
      <c r="AJ108" s="226"/>
      <c r="AK108" s="226"/>
      <c r="AL108" s="226"/>
      <c r="AM108" s="226"/>
      <c r="AN108" s="226"/>
      <c r="AO108" s="226"/>
    </row>
    <row r="109" spans="1:41" ht="16">
      <c r="A109" s="226"/>
      <c r="B109" s="226"/>
      <c r="C109" s="2"/>
      <c r="D109" s="226"/>
      <c r="E109" s="226"/>
      <c r="F109" s="226"/>
      <c r="G109" s="226"/>
      <c r="H109" s="226"/>
      <c r="I109" s="226"/>
      <c r="J109" s="226"/>
      <c r="K109" s="226"/>
      <c r="L109" s="226"/>
      <c r="M109" s="226"/>
      <c r="N109" s="226"/>
      <c r="O109" s="226"/>
      <c r="P109" s="226"/>
      <c r="Q109" s="226"/>
      <c r="R109" s="226"/>
      <c r="S109" s="226"/>
      <c r="T109" s="226"/>
      <c r="U109" s="226"/>
      <c r="V109" s="226"/>
      <c r="W109" s="226"/>
      <c r="X109" s="723"/>
      <c r="Y109" s="226"/>
      <c r="Z109" s="226"/>
      <c r="AA109" s="226"/>
      <c r="AB109" s="226"/>
      <c r="AC109" s="228"/>
      <c r="AD109" s="226"/>
      <c r="AE109" s="226"/>
      <c r="AF109" s="226"/>
      <c r="AG109" s="226"/>
      <c r="AH109" s="226"/>
      <c r="AI109" s="226"/>
      <c r="AJ109" s="226"/>
      <c r="AK109" s="226"/>
      <c r="AL109" s="226"/>
      <c r="AM109" s="226"/>
      <c r="AN109" s="226"/>
      <c r="AO109" s="226"/>
    </row>
    <row r="110" spans="1:41" ht="16">
      <c r="A110" s="226"/>
      <c r="B110" s="226"/>
      <c r="C110" s="2"/>
      <c r="D110" s="226"/>
      <c r="E110" s="226"/>
      <c r="F110" s="226"/>
      <c r="G110" s="226"/>
      <c r="H110" s="226"/>
      <c r="I110" s="226"/>
      <c r="J110" s="226"/>
      <c r="K110" s="226"/>
      <c r="L110" s="226"/>
      <c r="M110" s="226"/>
      <c r="N110" s="226"/>
      <c r="O110" s="226"/>
      <c r="P110" s="226"/>
      <c r="Q110" s="226"/>
      <c r="R110" s="226"/>
      <c r="S110" s="226"/>
      <c r="T110" s="226"/>
      <c r="U110" s="226"/>
      <c r="V110" s="226"/>
      <c r="W110" s="226"/>
      <c r="X110" s="723"/>
      <c r="Y110" s="226"/>
      <c r="Z110" s="226"/>
      <c r="AA110" s="226"/>
      <c r="AB110" s="226"/>
      <c r="AC110" s="228"/>
      <c r="AD110" s="226"/>
      <c r="AE110" s="226"/>
      <c r="AF110" s="226"/>
      <c r="AG110" s="226"/>
      <c r="AH110" s="226"/>
      <c r="AI110" s="226"/>
      <c r="AJ110" s="226"/>
      <c r="AK110" s="226"/>
      <c r="AL110" s="226"/>
      <c r="AM110" s="226"/>
      <c r="AN110" s="226"/>
      <c r="AO110" s="226"/>
    </row>
    <row r="111" spans="1:41" ht="16">
      <c r="A111" s="226"/>
      <c r="B111" s="226"/>
      <c r="C111" s="2"/>
      <c r="D111" s="226"/>
      <c r="E111" s="226"/>
      <c r="F111" s="226"/>
      <c r="G111" s="226"/>
      <c r="H111" s="226"/>
      <c r="I111" s="226"/>
      <c r="J111" s="226"/>
      <c r="K111" s="226"/>
      <c r="L111" s="226"/>
      <c r="M111" s="226"/>
      <c r="N111" s="226"/>
      <c r="O111" s="226"/>
      <c r="P111" s="226"/>
      <c r="Q111" s="226"/>
      <c r="R111" s="226"/>
      <c r="S111" s="226"/>
      <c r="T111" s="226"/>
      <c r="U111" s="226"/>
      <c r="V111" s="226"/>
      <c r="W111" s="226"/>
      <c r="X111" s="723"/>
      <c r="Y111" s="226"/>
      <c r="Z111" s="226"/>
      <c r="AB111" s="226"/>
      <c r="AC111" s="228"/>
      <c r="AD111" s="226"/>
      <c r="AE111" s="226"/>
      <c r="AF111" s="226"/>
      <c r="AG111" s="226"/>
      <c r="AH111" s="226"/>
      <c r="AI111" s="226"/>
      <c r="AJ111" s="226"/>
      <c r="AK111" s="226"/>
      <c r="AL111" s="226"/>
      <c r="AM111" s="226"/>
      <c r="AN111" s="226"/>
      <c r="AO111" s="226"/>
    </row>
    <row r="112" spans="1:41" ht="16">
      <c r="A112" s="226"/>
      <c r="B112" s="226"/>
      <c r="C112" s="2"/>
      <c r="D112" s="226"/>
      <c r="E112" s="226"/>
      <c r="F112" s="226"/>
      <c r="G112" s="226"/>
      <c r="H112" s="226"/>
      <c r="I112" s="226"/>
      <c r="J112" s="226"/>
      <c r="K112" s="226"/>
      <c r="L112" s="226"/>
      <c r="M112" s="226"/>
      <c r="N112" s="226"/>
      <c r="O112" s="226"/>
      <c r="P112" s="226"/>
      <c r="Q112" s="226"/>
      <c r="R112" s="226"/>
      <c r="S112" s="226"/>
      <c r="T112" s="226"/>
      <c r="U112" s="226"/>
      <c r="V112" s="226"/>
      <c r="W112" s="226"/>
      <c r="X112" s="723"/>
      <c r="Y112" s="226"/>
      <c r="Z112" s="226"/>
      <c r="AB112" s="226"/>
      <c r="AC112" s="228"/>
      <c r="AD112" s="226"/>
      <c r="AE112" s="226"/>
      <c r="AF112" s="226"/>
      <c r="AG112" s="226"/>
      <c r="AH112" s="226"/>
      <c r="AI112" s="226"/>
      <c r="AJ112" s="226"/>
      <c r="AK112" s="226"/>
      <c r="AL112" s="226"/>
      <c r="AM112" s="226"/>
      <c r="AN112" s="226"/>
      <c r="AO112" s="226"/>
    </row>
    <row r="113" spans="1:41" ht="16">
      <c r="A113" s="226"/>
      <c r="B113" s="226"/>
      <c r="C113" s="2"/>
      <c r="D113" s="226"/>
      <c r="E113" s="226"/>
      <c r="F113" s="226"/>
      <c r="G113" s="226"/>
      <c r="H113" s="226"/>
      <c r="I113" s="226"/>
      <c r="J113" s="226"/>
      <c r="K113" s="226"/>
      <c r="L113" s="226"/>
      <c r="M113" s="226"/>
      <c r="N113" s="226"/>
      <c r="O113" s="226"/>
      <c r="P113" s="226"/>
      <c r="Q113" s="226"/>
      <c r="R113" s="226"/>
      <c r="S113" s="226"/>
      <c r="T113" s="226"/>
      <c r="U113" s="226"/>
      <c r="V113" s="226"/>
      <c r="W113" s="226"/>
      <c r="X113" s="723"/>
      <c r="Y113" s="226"/>
      <c r="Z113" s="226"/>
      <c r="AB113" s="226"/>
      <c r="AC113" s="228"/>
      <c r="AD113" s="226"/>
      <c r="AE113" s="226"/>
      <c r="AF113" s="226"/>
      <c r="AG113" s="226"/>
      <c r="AH113" s="226"/>
      <c r="AI113" s="226"/>
      <c r="AJ113" s="226"/>
      <c r="AK113" s="226"/>
      <c r="AL113" s="226"/>
      <c r="AM113" s="226"/>
      <c r="AN113" s="226"/>
      <c r="AO113" s="226"/>
    </row>
    <row r="114" spans="1:41" ht="16">
      <c r="A114" s="226"/>
      <c r="B114" s="226"/>
      <c r="C114" s="2"/>
      <c r="D114" s="226"/>
      <c r="E114" s="226"/>
      <c r="F114" s="226"/>
      <c r="G114" s="226"/>
      <c r="H114" s="226"/>
      <c r="I114" s="226"/>
      <c r="J114" s="226"/>
      <c r="K114" s="226"/>
      <c r="L114" s="226"/>
      <c r="M114" s="226"/>
      <c r="N114" s="226"/>
      <c r="O114" s="226"/>
      <c r="P114" s="226"/>
      <c r="Q114" s="226"/>
      <c r="R114" s="226"/>
      <c r="S114" s="226"/>
      <c r="T114" s="226"/>
      <c r="U114" s="226"/>
      <c r="V114" s="226"/>
      <c r="W114" s="226"/>
      <c r="X114" s="723"/>
      <c r="Y114" s="226"/>
      <c r="Z114" s="226"/>
      <c r="AB114" s="226"/>
      <c r="AC114" s="228"/>
      <c r="AD114" s="226"/>
      <c r="AE114" s="226"/>
      <c r="AF114" s="226"/>
      <c r="AG114" s="226"/>
      <c r="AH114" s="226"/>
      <c r="AI114" s="226"/>
      <c r="AJ114" s="226"/>
      <c r="AK114" s="226"/>
      <c r="AL114" s="226"/>
      <c r="AM114" s="226"/>
      <c r="AN114" s="226"/>
      <c r="AO114" s="226"/>
    </row>
    <row r="115" spans="1:41" ht="16">
      <c r="A115" s="226"/>
      <c r="B115" s="226"/>
      <c r="C115" s="2"/>
      <c r="D115" s="226"/>
      <c r="E115" s="226"/>
      <c r="F115" s="226"/>
      <c r="G115" s="226"/>
      <c r="H115" s="226"/>
      <c r="I115" s="226"/>
      <c r="J115" s="226"/>
      <c r="K115" s="226"/>
      <c r="L115" s="226"/>
      <c r="M115" s="226"/>
      <c r="N115" s="226"/>
      <c r="O115" s="226"/>
      <c r="P115" s="226"/>
      <c r="Q115" s="226"/>
      <c r="R115" s="226"/>
      <c r="S115" s="226"/>
      <c r="T115" s="226"/>
      <c r="U115" s="226"/>
      <c r="V115" s="226"/>
      <c r="W115" s="226"/>
      <c r="X115" s="723"/>
    </row>
    <row r="116" spans="1:41" ht="16">
      <c r="A116" s="226"/>
      <c r="B116" s="226"/>
      <c r="C116" s="2"/>
      <c r="D116" s="226"/>
      <c r="E116" s="226"/>
      <c r="F116" s="226"/>
      <c r="G116" s="226"/>
      <c r="H116" s="226"/>
      <c r="I116" s="226"/>
      <c r="J116" s="226"/>
      <c r="K116" s="226"/>
      <c r="L116" s="226"/>
      <c r="M116" s="226"/>
      <c r="N116" s="226"/>
      <c r="O116" s="226"/>
      <c r="P116" s="226"/>
      <c r="Q116" s="226"/>
      <c r="R116" s="226"/>
      <c r="S116" s="226"/>
      <c r="T116" s="226"/>
      <c r="U116" s="226"/>
      <c r="V116" s="226"/>
      <c r="W116" s="226"/>
      <c r="X116" s="723"/>
    </row>
    <row r="117" spans="1:41" ht="16">
      <c r="A117" s="226"/>
      <c r="B117" s="226"/>
      <c r="C117" s="2"/>
      <c r="D117" s="226"/>
      <c r="E117" s="226"/>
      <c r="F117" s="226"/>
      <c r="G117" s="226"/>
      <c r="H117" s="226"/>
      <c r="I117" s="226"/>
      <c r="J117" s="226"/>
      <c r="K117" s="226"/>
      <c r="L117" s="226"/>
      <c r="M117" s="226"/>
      <c r="N117" s="226"/>
      <c r="O117" s="226"/>
      <c r="P117" s="226"/>
      <c r="Q117" s="226"/>
      <c r="R117" s="226"/>
      <c r="S117" s="226"/>
      <c r="T117" s="226"/>
      <c r="U117" s="226"/>
      <c r="V117" s="226"/>
      <c r="W117" s="226"/>
      <c r="X117" s="723"/>
    </row>
    <row r="118" spans="1:41" ht="16">
      <c r="A118" s="226"/>
      <c r="B118" s="226"/>
      <c r="C118" s="2"/>
      <c r="D118" s="226"/>
      <c r="E118" s="226"/>
      <c r="F118" s="226"/>
      <c r="G118" s="226"/>
      <c r="H118" s="226"/>
      <c r="I118" s="226"/>
      <c r="J118" s="226"/>
      <c r="K118" s="226"/>
      <c r="L118" s="226"/>
      <c r="M118" s="226"/>
      <c r="N118" s="226"/>
      <c r="O118" s="226"/>
      <c r="P118" s="226"/>
      <c r="Q118" s="226"/>
      <c r="R118" s="226"/>
      <c r="S118" s="226"/>
      <c r="T118" s="226"/>
      <c r="U118" s="226"/>
      <c r="V118" s="226"/>
      <c r="W118" s="226"/>
      <c r="X118" s="723"/>
    </row>
    <row r="119" spans="1:41" ht="16">
      <c r="A119" s="226"/>
      <c r="B119" s="226"/>
      <c r="C119" s="2"/>
      <c r="D119" s="226"/>
      <c r="E119" s="226"/>
      <c r="F119" s="226"/>
      <c r="G119" s="226"/>
      <c r="H119" s="226"/>
      <c r="I119" s="226"/>
      <c r="J119" s="226"/>
      <c r="K119" s="226"/>
      <c r="L119" s="226"/>
      <c r="M119" s="226"/>
      <c r="N119" s="226"/>
      <c r="O119" s="226"/>
      <c r="P119" s="226"/>
      <c r="Q119" s="226"/>
      <c r="R119" s="226"/>
      <c r="S119" s="226"/>
      <c r="T119" s="226"/>
      <c r="U119" s="226"/>
      <c r="V119" s="226"/>
      <c r="W119" s="226"/>
      <c r="X119" s="723"/>
    </row>
    <row r="120" spans="1:41" ht="16">
      <c r="A120" s="226"/>
      <c r="B120" s="226"/>
      <c r="C120" s="2"/>
      <c r="D120" s="226"/>
      <c r="E120" s="226"/>
      <c r="F120" s="226"/>
      <c r="G120" s="226"/>
      <c r="H120" s="226"/>
      <c r="I120" s="226"/>
      <c r="J120" s="226"/>
      <c r="K120" s="226"/>
      <c r="L120" s="226"/>
      <c r="M120" s="226"/>
      <c r="N120" s="226"/>
      <c r="O120" s="226"/>
      <c r="P120" s="226"/>
      <c r="Q120" s="226"/>
      <c r="R120" s="226"/>
      <c r="S120" s="226"/>
      <c r="T120" s="226"/>
      <c r="U120" s="226"/>
      <c r="V120" s="226"/>
      <c r="W120" s="226"/>
      <c r="X120" s="723"/>
    </row>
    <row r="121" spans="1:41" ht="16">
      <c r="A121" s="226"/>
      <c r="B121" s="226"/>
      <c r="C121" s="2"/>
      <c r="D121" s="226"/>
      <c r="E121" s="226"/>
      <c r="F121" s="226"/>
      <c r="G121" s="226"/>
      <c r="H121" s="226"/>
      <c r="I121" s="226"/>
      <c r="J121" s="226"/>
      <c r="K121" s="226"/>
      <c r="L121" s="226"/>
      <c r="M121" s="226"/>
      <c r="N121" s="226"/>
      <c r="O121" s="226"/>
      <c r="P121" s="226"/>
      <c r="Q121" s="226"/>
      <c r="R121" s="226"/>
      <c r="S121" s="226"/>
      <c r="T121" s="226"/>
      <c r="U121" s="226"/>
      <c r="V121" s="226"/>
      <c r="W121" s="226"/>
      <c r="X121" s="723"/>
    </row>
    <row r="122" spans="1:41" ht="16">
      <c r="A122" s="226"/>
      <c r="B122" s="226"/>
      <c r="C122" s="2"/>
      <c r="D122" s="226"/>
      <c r="E122" s="226"/>
      <c r="F122" s="226"/>
      <c r="G122" s="226"/>
      <c r="H122" s="226"/>
      <c r="I122" s="226"/>
      <c r="J122" s="226"/>
      <c r="K122" s="226"/>
      <c r="L122" s="226"/>
      <c r="M122" s="226"/>
      <c r="N122" s="226"/>
      <c r="O122" s="226"/>
      <c r="P122" s="226"/>
      <c r="Q122" s="226"/>
      <c r="R122" s="226"/>
      <c r="S122" s="226"/>
      <c r="T122" s="226"/>
      <c r="U122" s="226"/>
      <c r="V122" s="226"/>
      <c r="W122" s="226"/>
      <c r="X122" s="723"/>
    </row>
    <row r="123" spans="1:41" ht="16">
      <c r="A123" s="226"/>
      <c r="B123" s="226"/>
      <c r="C123" s="2"/>
      <c r="D123" s="226"/>
      <c r="E123" s="226"/>
      <c r="F123" s="226"/>
      <c r="G123" s="226"/>
      <c r="H123" s="226"/>
      <c r="I123" s="226"/>
      <c r="J123" s="226"/>
      <c r="K123" s="226"/>
      <c r="L123" s="226"/>
      <c r="M123" s="226"/>
      <c r="N123" s="226"/>
      <c r="O123" s="226"/>
      <c r="P123" s="226"/>
      <c r="Q123" s="226"/>
      <c r="R123" s="226"/>
      <c r="S123" s="226"/>
      <c r="T123" s="226"/>
      <c r="U123" s="226"/>
      <c r="V123" s="226"/>
      <c r="W123" s="226"/>
      <c r="X123" s="723"/>
    </row>
    <row r="124" spans="1:41" ht="16">
      <c r="A124" s="226"/>
      <c r="B124" s="226"/>
      <c r="C124" s="2"/>
      <c r="D124" s="226"/>
      <c r="E124" s="226"/>
      <c r="F124" s="226"/>
      <c r="G124" s="226"/>
      <c r="H124" s="226"/>
      <c r="I124" s="226"/>
      <c r="J124" s="226"/>
      <c r="K124" s="226"/>
      <c r="L124" s="226"/>
      <c r="M124" s="226"/>
      <c r="N124" s="226"/>
      <c r="O124" s="226"/>
      <c r="P124" s="226"/>
      <c r="Q124" s="226"/>
      <c r="R124" s="226"/>
      <c r="S124" s="226"/>
      <c r="T124" s="226"/>
      <c r="U124" s="226"/>
      <c r="V124" s="226"/>
      <c r="W124" s="226"/>
      <c r="X124" s="723"/>
    </row>
    <row r="125" spans="1:41" ht="16">
      <c r="A125" s="226"/>
      <c r="B125" s="226"/>
      <c r="C125" s="2"/>
      <c r="D125" s="226"/>
      <c r="E125" s="226"/>
      <c r="F125" s="226"/>
      <c r="G125" s="226"/>
      <c r="H125" s="226"/>
      <c r="I125" s="226"/>
      <c r="J125" s="226"/>
      <c r="K125" s="226"/>
      <c r="L125" s="226"/>
      <c r="M125" s="226"/>
      <c r="N125" s="226"/>
      <c r="O125" s="226"/>
      <c r="P125" s="226"/>
      <c r="Q125" s="226"/>
      <c r="R125" s="226"/>
      <c r="S125" s="226"/>
      <c r="T125" s="226"/>
      <c r="U125" s="226"/>
      <c r="V125" s="226"/>
      <c r="W125" s="226"/>
      <c r="X125" s="723"/>
    </row>
    <row r="126" spans="1:41" ht="16">
      <c r="A126" s="226"/>
      <c r="B126" s="226"/>
      <c r="C126" s="2"/>
      <c r="D126" s="226"/>
      <c r="E126" s="226"/>
      <c r="F126" s="226"/>
      <c r="G126" s="226"/>
      <c r="H126" s="226"/>
      <c r="I126" s="226"/>
      <c r="J126" s="226"/>
      <c r="K126" s="226"/>
      <c r="L126" s="226"/>
      <c r="M126" s="226"/>
      <c r="N126" s="226"/>
      <c r="O126" s="226"/>
      <c r="P126" s="226"/>
      <c r="Q126" s="226"/>
      <c r="R126" s="226"/>
      <c r="S126" s="226"/>
      <c r="T126" s="226"/>
      <c r="U126" s="226"/>
      <c r="V126" s="226"/>
      <c r="W126" s="226"/>
      <c r="X126" s="723"/>
    </row>
    <row r="127" spans="1:41" ht="16">
      <c r="A127" s="226"/>
      <c r="B127" s="226"/>
      <c r="C127" s="2"/>
      <c r="D127" s="226"/>
      <c r="E127" s="226"/>
      <c r="F127" s="226"/>
      <c r="G127" s="226"/>
      <c r="H127" s="226"/>
      <c r="I127" s="226"/>
      <c r="J127" s="226"/>
      <c r="K127" s="226"/>
      <c r="L127" s="226"/>
      <c r="M127" s="226"/>
      <c r="N127" s="226"/>
      <c r="O127" s="226"/>
      <c r="P127" s="226"/>
      <c r="Q127" s="226"/>
      <c r="R127" s="226"/>
      <c r="S127" s="226"/>
      <c r="T127" s="226"/>
      <c r="U127" s="226"/>
      <c r="V127" s="226"/>
      <c r="W127" s="226"/>
      <c r="X127" s="723"/>
    </row>
    <row r="128" spans="1:41" ht="16">
      <c r="A128" s="226"/>
      <c r="B128" s="226"/>
      <c r="C128" s="2"/>
      <c r="D128" s="226"/>
      <c r="E128" s="226"/>
      <c r="F128" s="226"/>
      <c r="G128" s="226"/>
      <c r="H128" s="226"/>
      <c r="I128" s="226"/>
      <c r="J128" s="226"/>
      <c r="K128" s="226"/>
      <c r="L128" s="226"/>
      <c r="M128" s="226"/>
      <c r="N128" s="226"/>
      <c r="O128" s="226"/>
      <c r="P128" s="226"/>
      <c r="Q128" s="226"/>
      <c r="R128" s="226"/>
      <c r="S128" s="226"/>
      <c r="T128" s="226"/>
      <c r="U128" s="226"/>
      <c r="V128" s="226"/>
      <c r="W128" s="226"/>
      <c r="X128" s="723"/>
    </row>
    <row r="129" spans="1:24" ht="16">
      <c r="A129" s="226"/>
      <c r="B129" s="226"/>
      <c r="C129" s="2"/>
      <c r="D129" s="226"/>
      <c r="E129" s="226"/>
      <c r="F129" s="226"/>
      <c r="G129" s="226"/>
      <c r="H129" s="226"/>
      <c r="I129" s="226"/>
      <c r="J129" s="226"/>
      <c r="K129" s="226"/>
      <c r="L129" s="226"/>
      <c r="M129" s="226"/>
      <c r="N129" s="226"/>
      <c r="O129" s="226"/>
      <c r="P129" s="226"/>
      <c r="Q129" s="226"/>
      <c r="R129" s="226"/>
      <c r="S129" s="226"/>
      <c r="T129" s="226"/>
      <c r="U129" s="226"/>
      <c r="V129" s="226"/>
      <c r="W129" s="226"/>
      <c r="X129" s="723"/>
    </row>
    <row r="130" spans="1:24" ht="16">
      <c r="A130" s="226"/>
      <c r="B130" s="226"/>
      <c r="C130" s="2"/>
      <c r="D130" s="226"/>
      <c r="E130" s="226"/>
      <c r="F130" s="226"/>
      <c r="G130" s="226"/>
      <c r="H130" s="226"/>
      <c r="I130" s="226"/>
      <c r="J130" s="226"/>
      <c r="K130" s="226"/>
      <c r="L130" s="226"/>
      <c r="M130" s="226"/>
      <c r="N130" s="226"/>
      <c r="O130" s="226"/>
      <c r="P130" s="226"/>
      <c r="Q130" s="226"/>
      <c r="R130" s="226"/>
      <c r="S130" s="226"/>
      <c r="T130" s="226"/>
      <c r="U130" s="226"/>
      <c r="V130" s="226"/>
      <c r="W130" s="226"/>
      <c r="X130" s="723"/>
    </row>
    <row r="131" spans="1:24" ht="16">
      <c r="A131" s="226"/>
      <c r="B131" s="226"/>
      <c r="C131" s="2"/>
      <c r="D131" s="226"/>
      <c r="E131" s="226"/>
      <c r="F131" s="226"/>
      <c r="G131" s="226"/>
      <c r="H131" s="226"/>
      <c r="I131" s="226"/>
      <c r="J131" s="226"/>
      <c r="K131" s="226"/>
      <c r="L131" s="226"/>
      <c r="M131" s="226"/>
      <c r="N131" s="226"/>
      <c r="O131" s="226"/>
      <c r="P131" s="226"/>
      <c r="Q131" s="226"/>
      <c r="R131" s="226"/>
      <c r="S131" s="226"/>
      <c r="T131" s="226"/>
      <c r="U131" s="226"/>
      <c r="V131" s="226"/>
      <c r="W131" s="226"/>
      <c r="X131" s="723"/>
    </row>
    <row r="132" spans="1:24" ht="16">
      <c r="A132" s="226"/>
      <c r="B132" s="226"/>
      <c r="C132" s="2"/>
      <c r="D132" s="226"/>
      <c r="E132" s="226"/>
      <c r="F132" s="226"/>
      <c r="G132" s="226"/>
      <c r="H132" s="226"/>
      <c r="I132" s="226"/>
      <c r="J132" s="226"/>
      <c r="K132" s="226"/>
      <c r="L132" s="226"/>
      <c r="M132" s="226"/>
      <c r="N132" s="226"/>
      <c r="O132" s="226"/>
      <c r="P132" s="226"/>
      <c r="Q132" s="226"/>
      <c r="R132" s="226"/>
      <c r="S132" s="226"/>
      <c r="T132" s="226"/>
      <c r="U132" s="226"/>
      <c r="V132" s="226"/>
      <c r="W132" s="226"/>
      <c r="X132" s="723"/>
    </row>
    <row r="133" spans="1:24" ht="16">
      <c r="A133" s="226"/>
      <c r="B133" s="226"/>
      <c r="C133" s="2"/>
      <c r="D133" s="226"/>
      <c r="E133" s="226"/>
      <c r="F133" s="226"/>
      <c r="G133" s="226"/>
      <c r="H133" s="226"/>
      <c r="I133" s="226"/>
      <c r="J133" s="226"/>
      <c r="K133" s="226"/>
      <c r="L133" s="226"/>
      <c r="M133" s="226"/>
      <c r="N133" s="226"/>
      <c r="O133" s="226"/>
      <c r="P133" s="226"/>
      <c r="Q133" s="226"/>
      <c r="R133" s="226"/>
      <c r="S133" s="226"/>
      <c r="T133" s="226"/>
      <c r="U133" s="226"/>
      <c r="V133" s="226"/>
      <c r="W133" s="226"/>
      <c r="X133" s="723"/>
    </row>
    <row r="134" spans="1:24" ht="16">
      <c r="A134" s="226"/>
      <c r="B134" s="226"/>
      <c r="C134" s="2"/>
      <c r="D134" s="226"/>
      <c r="E134" s="226"/>
      <c r="F134" s="226"/>
      <c r="G134" s="226"/>
      <c r="H134" s="226"/>
      <c r="I134" s="226"/>
      <c r="J134" s="226"/>
      <c r="K134" s="226"/>
      <c r="L134" s="226"/>
      <c r="M134" s="226"/>
      <c r="N134" s="226"/>
      <c r="O134" s="226"/>
      <c r="P134" s="226"/>
      <c r="Q134" s="226"/>
      <c r="R134" s="226"/>
      <c r="S134" s="226"/>
      <c r="T134" s="226"/>
      <c r="U134" s="226"/>
      <c r="V134" s="226"/>
      <c r="W134" s="226"/>
      <c r="X134" s="723"/>
    </row>
    <row r="135" spans="1:24" ht="16">
      <c r="A135" s="226"/>
      <c r="B135" s="226"/>
      <c r="C135" s="2"/>
      <c r="D135" s="226"/>
      <c r="E135" s="226"/>
      <c r="F135" s="226"/>
      <c r="G135" s="226"/>
      <c r="H135" s="226"/>
      <c r="I135" s="226"/>
      <c r="J135" s="226"/>
      <c r="K135" s="226"/>
      <c r="L135" s="226"/>
      <c r="M135" s="226"/>
      <c r="N135" s="226"/>
      <c r="O135" s="226"/>
      <c r="P135" s="226"/>
      <c r="Q135" s="226"/>
      <c r="R135" s="226"/>
      <c r="S135" s="226"/>
      <c r="T135" s="226"/>
      <c r="U135" s="226"/>
      <c r="V135" s="226"/>
      <c r="W135" s="226"/>
      <c r="X135" s="723"/>
    </row>
    <row r="136" spans="1:24" ht="16">
      <c r="A136" s="226"/>
      <c r="B136" s="226"/>
      <c r="C136" s="2"/>
      <c r="D136" s="226"/>
      <c r="E136" s="226"/>
      <c r="F136" s="226"/>
      <c r="G136" s="226"/>
      <c r="H136" s="226"/>
      <c r="I136" s="226"/>
      <c r="J136" s="226"/>
      <c r="K136" s="226"/>
      <c r="L136" s="226"/>
      <c r="M136" s="226"/>
      <c r="N136" s="226"/>
      <c r="O136" s="226"/>
      <c r="P136" s="226"/>
      <c r="Q136" s="226"/>
      <c r="R136" s="226"/>
      <c r="S136" s="226"/>
      <c r="T136" s="226"/>
      <c r="U136" s="226"/>
      <c r="V136" s="226"/>
      <c r="W136" s="226"/>
      <c r="X136" s="723"/>
    </row>
    <row r="137" spans="1:24" ht="16">
      <c r="A137" s="226"/>
      <c r="B137" s="226"/>
      <c r="C137" s="2"/>
      <c r="D137" s="226"/>
      <c r="E137" s="226"/>
      <c r="F137" s="226"/>
      <c r="G137" s="226"/>
      <c r="H137" s="226"/>
      <c r="I137" s="226"/>
      <c r="J137" s="226"/>
      <c r="K137" s="226"/>
      <c r="L137" s="226"/>
      <c r="M137" s="226"/>
      <c r="N137" s="226"/>
      <c r="O137" s="226"/>
      <c r="P137" s="226"/>
      <c r="Q137" s="226"/>
      <c r="R137" s="226"/>
      <c r="S137" s="226"/>
      <c r="T137" s="226"/>
      <c r="U137" s="226"/>
      <c r="V137" s="226"/>
      <c r="W137" s="226"/>
      <c r="X137" s="723"/>
    </row>
    <row r="138" spans="1:24" ht="16">
      <c r="A138" s="226"/>
      <c r="B138" s="226"/>
      <c r="C138" s="2"/>
      <c r="D138" s="226"/>
      <c r="E138" s="226"/>
      <c r="F138" s="226"/>
      <c r="G138" s="226"/>
      <c r="H138" s="226"/>
      <c r="I138" s="226"/>
      <c r="J138" s="226"/>
      <c r="K138" s="226"/>
      <c r="L138" s="226"/>
      <c r="M138" s="226"/>
      <c r="N138" s="226"/>
      <c r="O138" s="226"/>
      <c r="P138" s="226"/>
      <c r="Q138" s="226"/>
      <c r="R138" s="226"/>
      <c r="S138" s="226"/>
      <c r="T138" s="226"/>
      <c r="U138" s="226"/>
      <c r="V138" s="226"/>
      <c r="W138" s="226"/>
      <c r="X138" s="723"/>
    </row>
    <row r="139" spans="1:24" ht="16">
      <c r="A139" s="226"/>
      <c r="B139" s="226"/>
      <c r="C139" s="2"/>
      <c r="D139" s="226"/>
      <c r="E139" s="226"/>
      <c r="F139" s="226"/>
      <c r="G139" s="226"/>
      <c r="H139" s="226"/>
      <c r="I139" s="226"/>
      <c r="J139" s="226"/>
      <c r="K139" s="226"/>
      <c r="L139" s="226"/>
      <c r="M139" s="226"/>
      <c r="N139" s="226"/>
      <c r="O139" s="226"/>
      <c r="P139" s="226"/>
      <c r="Q139" s="226"/>
      <c r="R139" s="226"/>
      <c r="S139" s="226"/>
      <c r="T139" s="226"/>
      <c r="U139" s="226"/>
      <c r="V139" s="226"/>
      <c r="W139" s="226"/>
      <c r="X139" s="723"/>
    </row>
    <row r="140" spans="1:24" ht="16">
      <c r="A140" s="226"/>
      <c r="B140" s="226"/>
      <c r="C140" s="2"/>
      <c r="D140" s="226"/>
      <c r="E140" s="226"/>
      <c r="F140" s="226"/>
      <c r="G140" s="226"/>
      <c r="H140" s="226"/>
      <c r="I140" s="226"/>
      <c r="J140" s="226"/>
      <c r="K140" s="226"/>
      <c r="L140" s="226"/>
      <c r="M140" s="226"/>
      <c r="N140" s="226"/>
      <c r="O140" s="226"/>
      <c r="P140" s="226"/>
      <c r="Q140" s="226"/>
      <c r="R140" s="226"/>
      <c r="S140" s="226"/>
      <c r="T140" s="226"/>
      <c r="U140" s="226"/>
      <c r="V140" s="226"/>
      <c r="W140" s="226"/>
      <c r="X140" s="723"/>
    </row>
    <row r="141" spans="1:24" ht="16">
      <c r="A141" s="226"/>
      <c r="B141" s="226"/>
      <c r="C141" s="2"/>
      <c r="D141" s="226"/>
      <c r="E141" s="226"/>
      <c r="F141" s="226"/>
      <c r="G141" s="226"/>
      <c r="H141" s="226"/>
      <c r="I141" s="226"/>
      <c r="J141" s="226"/>
      <c r="K141" s="226"/>
      <c r="L141" s="226"/>
      <c r="M141" s="226"/>
      <c r="N141" s="226"/>
      <c r="O141" s="226"/>
      <c r="P141" s="226"/>
      <c r="Q141" s="226"/>
      <c r="R141" s="226"/>
      <c r="S141" s="226"/>
      <c r="T141" s="226"/>
      <c r="U141" s="226"/>
      <c r="V141" s="226"/>
      <c r="W141" s="226"/>
      <c r="X141" s="723"/>
    </row>
    <row r="142" spans="1:24" ht="16">
      <c r="A142" s="226"/>
      <c r="B142" s="226"/>
      <c r="C142" s="2"/>
      <c r="D142" s="226"/>
      <c r="E142" s="226"/>
      <c r="F142" s="226"/>
      <c r="G142" s="226"/>
      <c r="H142" s="226"/>
      <c r="I142" s="226"/>
      <c r="J142" s="226"/>
      <c r="K142" s="226"/>
      <c r="L142" s="226"/>
      <c r="M142" s="226"/>
      <c r="N142" s="226"/>
      <c r="O142" s="226"/>
      <c r="P142" s="226"/>
      <c r="Q142" s="226"/>
      <c r="R142" s="226"/>
      <c r="S142" s="226"/>
      <c r="T142" s="226"/>
      <c r="U142" s="226"/>
      <c r="V142" s="226"/>
      <c r="W142" s="226"/>
      <c r="X142" s="723"/>
    </row>
    <row r="143" spans="1:24" ht="16">
      <c r="A143" s="226"/>
      <c r="B143" s="226"/>
      <c r="C143" s="2"/>
      <c r="D143" s="226"/>
      <c r="E143" s="226"/>
      <c r="F143" s="226"/>
      <c r="G143" s="226"/>
      <c r="H143" s="226"/>
      <c r="I143" s="226"/>
      <c r="J143" s="226"/>
      <c r="K143" s="226"/>
      <c r="L143" s="226"/>
      <c r="M143" s="226"/>
      <c r="N143" s="226"/>
      <c r="O143" s="226"/>
      <c r="P143" s="226"/>
      <c r="Q143" s="226"/>
      <c r="R143" s="226"/>
      <c r="S143" s="226"/>
      <c r="T143" s="226"/>
      <c r="U143" s="226"/>
      <c r="V143" s="226"/>
      <c r="W143" s="226"/>
      <c r="X143" s="723"/>
    </row>
    <row r="144" spans="1:24" ht="16">
      <c r="A144" s="226"/>
      <c r="B144" s="226"/>
      <c r="C144" s="2"/>
      <c r="D144" s="226"/>
      <c r="E144" s="226"/>
      <c r="F144" s="226"/>
      <c r="G144" s="226"/>
      <c r="H144" s="226"/>
      <c r="I144" s="226"/>
      <c r="J144" s="226"/>
      <c r="K144" s="226"/>
      <c r="L144" s="226"/>
      <c r="M144" s="226"/>
      <c r="N144" s="226"/>
      <c r="O144" s="226"/>
      <c r="P144" s="226"/>
      <c r="Q144" s="226"/>
      <c r="R144" s="226"/>
      <c r="S144" s="226"/>
      <c r="T144" s="226"/>
      <c r="U144" s="226"/>
      <c r="V144" s="226"/>
      <c r="W144" s="226"/>
      <c r="X144" s="723"/>
    </row>
    <row r="145" spans="1:24" ht="16">
      <c r="A145" s="226"/>
      <c r="B145" s="226"/>
      <c r="C145" s="2"/>
      <c r="D145" s="226"/>
      <c r="E145" s="226"/>
      <c r="F145" s="226"/>
      <c r="G145" s="226"/>
      <c r="H145" s="226"/>
      <c r="I145" s="226"/>
      <c r="J145" s="226"/>
      <c r="K145" s="226"/>
      <c r="L145" s="226"/>
      <c r="M145" s="226"/>
      <c r="N145" s="226"/>
      <c r="O145" s="226"/>
      <c r="P145" s="226"/>
      <c r="Q145" s="226"/>
      <c r="R145" s="226"/>
      <c r="S145" s="226"/>
      <c r="T145" s="226"/>
      <c r="U145" s="226"/>
      <c r="V145" s="226"/>
      <c r="W145" s="226"/>
      <c r="X145" s="723"/>
    </row>
    <row r="146" spans="1:24" ht="16">
      <c r="A146" s="226"/>
      <c r="B146" s="226"/>
      <c r="C146" s="2"/>
      <c r="D146" s="226"/>
      <c r="E146" s="226"/>
      <c r="F146" s="226"/>
      <c r="G146" s="226"/>
      <c r="H146" s="226"/>
      <c r="I146" s="226"/>
      <c r="J146" s="226"/>
      <c r="K146" s="226"/>
      <c r="L146" s="226"/>
      <c r="M146" s="226"/>
      <c r="N146" s="226"/>
      <c r="O146" s="226"/>
      <c r="P146" s="226"/>
      <c r="Q146" s="226"/>
      <c r="R146" s="226"/>
      <c r="S146" s="226"/>
      <c r="T146" s="226"/>
      <c r="U146" s="226"/>
      <c r="V146" s="226"/>
      <c r="W146" s="226"/>
      <c r="X146" s="723"/>
    </row>
    <row r="147" spans="1:24" ht="16">
      <c r="A147" s="226"/>
      <c r="B147" s="226"/>
      <c r="C147" s="2"/>
      <c r="D147" s="226"/>
      <c r="E147" s="226"/>
      <c r="F147" s="226"/>
      <c r="G147" s="226"/>
      <c r="H147" s="226"/>
      <c r="I147" s="226"/>
      <c r="J147" s="226"/>
      <c r="K147" s="226"/>
      <c r="L147" s="226"/>
      <c r="M147" s="226"/>
      <c r="N147" s="226"/>
      <c r="O147" s="226"/>
      <c r="P147" s="226"/>
      <c r="Q147" s="226"/>
      <c r="R147" s="226"/>
      <c r="S147" s="226"/>
      <c r="T147" s="226"/>
      <c r="U147" s="226"/>
      <c r="V147" s="226"/>
      <c r="W147" s="226"/>
      <c r="X147" s="723"/>
    </row>
    <row r="148" spans="1:24" ht="16">
      <c r="A148" s="226"/>
      <c r="B148" s="226"/>
      <c r="C148" s="2"/>
      <c r="D148" s="226"/>
      <c r="E148" s="226"/>
      <c r="F148" s="226"/>
      <c r="G148" s="226"/>
      <c r="H148" s="226"/>
      <c r="I148" s="226"/>
      <c r="J148" s="226"/>
      <c r="K148" s="226"/>
      <c r="L148" s="226"/>
      <c r="M148" s="226"/>
      <c r="N148" s="226"/>
      <c r="O148" s="226"/>
      <c r="P148" s="226"/>
      <c r="Q148" s="226"/>
      <c r="R148" s="226"/>
      <c r="S148" s="226"/>
      <c r="T148" s="226"/>
      <c r="U148" s="226"/>
      <c r="V148" s="226"/>
      <c r="W148" s="226"/>
      <c r="X148" s="723"/>
    </row>
    <row r="149" spans="1:24" ht="16">
      <c r="A149" s="226"/>
      <c r="B149" s="226"/>
      <c r="C149" s="2"/>
      <c r="D149" s="226"/>
      <c r="E149" s="226"/>
      <c r="F149" s="226"/>
      <c r="G149" s="226"/>
      <c r="H149" s="226"/>
      <c r="I149" s="226"/>
      <c r="J149" s="226"/>
      <c r="K149" s="226"/>
      <c r="L149" s="226"/>
      <c r="M149" s="226"/>
      <c r="N149" s="226"/>
      <c r="O149" s="226"/>
      <c r="P149" s="226"/>
      <c r="Q149" s="226"/>
      <c r="R149" s="226"/>
      <c r="S149" s="226"/>
      <c r="T149" s="226"/>
      <c r="U149" s="226"/>
      <c r="V149" s="226"/>
      <c r="W149" s="226"/>
      <c r="X149" s="723"/>
    </row>
    <row r="150" spans="1:24" ht="16">
      <c r="A150" s="226"/>
      <c r="B150" s="226"/>
      <c r="C150" s="2"/>
      <c r="D150" s="226"/>
      <c r="E150" s="226"/>
      <c r="F150" s="226"/>
      <c r="G150" s="226"/>
      <c r="H150" s="226"/>
      <c r="I150" s="226"/>
      <c r="J150" s="226"/>
      <c r="K150" s="226"/>
      <c r="L150" s="226"/>
      <c r="M150" s="226"/>
      <c r="N150" s="226"/>
      <c r="O150" s="226"/>
      <c r="P150" s="226"/>
      <c r="Q150" s="226"/>
      <c r="R150" s="226"/>
      <c r="S150" s="226"/>
      <c r="T150" s="226"/>
      <c r="U150" s="226"/>
      <c r="V150" s="226"/>
      <c r="W150" s="226"/>
      <c r="X150" s="723"/>
    </row>
    <row r="151" spans="1:24" ht="16">
      <c r="A151" s="226"/>
      <c r="B151" s="226"/>
      <c r="C151" s="2"/>
      <c r="D151" s="226"/>
      <c r="E151" s="226"/>
      <c r="F151" s="226"/>
      <c r="G151" s="226"/>
      <c r="H151" s="226"/>
      <c r="I151" s="226"/>
      <c r="J151" s="226"/>
      <c r="K151" s="226"/>
      <c r="L151" s="226"/>
      <c r="M151" s="226"/>
      <c r="N151" s="226"/>
      <c r="O151" s="226"/>
      <c r="P151" s="226"/>
      <c r="Q151" s="226"/>
      <c r="R151" s="226"/>
      <c r="S151" s="226"/>
      <c r="T151" s="226"/>
      <c r="U151" s="226"/>
      <c r="V151" s="226"/>
      <c r="W151" s="226"/>
      <c r="X151" s="723"/>
    </row>
    <row r="152" spans="1:24" ht="16">
      <c r="A152" s="226"/>
      <c r="B152" s="226"/>
      <c r="C152" s="2"/>
      <c r="D152" s="226"/>
      <c r="E152" s="226"/>
      <c r="F152" s="226"/>
      <c r="G152" s="226"/>
      <c r="H152" s="226"/>
      <c r="I152" s="226"/>
      <c r="J152" s="226"/>
      <c r="K152" s="226"/>
      <c r="L152" s="226"/>
      <c r="M152" s="226"/>
      <c r="N152" s="226"/>
      <c r="O152" s="226"/>
      <c r="P152" s="226"/>
      <c r="Q152" s="226"/>
      <c r="R152" s="226"/>
      <c r="S152" s="226"/>
      <c r="T152" s="226"/>
      <c r="U152" s="226"/>
      <c r="V152" s="226"/>
      <c r="W152" s="226"/>
      <c r="X152" s="723"/>
    </row>
    <row r="153" spans="1:24" ht="16">
      <c r="A153" s="226"/>
      <c r="B153" s="226"/>
      <c r="C153" s="2"/>
      <c r="D153" s="226"/>
      <c r="E153" s="226"/>
      <c r="F153" s="226"/>
      <c r="G153" s="226"/>
      <c r="H153" s="226"/>
      <c r="I153" s="226"/>
      <c r="J153" s="226"/>
      <c r="K153" s="226"/>
      <c r="L153" s="226"/>
      <c r="M153" s="226"/>
      <c r="N153" s="226"/>
      <c r="O153" s="226"/>
      <c r="P153" s="226"/>
      <c r="Q153" s="226"/>
      <c r="R153" s="226"/>
      <c r="S153" s="226"/>
      <c r="T153" s="226"/>
      <c r="U153" s="226"/>
      <c r="V153" s="226"/>
      <c r="W153" s="226"/>
      <c r="X153" s="723"/>
    </row>
    <row r="154" spans="1:24" ht="16">
      <c r="A154" s="226"/>
      <c r="B154" s="226"/>
      <c r="C154" s="2"/>
      <c r="D154" s="226"/>
      <c r="E154" s="226"/>
      <c r="F154" s="226"/>
      <c r="G154" s="226"/>
      <c r="H154" s="226"/>
      <c r="I154" s="226"/>
      <c r="J154" s="226"/>
      <c r="K154" s="226"/>
      <c r="L154" s="226"/>
      <c r="M154" s="226"/>
      <c r="N154" s="226"/>
      <c r="O154" s="226"/>
      <c r="P154" s="226"/>
      <c r="Q154" s="226"/>
      <c r="R154" s="226"/>
      <c r="S154" s="226"/>
      <c r="T154" s="226"/>
      <c r="U154" s="226"/>
      <c r="V154" s="226"/>
      <c r="W154" s="226"/>
      <c r="X154" s="723"/>
    </row>
    <row r="155" spans="1:24" ht="16">
      <c r="A155" s="226"/>
      <c r="B155" s="226"/>
      <c r="C155" s="2"/>
      <c r="D155" s="226"/>
      <c r="E155" s="226"/>
      <c r="F155" s="226"/>
      <c r="G155" s="226"/>
      <c r="H155" s="226"/>
      <c r="I155" s="226"/>
      <c r="J155" s="226"/>
      <c r="K155" s="226"/>
      <c r="L155" s="226"/>
      <c r="M155" s="226"/>
      <c r="N155" s="226"/>
      <c r="O155" s="226"/>
      <c r="P155" s="226"/>
      <c r="Q155" s="226"/>
      <c r="R155" s="226"/>
      <c r="S155" s="226"/>
      <c r="T155" s="226"/>
      <c r="U155" s="226"/>
      <c r="V155" s="226"/>
      <c r="W155" s="226"/>
      <c r="X155" s="723"/>
    </row>
    <row r="156" spans="1:24" ht="16">
      <c r="A156" s="226"/>
      <c r="B156" s="226"/>
      <c r="C156" s="2"/>
      <c r="D156" s="226"/>
      <c r="E156" s="226"/>
      <c r="F156" s="226"/>
      <c r="G156" s="226"/>
      <c r="H156" s="226"/>
      <c r="I156" s="226"/>
      <c r="J156" s="226"/>
      <c r="K156" s="226"/>
      <c r="L156" s="226"/>
      <c r="M156" s="226"/>
      <c r="N156" s="226"/>
      <c r="O156" s="226"/>
      <c r="P156" s="226"/>
      <c r="Q156" s="226"/>
      <c r="R156" s="226"/>
      <c r="S156" s="226"/>
      <c r="T156" s="226"/>
      <c r="U156" s="226"/>
      <c r="V156" s="226"/>
      <c r="W156" s="226"/>
      <c r="X156" s="723"/>
    </row>
    <row r="157" spans="1:24" ht="16">
      <c r="A157" s="226"/>
      <c r="B157" s="226"/>
      <c r="C157" s="2"/>
      <c r="D157" s="226"/>
      <c r="E157" s="226"/>
      <c r="F157" s="226"/>
      <c r="G157" s="226"/>
      <c r="H157" s="226"/>
      <c r="I157" s="226"/>
      <c r="J157" s="226"/>
      <c r="K157" s="226"/>
      <c r="L157" s="226"/>
      <c r="M157" s="226"/>
      <c r="N157" s="226"/>
      <c r="O157" s="226"/>
      <c r="P157" s="226"/>
      <c r="Q157" s="226"/>
      <c r="R157" s="226"/>
      <c r="S157" s="226"/>
      <c r="T157" s="226"/>
      <c r="U157" s="226"/>
      <c r="V157" s="226"/>
      <c r="W157" s="226"/>
      <c r="X157" s="723"/>
    </row>
    <row r="158" spans="1:24" ht="16">
      <c r="A158" s="226"/>
      <c r="B158" s="226"/>
      <c r="C158" s="2"/>
      <c r="D158" s="226"/>
      <c r="E158" s="226"/>
      <c r="F158" s="226"/>
      <c r="G158" s="226"/>
      <c r="H158" s="226"/>
      <c r="I158" s="226"/>
      <c r="J158" s="226"/>
      <c r="K158" s="226"/>
      <c r="L158" s="226"/>
      <c r="M158" s="226"/>
      <c r="N158" s="226"/>
      <c r="O158" s="226"/>
      <c r="P158" s="226"/>
      <c r="Q158" s="226"/>
      <c r="R158" s="226"/>
      <c r="S158" s="226"/>
      <c r="T158" s="226"/>
      <c r="U158" s="226"/>
      <c r="V158" s="226"/>
      <c r="W158" s="226"/>
      <c r="X158" s="723"/>
    </row>
    <row r="159" spans="1:24" ht="16">
      <c r="A159" s="226"/>
      <c r="B159" s="226"/>
      <c r="C159" s="2"/>
      <c r="D159" s="226"/>
      <c r="E159" s="226"/>
      <c r="F159" s="226"/>
      <c r="G159" s="226"/>
      <c r="H159" s="226"/>
      <c r="I159" s="226"/>
      <c r="J159" s="226"/>
      <c r="K159" s="226"/>
      <c r="L159" s="226"/>
      <c r="M159" s="226"/>
      <c r="N159" s="226"/>
      <c r="O159" s="226"/>
      <c r="P159" s="226"/>
      <c r="Q159" s="226"/>
      <c r="R159" s="226"/>
      <c r="S159" s="226"/>
      <c r="T159" s="226"/>
      <c r="U159" s="226"/>
      <c r="V159" s="226"/>
      <c r="W159" s="226"/>
      <c r="X159" s="723"/>
    </row>
    <row r="160" spans="1:24" ht="16">
      <c r="A160" s="226"/>
      <c r="B160" s="226"/>
      <c r="C160" s="2"/>
      <c r="D160" s="226"/>
      <c r="E160" s="226"/>
      <c r="G160" s="226"/>
      <c r="H160" s="226"/>
      <c r="I160" s="226"/>
      <c r="J160" s="226"/>
      <c r="K160" s="226"/>
      <c r="L160" s="226"/>
      <c r="M160" s="226"/>
      <c r="N160" s="226"/>
      <c r="O160" s="226"/>
      <c r="P160" s="226"/>
      <c r="Q160" s="226"/>
      <c r="R160" s="226"/>
      <c r="S160" s="226"/>
      <c r="T160" s="226"/>
      <c r="U160" s="226"/>
      <c r="V160" s="226"/>
      <c r="W160" s="226"/>
      <c r="X160" s="723"/>
    </row>
    <row r="161" spans="1:24" ht="16">
      <c r="A161" s="226"/>
      <c r="B161" s="226"/>
      <c r="C161" s="2"/>
      <c r="D161" s="226"/>
      <c r="E161" s="226"/>
      <c r="G161" s="226"/>
      <c r="H161" s="226"/>
      <c r="I161" s="226"/>
      <c r="J161" s="226"/>
      <c r="K161" s="226"/>
      <c r="L161" s="226"/>
      <c r="M161" s="226"/>
      <c r="N161" s="226"/>
      <c r="O161" s="226"/>
      <c r="P161" s="226"/>
      <c r="Q161" s="226"/>
      <c r="R161" s="226"/>
      <c r="S161" s="226"/>
      <c r="T161" s="226"/>
      <c r="U161" s="226"/>
      <c r="V161" s="226"/>
      <c r="W161" s="226"/>
      <c r="X161" s="723"/>
    </row>
    <row r="162" spans="1:24" ht="16">
      <c r="C162" s="1"/>
      <c r="Q162" s="226"/>
      <c r="R162" s="226"/>
    </row>
    <row r="163" spans="1:24">
      <c r="C163" s="1"/>
    </row>
    <row r="164" spans="1:24">
      <c r="C164" s="1"/>
    </row>
    <row r="165" spans="1:24">
      <c r="C165" s="1"/>
    </row>
    <row r="166" spans="1:24">
      <c r="C166" s="1"/>
    </row>
    <row r="167" spans="1:24">
      <c r="C167" s="1"/>
    </row>
  </sheetData>
  <sheetProtection algorithmName="SHA-512" hashValue="GFAepx/RrVvuuQ67bckUxsC3a9fbMFNiXvjR9T75aMXVuLLUIlgzeBTZzaEApIrlEtZPqJoSe9l/vZxX81ywKw==" saltValue="ghvKWH92ZdEcx6BuQFwylw==" spinCount="100000" sheet="1" objects="1" scenarios="1" selectLockedCells="1"/>
  <sortState xmlns:xlrd2="http://schemas.microsoft.com/office/spreadsheetml/2017/richdata2" ref="AC2:AC11">
    <sortCondition ref="AC2:AC11"/>
  </sortState>
  <dataValidations count="3">
    <dataValidation allowBlank="1" showErrorMessage="1" promptTitle="Nonprofit Set-Aside" sqref="F7 F3" xr:uid="{3FBA764F-43F8-8E48-8AD4-9EED697472EC}"/>
    <dataValidation allowBlank="1" showInputMessage="1" showErrorMessage="1" promptTitle="General Set-Aside" prompt="45% of the State housing per-capita Credit will be made available in the General Set-Aside" sqref="F5:F6 F2" xr:uid="{764FBFAA-1640-C944-9244-A1264CA47B48}"/>
    <dataValidation type="list" allowBlank="1" showInputMessage="1" showErrorMessage="1" sqref="F8" xr:uid="{AEC4FD82-EEEE-4814-94C4-C96835755DFC}">
      <formula1>YesNo</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D03F-70C2-49C7-A596-EBF56F5C4163}">
  <sheetPr codeName="Sheet22">
    <pageSetUpPr fitToPage="1"/>
  </sheetPr>
  <dimension ref="A1:DY708"/>
  <sheetViews>
    <sheetView workbookViewId="0">
      <selection activeCell="C30" sqref="C30:K30"/>
    </sheetView>
  </sheetViews>
  <sheetFormatPr baseColWidth="10" defaultColWidth="8.83203125" defaultRowHeight="15"/>
  <cols>
    <col min="1" max="1" width="4.33203125" style="3" customWidth="1"/>
    <col min="2" max="2" width="6.6640625" customWidth="1"/>
    <col min="3" max="3" width="18.5" customWidth="1"/>
    <col min="4" max="4" width="15.5" customWidth="1"/>
    <col min="5" max="5" width="14.5" customWidth="1"/>
    <col min="6" max="6" width="8.6640625" customWidth="1"/>
    <col min="7" max="7" width="7.6640625" customWidth="1"/>
    <col min="8" max="8" width="6.6640625" customWidth="1"/>
    <col min="9" max="11" width="12.1640625" customWidth="1"/>
    <col min="12" max="12" width="11.33203125" customWidth="1"/>
    <col min="13" max="13" width="15.33203125" style="71" customWidth="1"/>
    <col min="14" max="14" width="16.5" customWidth="1"/>
    <col min="15" max="15" width="9.33203125" customWidth="1"/>
    <col min="16" max="16" width="6.83203125" customWidth="1"/>
    <col min="17" max="17" width="13.6640625" style="466" customWidth="1"/>
    <col min="18" max="18" width="23.33203125" style="1533" customWidth="1"/>
    <col min="19" max="19" width="12" style="9" customWidth="1"/>
    <col min="20" max="20" width="12.5" style="149" customWidth="1"/>
    <col min="21" max="21" width="16" style="149" customWidth="1"/>
    <col min="22" max="22" width="23.83203125" style="149" bestFit="1" customWidth="1"/>
    <col min="23" max="23" width="14.83203125" style="149" customWidth="1"/>
    <col min="24" max="24" width="8.83203125" style="149"/>
    <col min="25" max="25" width="8.83203125" style="149" customWidth="1"/>
    <col min="26" max="26" width="17.5" style="149" customWidth="1"/>
    <col min="27" max="29" width="8.83203125" style="149" customWidth="1"/>
    <col min="30" max="35" width="8.83203125" style="149"/>
    <col min="36" max="36" width="8.83203125" style="466"/>
  </cols>
  <sheetData>
    <row r="1" spans="1:94" ht="29">
      <c r="B1" s="4" t="str">
        <f>'1. TOC'!B1</f>
        <v>WHEDA 2025 Multifamily Application</v>
      </c>
      <c r="C1" s="3"/>
      <c r="D1" s="3"/>
      <c r="E1" s="3"/>
      <c r="F1" s="3"/>
      <c r="G1" s="3"/>
      <c r="H1" s="3"/>
      <c r="I1" s="3"/>
      <c r="J1" s="3"/>
      <c r="K1" s="149" t="str">
        <f>'1. TOC'!L1</f>
        <v>v25.1.9</v>
      </c>
      <c r="L1" s="3"/>
      <c r="M1" s="1086" t="str">
        <f>HYPERLINK("#Table_of_Contents", Table_of_Contents)</f>
        <v>Table of Contents</v>
      </c>
      <c r="N1" s="3"/>
      <c r="O1" s="3"/>
      <c r="P1" s="3"/>
      <c r="Q1" s="149"/>
      <c r="AJ1" s="14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row>
    <row r="2" spans="1:94" s="989" customFormat="1" ht="21">
      <c r="A2" s="987"/>
      <c r="B2" s="1013" t="str">
        <f>_xlfn.CONCAT(IF(ISBLANK(WHEDA_Project_Number),"",_xlfn.CONCAT(WHEDA_Project_Number,"-")), Project_Name, IF(ISBLANK(Credit_percentage_applied_for),"",_xlfn.CONCAT(" (", Credit_percentage_applied_for," HTC)")))</f>
        <v/>
      </c>
      <c r="C2" s="966"/>
      <c r="D2" s="966"/>
      <c r="E2" s="966"/>
      <c r="F2" s="966"/>
      <c r="G2" s="966"/>
      <c r="H2" s="966"/>
      <c r="I2" s="966"/>
      <c r="J2" s="966"/>
      <c r="K2" s="966"/>
      <c r="L2" s="966"/>
      <c r="M2" s="966"/>
      <c r="N2" s="966"/>
      <c r="O2" s="966"/>
      <c r="P2" s="966"/>
      <c r="Q2" s="999"/>
      <c r="R2" s="1534"/>
      <c r="S2" s="997"/>
      <c r="T2" s="999"/>
      <c r="U2" s="999"/>
      <c r="V2" s="999"/>
      <c r="W2" s="999"/>
      <c r="X2" s="999"/>
      <c r="Y2" s="999"/>
      <c r="Z2" s="999"/>
      <c r="AA2" s="999"/>
      <c r="AB2" s="999"/>
      <c r="AC2" s="999"/>
      <c r="AD2" s="999"/>
      <c r="AE2" s="999"/>
      <c r="AF2" s="999"/>
      <c r="AG2" s="999"/>
      <c r="AH2" s="999"/>
      <c r="AI2" s="999"/>
      <c r="AJ2" s="999"/>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c r="CF2" s="997"/>
      <c r="CG2" s="997"/>
      <c r="CH2" s="997"/>
      <c r="CI2" s="997"/>
      <c r="CJ2" s="997"/>
      <c r="CK2" s="997"/>
      <c r="CL2" s="997"/>
      <c r="CM2" s="997"/>
      <c r="CN2" s="997"/>
      <c r="CO2" s="997"/>
      <c r="CP2" s="997"/>
    </row>
    <row r="3" spans="1:94">
      <c r="C3" s="1023"/>
      <c r="D3" s="1023"/>
      <c r="E3" s="1023"/>
      <c r="F3" s="1023"/>
      <c r="G3" s="1023"/>
      <c r="H3" s="1023"/>
      <c r="I3" s="1023"/>
      <c r="J3" s="1023"/>
      <c r="K3" s="1023"/>
      <c r="L3" s="1023"/>
      <c r="M3" s="1023"/>
      <c r="N3" s="1023"/>
      <c r="O3" s="1023"/>
      <c r="P3" s="1023"/>
      <c r="Q3" s="149"/>
      <c r="AJ3" s="14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row>
    <row r="4" spans="1:94" s="3" customFormat="1" ht="29">
      <c r="A4" s="891"/>
      <c r="B4" s="4" t="s">
        <v>4887</v>
      </c>
      <c r="C4" s="892"/>
      <c r="D4" s="892"/>
      <c r="E4" s="892"/>
      <c r="F4" s="892"/>
      <c r="G4" s="892"/>
      <c r="H4" s="892"/>
      <c r="I4" s="892"/>
      <c r="J4" s="892"/>
      <c r="K4" s="892"/>
      <c r="L4" s="892"/>
      <c r="M4" s="893"/>
      <c r="P4" s="17"/>
      <c r="Q4" s="149"/>
      <c r="R4" s="1535"/>
      <c r="S4" s="9"/>
      <c r="T4" s="351"/>
      <c r="U4" s="149"/>
      <c r="V4" s="351"/>
      <c r="W4" s="149"/>
      <c r="X4" s="149"/>
      <c r="Y4" s="149"/>
      <c r="Z4" s="149"/>
      <c r="AA4" s="149"/>
      <c r="AB4" s="149"/>
      <c r="AC4" s="149"/>
      <c r="AD4" s="149"/>
      <c r="AE4" s="149"/>
      <c r="AF4" s="149"/>
      <c r="AG4" s="149"/>
      <c r="AH4" s="149"/>
      <c r="AI4" s="149"/>
      <c r="AJ4" s="14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row>
    <row r="5" spans="1:94" s="3" customFormat="1" ht="21">
      <c r="A5" s="9" t="s">
        <v>4888</v>
      </c>
      <c r="B5" s="977" t="s">
        <v>4889</v>
      </c>
      <c r="M5" s="131"/>
      <c r="N5" s="131"/>
      <c r="O5" s="131"/>
      <c r="P5" s="131"/>
      <c r="Q5" s="149"/>
      <c r="R5" s="1533"/>
      <c r="S5" s="9"/>
      <c r="T5" s="149"/>
      <c r="U5" s="149"/>
      <c r="V5" s="149"/>
      <c r="W5" s="149"/>
      <c r="X5" s="149"/>
      <c r="Y5" s="149"/>
      <c r="Z5" s="149"/>
      <c r="AA5" s="149"/>
      <c r="AB5" s="149"/>
      <c r="AC5" s="149"/>
      <c r="AD5" s="149"/>
      <c r="AE5" s="149"/>
      <c r="AF5" s="149"/>
      <c r="AG5" s="149"/>
      <c r="AH5" s="149"/>
      <c r="AI5" s="149"/>
    </row>
    <row r="6" spans="1:94" s="3" customFormat="1" ht="19">
      <c r="B6" s="1373" t="s">
        <v>4733</v>
      </c>
      <c r="C6" s="1166"/>
      <c r="D6" s="1166"/>
      <c r="E6" s="1166"/>
      <c r="F6" s="1166"/>
      <c r="G6" s="1166"/>
      <c r="H6" s="1166"/>
      <c r="I6" s="1167"/>
      <c r="J6" s="1167"/>
      <c r="K6" s="1167"/>
      <c r="L6" s="1167"/>
      <c r="M6" s="1167"/>
      <c r="N6" s="1167"/>
      <c r="O6" s="1167"/>
      <c r="P6" s="1167"/>
      <c r="Q6" s="149"/>
      <c r="R6" s="1533"/>
      <c r="S6" s="9"/>
      <c r="T6" s="149"/>
      <c r="U6" s="149"/>
      <c r="V6" s="149"/>
      <c r="W6" s="149"/>
      <c r="X6" s="149"/>
      <c r="Y6" s="149"/>
      <c r="Z6" s="149"/>
      <c r="AA6" s="149"/>
      <c r="AB6" s="149"/>
      <c r="AC6" s="149"/>
      <c r="AD6" s="149"/>
      <c r="AE6" s="149"/>
      <c r="AF6" s="149"/>
      <c r="AG6" s="149"/>
      <c r="AH6" s="149"/>
      <c r="AI6" s="149"/>
    </row>
    <row r="7" spans="1:94" s="3" customFormat="1">
      <c r="B7" s="1167"/>
      <c r="C7" s="1167"/>
      <c r="D7" s="1167"/>
      <c r="E7" s="1167"/>
      <c r="F7" s="1167"/>
      <c r="G7" s="1167"/>
      <c r="H7" s="1167"/>
      <c r="I7" s="1167"/>
      <c r="J7" s="1167"/>
      <c r="K7" s="1167"/>
      <c r="L7" s="1167"/>
      <c r="M7" s="1167"/>
      <c r="N7" s="1167"/>
      <c r="O7" s="1167"/>
      <c r="P7" s="1167"/>
      <c r="Q7" s="149"/>
      <c r="R7" s="1533"/>
      <c r="S7" s="9"/>
      <c r="T7" s="149"/>
      <c r="U7" s="149"/>
      <c r="V7" s="149"/>
      <c r="W7" s="149"/>
      <c r="X7" s="149"/>
      <c r="Y7" s="149"/>
      <c r="Z7" s="149"/>
      <c r="AA7" s="149"/>
      <c r="AB7" s="149"/>
      <c r="AC7" s="149"/>
      <c r="AD7" s="149"/>
      <c r="AE7" s="149"/>
      <c r="AF7" s="149"/>
      <c r="AG7" s="149"/>
      <c r="AH7" s="149"/>
      <c r="AI7" s="149"/>
    </row>
    <row r="8" spans="1:94" s="3" customFormat="1">
      <c r="B8" s="1167"/>
      <c r="C8" s="1722" t="s">
        <v>4734</v>
      </c>
      <c r="D8" s="1722" t="s">
        <v>4708</v>
      </c>
      <c r="E8" s="1722" t="s">
        <v>1010</v>
      </c>
      <c r="F8" s="1167"/>
      <c r="G8" s="1167"/>
      <c r="H8" s="1167"/>
      <c r="I8" s="1167"/>
      <c r="J8" s="1167"/>
      <c r="K8" s="1167"/>
      <c r="L8" s="1167"/>
      <c r="M8" s="1167"/>
      <c r="N8" s="1167"/>
      <c r="O8" s="1167"/>
      <c r="P8" s="1167"/>
      <c r="Q8" s="149"/>
      <c r="R8" s="1533"/>
      <c r="S8" s="9"/>
      <c r="T8" s="149"/>
      <c r="U8" s="149"/>
      <c r="V8" s="149"/>
      <c r="W8" s="149"/>
      <c r="X8" s="149"/>
      <c r="Y8" s="149"/>
      <c r="Z8" s="149"/>
      <c r="AA8" s="149"/>
      <c r="AB8" s="149"/>
      <c r="AC8" s="149"/>
      <c r="AD8" s="149"/>
      <c r="AE8" s="149"/>
      <c r="AF8" s="149"/>
      <c r="AG8" s="149"/>
      <c r="AH8" s="149"/>
      <c r="AI8" s="149"/>
    </row>
    <row r="9" spans="1:94" s="3" customFormat="1">
      <c r="B9" s="1167"/>
      <c r="C9" s="749">
        <v>45</v>
      </c>
      <c r="D9" s="1736">
        <f>SUM(D66,D143,D188,D227,D253)</f>
        <v>0</v>
      </c>
      <c r="E9" s="1736">
        <f>SUM(E66,E143,E188,E227,E253)</f>
        <v>0</v>
      </c>
      <c r="F9" s="1167"/>
      <c r="G9" s="1167"/>
      <c r="H9" s="1167"/>
      <c r="I9" s="1167"/>
      <c r="J9" s="1167"/>
      <c r="K9" s="1167"/>
      <c r="L9" s="1167"/>
      <c r="M9" s="1167"/>
      <c r="N9" s="1167"/>
      <c r="O9" s="1167"/>
      <c r="P9" s="1167"/>
      <c r="Q9" s="149"/>
      <c r="R9" s="1533"/>
      <c r="S9" s="9"/>
      <c r="T9" s="149"/>
      <c r="U9" s="149"/>
      <c r="V9" s="149"/>
      <c r="W9" s="149"/>
      <c r="X9" s="149"/>
      <c r="Y9" s="149"/>
      <c r="Z9" s="149"/>
      <c r="AA9" s="149"/>
      <c r="AB9" s="149"/>
      <c r="AC9" s="149"/>
      <c r="AD9" s="149"/>
      <c r="AE9" s="149"/>
      <c r="AF9" s="149"/>
      <c r="AG9" s="149"/>
      <c r="AH9" s="149"/>
      <c r="AI9" s="149"/>
    </row>
    <row r="10" spans="1:94" s="3" customFormat="1">
      <c r="B10" s="1167"/>
      <c r="C10" s="1167"/>
      <c r="D10" s="1167"/>
      <c r="E10" s="1167"/>
      <c r="F10" s="1167"/>
      <c r="G10" s="1167"/>
      <c r="H10" s="1167"/>
      <c r="I10" s="1167"/>
      <c r="J10" s="1167"/>
      <c r="K10" s="1167"/>
      <c r="L10" s="1167"/>
      <c r="M10" s="1167"/>
      <c r="N10" s="1167"/>
      <c r="O10" s="1167"/>
      <c r="P10" s="1167"/>
      <c r="Q10" s="149"/>
      <c r="R10" s="1533"/>
      <c r="S10" s="9"/>
      <c r="T10" s="149"/>
      <c r="U10" s="149"/>
      <c r="V10" s="149"/>
      <c r="W10" s="149"/>
      <c r="X10" s="149"/>
      <c r="Y10" s="149"/>
      <c r="Z10" s="149"/>
      <c r="AA10" s="149"/>
      <c r="AB10" s="149"/>
      <c r="AC10" s="149"/>
      <c r="AD10" s="149"/>
      <c r="AE10" s="149"/>
      <c r="AF10" s="149"/>
      <c r="AG10" s="149"/>
      <c r="AH10" s="149"/>
      <c r="AI10" s="149"/>
    </row>
    <row r="11" spans="1:94" ht="29">
      <c r="A11" s="896"/>
      <c r="B11" s="977" t="s">
        <v>4890</v>
      </c>
      <c r="C11" s="3"/>
      <c r="D11" s="3"/>
      <c r="E11" s="3"/>
      <c r="F11" s="3"/>
      <c r="G11" s="3"/>
      <c r="H11" s="3"/>
      <c r="I11" s="3"/>
      <c r="J11" s="3"/>
      <c r="K11" s="3"/>
      <c r="L11" s="3"/>
      <c r="M11" s="1711"/>
      <c r="N11" s="3"/>
      <c r="O11" s="3"/>
      <c r="P11" s="3"/>
      <c r="Q11" s="149"/>
      <c r="AJ11" s="14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row>
    <row r="12" spans="1:94" ht="14.5" customHeight="1">
      <c r="B12" s="1170" t="s">
        <v>3736</v>
      </c>
      <c r="C12" s="1640"/>
      <c r="D12" s="1640"/>
      <c r="E12" s="1640"/>
      <c r="F12" s="1640"/>
      <c r="G12" s="1640"/>
      <c r="H12" s="1640"/>
      <c r="I12" s="1640"/>
      <c r="J12" s="1640"/>
      <c r="K12" s="1640"/>
      <c r="L12" s="1640"/>
      <c r="M12" s="1640"/>
      <c r="N12" s="1640"/>
      <c r="O12" s="1640"/>
      <c r="P12" s="1167"/>
      <c r="Q12" s="149"/>
      <c r="R12" s="1533" t="s">
        <v>4891</v>
      </c>
      <c r="S12" s="1533" t="b">
        <f>IF(OR(Project_Type="Adaptive Reuse/New Construction",Project_Type="Acquisition/New Construction",Project_Type="New Construction"),TRUE,FALSE)</f>
        <v>0</v>
      </c>
      <c r="AJ12" s="14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c r="B13" s="1167" t="s">
        <v>4892</v>
      </c>
      <c r="C13" s="1640"/>
      <c r="D13" s="1640"/>
      <c r="E13" s="1640"/>
      <c r="F13" s="1640"/>
      <c r="G13" s="1640"/>
      <c r="H13" s="1640"/>
      <c r="I13" s="1640"/>
      <c r="J13" s="1640"/>
      <c r="K13" s="1640"/>
      <c r="L13" s="1640"/>
      <c r="M13" s="1640"/>
      <c r="N13" s="1640"/>
      <c r="O13" s="1640"/>
      <c r="P13" s="1175"/>
      <c r="Q13" s="149"/>
      <c r="AJ13" s="14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c r="B14" s="1709" t="s">
        <v>4893</v>
      </c>
      <c r="C14" s="1167"/>
      <c r="D14" s="1167"/>
      <c r="E14" s="1167"/>
      <c r="F14" s="1167"/>
      <c r="G14" s="1167"/>
      <c r="H14" s="1167"/>
      <c r="I14" s="1167"/>
      <c r="J14" s="1167"/>
      <c r="K14" s="1167"/>
      <c r="L14" s="1167"/>
      <c r="M14" s="1207"/>
      <c r="N14" s="1207"/>
      <c r="O14" s="1207"/>
      <c r="P14" s="1207"/>
      <c r="Q14" s="149"/>
      <c r="AJ14" s="14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c r="B15" s="1709" t="s">
        <v>4894</v>
      </c>
      <c r="C15" s="1167"/>
      <c r="D15" s="1167"/>
      <c r="E15" s="1167"/>
      <c r="F15" s="1167"/>
      <c r="G15" s="1167"/>
      <c r="H15" s="1167"/>
      <c r="I15" s="1167"/>
      <c r="J15" s="1167"/>
      <c r="K15" s="1167"/>
      <c r="L15" s="1167"/>
      <c r="M15" s="1167"/>
      <c r="N15" s="1167"/>
      <c r="O15" s="1167"/>
      <c r="P15" s="1167"/>
      <c r="Q15" s="149"/>
      <c r="AJ15" s="149"/>
      <c r="AK15" s="3"/>
      <c r="AL15" s="3"/>
      <c r="AM15" s="3"/>
      <c r="AN15" s="3"/>
      <c r="AO15" s="3"/>
      <c r="AP15" s="3"/>
      <c r="AQ15" s="3"/>
      <c r="AR15" s="3"/>
      <c r="AS15" s="3"/>
      <c r="AT15" s="3"/>
      <c r="AU15" s="3"/>
      <c r="AV15" s="3"/>
      <c r="AW15" s="3"/>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c r="B16" s="1167" t="s">
        <v>4895</v>
      </c>
      <c r="C16" s="1167"/>
      <c r="D16" s="1167"/>
      <c r="E16" s="1167"/>
      <c r="F16" s="1167"/>
      <c r="G16" s="1167"/>
      <c r="H16" s="1167"/>
      <c r="I16" s="1167"/>
      <c r="J16" s="1167"/>
      <c r="K16" s="1167"/>
      <c r="L16" s="1167"/>
      <c r="M16" s="1167"/>
      <c r="N16" s="1167"/>
      <c r="O16" s="1167"/>
      <c r="P16" s="1167"/>
      <c r="Q16" s="149"/>
      <c r="AJ16" s="149"/>
      <c r="AK16" s="3"/>
      <c r="AL16" s="3"/>
      <c r="AM16" s="3"/>
      <c r="AN16" s="3"/>
      <c r="AO16" s="3"/>
      <c r="AP16" s="3"/>
      <c r="AQ16" s="3"/>
      <c r="AR16" s="3"/>
      <c r="AS16" s="3"/>
      <c r="AT16" s="3"/>
      <c r="AU16" s="3"/>
      <c r="AV16" s="3"/>
      <c r="AW16" s="3"/>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2:94">
      <c r="B17" s="1167" t="s">
        <v>4896</v>
      </c>
      <c r="C17" s="1167"/>
      <c r="D17" s="1167"/>
      <c r="E17" s="1167"/>
      <c r="F17" s="1167"/>
      <c r="G17" s="1167"/>
      <c r="H17" s="1167"/>
      <c r="I17" s="1167"/>
      <c r="J17" s="1167"/>
      <c r="K17" s="1167"/>
      <c r="L17" s="1167"/>
      <c r="M17" s="1167"/>
      <c r="N17" s="1708"/>
      <c r="O17" s="1708"/>
      <c r="P17" s="1708"/>
      <c r="Q17" s="464"/>
      <c r="R17" s="674"/>
      <c r="S17" s="1537"/>
      <c r="AJ17" s="149"/>
      <c r="AK17" s="3"/>
      <c r="AL17" s="3"/>
      <c r="AM17" s="3"/>
      <c r="AN17" s="3"/>
      <c r="AO17" s="3"/>
      <c r="AP17" s="3"/>
      <c r="AQ17" s="3"/>
      <c r="AR17" s="3"/>
      <c r="AS17" s="3"/>
      <c r="AT17" s="3"/>
      <c r="AU17" s="3"/>
      <c r="AV17" s="3"/>
      <c r="AW17" s="3"/>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2:94" ht="15" customHeight="1">
      <c r="B18" s="1167" t="s">
        <v>4897</v>
      </c>
      <c r="C18" s="1167"/>
      <c r="D18" s="1167"/>
      <c r="E18" s="1167"/>
      <c r="F18" s="1167"/>
      <c r="G18" s="1167"/>
      <c r="H18" s="1167"/>
      <c r="I18" s="1167"/>
      <c r="J18" s="1167"/>
      <c r="K18" s="1167"/>
      <c r="L18" s="1167"/>
      <c r="M18" s="1167"/>
      <c r="N18" s="1167"/>
      <c r="O18" s="1167"/>
      <c r="P18" s="1167"/>
      <c r="Q18" s="149"/>
      <c r="AJ18" s="149"/>
      <c r="AK18" s="3"/>
      <c r="AL18" s="3"/>
      <c r="AM18" s="3"/>
      <c r="AN18" s="3"/>
      <c r="AO18" s="3"/>
      <c r="AP18" s="3"/>
      <c r="AQ18" s="3"/>
      <c r="AR18" s="3"/>
      <c r="AS18" s="3"/>
      <c r="AT18" s="3"/>
      <c r="AU18" s="3"/>
      <c r="AV18" s="3"/>
      <c r="AW18" s="3"/>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2:94">
      <c r="B19" s="1167" t="s">
        <v>4898</v>
      </c>
      <c r="C19" s="1167"/>
      <c r="D19" s="1167"/>
      <c r="E19" s="1167"/>
      <c r="F19" s="1167"/>
      <c r="G19" s="1167"/>
      <c r="H19" s="1167"/>
      <c r="I19" s="1167"/>
      <c r="J19" s="1167"/>
      <c r="K19" s="1167"/>
      <c r="L19" s="1167"/>
      <c r="M19" s="1167"/>
      <c r="N19" s="1167"/>
      <c r="O19" s="1167"/>
      <c r="P19" s="1167"/>
      <c r="Q19" s="149"/>
      <c r="AJ19" s="149"/>
      <c r="AK19" s="3"/>
      <c r="AL19" s="3"/>
      <c r="AM19" s="3"/>
      <c r="AN19" s="3"/>
      <c r="AO19" s="3"/>
      <c r="AP19" s="3"/>
      <c r="AQ19" s="3"/>
      <c r="AR19" s="3"/>
      <c r="AS19" s="3"/>
      <c r="AT19" s="3"/>
      <c r="AU19" s="3"/>
      <c r="AV19" s="3"/>
      <c r="AW19" s="3"/>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2:94">
      <c r="B20" s="1167"/>
      <c r="C20" s="1167"/>
      <c r="D20" s="1167"/>
      <c r="E20" s="1167"/>
      <c r="F20" s="1167"/>
      <c r="G20" s="1167"/>
      <c r="H20" s="1167"/>
      <c r="I20" s="1167"/>
      <c r="J20" s="1167"/>
      <c r="K20" s="1167"/>
      <c r="L20" s="1167"/>
      <c r="M20" s="1167"/>
      <c r="N20" s="1167"/>
      <c r="O20" s="1167"/>
      <c r="P20" s="1167"/>
      <c r="Q20" s="149"/>
      <c r="R20" s="1538" t="s">
        <v>4899</v>
      </c>
      <c r="S20" s="1539" t="s">
        <v>4900</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row>
    <row r="21" spans="2:94" ht="19">
      <c r="B21" s="1378" t="s">
        <v>4901</v>
      </c>
      <c r="C21" s="1167"/>
      <c r="D21" s="1167"/>
      <c r="E21" s="1167"/>
      <c r="F21" s="1167"/>
      <c r="G21" s="1167"/>
      <c r="H21" s="1167"/>
      <c r="I21" s="1167"/>
      <c r="J21" s="1167"/>
      <c r="K21" s="1167"/>
      <c r="L21" s="1167"/>
      <c r="M21" s="1167"/>
      <c r="N21" s="1167"/>
      <c r="O21" s="1167"/>
      <c r="P21" s="1167"/>
      <c r="Q21" s="149"/>
      <c r="R21" s="1117" t="s">
        <v>4902</v>
      </c>
      <c r="S21" s="9">
        <v>10</v>
      </c>
      <c r="AJ21" s="149"/>
      <c r="AK21" s="3"/>
      <c r="AL21" s="3"/>
      <c r="AM21" s="3"/>
      <c r="AN21" s="3"/>
      <c r="AO21" s="3"/>
      <c r="AP21" s="3"/>
      <c r="AQ21" s="3"/>
      <c r="AR21" s="3"/>
      <c r="AS21" s="3"/>
      <c r="AT21" s="3"/>
      <c r="AU21" s="3"/>
      <c r="AV21" s="3"/>
      <c r="AW21" s="3"/>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2:94" ht="15.5" customHeight="1">
      <c r="B22" s="1167"/>
      <c r="C22" s="1167"/>
      <c r="D22" s="1167"/>
      <c r="E22" s="1167"/>
      <c r="F22" s="1167"/>
      <c r="G22" s="1167"/>
      <c r="H22" s="1167"/>
      <c r="I22" s="1167"/>
      <c r="J22" s="1167"/>
      <c r="K22" s="1167"/>
      <c r="L22" s="1167"/>
      <c r="M22" s="1167"/>
      <c r="N22" s="1167"/>
      <c r="O22" s="1167"/>
      <c r="P22" s="1167"/>
      <c r="Q22" s="149"/>
      <c r="R22" s="1117" t="s">
        <v>4903</v>
      </c>
      <c r="S22" s="9">
        <v>20</v>
      </c>
      <c r="AJ22" s="149"/>
      <c r="AK22" s="3"/>
      <c r="AL22" s="3"/>
      <c r="AM22" s="3"/>
      <c r="AN22" s="3"/>
      <c r="AO22" s="3"/>
      <c r="AP22" s="3"/>
      <c r="AQ22" s="3"/>
      <c r="AR22" s="3"/>
      <c r="AS22" s="3"/>
      <c r="AT22" s="3"/>
      <c r="AU22" s="3"/>
      <c r="AV22" s="3"/>
      <c r="AW22" s="3"/>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2:94" ht="17" customHeight="1">
      <c r="B23" s="1167"/>
      <c r="C23" s="1778" t="s">
        <v>4904</v>
      </c>
      <c r="D23" s="2250"/>
      <c r="E23" s="2436" t="s">
        <v>4905</v>
      </c>
      <c r="F23" s="2436"/>
      <c r="G23" s="2436"/>
      <c r="H23" s="1778" t="s">
        <v>4906</v>
      </c>
      <c r="I23" s="1779"/>
      <c r="J23" s="1779"/>
      <c r="K23" s="2250"/>
      <c r="L23" s="1167"/>
      <c r="M23" s="1167"/>
      <c r="N23" s="1167"/>
      <c r="O23" s="1167"/>
      <c r="P23" s="1167"/>
      <c r="Q23" s="149"/>
      <c r="R23" s="1117" t="s">
        <v>4907</v>
      </c>
      <c r="S23" s="9">
        <v>10</v>
      </c>
      <c r="AJ23" s="149"/>
      <c r="AK23" s="3"/>
      <c r="AL23" s="3"/>
      <c r="AM23" s="3"/>
      <c r="AN23" s="3"/>
      <c r="AO23" s="3"/>
      <c r="AP23" s="3"/>
      <c r="AQ23" s="3"/>
      <c r="AR23" s="3"/>
      <c r="AS23" s="3"/>
      <c r="AT23" s="3"/>
      <c r="AU23" s="3"/>
      <c r="AV23" s="3"/>
      <c r="AW23" s="3"/>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2:94" ht="14.5" customHeight="1">
      <c r="B24" s="1167"/>
      <c r="C24" s="2477" t="s">
        <v>4908</v>
      </c>
      <c r="D24" s="2477"/>
      <c r="E24" s="2481" t="s">
        <v>4909</v>
      </c>
      <c r="F24" s="2482"/>
      <c r="G24" s="2485"/>
      <c r="H24" s="2481" t="s">
        <v>4910</v>
      </c>
      <c r="I24" s="2482"/>
      <c r="J24" s="2483"/>
      <c r="K24" s="2484"/>
      <c r="L24" s="1167"/>
      <c r="M24" s="1167"/>
      <c r="N24" s="1167"/>
      <c r="O24" s="1167"/>
      <c r="P24" s="1167"/>
      <c r="Q24" s="149"/>
      <c r="R24" s="1117" t="s">
        <v>4911</v>
      </c>
      <c r="S24" s="9">
        <v>20</v>
      </c>
      <c r="AJ24" s="149"/>
      <c r="AK24" s="3"/>
      <c r="AL24" s="3"/>
      <c r="AM24" s="3"/>
      <c r="AN24" s="3"/>
      <c r="AO24" s="3"/>
      <c r="AP24" s="3"/>
      <c r="AQ24" s="3"/>
      <c r="AR24" s="3"/>
      <c r="AS24" s="3"/>
      <c r="AT24" s="3"/>
      <c r="AU24" s="3"/>
      <c r="AV24" s="3"/>
      <c r="AW24" s="3"/>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2:94" ht="14.5" customHeight="1">
      <c r="B25" s="1167"/>
      <c r="C25" s="2477" t="s">
        <v>4912</v>
      </c>
      <c r="D25" s="2477"/>
      <c r="E25" s="2481" t="s">
        <v>4913</v>
      </c>
      <c r="F25" s="2482"/>
      <c r="G25" s="2485"/>
      <c r="H25" s="2481" t="s">
        <v>4914</v>
      </c>
      <c r="I25" s="2482"/>
      <c r="J25" s="2483"/>
      <c r="K25" s="2484"/>
      <c r="L25" s="1167"/>
      <c r="M25" s="1167"/>
      <c r="N25" s="1167"/>
      <c r="O25" s="1167"/>
      <c r="P25" s="1167"/>
      <c r="Q25" s="149"/>
      <c r="R25" s="1117" t="s">
        <v>4915</v>
      </c>
      <c r="S25" s="9">
        <v>10</v>
      </c>
      <c r="AJ25" s="149"/>
      <c r="AK25" s="3"/>
      <c r="AL25" s="3"/>
      <c r="AM25" s="3"/>
      <c r="AN25" s="3"/>
      <c r="AO25" s="3"/>
      <c r="AP25" s="3"/>
      <c r="AQ25" s="3"/>
      <c r="AR25" s="3"/>
      <c r="AS25" s="3"/>
      <c r="AT25" s="3"/>
      <c r="AU25" s="3"/>
      <c r="AV25" s="3"/>
      <c r="AW25" s="3"/>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2:94" ht="14.5" customHeight="1">
      <c r="B26" s="1167"/>
      <c r="C26" s="2477" t="s">
        <v>4916</v>
      </c>
      <c r="D26" s="2477"/>
      <c r="E26" s="2481" t="s">
        <v>4917</v>
      </c>
      <c r="F26" s="2482"/>
      <c r="G26" s="2485"/>
      <c r="H26" s="2481" t="s">
        <v>4918</v>
      </c>
      <c r="I26" s="2482"/>
      <c r="J26" s="2483"/>
      <c r="K26" s="2484"/>
      <c r="L26" s="1167"/>
      <c r="M26" s="1167"/>
      <c r="N26" s="1167"/>
      <c r="O26" s="1167"/>
      <c r="P26" s="1167"/>
      <c r="Q26" s="149"/>
      <c r="R26" s="1117" t="s">
        <v>4919</v>
      </c>
      <c r="S26" s="9">
        <v>20</v>
      </c>
      <c r="AJ26" s="149"/>
      <c r="AK26" s="3"/>
      <c r="AL26" s="3"/>
      <c r="AM26" s="3"/>
      <c r="AN26" s="3"/>
      <c r="AO26" s="3"/>
      <c r="AP26" s="3"/>
      <c r="AQ26" s="3"/>
      <c r="AR26" s="3"/>
      <c r="AS26" s="3"/>
      <c r="AT26" s="3"/>
      <c r="AU26" s="3"/>
      <c r="AV26" s="3"/>
      <c r="AW26" s="3"/>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2:94" ht="14.5" customHeight="1">
      <c r="B27" s="1167"/>
      <c r="C27" s="2477" t="s">
        <v>4920</v>
      </c>
      <c r="D27" s="2477"/>
      <c r="E27" s="2481" t="s">
        <v>4921</v>
      </c>
      <c r="F27" s="2482"/>
      <c r="G27" s="2485"/>
      <c r="H27" s="2481" t="s">
        <v>4922</v>
      </c>
      <c r="I27" s="2482"/>
      <c r="J27" s="2483"/>
      <c r="K27" s="2484"/>
      <c r="L27" s="1167"/>
      <c r="M27" s="1167"/>
      <c r="N27" s="1167"/>
      <c r="O27" s="1167"/>
      <c r="P27" s="1167"/>
      <c r="Q27" s="149"/>
      <c r="R27" s="1117" t="s">
        <v>4923</v>
      </c>
      <c r="S27" s="9">
        <v>10</v>
      </c>
      <c r="AJ27" s="149"/>
      <c r="AK27" s="3"/>
      <c r="AL27" s="3"/>
      <c r="AM27" s="3"/>
      <c r="AN27" s="3"/>
      <c r="AO27" s="3"/>
      <c r="AP27" s="3"/>
      <c r="AQ27" s="3"/>
      <c r="AR27" s="3"/>
      <c r="AS27" s="3"/>
      <c r="AT27" s="3"/>
      <c r="AU27" s="3"/>
      <c r="AV27" s="3"/>
      <c r="AW27" s="3"/>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2:94">
      <c r="B28" s="1167"/>
      <c r="C28" s="1167"/>
      <c r="D28" s="1167"/>
      <c r="E28" s="1167"/>
      <c r="F28" s="1167"/>
      <c r="G28" s="1167"/>
      <c r="H28" s="1167"/>
      <c r="I28" s="1167"/>
      <c r="J28" s="1167"/>
      <c r="K28" s="1167"/>
      <c r="L28" s="1167"/>
      <c r="M28" s="1167"/>
      <c r="N28" s="1167"/>
      <c r="O28" s="1167"/>
      <c r="P28" s="1167"/>
      <c r="Q28" s="149"/>
      <c r="R28" s="1117" t="s">
        <v>4924</v>
      </c>
      <c r="S28" s="9">
        <v>20</v>
      </c>
      <c r="AJ28" s="149"/>
      <c r="AK28" s="3"/>
      <c r="AL28" s="3"/>
      <c r="AM28" s="3"/>
      <c r="AN28" s="3"/>
      <c r="AO28" s="3"/>
      <c r="AP28" s="3"/>
      <c r="AQ28" s="3"/>
      <c r="AR28" s="3"/>
      <c r="AS28" s="3"/>
      <c r="AT28" s="3"/>
      <c r="AU28" s="3"/>
      <c r="AV28" s="3"/>
      <c r="AW28" s="3"/>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2:94">
      <c r="B29" s="1167"/>
      <c r="C29" s="1170" t="s">
        <v>4925</v>
      </c>
      <c r="D29" s="1167"/>
      <c r="E29" s="1167"/>
      <c r="F29" s="1167"/>
      <c r="G29" s="1167"/>
      <c r="H29" s="1167"/>
      <c r="I29" s="1167"/>
      <c r="J29" s="1167"/>
      <c r="K29" s="1167"/>
      <c r="L29" s="1167"/>
      <c r="M29" s="1167"/>
      <c r="N29" s="1167"/>
      <c r="O29" s="1167"/>
      <c r="P29" s="1167"/>
      <c r="Q29" s="149"/>
      <c r="AJ29" s="149"/>
      <c r="AK29" s="3"/>
      <c r="AL29" s="3"/>
      <c r="AM29" s="3"/>
      <c r="AN29" s="3"/>
      <c r="AO29" s="3"/>
      <c r="AP29" s="3"/>
      <c r="AQ29" s="3"/>
      <c r="AR29" s="3"/>
      <c r="AS29" s="3"/>
      <c r="AT29" s="3"/>
      <c r="AU29" s="3"/>
      <c r="AV29" s="3"/>
      <c r="AW29" s="3"/>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2:94">
      <c r="B30" s="1167"/>
      <c r="C30" s="2478"/>
      <c r="D30" s="2479"/>
      <c r="E30" s="2479"/>
      <c r="F30" s="2479"/>
      <c r="G30" s="2479"/>
      <c r="H30" s="2479"/>
      <c r="I30" s="2479"/>
      <c r="J30" s="2479"/>
      <c r="K30" s="2480"/>
      <c r="L30" s="1167"/>
      <c r="M30" s="1167"/>
      <c r="N30" s="1167"/>
      <c r="O30" s="1167"/>
      <c r="P30" s="1167"/>
      <c r="Q30" s="149"/>
      <c r="R30" s="1535" t="s">
        <v>4586</v>
      </c>
      <c r="S30" s="1536" cm="1">
        <f t="array" ref="S30">IF(C30="",0,_xlfn.SWITCH(C30,R21,S21,R22,S22,R23,S23,R24,S24,R25,S25,R26,S26,R27,S27,R28,S28))</f>
        <v>0</v>
      </c>
      <c r="AJ30" s="149"/>
      <c r="AK30" s="3"/>
      <c r="AL30" s="3"/>
      <c r="AM30" s="3"/>
      <c r="AN30" s="3"/>
      <c r="AO30" s="3"/>
      <c r="AP30" s="3"/>
      <c r="AQ30" s="3"/>
      <c r="AR30" s="3"/>
      <c r="AS30" s="3"/>
      <c r="AT30" s="3"/>
      <c r="AU30" s="3"/>
      <c r="AV30" s="3"/>
      <c r="AW30" s="3"/>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2:94">
      <c r="B31" s="1167"/>
      <c r="C31" s="1167"/>
      <c r="D31" s="1167"/>
      <c r="E31" s="1167"/>
      <c r="F31" s="1167"/>
      <c r="G31" s="1167"/>
      <c r="H31" s="1167"/>
      <c r="I31" s="1167"/>
      <c r="J31" s="1167"/>
      <c r="K31" s="1167"/>
      <c r="L31" s="1167"/>
      <c r="M31" s="1167"/>
      <c r="N31" s="1167"/>
      <c r="O31" s="1167"/>
      <c r="P31" s="1167"/>
      <c r="Q31" s="149"/>
      <c r="AJ31" s="149"/>
      <c r="AK31" s="3"/>
      <c r="AL31" s="3"/>
      <c r="AM31" s="3"/>
      <c r="AN31" s="3"/>
      <c r="AO31" s="3"/>
      <c r="AP31" s="3"/>
      <c r="AQ31" s="3"/>
      <c r="AR31" s="3"/>
      <c r="AS31" s="3"/>
      <c r="AT31" s="3"/>
      <c r="AU31" s="3"/>
      <c r="AV31" s="3"/>
      <c r="AW31" s="3"/>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2:94" ht="18.5" customHeight="1">
      <c r="B32" s="1167"/>
      <c r="C32" s="2462" t="s">
        <v>4926</v>
      </c>
      <c r="D32" s="2462" t="s">
        <v>4927</v>
      </c>
      <c r="E32" s="2462"/>
      <c r="F32" s="2462"/>
      <c r="G32" s="2462"/>
      <c r="H32" s="2462"/>
      <c r="I32" s="2462"/>
      <c r="J32" s="2462"/>
      <c r="K32" s="2462"/>
      <c r="L32" s="2462"/>
      <c r="M32" s="2462"/>
      <c r="N32" s="1167"/>
      <c r="O32" s="1167"/>
      <c r="P32" s="1167"/>
      <c r="Q32" s="149"/>
      <c r="AJ32" s="149"/>
      <c r="AK32" s="3"/>
      <c r="AL32" s="3"/>
      <c r="AM32" s="3"/>
      <c r="AN32" s="3"/>
      <c r="AO32" s="3"/>
      <c r="AP32" s="3"/>
      <c r="AQ32" s="3"/>
      <c r="AR32" s="3"/>
      <c r="AS32" s="3"/>
      <c r="AT32" s="3"/>
      <c r="AU32" s="3"/>
      <c r="AV32" s="3"/>
      <c r="AW32" s="3"/>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2:94" ht="15.5" customHeight="1">
      <c r="B33" s="1167"/>
      <c r="C33" s="2462"/>
      <c r="D33" s="2466"/>
      <c r="E33" s="2466"/>
      <c r="F33" s="2466"/>
      <c r="G33" s="2466"/>
      <c r="H33" s="2466"/>
      <c r="I33" s="2466"/>
      <c r="J33" s="2466"/>
      <c r="K33" s="2466"/>
      <c r="L33" s="2466"/>
      <c r="M33" s="2466"/>
      <c r="N33" s="1167"/>
      <c r="O33" s="1167"/>
      <c r="P33" s="1167"/>
      <c r="Q33" s="149"/>
      <c r="R33" s="1540" t="s">
        <v>4928</v>
      </c>
      <c r="S33" s="1541" t="s">
        <v>4900</v>
      </c>
      <c r="AJ33" s="149"/>
      <c r="AK33" s="3"/>
      <c r="AL33" s="3"/>
      <c r="AM33" s="3"/>
      <c r="AN33" s="3"/>
      <c r="AO33" s="3"/>
      <c r="AP33" s="3"/>
      <c r="AQ33" s="3"/>
      <c r="AR33" s="3"/>
      <c r="AS33" s="3"/>
      <c r="AT33" s="3"/>
      <c r="AU33" s="3"/>
      <c r="AV33" s="3"/>
      <c r="AW33" s="3"/>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2:94" ht="14.5" customHeight="1">
      <c r="B34" s="1167"/>
      <c r="C34" s="380"/>
      <c r="D34" s="2516" t="s">
        <v>4929</v>
      </c>
      <c r="E34" s="2517"/>
      <c r="F34" s="2517"/>
      <c r="G34" s="2517"/>
      <c r="H34" s="2517"/>
      <c r="I34" s="2517"/>
      <c r="J34" s="2517"/>
      <c r="K34" s="2517"/>
      <c r="L34" s="2517"/>
      <c r="M34" s="2518"/>
      <c r="N34" s="1167"/>
      <c r="O34" s="1167"/>
      <c r="P34" s="1167"/>
      <c r="Q34" s="149"/>
      <c r="R34" s="1533" t="s">
        <v>4930</v>
      </c>
      <c r="S34" s="1492">
        <f>IF(C34="Yes",4,0)</f>
        <v>0</v>
      </c>
      <c r="AJ34" s="149"/>
      <c r="AK34" s="3"/>
      <c r="AL34" s="3"/>
      <c r="AM34" s="3"/>
      <c r="AN34" s="3"/>
      <c r="AO34" s="3"/>
      <c r="AP34" s="3"/>
      <c r="AQ34" s="3"/>
      <c r="AR34" s="3"/>
      <c r="AS34" s="3"/>
      <c r="AT34" s="3"/>
      <c r="AU34" s="3"/>
      <c r="AV34" s="3"/>
      <c r="AW34" s="3"/>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2:94">
      <c r="B35" s="1167"/>
      <c r="C35" s="380"/>
      <c r="D35" s="2486" t="s">
        <v>4931</v>
      </c>
      <c r="E35" s="2482"/>
      <c r="F35" s="2482"/>
      <c r="G35" s="2482"/>
      <c r="H35" s="2482"/>
      <c r="I35" s="2482"/>
      <c r="J35" s="2482"/>
      <c r="K35" s="2482"/>
      <c r="L35" s="2482"/>
      <c r="M35" s="2487"/>
      <c r="N35" s="1167"/>
      <c r="O35" s="1167"/>
      <c r="P35" s="1167"/>
      <c r="Q35" s="149"/>
      <c r="R35" s="1533" t="s">
        <v>305</v>
      </c>
      <c r="S35" s="1492">
        <f>IF(C35="Yes",2,0)</f>
        <v>0</v>
      </c>
      <c r="AJ35" s="149"/>
      <c r="AK35" s="3"/>
      <c r="AL35" s="3"/>
      <c r="AM35" s="3"/>
      <c r="AN35" s="3"/>
      <c r="AO35" s="3"/>
      <c r="AP35" s="3"/>
      <c r="AQ35" s="3"/>
      <c r="AR35" s="3"/>
      <c r="AS35" s="3"/>
      <c r="AT35" s="3"/>
      <c r="AU35" s="3"/>
      <c r="AV35" s="3"/>
      <c r="AW35" s="3"/>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2:94">
      <c r="B36" s="1167"/>
      <c r="C36" s="380"/>
      <c r="D36" s="2474" t="s">
        <v>4932</v>
      </c>
      <c r="E36" s="2475"/>
      <c r="F36" s="2475"/>
      <c r="G36" s="2475"/>
      <c r="H36" s="2475"/>
      <c r="I36" s="2475"/>
      <c r="J36" s="2475"/>
      <c r="K36" s="2475"/>
      <c r="L36" s="2475"/>
      <c r="M36" s="2476"/>
      <c r="N36" s="1167"/>
      <c r="O36" s="1167"/>
      <c r="P36" s="1167"/>
      <c r="Q36" s="149"/>
      <c r="R36" s="1533" t="s">
        <v>4933</v>
      </c>
      <c r="S36" s="1492">
        <f>IF(C36="Yes",8,0)</f>
        <v>0</v>
      </c>
      <c r="AJ36" s="149"/>
      <c r="AK36" s="3"/>
      <c r="AL36" s="3"/>
      <c r="AM36" s="3"/>
      <c r="AN36" s="3"/>
      <c r="AO36" s="3"/>
      <c r="AP36" s="3"/>
      <c r="AQ36" s="3"/>
      <c r="AR36" s="3"/>
      <c r="AS36" s="3"/>
      <c r="AT36" s="3"/>
      <c r="AU36" s="3"/>
      <c r="AV36" s="3"/>
      <c r="AW36" s="3"/>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2:94">
      <c r="B37" s="1167"/>
      <c r="C37" s="1167"/>
      <c r="D37" s="1167"/>
      <c r="E37" s="1167"/>
      <c r="F37" s="1167"/>
      <c r="G37" s="1167"/>
      <c r="H37" s="1167"/>
      <c r="I37" s="1167"/>
      <c r="J37" s="1167"/>
      <c r="K37" s="1167"/>
      <c r="L37" s="1167"/>
      <c r="M37" s="1167"/>
      <c r="N37" s="1167"/>
      <c r="O37" s="1167"/>
      <c r="P37" s="1167"/>
      <c r="Q37" s="149"/>
      <c r="R37" s="1535" t="s">
        <v>4586</v>
      </c>
      <c r="S37" s="1503">
        <f>IF(AND(T23=0,T24=0,T25=0,T26=0),SUM(S34:S36),0)</f>
        <v>0</v>
      </c>
      <c r="AJ37" s="149"/>
      <c r="AK37" s="3"/>
      <c r="AL37" s="3"/>
      <c r="AM37" s="3"/>
      <c r="AN37" s="3"/>
      <c r="AO37" s="3"/>
      <c r="AP37" s="3"/>
      <c r="AQ37" s="3"/>
      <c r="AR37" s="3"/>
      <c r="AS37" s="3"/>
      <c r="AT37" s="3"/>
      <c r="AU37" s="3"/>
      <c r="AV37" s="3"/>
      <c r="AW37" s="3"/>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2:94">
      <c r="B38" s="1167"/>
      <c r="C38" s="1167"/>
      <c r="D38" s="1167"/>
      <c r="E38" s="1167"/>
      <c r="F38" s="1167"/>
      <c r="G38" s="1167"/>
      <c r="H38" s="1167"/>
      <c r="I38" s="1167"/>
      <c r="J38" s="1167"/>
      <c r="K38" s="1167"/>
      <c r="L38" s="1167"/>
      <c r="M38" s="1167"/>
      <c r="N38" s="1167"/>
      <c r="O38" s="1167"/>
      <c r="P38" s="1167"/>
      <c r="Q38" s="149"/>
      <c r="AJ38" s="149"/>
      <c r="AK38" s="3"/>
      <c r="AL38" s="3"/>
      <c r="AM38" s="3"/>
      <c r="AN38" s="3"/>
      <c r="AO38" s="3"/>
      <c r="AP38" s="3"/>
      <c r="AQ38" s="3"/>
      <c r="AR38" s="3"/>
      <c r="AS38" s="3"/>
      <c r="AT38" s="3"/>
      <c r="AU38" s="3"/>
      <c r="AV38" s="3"/>
      <c r="AW38" s="3"/>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2:94" ht="19">
      <c r="B39" s="1378" t="s">
        <v>4934</v>
      </c>
      <c r="C39" s="1167"/>
      <c r="D39" s="1167"/>
      <c r="E39" s="1167"/>
      <c r="F39" s="1167"/>
      <c r="G39" s="1167"/>
      <c r="H39" s="1167"/>
      <c r="I39" s="1167"/>
      <c r="J39" s="1167"/>
      <c r="K39" s="1167"/>
      <c r="L39" s="1167"/>
      <c r="M39" s="1167"/>
      <c r="N39" s="1167"/>
      <c r="O39" s="1167"/>
      <c r="P39" s="1167"/>
      <c r="Q39" s="149"/>
      <c r="AJ39" s="149"/>
      <c r="AK39" s="3"/>
      <c r="AL39" s="3"/>
      <c r="AM39" s="3"/>
      <c r="AN39" s="3"/>
      <c r="AO39" s="3"/>
      <c r="AP39" s="3"/>
      <c r="AQ39" s="3"/>
      <c r="AR39" s="3"/>
      <c r="AS39" s="3"/>
      <c r="AT39" s="3"/>
      <c r="AU39" s="3"/>
      <c r="AV39" s="3"/>
      <c r="AW39" s="3"/>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2:94" ht="14.5" customHeight="1">
      <c r="B40" s="1167" t="s">
        <v>4935</v>
      </c>
      <c r="C40" s="1167"/>
      <c r="D40" s="1167"/>
      <c r="E40" s="1167"/>
      <c r="F40" s="1167"/>
      <c r="G40" s="1167"/>
      <c r="H40" s="1167"/>
      <c r="I40" s="1167"/>
      <c r="J40" s="1167"/>
      <c r="K40" s="1167"/>
      <c r="L40" s="1167"/>
      <c r="M40" s="1167"/>
      <c r="N40" s="1167"/>
      <c r="O40" s="1167"/>
      <c r="P40" s="1167"/>
      <c r="Q40" s="149"/>
      <c r="R40" s="1533" t="s">
        <v>4936</v>
      </c>
      <c r="S40" s="675" t="b">
        <f>IF(OR(Project_Type="Acquisition/Rehab",Project_Type="Acquisition/New Construction"),TRUE,FALSE)</f>
        <v>0</v>
      </c>
      <c r="AJ40" s="149"/>
      <c r="AK40" s="3"/>
      <c r="AL40" s="3"/>
      <c r="AM40" s="3"/>
      <c r="AN40" s="3"/>
      <c r="AO40" s="3"/>
      <c r="AP40" s="3"/>
      <c r="AQ40" s="3"/>
      <c r="AR40" s="3"/>
      <c r="AS40" s="3"/>
      <c r="AT40" s="3"/>
      <c r="AU40" s="3"/>
      <c r="AV40" s="3"/>
      <c r="AW40" s="3"/>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2:94">
      <c r="B41" s="1167" t="s">
        <v>4937</v>
      </c>
      <c r="C41" s="1167"/>
      <c r="D41" s="1167"/>
      <c r="E41" s="1167"/>
      <c r="F41" s="1167"/>
      <c r="G41" s="1174"/>
      <c r="H41" s="1174"/>
      <c r="I41" s="1167"/>
      <c r="J41" s="1167"/>
      <c r="K41" s="1167"/>
      <c r="L41" s="1167"/>
      <c r="M41" s="1167"/>
      <c r="N41" s="1167"/>
      <c r="O41" s="1167"/>
      <c r="P41" s="1167"/>
      <c r="Q41" s="149"/>
      <c r="AJ41" s="149"/>
      <c r="AK41" s="3"/>
      <c r="AL41" s="3"/>
      <c r="AM41" s="3"/>
      <c r="AN41" s="3"/>
      <c r="AO41" s="3"/>
      <c r="AP41" s="3"/>
      <c r="AQ41" s="3"/>
      <c r="AR41" s="3"/>
      <c r="AS41" s="3"/>
      <c r="AT41" s="3"/>
      <c r="AU41" s="3"/>
      <c r="AV41" s="3"/>
      <c r="AW41" s="3"/>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2:94" ht="14.5" customHeight="1">
      <c r="B42" s="1211"/>
      <c r="C42" s="2245" t="s">
        <v>4938</v>
      </c>
      <c r="D42" s="2245"/>
      <c r="E42" s="2245"/>
      <c r="F42" s="2245"/>
      <c r="G42" s="2245"/>
      <c r="H42" s="2245"/>
      <c r="I42" s="2245"/>
      <c r="J42" s="2245"/>
      <c r="K42" s="2245"/>
      <c r="L42" s="2245"/>
      <c r="M42" s="2245"/>
      <c r="N42" s="2245"/>
      <c r="O42" s="2245"/>
      <c r="P42" s="1207"/>
      <c r="Q42" s="149"/>
      <c r="AJ42" s="149"/>
      <c r="AK42" s="3"/>
      <c r="AL42" s="3"/>
      <c r="AM42" s="3"/>
      <c r="AN42" s="3"/>
      <c r="AO42" s="3"/>
      <c r="AP42" s="3"/>
      <c r="AQ42" s="3"/>
      <c r="AR42" s="3"/>
      <c r="AS42" s="3"/>
      <c r="AT42" s="3"/>
      <c r="AU42" s="3"/>
      <c r="AV42" s="3"/>
      <c r="AW42" s="3"/>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2:94" ht="14.5" customHeight="1">
      <c r="B43" s="1211"/>
      <c r="C43" s="2245"/>
      <c r="D43" s="2245"/>
      <c r="E43" s="2245"/>
      <c r="F43" s="2245"/>
      <c r="G43" s="2245"/>
      <c r="H43" s="2245"/>
      <c r="I43" s="2245"/>
      <c r="J43" s="2245"/>
      <c r="K43" s="2245"/>
      <c r="L43" s="2245"/>
      <c r="M43" s="2245"/>
      <c r="N43" s="2245"/>
      <c r="O43" s="2245"/>
      <c r="P43" s="1207"/>
      <c r="Q43" s="149"/>
      <c r="AJ43" s="149"/>
      <c r="AK43" s="3"/>
      <c r="AL43" s="3"/>
      <c r="AM43" s="3"/>
      <c r="AN43" s="3"/>
      <c r="AO43" s="3"/>
      <c r="AP43" s="3"/>
      <c r="AQ43" s="3"/>
      <c r="AR43" s="3"/>
      <c r="AS43" s="3"/>
      <c r="AT43" s="3"/>
      <c r="AU43" s="3"/>
      <c r="AV43" s="3"/>
      <c r="AW43" s="3"/>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2:94" ht="14.5" customHeight="1">
      <c r="B44" s="1211"/>
      <c r="C44" s="2245" t="s">
        <v>4939</v>
      </c>
      <c r="D44" s="2245"/>
      <c r="E44" s="2245"/>
      <c r="F44" s="2245"/>
      <c r="G44" s="2245"/>
      <c r="H44" s="2245"/>
      <c r="I44" s="2245"/>
      <c r="J44" s="2245"/>
      <c r="K44" s="2245"/>
      <c r="L44" s="2245"/>
      <c r="M44" s="2245"/>
      <c r="N44" s="2245"/>
      <c r="O44" s="2245"/>
      <c r="P44" s="1167"/>
      <c r="Q44" s="149"/>
      <c r="AJ44" s="149"/>
      <c r="AK44" s="3"/>
      <c r="AL44" s="3"/>
      <c r="AM44" s="3"/>
      <c r="AN44" s="3"/>
      <c r="AO44" s="3"/>
      <c r="AP44" s="3"/>
      <c r="AQ44" s="3"/>
      <c r="AR44" s="3"/>
      <c r="AS44" s="3"/>
      <c r="AT44" s="3"/>
      <c r="AU44" s="3"/>
      <c r="AV44" s="3"/>
      <c r="AW44" s="3"/>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2:94" ht="14.5" customHeight="1">
      <c r="B45" s="1211"/>
      <c r="C45" s="2245"/>
      <c r="D45" s="2245"/>
      <c r="E45" s="2245"/>
      <c r="F45" s="2245"/>
      <c r="G45" s="2245"/>
      <c r="H45" s="2245"/>
      <c r="I45" s="2245"/>
      <c r="J45" s="2245"/>
      <c r="K45" s="2245"/>
      <c r="L45" s="2245"/>
      <c r="M45" s="2245"/>
      <c r="N45" s="2245"/>
      <c r="O45" s="2245"/>
      <c r="P45" s="1167"/>
      <c r="Q45" s="149"/>
      <c r="AJ45" s="149"/>
      <c r="AK45" s="3"/>
      <c r="AL45" s="3"/>
      <c r="AM45" s="3"/>
      <c r="AN45" s="3"/>
      <c r="AO45" s="3"/>
      <c r="AP45" s="3"/>
      <c r="AQ45" s="3"/>
      <c r="AR45" s="3"/>
      <c r="AS45" s="3"/>
      <c r="AT45" s="3"/>
      <c r="AU45" s="3"/>
      <c r="AV45" s="3"/>
      <c r="AW45" s="3"/>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row>
    <row r="46" spans="2:94">
      <c r="B46" s="1211"/>
      <c r="C46" s="1167" t="s">
        <v>4940</v>
      </c>
      <c r="D46" s="1167"/>
      <c r="E46" s="1167"/>
      <c r="F46" s="1167"/>
      <c r="G46" s="1174"/>
      <c r="H46" s="1174"/>
      <c r="I46" s="1167"/>
      <c r="J46" s="1167"/>
      <c r="K46" s="1167"/>
      <c r="L46" s="1167"/>
      <c r="M46" s="1167"/>
      <c r="N46" s="1167"/>
      <c r="O46" s="1167"/>
      <c r="P46" s="1167"/>
      <c r="Q46" s="149"/>
      <c r="R46" s="1538" t="s">
        <v>4899</v>
      </c>
      <c r="S46" s="1539" t="s">
        <v>4900</v>
      </c>
      <c r="AJ46" s="149"/>
      <c r="AK46" s="3"/>
      <c r="AL46" s="3"/>
      <c r="AM46" s="3"/>
      <c r="AN46" s="3"/>
      <c r="AO46" s="3"/>
      <c r="AP46" s="3"/>
      <c r="AQ46" s="3"/>
      <c r="AR46" s="3"/>
      <c r="AS46" s="3"/>
      <c r="AT46" s="3"/>
      <c r="AU46" s="3"/>
      <c r="AV46" s="3"/>
      <c r="AW46" s="3"/>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row>
    <row r="47" spans="2:94" ht="14.5" customHeight="1">
      <c r="B47" s="1167"/>
      <c r="C47" s="1167"/>
      <c r="D47" s="1167"/>
      <c r="E47" s="1167"/>
      <c r="F47" s="1167"/>
      <c r="G47" s="1167"/>
      <c r="H47" s="1167"/>
      <c r="I47" s="1167"/>
      <c r="J47" s="1167"/>
      <c r="K47" s="1167"/>
      <c r="L47" s="1167"/>
      <c r="M47" s="1167"/>
      <c r="N47" s="1167"/>
      <c r="O47" s="1167"/>
      <c r="P47" s="1167"/>
      <c r="Q47" s="149"/>
      <c r="R47" s="1117" t="s">
        <v>4902</v>
      </c>
      <c r="S47" s="9">
        <v>10</v>
      </c>
      <c r="AJ47" s="149"/>
      <c r="AK47" s="3"/>
      <c r="AL47" s="3"/>
      <c r="AM47" s="3"/>
      <c r="AN47" s="3"/>
      <c r="AO47" s="3"/>
      <c r="AP47" s="3"/>
      <c r="AQ47" s="3"/>
      <c r="AR47" s="3"/>
      <c r="AS47" s="3"/>
      <c r="AT47" s="3"/>
      <c r="AU47" s="3"/>
      <c r="AV47" s="3"/>
      <c r="AW47" s="3"/>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row>
    <row r="48" spans="2:94">
      <c r="B48" s="1167"/>
      <c r="C48" s="1778" t="s">
        <v>4904</v>
      </c>
      <c r="D48" s="2250"/>
      <c r="E48" s="2436" t="s">
        <v>4905</v>
      </c>
      <c r="F48" s="2436"/>
      <c r="G48" s="2436"/>
      <c r="H48" s="1778" t="s">
        <v>4906</v>
      </c>
      <c r="I48" s="1779"/>
      <c r="J48" s="1779"/>
      <c r="K48" s="2250"/>
      <c r="L48" s="1167"/>
      <c r="M48" s="1167"/>
      <c r="N48" s="1167"/>
      <c r="O48" s="1167"/>
      <c r="P48" s="1167"/>
      <c r="Q48" s="149"/>
      <c r="R48" s="1117" t="s">
        <v>4903</v>
      </c>
      <c r="S48" s="9">
        <v>20</v>
      </c>
      <c r="AJ48" s="149"/>
      <c r="AK48" s="3"/>
      <c r="AL48" s="3"/>
      <c r="AM48" s="3"/>
      <c r="AN48" s="3"/>
      <c r="AO48" s="3"/>
      <c r="AP48" s="3"/>
      <c r="AQ48" s="3"/>
      <c r="AR48" s="3"/>
      <c r="AS48" s="3"/>
      <c r="AT48" s="3"/>
      <c r="AU48" s="3"/>
      <c r="AV48" s="3"/>
      <c r="AW48" s="3"/>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2:94" ht="14.5" customHeight="1">
      <c r="B49" s="1167"/>
      <c r="C49" s="2477" t="s">
        <v>4908</v>
      </c>
      <c r="D49" s="2477"/>
      <c r="E49" s="2481" t="s">
        <v>4909</v>
      </c>
      <c r="F49" s="2482"/>
      <c r="G49" s="2485"/>
      <c r="H49" s="2481" t="s">
        <v>4910</v>
      </c>
      <c r="I49" s="2482"/>
      <c r="J49" s="2483"/>
      <c r="K49" s="2484"/>
      <c r="L49" s="1167"/>
      <c r="M49" s="1167"/>
      <c r="N49" s="1167"/>
      <c r="O49" s="1167"/>
      <c r="P49" s="1167"/>
      <c r="Q49" s="149"/>
      <c r="R49" s="1117" t="s">
        <v>4915</v>
      </c>
      <c r="S49" s="9">
        <v>10</v>
      </c>
      <c r="AJ49" s="149"/>
      <c r="AK49" s="3"/>
      <c r="AL49" s="3"/>
      <c r="AM49" s="3"/>
      <c r="AN49" s="3"/>
      <c r="AO49" s="3"/>
      <c r="AP49" s="3"/>
      <c r="AQ49" s="3"/>
      <c r="AR49" s="3"/>
      <c r="AS49" s="3"/>
      <c r="AT49" s="3"/>
      <c r="AU49" s="3"/>
      <c r="AV49" s="3"/>
      <c r="AW49" s="3"/>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2:94" ht="14.5" customHeight="1">
      <c r="B50" s="1167"/>
      <c r="C50" s="2477" t="s">
        <v>4916</v>
      </c>
      <c r="D50" s="2477"/>
      <c r="E50" s="2481" t="s">
        <v>4917</v>
      </c>
      <c r="F50" s="2482"/>
      <c r="G50" s="2485"/>
      <c r="H50" s="2481" t="s">
        <v>4918</v>
      </c>
      <c r="I50" s="2482"/>
      <c r="J50" s="2483"/>
      <c r="K50" s="2484"/>
      <c r="L50" s="1167"/>
      <c r="M50" s="1167"/>
      <c r="N50" s="1167"/>
      <c r="O50" s="1167"/>
      <c r="P50" s="1167"/>
      <c r="Q50" s="149"/>
      <c r="R50" s="1117" t="s">
        <v>4919</v>
      </c>
      <c r="S50" s="9">
        <v>20</v>
      </c>
      <c r="AJ50" s="149"/>
      <c r="AK50" s="3"/>
      <c r="AL50" s="3"/>
      <c r="AM50" s="3"/>
      <c r="AN50" s="3"/>
      <c r="AO50" s="3"/>
      <c r="AP50" s="3"/>
      <c r="AQ50" s="3"/>
      <c r="AR50" s="3"/>
      <c r="AS50" s="3"/>
      <c r="AT50" s="3"/>
      <c r="AU50" s="3"/>
      <c r="AV50" s="3"/>
      <c r="AW50" s="3"/>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row>
    <row r="51" spans="2:94" ht="14.5" customHeight="1">
      <c r="B51" s="1167"/>
      <c r="C51" s="2477" t="s">
        <v>4920</v>
      </c>
      <c r="D51" s="2477"/>
      <c r="E51" s="2481" t="s">
        <v>4941</v>
      </c>
      <c r="F51" s="2482"/>
      <c r="G51" s="2484"/>
      <c r="H51" s="2481" t="s">
        <v>4922</v>
      </c>
      <c r="I51" s="2482"/>
      <c r="J51" s="2483"/>
      <c r="K51" s="2484"/>
      <c r="L51" s="1167"/>
      <c r="M51" s="1167"/>
      <c r="N51" s="1167"/>
      <c r="O51" s="1167"/>
      <c r="P51" s="1167"/>
      <c r="Q51" s="149"/>
      <c r="R51" s="1117" t="s">
        <v>4923</v>
      </c>
      <c r="S51" s="9">
        <v>10</v>
      </c>
      <c r="AJ51" s="149"/>
      <c r="AK51" s="3"/>
      <c r="AL51" s="3"/>
      <c r="AM51" s="3"/>
      <c r="AN51" s="3"/>
      <c r="AO51" s="3"/>
      <c r="AP51" s="3"/>
      <c r="AQ51" s="3"/>
      <c r="AR51" s="3"/>
      <c r="AS51" s="3"/>
      <c r="AT51" s="3"/>
      <c r="AU51" s="3"/>
      <c r="AV51" s="3"/>
      <c r="AW51" s="3"/>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row>
    <row r="52" spans="2:94">
      <c r="B52" s="1167"/>
      <c r="C52" s="1167"/>
      <c r="D52" s="1167"/>
      <c r="E52" s="1167"/>
      <c r="F52" s="1167"/>
      <c r="G52" s="1167"/>
      <c r="H52" s="1167"/>
      <c r="I52" s="1167"/>
      <c r="J52" s="1167"/>
      <c r="K52" s="1167"/>
      <c r="L52" s="1167"/>
      <c r="M52" s="1167"/>
      <c r="N52" s="1167"/>
      <c r="O52" s="1167"/>
      <c r="P52" s="1167"/>
      <c r="Q52" s="149"/>
      <c r="R52" s="1117" t="s">
        <v>4924</v>
      </c>
      <c r="S52" s="9">
        <v>20</v>
      </c>
      <c r="AJ52" s="149"/>
      <c r="AK52" s="3"/>
      <c r="AL52" s="3"/>
      <c r="AM52" s="3"/>
      <c r="AN52" s="3"/>
      <c r="AO52" s="3"/>
      <c r="AP52" s="3"/>
      <c r="AQ52" s="3"/>
      <c r="AR52" s="3"/>
      <c r="AS52" s="3"/>
      <c r="AT52" s="3"/>
      <c r="AU52" s="3"/>
      <c r="AV52" s="3"/>
      <c r="AW52" s="3"/>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c r="B53" s="1167"/>
      <c r="C53" s="1170" t="s">
        <v>4942</v>
      </c>
      <c r="D53" s="1167"/>
      <c r="E53" s="1167"/>
      <c r="F53" s="1167"/>
      <c r="G53" s="1167"/>
      <c r="H53" s="1167"/>
      <c r="I53" s="1167"/>
      <c r="J53" s="1167"/>
      <c r="K53" s="1167"/>
      <c r="L53" s="1167"/>
      <c r="M53" s="1167"/>
      <c r="N53" s="1167"/>
      <c r="O53" s="1167"/>
      <c r="P53" s="1167"/>
      <c r="Q53" s="149"/>
      <c r="AJ53" s="149"/>
      <c r="AK53" s="3"/>
      <c r="AL53" s="3"/>
      <c r="AM53" s="3"/>
      <c r="AN53" s="3"/>
      <c r="AO53" s="3"/>
      <c r="AP53" s="3"/>
      <c r="AQ53" s="3"/>
      <c r="AR53" s="3"/>
      <c r="AS53" s="3"/>
      <c r="AT53" s="3"/>
      <c r="AU53" s="3"/>
      <c r="AV53" s="3"/>
      <c r="AW53" s="3"/>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c r="B54" s="1167"/>
      <c r="C54" s="2509"/>
      <c r="D54" s="2510"/>
      <c r="E54" s="2510"/>
      <c r="F54" s="2510"/>
      <c r="G54" s="2510"/>
      <c r="H54" s="2510"/>
      <c r="I54" s="2510"/>
      <c r="J54" s="2510"/>
      <c r="K54" s="2511"/>
      <c r="L54" s="1167"/>
      <c r="M54" s="1167"/>
      <c r="N54" s="1167"/>
      <c r="O54" s="1167"/>
      <c r="P54" s="1167"/>
      <c r="Q54" s="149"/>
      <c r="R54" s="1535" t="s">
        <v>4586</v>
      </c>
      <c r="S54" s="1536" cm="1">
        <f t="array" ref="S54">IF(C54="",0,_xlfn.SWITCH(C54,R47,S47,R48,S48,R49,S49,R50,S50,R51,S51,R52,S52))</f>
        <v>0</v>
      </c>
      <c r="AJ54" s="149"/>
      <c r="AK54" s="3"/>
      <c r="AL54" s="3"/>
      <c r="AM54" s="3"/>
      <c r="AN54" s="3"/>
      <c r="AO54" s="3"/>
      <c r="AP54" s="3"/>
      <c r="AQ54" s="3"/>
      <c r="AR54" s="3"/>
      <c r="AS54" s="3"/>
      <c r="AT54" s="3"/>
      <c r="AU54" s="3"/>
      <c r="AV54" s="3"/>
      <c r="AW54" s="3"/>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c r="B55" s="1167"/>
      <c r="C55" s="1167"/>
      <c r="D55" s="1167"/>
      <c r="E55" s="1167"/>
      <c r="F55" s="1167"/>
      <c r="G55" s="1167"/>
      <c r="H55" s="1167"/>
      <c r="I55" s="1167"/>
      <c r="J55" s="1167"/>
      <c r="K55" s="1167"/>
      <c r="L55" s="1167"/>
      <c r="M55" s="1167"/>
      <c r="N55" s="1167"/>
      <c r="O55" s="1167"/>
      <c r="P55" s="1167"/>
      <c r="Q55" s="149"/>
      <c r="AJ55" s="149"/>
      <c r="AK55" s="3"/>
      <c r="AL55" s="3"/>
      <c r="AM55" s="3"/>
      <c r="AN55" s="3"/>
      <c r="AO55" s="3"/>
      <c r="AP55" s="3"/>
      <c r="AQ55" s="3"/>
      <c r="AR55" s="3"/>
      <c r="AS55" s="3"/>
      <c r="AT55" s="3"/>
      <c r="AU55" s="3"/>
      <c r="AV55" s="3"/>
      <c r="AW55" s="3"/>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c r="B56" s="1167"/>
      <c r="C56" s="1167"/>
      <c r="D56" s="1167"/>
      <c r="E56" s="1167"/>
      <c r="F56" s="1167"/>
      <c r="G56" s="1167"/>
      <c r="H56" s="1167"/>
      <c r="I56" s="1167"/>
      <c r="J56" s="1167"/>
      <c r="K56" s="1167"/>
      <c r="L56" s="1167"/>
      <c r="M56" s="1167"/>
      <c r="N56" s="1167"/>
      <c r="O56" s="1167"/>
      <c r="P56" s="1167"/>
      <c r="Q56" s="149"/>
      <c r="AJ56" s="149"/>
      <c r="AK56" s="3"/>
      <c r="AL56" s="3"/>
      <c r="AM56" s="3"/>
      <c r="AN56" s="3"/>
      <c r="AO56" s="3"/>
      <c r="AP56" s="3"/>
      <c r="AQ56" s="3"/>
      <c r="AR56" s="3"/>
      <c r="AS56" s="3"/>
      <c r="AT56" s="3"/>
      <c r="AU56" s="3"/>
      <c r="AV56" s="3"/>
      <c r="AW56" s="3"/>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ht="15" customHeight="1">
      <c r="B57" s="1378" t="s">
        <v>4943</v>
      </c>
      <c r="C57" s="1167"/>
      <c r="D57" s="1167"/>
      <c r="E57" s="1167"/>
      <c r="F57" s="1167"/>
      <c r="G57" s="1167"/>
      <c r="H57" s="1167"/>
      <c r="I57" s="1167"/>
      <c r="J57" s="1167"/>
      <c r="K57" s="1167"/>
      <c r="L57" s="1167"/>
      <c r="M57" s="1167"/>
      <c r="N57" s="1167"/>
      <c r="O57" s="1167"/>
      <c r="P57" s="1167"/>
      <c r="Q57" s="149"/>
      <c r="AJ57" s="149"/>
      <c r="AK57" s="3"/>
      <c r="AL57" s="3"/>
      <c r="AM57" s="3"/>
      <c r="AN57" s="3"/>
      <c r="AO57" s="3"/>
      <c r="AP57" s="3"/>
      <c r="AQ57" s="3"/>
      <c r="AR57" s="3"/>
      <c r="AS57" s="3"/>
      <c r="AT57" s="3"/>
      <c r="AU57" s="3"/>
      <c r="AV57" s="3"/>
      <c r="AW57" s="3"/>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row>
    <row r="58" spans="2:94">
      <c r="B58" s="1167"/>
      <c r="C58" s="1167"/>
      <c r="D58" s="1167"/>
      <c r="E58" s="1167"/>
      <c r="F58" s="1167"/>
      <c r="G58" s="1167"/>
      <c r="H58" s="1167"/>
      <c r="I58" s="1167"/>
      <c r="J58" s="1167"/>
      <c r="K58" s="1167"/>
      <c r="L58" s="1167"/>
      <c r="M58" s="1167"/>
      <c r="N58" s="1167"/>
      <c r="O58" s="1167"/>
      <c r="P58" s="1167"/>
      <c r="Q58" s="149"/>
      <c r="AJ58" s="149"/>
      <c r="AK58" s="3"/>
      <c r="AL58" s="3"/>
      <c r="AM58" s="3"/>
      <c r="AN58" s="3"/>
      <c r="AO58" s="3"/>
      <c r="AP58" s="3"/>
      <c r="AQ58" s="3"/>
      <c r="AR58" s="3"/>
      <c r="AS58" s="3"/>
      <c r="AT58" s="3"/>
      <c r="AU58" s="3"/>
      <c r="AV58" s="3"/>
      <c r="AW58" s="3"/>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row>
    <row r="59" spans="2:94" ht="15.5" customHeight="1">
      <c r="B59" s="1167"/>
      <c r="C59" s="2500" t="s">
        <v>4926</v>
      </c>
      <c r="D59" s="2491" t="s">
        <v>4944</v>
      </c>
      <c r="E59" s="2491"/>
      <c r="F59" s="2491"/>
      <c r="G59" s="2491"/>
      <c r="H59" s="2491"/>
      <c r="I59" s="2491"/>
      <c r="J59" s="2491"/>
      <c r="K59" s="2491"/>
      <c r="L59" s="2491"/>
      <c r="M59" s="2491"/>
      <c r="N59" s="2491"/>
      <c r="O59" s="2491"/>
      <c r="P59" s="1167"/>
      <c r="Q59" s="149"/>
      <c r="R59" s="2490"/>
      <c r="S59" s="2490"/>
      <c r="AJ59" s="149"/>
      <c r="AK59" s="3"/>
      <c r="AL59" s="3"/>
      <c r="AM59" s="3"/>
      <c r="AN59" s="3"/>
      <c r="AO59" s="3"/>
      <c r="AP59" s="3"/>
      <c r="AQ59" s="3"/>
      <c r="AR59" s="3"/>
      <c r="AS59" s="3"/>
      <c r="AT59" s="3"/>
      <c r="AU59" s="3"/>
      <c r="AV59" s="3"/>
      <c r="AW59" s="3"/>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row>
    <row r="60" spans="2:94">
      <c r="B60" s="1167"/>
      <c r="C60" s="2500"/>
      <c r="D60" s="2491"/>
      <c r="E60" s="2491"/>
      <c r="F60" s="2491"/>
      <c r="G60" s="2491"/>
      <c r="H60" s="2491"/>
      <c r="I60" s="2491"/>
      <c r="J60" s="2491"/>
      <c r="K60" s="2491"/>
      <c r="L60" s="2491"/>
      <c r="M60" s="2491"/>
      <c r="N60" s="2491"/>
      <c r="O60" s="2491"/>
      <c r="P60" s="1167"/>
      <c r="Q60" s="149"/>
      <c r="AJ60" s="149"/>
      <c r="AK60" s="3"/>
      <c r="AL60" s="3"/>
      <c r="AM60" s="3"/>
      <c r="AN60" s="3"/>
      <c r="AO60" s="3"/>
      <c r="AP60" s="3"/>
      <c r="AQ60" s="3"/>
      <c r="AR60" s="3"/>
      <c r="AS60" s="3"/>
      <c r="AT60" s="3"/>
      <c r="AU60" s="3"/>
      <c r="AV60" s="3"/>
      <c r="AW60" s="3"/>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2:94" ht="14.5" customHeight="1">
      <c r="B61" s="1167"/>
      <c r="C61" s="2495"/>
      <c r="D61" s="2532" t="s">
        <v>4945</v>
      </c>
      <c r="E61" s="2532"/>
      <c r="F61" s="2532"/>
      <c r="G61" s="2532"/>
      <c r="H61" s="2532"/>
      <c r="I61" s="2532"/>
      <c r="J61" s="2532"/>
      <c r="K61" s="2532"/>
      <c r="L61" s="2532"/>
      <c r="M61" s="2532"/>
      <c r="N61" s="2532"/>
      <c r="O61" s="2532"/>
      <c r="P61" s="1167"/>
      <c r="Q61" s="149"/>
      <c r="AJ61" s="149"/>
      <c r="AK61" s="3"/>
      <c r="AL61" s="3"/>
      <c r="AM61" s="3"/>
      <c r="AN61" s="3"/>
      <c r="AO61" s="3"/>
      <c r="AP61" s="3"/>
      <c r="AQ61" s="3"/>
      <c r="AR61" s="3"/>
      <c r="AS61" s="3"/>
      <c r="AT61" s="3"/>
      <c r="AU61" s="3"/>
      <c r="AV61" s="3"/>
      <c r="AW61" s="3"/>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2:94">
      <c r="B62" s="1167"/>
      <c r="C62" s="2495"/>
      <c r="D62" s="2532"/>
      <c r="E62" s="2532"/>
      <c r="F62" s="2532"/>
      <c r="G62" s="2532"/>
      <c r="H62" s="2532"/>
      <c r="I62" s="2532"/>
      <c r="J62" s="2532"/>
      <c r="K62" s="2532"/>
      <c r="L62" s="2532"/>
      <c r="M62" s="2532"/>
      <c r="N62" s="2532"/>
      <c r="O62" s="2532"/>
      <c r="P62" s="1167"/>
      <c r="Q62" s="507"/>
      <c r="R62" s="1542" t="s">
        <v>4946</v>
      </c>
      <c r="S62" s="9">
        <f>IF(C61="Yes", 5, 0)</f>
        <v>0</v>
      </c>
      <c r="AJ62" s="149"/>
      <c r="AK62" s="3"/>
      <c r="AL62" s="3"/>
      <c r="AM62" s="3"/>
      <c r="AN62" s="3"/>
      <c r="AO62" s="3"/>
      <c r="AP62" s="3"/>
      <c r="AQ62" s="3"/>
      <c r="AR62" s="3"/>
      <c r="AS62" s="3"/>
      <c r="AT62" s="3"/>
      <c r="AU62" s="3"/>
      <c r="AV62" s="3"/>
      <c r="AW62" s="3"/>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row>
    <row r="63" spans="2:94" ht="62.5" customHeight="1">
      <c r="B63" s="1167"/>
      <c r="C63" s="2495"/>
      <c r="D63" s="2532"/>
      <c r="E63" s="2532"/>
      <c r="F63" s="2532"/>
      <c r="G63" s="2532"/>
      <c r="H63" s="2532"/>
      <c r="I63" s="2532"/>
      <c r="J63" s="2532"/>
      <c r="K63" s="2532"/>
      <c r="L63" s="2532"/>
      <c r="M63" s="2532"/>
      <c r="N63" s="2532"/>
      <c r="O63" s="2532"/>
      <c r="P63" s="1167"/>
      <c r="Q63" s="507"/>
      <c r="AJ63" s="149"/>
      <c r="AK63" s="3"/>
      <c r="AL63" s="3"/>
      <c r="AM63" s="3"/>
      <c r="AN63" s="3"/>
      <c r="AO63" s="3"/>
      <c r="AP63" s="3"/>
      <c r="AQ63" s="3"/>
      <c r="AR63" s="3"/>
      <c r="AS63" s="3"/>
      <c r="AT63" s="3"/>
      <c r="AU63" s="3"/>
      <c r="AV63" s="3"/>
      <c r="AW63" s="3"/>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2:94">
      <c r="B64" s="1167"/>
      <c r="C64" s="1167"/>
      <c r="D64" s="1167"/>
      <c r="E64" s="1167"/>
      <c r="F64" s="1167"/>
      <c r="G64" s="1167"/>
      <c r="H64" s="1167"/>
      <c r="I64" s="1167"/>
      <c r="J64" s="1167"/>
      <c r="K64" s="1167"/>
      <c r="L64" s="1167"/>
      <c r="M64" s="1167"/>
      <c r="N64" s="1167"/>
      <c r="O64" s="1167"/>
      <c r="P64" s="1167"/>
      <c r="Q64" s="149"/>
      <c r="R64" s="1533" t="s">
        <v>4861</v>
      </c>
      <c r="S64" s="94">
        <f>MIN(IF(S12,S30+S37+S62,IF(S40,S54+S62)),C66)</f>
        <v>0</v>
      </c>
      <c r="AJ64" s="149"/>
      <c r="AK64" s="3"/>
      <c r="AL64" s="3"/>
      <c r="AM64" s="3"/>
      <c r="AN64" s="3"/>
      <c r="AO64" s="3"/>
      <c r="AP64" s="3"/>
      <c r="AQ64" s="3"/>
      <c r="AR64" s="3"/>
      <c r="AS64" s="3"/>
      <c r="AT64" s="3"/>
      <c r="AU64" s="3"/>
      <c r="AV64" s="3"/>
      <c r="AW64" s="3"/>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2:94">
      <c r="B65" s="1167"/>
      <c r="C65" s="1150" t="s">
        <v>4734</v>
      </c>
      <c r="D65" s="1150" t="s">
        <v>4708</v>
      </c>
      <c r="E65" s="1150" t="s">
        <v>1010</v>
      </c>
      <c r="F65" s="1167"/>
      <c r="G65" s="1167"/>
      <c r="H65" s="1167"/>
      <c r="I65" s="1167"/>
      <c r="J65" s="1167"/>
      <c r="K65" s="1167"/>
      <c r="L65" s="1167"/>
      <c r="M65" s="1167"/>
      <c r="N65" s="1167"/>
      <c r="O65" s="1167"/>
      <c r="P65" s="1167"/>
      <c r="Q65" s="149"/>
      <c r="AJ65" s="149"/>
      <c r="AK65" s="3"/>
      <c r="AL65" s="3"/>
      <c r="AM65" s="3"/>
      <c r="AN65" s="3"/>
      <c r="AO65" s="3"/>
      <c r="AP65" s="3"/>
      <c r="AQ65" s="3"/>
      <c r="AR65" s="3"/>
      <c r="AS65" s="3"/>
      <c r="AT65" s="3"/>
      <c r="AU65" s="3"/>
      <c r="AV65" s="3"/>
      <c r="AW65" s="3"/>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2:94" ht="16">
      <c r="B66" s="1167"/>
      <c r="C66" s="1734">
        <v>25</v>
      </c>
      <c r="D66" s="986">
        <f>S64</f>
        <v>0</v>
      </c>
      <c r="E66" s="1043"/>
      <c r="F66" s="1167"/>
      <c r="G66" s="1167"/>
      <c r="H66" s="1167"/>
      <c r="I66" s="1167"/>
      <c r="J66" s="1167"/>
      <c r="K66" s="1167"/>
      <c r="L66" s="1167"/>
      <c r="M66" s="1167"/>
      <c r="N66" s="1167"/>
      <c r="O66" s="1167"/>
      <c r="P66" s="1167"/>
      <c r="Q66" s="149"/>
      <c r="AJ66" s="149"/>
      <c r="AK66" s="3"/>
      <c r="AL66" s="3"/>
      <c r="AM66" s="3"/>
      <c r="AN66" s="3"/>
      <c r="AO66" s="3"/>
      <c r="AP66" s="3"/>
      <c r="AQ66" s="3"/>
      <c r="AR66" s="3"/>
      <c r="AS66" s="3"/>
      <c r="AT66" s="3"/>
      <c r="AU66" s="3"/>
      <c r="AV66" s="3"/>
      <c r="AW66" s="3"/>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2:94">
      <c r="B67" s="1167"/>
      <c r="C67" s="1167"/>
      <c r="D67" s="1167"/>
      <c r="E67" s="1167"/>
      <c r="F67" s="1167"/>
      <c r="G67" s="1167"/>
      <c r="H67" s="1167"/>
      <c r="I67" s="1167"/>
      <c r="J67" s="1167"/>
      <c r="K67" s="1167"/>
      <c r="L67" s="1167"/>
      <c r="M67" s="1167"/>
      <c r="N67" s="1167"/>
      <c r="O67" s="1167"/>
      <c r="P67" s="1167"/>
      <c r="Q67" s="149"/>
      <c r="AJ67" s="149"/>
      <c r="AK67" s="3"/>
      <c r="AL67" s="3"/>
      <c r="AM67" s="3"/>
      <c r="AN67" s="3"/>
      <c r="AO67" s="3"/>
      <c r="AP67" s="3"/>
      <c r="AQ67" s="3"/>
      <c r="AR67" s="3"/>
      <c r="AS67" s="3"/>
      <c r="AT67" s="3"/>
      <c r="AU67" s="3"/>
      <c r="AV67" s="3"/>
      <c r="AW67" s="3"/>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2:94" ht="19">
      <c r="B68" s="8" t="s">
        <v>3364</v>
      </c>
      <c r="C68" s="3"/>
      <c r="D68" s="3"/>
      <c r="E68" s="3"/>
      <c r="F68" s="3"/>
      <c r="G68" s="3"/>
      <c r="H68" s="3"/>
      <c r="I68" s="3"/>
      <c r="J68" s="8" t="s">
        <v>3372</v>
      </c>
      <c r="K68" s="3"/>
      <c r="L68" s="3"/>
      <c r="M68" s="3"/>
      <c r="N68" s="3"/>
      <c r="O68" s="3"/>
      <c r="P68" s="3"/>
      <c r="Q68" s="149"/>
      <c r="AJ68" s="149"/>
      <c r="AK68" s="3"/>
      <c r="AL68" s="3"/>
      <c r="AM68" s="3"/>
      <c r="AN68" s="3"/>
      <c r="AO68" s="3"/>
      <c r="AP68" s="3"/>
      <c r="AQ68" s="3"/>
      <c r="AR68" s="3"/>
      <c r="AS68" s="3"/>
      <c r="AT68" s="3"/>
      <c r="AU68" s="3"/>
      <c r="AV68" s="3"/>
      <c r="AW68" s="3"/>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2:94">
      <c r="B69" s="1170" t="s">
        <v>4538</v>
      </c>
      <c r="C69" s="1167"/>
      <c r="D69" s="1167"/>
      <c r="E69" s="1167"/>
      <c r="F69" s="1167"/>
      <c r="G69" s="1167"/>
      <c r="H69" s="1167"/>
      <c r="I69" s="1167"/>
      <c r="J69" s="1172" t="s">
        <v>4434</v>
      </c>
      <c r="K69" s="1167"/>
      <c r="L69" s="1167"/>
      <c r="M69" s="1167"/>
      <c r="N69" s="1167"/>
      <c r="O69" s="1167"/>
      <c r="P69" s="1167"/>
      <c r="Q69" s="149"/>
      <c r="AJ69" s="149"/>
      <c r="AK69" s="3"/>
      <c r="AL69" s="3"/>
      <c r="AM69" s="3"/>
      <c r="AN69" s="3"/>
      <c r="AO69" s="3"/>
      <c r="AP69" s="3"/>
      <c r="AQ69" s="3"/>
      <c r="AR69" s="3"/>
      <c r="AS69" s="3"/>
      <c r="AT69" s="3"/>
      <c r="AU69" s="3"/>
      <c r="AV69" s="3"/>
      <c r="AW69" s="3"/>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2:94">
      <c r="B70" s="1167"/>
      <c r="C70" s="2533"/>
      <c r="D70" s="2533"/>
      <c r="E70" s="2533"/>
      <c r="F70" s="2533"/>
      <c r="G70" s="2533"/>
      <c r="H70" s="2533"/>
      <c r="I70" s="1167"/>
      <c r="J70" s="1981"/>
      <c r="K70" s="1981"/>
      <c r="L70" s="1981"/>
      <c r="M70" s="1981"/>
      <c r="N70" s="1981"/>
      <c r="O70" s="1981"/>
      <c r="P70" s="1167"/>
      <c r="Q70" s="149"/>
      <c r="AJ70" s="149"/>
      <c r="AK70" s="3"/>
      <c r="AL70" s="3"/>
      <c r="AM70" s="3"/>
      <c r="AN70" s="3"/>
      <c r="AO70" s="3"/>
      <c r="AP70" s="3"/>
      <c r="AQ70" s="3"/>
      <c r="AR70" s="3"/>
      <c r="AS70" s="3"/>
      <c r="AT70" s="3"/>
      <c r="AU70" s="3"/>
      <c r="AV70" s="3"/>
      <c r="AW70" s="3"/>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2:94">
      <c r="B71" s="1167"/>
      <c r="C71" s="2533"/>
      <c r="D71" s="2533"/>
      <c r="E71" s="2533"/>
      <c r="F71" s="2533"/>
      <c r="G71" s="2533"/>
      <c r="H71" s="2533"/>
      <c r="I71" s="1167"/>
      <c r="J71" s="1981"/>
      <c r="K71" s="1981"/>
      <c r="L71" s="1981"/>
      <c r="M71" s="1981"/>
      <c r="N71" s="1981"/>
      <c r="O71" s="1981"/>
      <c r="P71" s="1167"/>
      <c r="Q71" s="149"/>
      <c r="Z71" s="869"/>
      <c r="AJ71" s="149"/>
      <c r="AK71" s="14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2:94">
      <c r="B72" s="1167"/>
      <c r="C72" s="2533"/>
      <c r="D72" s="2533"/>
      <c r="E72" s="2533"/>
      <c r="F72" s="2533"/>
      <c r="G72" s="2533"/>
      <c r="H72" s="2533"/>
      <c r="I72" s="1167"/>
      <c r="J72" s="1981"/>
      <c r="K72" s="1981"/>
      <c r="L72" s="1981"/>
      <c r="M72" s="1981"/>
      <c r="N72" s="1981"/>
      <c r="O72" s="1981"/>
      <c r="P72" s="1167"/>
      <c r="Q72" s="149"/>
      <c r="Z72" s="869"/>
      <c r="AJ72" s="149"/>
      <c r="AK72" s="14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2:94" ht="14.5" customHeight="1">
      <c r="B73" s="1167"/>
      <c r="C73" s="2533"/>
      <c r="D73" s="2533"/>
      <c r="E73" s="2533"/>
      <c r="F73" s="2533"/>
      <c r="G73" s="2533"/>
      <c r="H73" s="2533"/>
      <c r="I73" s="1167"/>
      <c r="J73" s="1981"/>
      <c r="K73" s="1981"/>
      <c r="L73" s="1981"/>
      <c r="M73" s="1981"/>
      <c r="N73" s="1981"/>
      <c r="O73" s="1981"/>
      <c r="P73" s="1167"/>
      <c r="Q73" s="149"/>
      <c r="Z73" s="869"/>
      <c r="AJ73" s="149"/>
      <c r="AK73" s="14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2:94">
      <c r="B74" s="1167"/>
      <c r="C74" s="2533"/>
      <c r="D74" s="2533"/>
      <c r="E74" s="2533"/>
      <c r="F74" s="2533"/>
      <c r="G74" s="2533"/>
      <c r="H74" s="2533"/>
      <c r="I74" s="1167"/>
      <c r="J74" s="1981"/>
      <c r="K74" s="1981"/>
      <c r="L74" s="1981"/>
      <c r="M74" s="1981"/>
      <c r="N74" s="1981"/>
      <c r="O74" s="1981"/>
      <c r="P74" s="1167"/>
      <c r="Q74" s="149"/>
      <c r="Z74" s="869"/>
      <c r="AJ74" s="149"/>
      <c r="AK74" s="14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2:94">
      <c r="B75" s="1167"/>
      <c r="C75" s="2533"/>
      <c r="D75" s="2533"/>
      <c r="E75" s="2533"/>
      <c r="F75" s="2533"/>
      <c r="G75" s="2533"/>
      <c r="H75" s="2533"/>
      <c r="I75" s="1167"/>
      <c r="J75" s="1981"/>
      <c r="K75" s="1981"/>
      <c r="L75" s="1981"/>
      <c r="M75" s="1981"/>
      <c r="N75" s="1981"/>
      <c r="O75" s="1981"/>
      <c r="P75" s="1167"/>
      <c r="Q75" s="149"/>
      <c r="AJ75" s="149"/>
      <c r="AK75" s="14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2:94">
      <c r="B76" s="1167"/>
      <c r="C76" s="2533"/>
      <c r="D76" s="2533"/>
      <c r="E76" s="2533"/>
      <c r="F76" s="2533"/>
      <c r="G76" s="2533"/>
      <c r="H76" s="2533"/>
      <c r="I76" s="1167"/>
      <c r="J76" s="1981"/>
      <c r="K76" s="1981"/>
      <c r="L76" s="1981"/>
      <c r="M76" s="1981"/>
      <c r="N76" s="1981"/>
      <c r="O76" s="1981"/>
      <c r="P76" s="1167"/>
      <c r="Q76" s="149"/>
      <c r="Z76" s="869"/>
      <c r="AJ76" s="149"/>
      <c r="AK76" s="14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2:94">
      <c r="B77" s="1167"/>
      <c r="C77" s="2533"/>
      <c r="D77" s="2533"/>
      <c r="E77" s="2533"/>
      <c r="F77" s="2533"/>
      <c r="G77" s="2533"/>
      <c r="H77" s="2533"/>
      <c r="I77" s="1167"/>
      <c r="J77" s="1981"/>
      <c r="K77" s="1981"/>
      <c r="L77" s="1981"/>
      <c r="M77" s="1981"/>
      <c r="N77" s="1981"/>
      <c r="O77" s="1981"/>
      <c r="P77" s="1167"/>
      <c r="Q77" s="149"/>
      <c r="AJ77" s="149"/>
      <c r="AK77" s="14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2:94">
      <c r="B78" s="1167"/>
      <c r="C78" s="2533"/>
      <c r="D78" s="2533"/>
      <c r="E78" s="2533"/>
      <c r="F78" s="2533"/>
      <c r="G78" s="2533"/>
      <c r="H78" s="2533"/>
      <c r="I78" s="1167"/>
      <c r="J78" s="1981"/>
      <c r="K78" s="1981"/>
      <c r="L78" s="1981"/>
      <c r="M78" s="1981"/>
      <c r="N78" s="1981"/>
      <c r="O78" s="1981"/>
      <c r="P78" s="1167"/>
      <c r="Q78" s="149"/>
      <c r="AJ78" s="149"/>
      <c r="AK78" s="14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2:94">
      <c r="B79" s="1167"/>
      <c r="C79" s="2533"/>
      <c r="D79" s="2533"/>
      <c r="E79" s="2533"/>
      <c r="F79" s="2533"/>
      <c r="G79" s="2533"/>
      <c r="H79" s="2533"/>
      <c r="I79" s="1167"/>
      <c r="J79" s="1733" t="s">
        <v>4766</v>
      </c>
      <c r="K79" s="1167"/>
      <c r="L79" s="1167"/>
      <c r="M79" s="1167"/>
      <c r="N79" s="1167"/>
      <c r="O79" s="1167"/>
      <c r="P79" s="1167"/>
      <c r="Q79" s="149"/>
      <c r="AJ79" s="149"/>
      <c r="AK79" s="14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2:94" ht="15" customHeight="1">
      <c r="B80" s="1167"/>
      <c r="C80" s="2533"/>
      <c r="D80" s="2533"/>
      <c r="E80" s="2533"/>
      <c r="F80" s="2533"/>
      <c r="G80" s="2533"/>
      <c r="H80" s="2533"/>
      <c r="I80" s="1167"/>
      <c r="J80" s="2489"/>
      <c r="K80" s="2489"/>
      <c r="L80" s="2489"/>
      <c r="M80" s="2489"/>
      <c r="N80" s="2489"/>
      <c r="O80" s="2489"/>
      <c r="P80" s="1167"/>
      <c r="Q80" s="149"/>
      <c r="AJ80" s="149"/>
      <c r="AK80" s="14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c r="B81" s="1167"/>
      <c r="C81" s="1167"/>
      <c r="D81" s="1167"/>
      <c r="E81" s="1167"/>
      <c r="F81" s="1167"/>
      <c r="G81" s="1167"/>
      <c r="H81" s="1167"/>
      <c r="I81" s="1167"/>
      <c r="J81" s="1167"/>
      <c r="K81" s="1167"/>
      <c r="L81" s="1167"/>
      <c r="M81" s="1167"/>
      <c r="N81" s="1167"/>
      <c r="O81" s="1167"/>
      <c r="P81" s="1167"/>
      <c r="Q81" s="149"/>
      <c r="AJ81" s="149"/>
      <c r="AK81" s="3"/>
      <c r="AL81" s="3"/>
      <c r="AM81" s="3"/>
      <c r="AN81" s="3"/>
      <c r="AO81" s="3"/>
      <c r="AP81" s="3"/>
      <c r="AQ81" s="3"/>
      <c r="AR81" s="3"/>
      <c r="AS81" s="3"/>
      <c r="AT81" s="3"/>
      <c r="AU81" s="3"/>
      <c r="AV81" s="3"/>
      <c r="AW81" s="3"/>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989" customFormat="1" ht="21">
      <c r="A82" s="977"/>
      <c r="B82" s="977" t="s">
        <v>4947</v>
      </c>
      <c r="C82" s="987"/>
      <c r="D82" s="987"/>
      <c r="E82" s="987"/>
      <c r="F82" s="987"/>
      <c r="G82" s="987"/>
      <c r="H82" s="987"/>
      <c r="I82" s="987"/>
      <c r="J82" s="987"/>
      <c r="K82" s="987"/>
      <c r="L82" s="987"/>
      <c r="M82" s="987"/>
      <c r="N82" s="987"/>
      <c r="O82" s="987"/>
      <c r="P82" s="987"/>
      <c r="Q82" s="999"/>
      <c r="R82" s="1534"/>
      <c r="S82" s="997"/>
      <c r="T82" s="999"/>
      <c r="U82" s="999"/>
      <c r="V82" s="999"/>
      <c r="W82" s="999"/>
      <c r="X82" s="999"/>
      <c r="Y82" s="999"/>
      <c r="Z82" s="999"/>
      <c r="AA82" s="1000"/>
      <c r="AB82" s="1000"/>
      <c r="AC82" s="1000"/>
      <c r="AD82" s="1000"/>
      <c r="AE82" s="1000"/>
      <c r="AF82" s="1000"/>
      <c r="AG82" s="1000"/>
      <c r="AH82" s="1000"/>
      <c r="AI82" s="1000"/>
      <c r="AJ82" s="988"/>
      <c r="AK82" s="988"/>
      <c r="AL82" s="988"/>
      <c r="AM82" s="988"/>
      <c r="AN82" s="988"/>
      <c r="AO82" s="988"/>
      <c r="AP82" s="988"/>
      <c r="AQ82" s="988"/>
      <c r="AR82" s="988"/>
      <c r="AS82" s="988"/>
      <c r="AT82" s="988"/>
      <c r="AU82" s="988"/>
      <c r="AV82" s="988"/>
      <c r="AW82" s="988"/>
      <c r="AX82" s="988"/>
      <c r="AY82" s="988"/>
      <c r="AZ82" s="988"/>
      <c r="BA82" s="988"/>
      <c r="BB82" s="988"/>
      <c r="BC82" s="988"/>
      <c r="BD82" s="988"/>
    </row>
    <row r="83" spans="1:94">
      <c r="B83" s="1167"/>
      <c r="C83" s="1167"/>
      <c r="D83" s="1167"/>
      <c r="E83" s="1167"/>
      <c r="F83" s="1167"/>
      <c r="G83" s="1167"/>
      <c r="H83" s="1167"/>
      <c r="I83" s="1167"/>
      <c r="J83" s="1167"/>
      <c r="K83" s="1167"/>
      <c r="L83" s="1167"/>
      <c r="M83" s="1167"/>
      <c r="N83" s="1167"/>
      <c r="O83" s="1167"/>
      <c r="P83" s="1167"/>
      <c r="Q83" s="149"/>
      <c r="AJ83" s="149"/>
      <c r="AK83" s="3"/>
      <c r="AL83" s="3"/>
      <c r="AM83" s="3"/>
      <c r="AN83" s="3"/>
      <c r="AO83" s="3"/>
      <c r="AP83" s="3"/>
      <c r="AQ83" s="3"/>
      <c r="AR83" s="3"/>
      <c r="AS83" s="3"/>
      <c r="AT83" s="3"/>
      <c r="AU83" s="3"/>
      <c r="AV83" s="3"/>
      <c r="AW83" s="3"/>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ht="14.5" customHeight="1">
      <c r="B84" s="2423" t="s">
        <v>4948</v>
      </c>
      <c r="C84" s="2423"/>
      <c r="D84" s="2423"/>
      <c r="E84" s="2423"/>
      <c r="F84" s="2423"/>
      <c r="G84" s="2423"/>
      <c r="H84" s="2423"/>
      <c r="I84" s="2423"/>
      <c r="J84" s="2423"/>
      <c r="K84" s="2423"/>
      <c r="L84" s="2423"/>
      <c r="M84" s="2423"/>
      <c r="N84" s="2423"/>
      <c r="O84" s="2423"/>
      <c r="P84" s="1167"/>
      <c r="Q84" s="149"/>
      <c r="AJ84" s="149"/>
      <c r="AK84" s="3"/>
      <c r="AL84" s="3"/>
      <c r="AM84" s="3"/>
      <c r="AN84" s="3"/>
      <c r="AO84" s="3"/>
      <c r="AP84" s="3"/>
      <c r="AQ84" s="3"/>
      <c r="AR84" s="3"/>
      <c r="AS84" s="3"/>
      <c r="AT84" s="3"/>
      <c r="AU84" s="3"/>
      <c r="AV84" s="3"/>
      <c r="AW84" s="3"/>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c r="B85" s="2423"/>
      <c r="C85" s="2423"/>
      <c r="D85" s="2423"/>
      <c r="E85" s="2423"/>
      <c r="F85" s="2423"/>
      <c r="G85" s="2423"/>
      <c r="H85" s="2423"/>
      <c r="I85" s="2423"/>
      <c r="J85" s="2423"/>
      <c r="K85" s="2423"/>
      <c r="L85" s="2423"/>
      <c r="M85" s="2423"/>
      <c r="N85" s="2423"/>
      <c r="O85" s="2423"/>
      <c r="P85" s="1167"/>
      <c r="Q85" s="149"/>
      <c r="AJ85" s="149"/>
      <c r="AK85" s="3"/>
      <c r="AL85" s="3"/>
      <c r="AM85" s="3"/>
      <c r="AN85" s="3"/>
      <c r="AO85" s="3"/>
      <c r="AP85" s="3"/>
      <c r="AQ85" s="3"/>
      <c r="AR85" s="3"/>
      <c r="AS85" s="3"/>
      <c r="AT85" s="3"/>
      <c r="AU85" s="3"/>
      <c r="AV85" s="3"/>
      <c r="AW85" s="3"/>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 customFormat="1">
      <c r="B86" s="1167"/>
      <c r="C86" s="1167"/>
      <c r="D86" s="1167"/>
      <c r="E86" s="1167"/>
      <c r="F86" s="1167"/>
      <c r="G86" s="1167"/>
      <c r="H86" s="1167"/>
      <c r="I86" s="1167"/>
      <c r="J86" s="1167"/>
      <c r="K86" s="1167"/>
      <c r="L86" s="1167"/>
      <c r="M86" s="1167"/>
      <c r="N86" s="1167"/>
      <c r="O86" s="1167"/>
      <c r="P86" s="1167"/>
      <c r="Q86" s="149"/>
      <c r="R86" s="1533"/>
      <c r="S86" s="9"/>
      <c r="T86" s="149"/>
      <c r="U86" s="149"/>
      <c r="V86" s="149"/>
      <c r="W86" s="149"/>
      <c r="X86" s="149"/>
      <c r="Y86" s="149"/>
      <c r="Z86" s="149"/>
      <c r="AA86" s="149"/>
      <c r="AB86" s="149"/>
      <c r="AC86" s="149"/>
      <c r="AD86" s="149"/>
      <c r="AE86" s="149"/>
      <c r="AF86" s="149"/>
      <c r="AG86" s="149"/>
      <c r="AH86" s="149"/>
      <c r="AI86" s="149"/>
      <c r="AJ86" s="14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row>
    <row r="87" spans="1:94" s="3" customFormat="1">
      <c r="B87" s="2534" t="s">
        <v>4949</v>
      </c>
      <c r="C87" s="2534"/>
      <c r="D87" s="2534"/>
      <c r="E87" s="2534"/>
      <c r="F87" s="2534"/>
      <c r="G87" s="2534"/>
      <c r="H87" s="2534"/>
      <c r="I87" s="2534"/>
      <c r="J87" s="2534"/>
      <c r="K87" s="2534"/>
      <c r="L87" s="2534"/>
      <c r="M87" s="2534"/>
      <c r="N87" s="2534"/>
      <c r="O87" s="2534"/>
      <c r="P87" s="1167"/>
      <c r="Q87" s="149"/>
      <c r="R87" s="1533"/>
      <c r="S87" s="9"/>
      <c r="T87" s="149"/>
      <c r="U87" s="149"/>
      <c r="V87" s="149"/>
      <c r="W87" s="149"/>
      <c r="X87" s="149"/>
      <c r="Y87" s="149"/>
      <c r="Z87" s="149"/>
      <c r="AA87" s="149"/>
      <c r="AB87" s="149"/>
      <c r="AC87" s="149"/>
      <c r="AD87" s="149"/>
      <c r="AE87" s="149"/>
      <c r="AF87" s="149"/>
      <c r="AG87" s="149"/>
      <c r="AH87" s="149"/>
      <c r="AI87" s="149"/>
      <c r="AJ87" s="149"/>
    </row>
    <row r="88" spans="1:94" s="3" customFormat="1">
      <c r="B88" s="2534"/>
      <c r="C88" s="2534"/>
      <c r="D88" s="2534"/>
      <c r="E88" s="2534"/>
      <c r="F88" s="2534"/>
      <c r="G88" s="2534"/>
      <c r="H88" s="2534"/>
      <c r="I88" s="2534"/>
      <c r="J88" s="2534"/>
      <c r="K88" s="2534"/>
      <c r="L88" s="2534"/>
      <c r="M88" s="2534"/>
      <c r="N88" s="2534"/>
      <c r="O88" s="2534"/>
      <c r="P88" s="1167"/>
      <c r="Q88" s="149"/>
      <c r="R88" s="1533"/>
      <c r="S88" s="9"/>
      <c r="T88" s="149"/>
      <c r="U88" s="149"/>
      <c r="V88" s="149"/>
      <c r="W88" s="149"/>
      <c r="X88" s="149"/>
      <c r="Y88" s="149"/>
      <c r="Z88" s="149"/>
      <c r="AA88" s="149"/>
      <c r="AB88" s="149"/>
      <c r="AC88" s="149"/>
      <c r="AD88" s="149"/>
      <c r="AE88" s="149"/>
      <c r="AF88" s="149"/>
      <c r="AG88" s="149"/>
      <c r="AH88" s="149"/>
      <c r="AI88" s="149"/>
      <c r="AJ88" s="149"/>
    </row>
    <row r="89" spans="1:94">
      <c r="B89" s="1167"/>
      <c r="C89" s="1167"/>
      <c r="D89" s="1167"/>
      <c r="E89" s="1167"/>
      <c r="F89" s="1167"/>
      <c r="G89" s="1167"/>
      <c r="H89" s="1167"/>
      <c r="I89" s="1167"/>
      <c r="J89" s="1167"/>
      <c r="K89" s="1167"/>
      <c r="L89" s="1167"/>
      <c r="M89" s="1167"/>
      <c r="N89" s="1167"/>
      <c r="O89" s="1167"/>
      <c r="P89" s="1167"/>
      <c r="Q89" s="149"/>
    </row>
    <row r="90" spans="1:94" s="26" customFormat="1">
      <c r="A90" s="76"/>
      <c r="B90" s="1406" t="s">
        <v>4950</v>
      </c>
      <c r="C90" s="1167"/>
      <c r="D90" s="1167"/>
      <c r="E90" s="1167"/>
      <c r="F90" s="1167"/>
      <c r="G90" s="1167"/>
      <c r="H90" s="1167"/>
      <c r="I90" s="1167"/>
      <c r="J90" s="1167"/>
      <c r="K90" s="1167"/>
      <c r="L90" s="1167"/>
      <c r="M90" s="1167"/>
      <c r="N90" s="1167"/>
      <c r="O90" s="1167"/>
      <c r="P90" s="1167"/>
      <c r="Q90" s="149"/>
      <c r="R90" s="1533"/>
      <c r="S90" s="9"/>
      <c r="T90" s="149"/>
      <c r="U90" s="149"/>
      <c r="V90" s="149"/>
      <c r="W90" s="149"/>
      <c r="X90" s="149"/>
      <c r="Y90" s="149"/>
      <c r="Z90" s="149"/>
      <c r="AA90" s="149"/>
      <c r="AB90" s="579"/>
      <c r="AC90" s="579"/>
      <c r="AD90" s="579"/>
      <c r="AE90" s="579"/>
      <c r="AF90" s="579"/>
      <c r="AG90" s="579"/>
      <c r="AH90" s="579"/>
      <c r="AI90" s="579"/>
      <c r="AJ90" s="579"/>
      <c r="AK90" s="579"/>
      <c r="AL90" s="579"/>
      <c r="AM90" s="579"/>
      <c r="AN90" s="579"/>
      <c r="AO90" s="579"/>
      <c r="AP90" s="579"/>
      <c r="AQ90" s="579"/>
      <c r="AR90" s="579"/>
      <c r="AS90" s="579"/>
      <c r="AT90" s="579"/>
      <c r="AU90" s="204"/>
      <c r="AV90" s="204"/>
      <c r="AW90" s="204"/>
      <c r="AX90" s="204"/>
      <c r="AY90" s="204"/>
      <c r="AZ90" s="204"/>
      <c r="BA90" s="204"/>
      <c r="BB90" s="204"/>
      <c r="BC90" s="204"/>
      <c r="BD90" s="204"/>
    </row>
    <row r="91" spans="1:94" s="26" customFormat="1">
      <c r="A91" s="76"/>
      <c r="B91" s="1167"/>
      <c r="C91" s="1167"/>
      <c r="D91" s="1167"/>
      <c r="E91" s="1167"/>
      <c r="F91" s="1167"/>
      <c r="G91" s="1167"/>
      <c r="H91" s="1167"/>
      <c r="I91" s="1167"/>
      <c r="J91" s="1167"/>
      <c r="K91" s="1167"/>
      <c r="L91" s="1167"/>
      <c r="M91" s="1167"/>
      <c r="N91" s="1167"/>
      <c r="O91" s="1167"/>
      <c r="P91" s="1167"/>
      <c r="Q91" s="149"/>
      <c r="R91" s="1533"/>
      <c r="S91" s="9"/>
      <c r="T91" s="149"/>
      <c r="U91" s="149"/>
      <c r="V91" s="149"/>
      <c r="W91" s="149"/>
      <c r="X91" s="149"/>
      <c r="Y91" s="149"/>
      <c r="Z91" s="149"/>
      <c r="AA91" s="149"/>
      <c r="AB91" s="579"/>
      <c r="AC91" s="579"/>
      <c r="AD91" s="579"/>
      <c r="AE91" s="579"/>
      <c r="AF91" s="579"/>
      <c r="AG91" s="579"/>
      <c r="AH91" s="579"/>
      <c r="AI91" s="579"/>
      <c r="AJ91" s="579"/>
      <c r="AK91" s="579"/>
      <c r="AL91" s="579"/>
      <c r="AM91" s="579"/>
      <c r="AN91" s="579"/>
      <c r="AO91" s="579"/>
      <c r="AP91" s="579"/>
      <c r="AQ91" s="579"/>
      <c r="AR91" s="579"/>
      <c r="AS91" s="579"/>
      <c r="AT91" s="579"/>
      <c r="AU91" s="204"/>
      <c r="AV91" s="204"/>
      <c r="AW91" s="204"/>
      <c r="AX91" s="204"/>
      <c r="AY91" s="204"/>
      <c r="AZ91" s="204"/>
      <c r="BA91" s="204"/>
      <c r="BB91" s="204"/>
      <c r="BC91" s="204"/>
      <c r="BD91" s="204"/>
    </row>
    <row r="92" spans="1:94" s="26" customFormat="1" ht="16">
      <c r="A92" s="76"/>
      <c r="B92" s="1407" t="s">
        <v>4951</v>
      </c>
      <c r="C92" s="1407"/>
      <c r="D92" s="1407"/>
      <c r="E92" s="1407"/>
      <c r="F92" s="1407"/>
      <c r="G92" s="1407"/>
      <c r="H92" s="1407"/>
      <c r="I92" s="1407"/>
      <c r="J92" s="1407"/>
      <c r="K92" s="1407"/>
      <c r="L92" s="1407"/>
      <c r="M92" s="1689"/>
      <c r="N92" s="1689"/>
      <c r="O92" s="1689"/>
      <c r="P92" s="1689"/>
      <c r="Q92" s="149"/>
      <c r="R92" s="1533"/>
      <c r="S92" s="9"/>
      <c r="T92" s="149"/>
      <c r="U92" s="149"/>
      <c r="V92" s="149"/>
      <c r="W92" s="149"/>
      <c r="X92" s="149"/>
      <c r="Y92" s="149"/>
      <c r="Z92" s="149"/>
      <c r="AA92" s="149"/>
      <c r="AB92" s="579"/>
      <c r="AC92" s="579"/>
      <c r="AD92" s="579"/>
      <c r="AE92" s="579"/>
      <c r="AF92" s="579"/>
      <c r="AG92" s="579"/>
      <c r="AH92" s="579"/>
      <c r="AI92" s="579"/>
      <c r="AJ92" s="579"/>
      <c r="AK92" s="579"/>
      <c r="AL92" s="579"/>
      <c r="AM92" s="579"/>
      <c r="AN92" s="579"/>
      <c r="AO92" s="579"/>
      <c r="AP92" s="579"/>
      <c r="AQ92" s="579"/>
      <c r="AR92" s="579"/>
      <c r="AS92" s="579"/>
      <c r="AT92" s="579"/>
      <c r="AU92" s="204"/>
      <c r="AV92" s="204"/>
      <c r="AW92" s="204"/>
      <c r="AX92" s="204"/>
      <c r="AY92" s="204"/>
      <c r="AZ92" s="204"/>
      <c r="BA92" s="204"/>
      <c r="BB92" s="204"/>
      <c r="BC92" s="204"/>
      <c r="BD92" s="204"/>
    </row>
    <row r="93" spans="1:94" s="26" customFormat="1">
      <c r="A93" s="76"/>
      <c r="B93" s="1689" t="s">
        <v>4952</v>
      </c>
      <c r="C93" s="1689"/>
      <c r="D93" s="1689"/>
      <c r="E93" s="1689"/>
      <c r="F93" s="1689"/>
      <c r="G93" s="1689"/>
      <c r="H93" s="1689"/>
      <c r="I93" s="1689"/>
      <c r="J93" s="1689"/>
      <c r="K93" s="1689"/>
      <c r="L93" s="1689"/>
      <c r="M93" s="1689"/>
      <c r="N93" s="1689"/>
      <c r="O93" s="1689"/>
      <c r="P93" s="1689"/>
      <c r="Q93" s="149"/>
      <c r="R93" s="1533"/>
      <c r="S93" s="9"/>
      <c r="T93" s="149"/>
      <c r="U93" s="149"/>
      <c r="V93" s="149"/>
      <c r="W93" s="149"/>
      <c r="X93" s="149"/>
      <c r="Y93" s="149"/>
      <c r="Z93" s="149"/>
      <c r="AA93" s="149"/>
      <c r="AB93" s="579"/>
      <c r="AC93" s="579"/>
      <c r="AD93" s="579"/>
      <c r="AE93" s="579"/>
      <c r="AF93" s="579"/>
      <c r="AG93" s="579"/>
      <c r="AH93" s="579"/>
      <c r="AI93" s="579"/>
      <c r="AJ93" s="579"/>
      <c r="AK93" s="579"/>
      <c r="AL93" s="579"/>
      <c r="AM93" s="579"/>
      <c r="AN93" s="579"/>
      <c r="AO93" s="579"/>
      <c r="AP93" s="579"/>
      <c r="AQ93" s="579"/>
      <c r="AR93" s="579"/>
      <c r="AS93" s="579"/>
      <c r="AT93" s="579"/>
      <c r="AU93" s="204"/>
      <c r="AV93" s="204"/>
      <c r="AW93" s="204"/>
      <c r="AX93" s="204"/>
      <c r="AY93" s="204"/>
      <c r="AZ93" s="204"/>
      <c r="BA93" s="204"/>
      <c r="BB93" s="204"/>
      <c r="BC93" s="204"/>
      <c r="BD93" s="204"/>
    </row>
    <row r="94" spans="1:94" s="26" customFormat="1" ht="15.5" customHeight="1">
      <c r="A94" s="76"/>
      <c r="B94" s="1689"/>
      <c r="C94" s="2500" t="s">
        <v>4926</v>
      </c>
      <c r="D94" s="2492" t="s">
        <v>4739</v>
      </c>
      <c r="E94" s="2503" t="s">
        <v>4770</v>
      </c>
      <c r="F94" s="2504"/>
      <c r="G94" s="2504"/>
      <c r="H94" s="2504"/>
      <c r="I94" s="2504"/>
      <c r="J94" s="2504"/>
      <c r="K94" s="2504"/>
      <c r="L94" s="2504"/>
      <c r="M94" s="2504"/>
      <c r="N94" s="2504"/>
      <c r="O94" s="2505"/>
      <c r="P94" s="1689"/>
      <c r="Q94" s="149"/>
      <c r="R94" s="1533"/>
      <c r="S94" s="9"/>
      <c r="T94" s="149"/>
      <c r="U94" s="149"/>
      <c r="V94" s="149"/>
      <c r="W94" s="149"/>
      <c r="X94" s="149"/>
      <c r="Y94" s="149"/>
      <c r="Z94" s="149"/>
      <c r="AA94" s="149"/>
      <c r="AB94" s="579"/>
      <c r="AC94" s="579"/>
      <c r="AD94" s="579"/>
      <c r="AE94" s="579"/>
      <c r="AF94" s="579"/>
      <c r="AG94" s="579"/>
      <c r="AH94" s="579"/>
      <c r="AI94" s="579"/>
      <c r="AJ94" s="579"/>
      <c r="AK94" s="579"/>
      <c r="AL94" s="579"/>
      <c r="AM94" s="579"/>
      <c r="AN94" s="579"/>
      <c r="AO94" s="579"/>
      <c r="AP94" s="579"/>
      <c r="AQ94" s="579"/>
      <c r="AR94" s="579"/>
      <c r="AS94" s="579"/>
      <c r="AT94" s="579"/>
      <c r="AU94" s="204"/>
      <c r="AV94" s="204"/>
      <c r="AW94" s="204"/>
      <c r="AX94" s="204"/>
      <c r="AY94" s="204"/>
      <c r="AZ94" s="204"/>
      <c r="BA94" s="204"/>
      <c r="BB94" s="204"/>
      <c r="BC94" s="204"/>
      <c r="BD94" s="204"/>
    </row>
    <row r="95" spans="1:94" ht="14.5" customHeight="1">
      <c r="B95" s="1167"/>
      <c r="C95" s="2500"/>
      <c r="D95" s="2492"/>
      <c r="E95" s="2513"/>
      <c r="F95" s="2514"/>
      <c r="G95" s="2514"/>
      <c r="H95" s="2514"/>
      <c r="I95" s="2514"/>
      <c r="J95" s="2514"/>
      <c r="K95" s="2514"/>
      <c r="L95" s="2514"/>
      <c r="M95" s="2514"/>
      <c r="N95" s="2514"/>
      <c r="O95" s="2515"/>
      <c r="P95" s="1689"/>
      <c r="Q95" s="149"/>
      <c r="AD95" s="579"/>
      <c r="AE95" s="579"/>
      <c r="AF95" s="579"/>
      <c r="AG95" s="579"/>
      <c r="AH95" s="579"/>
      <c r="AI95" s="579"/>
      <c r="AJ95" s="579"/>
      <c r="AK95" s="579"/>
      <c r="AL95" s="579"/>
      <c r="AM95" s="579"/>
      <c r="AN95" s="579"/>
      <c r="AO95" s="579"/>
      <c r="AP95" s="579"/>
      <c r="AQ95" s="579"/>
      <c r="AR95" s="579"/>
      <c r="AS95" s="579"/>
      <c r="AT95" s="579"/>
      <c r="AU95" s="204"/>
      <c r="AV95" s="204"/>
      <c r="AW95" s="204"/>
      <c r="AX95" s="204"/>
      <c r="AY95" s="204"/>
      <c r="AZ95" s="204"/>
      <c r="BA95" s="204"/>
      <c r="BB95" s="204"/>
      <c r="BC95" s="204"/>
      <c r="BD95" s="204"/>
    </row>
    <row r="96" spans="1:94" ht="14.5" customHeight="1">
      <c r="B96" s="1167"/>
      <c r="C96" s="2495"/>
      <c r="D96" s="2496">
        <v>2</v>
      </c>
      <c r="E96" s="2494" t="s">
        <v>4953</v>
      </c>
      <c r="F96" s="2477"/>
      <c r="G96" s="2477"/>
      <c r="H96" s="2477"/>
      <c r="I96" s="2477"/>
      <c r="J96" s="2477"/>
      <c r="K96" s="2477"/>
      <c r="L96" s="2477"/>
      <c r="M96" s="2477"/>
      <c r="N96" s="2477"/>
      <c r="O96" s="2477"/>
      <c r="P96" s="1689"/>
      <c r="Q96" s="149"/>
      <c r="R96" s="1543"/>
      <c r="S96" s="1544" t="s">
        <v>4739</v>
      </c>
      <c r="AD96" s="579"/>
      <c r="AE96" s="579"/>
      <c r="AF96" s="579"/>
      <c r="AG96" s="579"/>
      <c r="AH96" s="579"/>
      <c r="AI96" s="579"/>
      <c r="AJ96" s="579"/>
      <c r="AK96" s="579"/>
      <c r="AL96" s="579"/>
      <c r="AM96" s="579"/>
      <c r="AN96" s="579"/>
      <c r="AO96" s="579"/>
      <c r="AP96" s="579"/>
      <c r="AQ96" s="579"/>
      <c r="AR96" s="579"/>
      <c r="AS96" s="579"/>
      <c r="AT96" s="579"/>
      <c r="AU96" s="204"/>
      <c r="AV96" s="204"/>
      <c r="AW96" s="204"/>
      <c r="AX96" s="204"/>
      <c r="AY96" s="204"/>
      <c r="AZ96" s="204"/>
      <c r="BA96" s="204"/>
      <c r="BB96" s="204"/>
      <c r="BC96" s="204"/>
      <c r="BD96" s="204"/>
    </row>
    <row r="97" spans="2:61" ht="14.5" customHeight="1">
      <c r="B97" s="1167"/>
      <c r="C97" s="2495"/>
      <c r="D97" s="2496"/>
      <c r="E97" s="2477"/>
      <c r="F97" s="2477"/>
      <c r="G97" s="2477"/>
      <c r="H97" s="2477"/>
      <c r="I97" s="2477"/>
      <c r="J97" s="2477"/>
      <c r="K97" s="2477"/>
      <c r="L97" s="2477"/>
      <c r="M97" s="2477"/>
      <c r="N97" s="2477"/>
      <c r="O97" s="2477"/>
      <c r="P97" s="1689"/>
      <c r="Q97" s="149"/>
      <c r="R97" s="1543" t="b">
        <f>C96="yes"</f>
        <v>0</v>
      </c>
      <c r="S97" s="204">
        <f>IF(R97,D96,0)</f>
        <v>0</v>
      </c>
      <c r="AD97" s="579"/>
      <c r="AE97" s="579"/>
      <c r="AF97" s="579"/>
      <c r="AG97" s="579"/>
      <c r="AH97" s="579"/>
      <c r="AI97" s="579"/>
      <c r="AJ97" s="579"/>
      <c r="AK97" s="579"/>
      <c r="AL97" s="579"/>
      <c r="AM97" s="579"/>
      <c r="AN97" s="579"/>
      <c r="AO97" s="579"/>
      <c r="AP97" s="579"/>
      <c r="AQ97" s="579"/>
      <c r="AR97" s="579"/>
      <c r="AS97" s="579"/>
      <c r="AT97" s="579"/>
      <c r="AU97" s="204"/>
      <c r="AV97" s="204"/>
      <c r="AW97" s="204"/>
      <c r="AX97" s="204"/>
      <c r="AY97" s="204"/>
      <c r="AZ97" s="204"/>
      <c r="BA97" s="204"/>
      <c r="BB97" s="204"/>
      <c r="BC97" s="204"/>
      <c r="BD97" s="204"/>
    </row>
    <row r="98" spans="2:61" ht="14.5" customHeight="1">
      <c r="B98" s="1167"/>
      <c r="C98" s="2495"/>
      <c r="D98" s="2496"/>
      <c r="E98" s="2477"/>
      <c r="F98" s="2477"/>
      <c r="G98" s="2477"/>
      <c r="H98" s="2477"/>
      <c r="I98" s="2477"/>
      <c r="J98" s="2477"/>
      <c r="K98" s="2477"/>
      <c r="L98" s="2477"/>
      <c r="M98" s="2477"/>
      <c r="N98" s="2477"/>
      <c r="O98" s="2477"/>
      <c r="P98" s="1689"/>
      <c r="Q98" s="149"/>
      <c r="R98" s="1543"/>
      <c r="S98" s="204"/>
      <c r="AD98" s="579"/>
      <c r="AE98" s="579"/>
      <c r="AF98" s="579"/>
      <c r="AG98" s="579"/>
      <c r="AH98" s="579"/>
      <c r="AI98" s="579"/>
      <c r="AJ98" s="579"/>
      <c r="AK98" s="579"/>
      <c r="AL98" s="579"/>
      <c r="AM98" s="579"/>
      <c r="AN98" s="579"/>
      <c r="AO98" s="579"/>
      <c r="AP98" s="579"/>
      <c r="AQ98" s="579"/>
      <c r="AR98" s="579"/>
      <c r="AS98" s="579"/>
      <c r="AT98" s="579"/>
      <c r="AU98" s="204"/>
      <c r="AV98" s="204"/>
      <c r="AW98" s="204"/>
      <c r="AX98" s="204"/>
      <c r="AY98" s="204"/>
      <c r="AZ98" s="204"/>
      <c r="BA98" s="204"/>
      <c r="BB98" s="204"/>
      <c r="BC98" s="204"/>
      <c r="BD98" s="204"/>
    </row>
    <row r="99" spans="2:61" ht="14.5" customHeight="1">
      <c r="B99" s="1167"/>
      <c r="C99" s="2495"/>
      <c r="D99" s="2496"/>
      <c r="E99" s="2477"/>
      <c r="F99" s="2477"/>
      <c r="G99" s="2477"/>
      <c r="H99" s="2477"/>
      <c r="I99" s="2477"/>
      <c r="J99" s="2477"/>
      <c r="K99" s="2477"/>
      <c r="L99" s="2477"/>
      <c r="M99" s="2477"/>
      <c r="N99" s="2477"/>
      <c r="O99" s="2477"/>
      <c r="P99" s="1689"/>
      <c r="Q99" s="149"/>
      <c r="R99" s="1543"/>
      <c r="S99" s="204"/>
      <c r="AD99" s="579"/>
      <c r="AE99" s="579"/>
      <c r="AF99" s="579"/>
      <c r="AG99" s="579"/>
      <c r="AH99" s="579"/>
      <c r="AI99" s="579"/>
      <c r="AJ99" s="579"/>
      <c r="AK99" s="579"/>
      <c r="AL99" s="579"/>
      <c r="AM99" s="579"/>
      <c r="AN99" s="579"/>
      <c r="AO99" s="579"/>
      <c r="AP99" s="579"/>
      <c r="AQ99" s="579"/>
      <c r="AR99" s="579"/>
      <c r="AS99" s="579"/>
      <c r="AT99" s="579"/>
      <c r="AU99" s="204"/>
      <c r="AV99" s="204"/>
      <c r="AW99" s="204"/>
      <c r="AX99" s="204"/>
      <c r="AY99" s="204"/>
      <c r="AZ99" s="204"/>
      <c r="BA99" s="204"/>
      <c r="BB99" s="204"/>
      <c r="BC99" s="204"/>
      <c r="BD99" s="204"/>
    </row>
    <row r="100" spans="2:61" ht="20.25" customHeight="1">
      <c r="B100" s="1167"/>
      <c r="C100" s="2495"/>
      <c r="D100" s="2496"/>
      <c r="E100" s="2477"/>
      <c r="F100" s="2477"/>
      <c r="G100" s="2477"/>
      <c r="H100" s="2477"/>
      <c r="I100" s="2477"/>
      <c r="J100" s="2477"/>
      <c r="K100" s="2477"/>
      <c r="L100" s="2477"/>
      <c r="M100" s="2477"/>
      <c r="N100" s="2477"/>
      <c r="O100" s="2477"/>
      <c r="P100" s="1689"/>
      <c r="Q100" s="149"/>
      <c r="R100" s="1543"/>
      <c r="S100" s="204"/>
      <c r="AD100" s="579"/>
      <c r="AE100" s="579"/>
      <c r="AF100" s="579"/>
      <c r="AG100" s="579"/>
      <c r="AH100" s="579"/>
      <c r="AI100" s="579"/>
      <c r="AJ100" s="579"/>
      <c r="AK100" s="579"/>
      <c r="AL100" s="579"/>
      <c r="AM100" s="579"/>
      <c r="AN100" s="579"/>
      <c r="AO100" s="579"/>
      <c r="AP100" s="579"/>
      <c r="AQ100" s="579"/>
      <c r="AR100" s="579"/>
      <c r="AS100" s="579"/>
      <c r="AT100" s="579"/>
      <c r="AU100" s="204"/>
      <c r="AV100" s="204"/>
      <c r="AW100" s="204"/>
      <c r="AX100" s="204"/>
      <c r="AY100" s="204"/>
      <c r="AZ100" s="204"/>
      <c r="BA100" s="204"/>
      <c r="BB100" s="204"/>
      <c r="BC100" s="204"/>
      <c r="BD100" s="204"/>
    </row>
    <row r="101" spans="2:61" ht="95.25" customHeight="1">
      <c r="B101" s="1167"/>
      <c r="C101" s="1727"/>
      <c r="D101" s="897">
        <v>2</v>
      </c>
      <c r="E101" s="2477" t="s">
        <v>4954</v>
      </c>
      <c r="F101" s="2477"/>
      <c r="G101" s="2477"/>
      <c r="H101" s="2477"/>
      <c r="I101" s="2477"/>
      <c r="J101" s="2477"/>
      <c r="K101" s="2477"/>
      <c r="L101" s="2477"/>
      <c r="M101" s="2477"/>
      <c r="N101" s="2477"/>
      <c r="O101" s="2477"/>
      <c r="P101" s="1689"/>
      <c r="Q101" s="149"/>
      <c r="R101" s="1543" t="b">
        <f>C101="yes"</f>
        <v>0</v>
      </c>
      <c r="S101" s="204">
        <f>IF(R101,D101,0)</f>
        <v>0</v>
      </c>
      <c r="AD101" s="579"/>
      <c r="AE101" s="579"/>
      <c r="AF101" s="579"/>
      <c r="AG101" s="579"/>
      <c r="AH101" s="579"/>
      <c r="AI101" s="579"/>
      <c r="AJ101" s="579"/>
      <c r="AK101" s="579"/>
      <c r="AL101" s="579"/>
      <c r="AM101" s="579"/>
      <c r="AN101" s="579"/>
      <c r="AO101" s="579"/>
      <c r="AP101" s="579"/>
      <c r="AQ101" s="579"/>
      <c r="AR101" s="579"/>
      <c r="AS101" s="579"/>
      <c r="AT101" s="579"/>
      <c r="AU101" s="204"/>
      <c r="AV101" s="204"/>
      <c r="AW101" s="204"/>
      <c r="AX101" s="204"/>
      <c r="AY101" s="204"/>
      <c r="AZ101" s="204"/>
      <c r="BA101" s="204"/>
      <c r="BB101" s="204"/>
      <c r="BC101" s="204"/>
      <c r="BD101" s="204"/>
    </row>
    <row r="102" spans="2:61" ht="105" customHeight="1">
      <c r="B102" s="1167"/>
      <c r="C102" s="1727"/>
      <c r="D102" s="897">
        <v>1</v>
      </c>
      <c r="E102" s="2477" t="s">
        <v>4955</v>
      </c>
      <c r="F102" s="2477"/>
      <c r="G102" s="2477"/>
      <c r="H102" s="2477"/>
      <c r="I102" s="2477"/>
      <c r="J102" s="2477"/>
      <c r="K102" s="2477"/>
      <c r="L102" s="2477"/>
      <c r="M102" s="2477"/>
      <c r="N102" s="2477"/>
      <c r="O102" s="2477"/>
      <c r="P102" s="1689"/>
      <c r="Q102" s="149"/>
      <c r="R102" s="1543" t="b">
        <f>C102="yes"</f>
        <v>0</v>
      </c>
      <c r="S102" s="204">
        <f>IF(R102,D102,0)</f>
        <v>0</v>
      </c>
      <c r="AD102" s="579"/>
      <c r="AE102" s="579"/>
      <c r="AF102" s="579"/>
      <c r="AG102" s="579"/>
      <c r="AH102" s="579"/>
      <c r="AI102" s="579"/>
      <c r="AJ102" s="579"/>
      <c r="AK102" s="579"/>
      <c r="AL102" s="579"/>
      <c r="AM102" s="579"/>
      <c r="AN102" s="579"/>
      <c r="AO102" s="579"/>
      <c r="AP102" s="579"/>
      <c r="AQ102" s="579"/>
      <c r="AR102" s="579"/>
      <c r="AS102" s="579"/>
      <c r="AT102" s="579"/>
      <c r="AU102" s="204"/>
      <c r="AV102" s="204"/>
      <c r="AW102" s="204"/>
      <c r="AX102" s="204"/>
      <c r="AY102" s="204"/>
      <c r="AZ102" s="204"/>
      <c r="BA102" s="204"/>
      <c r="BB102" s="204"/>
      <c r="BC102" s="204"/>
      <c r="BD102" s="204"/>
    </row>
    <row r="103" spans="2:61" ht="90" customHeight="1">
      <c r="B103" s="1167"/>
      <c r="C103" s="1727"/>
      <c r="D103" s="897">
        <v>1</v>
      </c>
      <c r="E103" s="2477" t="s">
        <v>4956</v>
      </c>
      <c r="F103" s="2477"/>
      <c r="G103" s="2477"/>
      <c r="H103" s="2477"/>
      <c r="I103" s="2477"/>
      <c r="J103" s="2477"/>
      <c r="K103" s="2477"/>
      <c r="L103" s="2477"/>
      <c r="M103" s="2477"/>
      <c r="N103" s="2477"/>
      <c r="O103" s="2477"/>
      <c r="P103" s="1689"/>
      <c r="Q103" s="149"/>
      <c r="R103" s="1543" t="b">
        <f>C103="yes"</f>
        <v>0</v>
      </c>
      <c r="S103" s="204">
        <f>IF(R103,D103,0)</f>
        <v>0</v>
      </c>
      <c r="AD103" s="579"/>
      <c r="AE103" s="579"/>
      <c r="AF103" s="579"/>
      <c r="AG103" s="579"/>
      <c r="AH103" s="579"/>
      <c r="AI103" s="579"/>
      <c r="AJ103" s="579"/>
      <c r="AK103" s="579"/>
      <c r="AL103" s="579"/>
      <c r="AM103" s="579"/>
      <c r="AN103" s="579"/>
      <c r="AO103" s="579"/>
      <c r="AP103" s="579"/>
      <c r="AQ103" s="579"/>
      <c r="AR103" s="579"/>
      <c r="AS103" s="579"/>
      <c r="AT103" s="579"/>
      <c r="AU103" s="204"/>
      <c r="AV103" s="204"/>
      <c r="AW103" s="204"/>
      <c r="AX103" s="204"/>
      <c r="AY103" s="204"/>
      <c r="AZ103" s="204"/>
      <c r="BA103" s="204"/>
      <c r="BB103" s="204"/>
      <c r="BC103" s="204"/>
      <c r="BD103" s="204"/>
    </row>
    <row r="104" spans="2:61">
      <c r="B104" s="1167"/>
      <c r="C104" s="1167"/>
      <c r="D104" s="1167"/>
      <c r="E104" s="1167"/>
      <c r="F104" s="1167"/>
      <c r="G104" s="1167"/>
      <c r="H104" s="1167"/>
      <c r="I104" s="1167"/>
      <c r="J104" s="1167"/>
      <c r="K104" s="1167"/>
      <c r="L104" s="1167"/>
      <c r="M104" s="1167"/>
      <c r="N104" s="1167"/>
      <c r="O104" s="1167"/>
      <c r="P104" s="1689"/>
      <c r="Q104" s="149"/>
      <c r="AD104" s="579"/>
      <c r="AE104" s="579"/>
      <c r="AF104" s="579"/>
      <c r="AG104" s="579"/>
      <c r="AH104" s="579"/>
      <c r="AI104" s="579"/>
      <c r="AJ104" s="579"/>
      <c r="AK104" s="579"/>
      <c r="AL104" s="579"/>
      <c r="AM104" s="579"/>
      <c r="AN104" s="579"/>
      <c r="AO104" s="579"/>
      <c r="AP104" s="579"/>
      <c r="AQ104" s="579"/>
      <c r="AR104" s="579"/>
      <c r="AS104" s="579"/>
      <c r="AT104" s="579"/>
      <c r="AU104" s="204"/>
      <c r="AV104" s="204"/>
      <c r="AW104" s="204"/>
      <c r="AX104" s="204"/>
      <c r="AY104" s="204"/>
      <c r="AZ104" s="204"/>
      <c r="BA104" s="204"/>
      <c r="BB104" s="204"/>
      <c r="BC104" s="204"/>
      <c r="BD104" s="204"/>
    </row>
    <row r="105" spans="2:61" ht="14.5" customHeight="1">
      <c r="B105" s="1407" t="s">
        <v>4957</v>
      </c>
      <c r="C105" s="1167"/>
      <c r="D105" s="1167"/>
      <c r="E105" s="1167"/>
      <c r="F105" s="1167"/>
      <c r="G105" s="1167"/>
      <c r="H105" s="1167"/>
      <c r="I105" s="1167"/>
      <c r="J105" s="1167"/>
      <c r="K105" s="1167"/>
      <c r="L105" s="1167"/>
      <c r="M105" s="1167"/>
      <c r="N105" s="1167"/>
      <c r="O105" s="1167"/>
      <c r="P105" s="1689"/>
      <c r="Q105" s="149"/>
      <c r="AD105" s="579"/>
      <c r="AE105" s="579"/>
      <c r="AF105" s="579"/>
      <c r="AG105" s="579"/>
      <c r="AH105" s="579"/>
      <c r="AI105" s="579"/>
      <c r="AJ105" s="579"/>
      <c r="AK105" s="579"/>
      <c r="AL105" s="579"/>
      <c r="AM105" s="579"/>
      <c r="AN105" s="579"/>
      <c r="AO105" s="579"/>
      <c r="AP105" s="579"/>
      <c r="AQ105" s="579"/>
      <c r="AR105" s="579"/>
      <c r="AS105" s="579"/>
      <c r="AT105" s="579"/>
      <c r="AU105" s="204"/>
      <c r="AV105" s="204"/>
      <c r="AW105" s="204"/>
      <c r="AX105" s="204"/>
      <c r="AY105" s="204"/>
      <c r="AZ105" s="204"/>
      <c r="BA105" s="204"/>
      <c r="BB105" s="204"/>
      <c r="BC105" s="204"/>
      <c r="BD105" s="204"/>
    </row>
    <row r="106" spans="2:61">
      <c r="B106" s="1689" t="s">
        <v>4952</v>
      </c>
      <c r="C106" s="1167"/>
      <c r="D106" s="1167"/>
      <c r="E106" s="1167"/>
      <c r="F106" s="1167"/>
      <c r="G106" s="1167"/>
      <c r="H106" s="1167"/>
      <c r="I106" s="1167"/>
      <c r="J106" s="1167"/>
      <c r="K106" s="1167"/>
      <c r="L106" s="1167"/>
      <c r="M106" s="1167"/>
      <c r="N106" s="1167"/>
      <c r="O106" s="1167"/>
      <c r="P106" s="1167"/>
      <c r="Q106" s="149"/>
      <c r="AB106" s="579"/>
      <c r="AC106" s="579"/>
      <c r="AD106" s="579"/>
      <c r="AE106" s="579"/>
      <c r="AF106" s="579"/>
      <c r="AG106" s="579"/>
      <c r="AH106" s="579"/>
      <c r="AI106" s="579"/>
      <c r="AJ106" s="579"/>
      <c r="AK106" s="579"/>
      <c r="AL106" s="579"/>
      <c r="AM106" s="579"/>
      <c r="AN106" s="579"/>
      <c r="AO106" s="579"/>
      <c r="AP106" s="579"/>
      <c r="AQ106" s="579"/>
      <c r="AR106" s="579"/>
      <c r="AS106" s="579"/>
      <c r="AT106" s="579"/>
      <c r="AU106" s="204"/>
      <c r="AV106" s="204"/>
      <c r="AW106" s="204"/>
      <c r="AX106" s="204"/>
      <c r="AY106" s="204"/>
      <c r="AZ106" s="204"/>
      <c r="BA106" s="204"/>
      <c r="BB106" s="204"/>
      <c r="BC106" s="204"/>
      <c r="BD106" s="204"/>
    </row>
    <row r="107" spans="2:61">
      <c r="B107" s="1167"/>
      <c r="C107" s="2500" t="s">
        <v>4926</v>
      </c>
      <c r="D107" s="2492" t="s">
        <v>4739</v>
      </c>
      <c r="E107" s="2503" t="s">
        <v>4770</v>
      </c>
      <c r="F107" s="2504"/>
      <c r="G107" s="2504"/>
      <c r="H107" s="2504"/>
      <c r="I107" s="2504"/>
      <c r="J107" s="2504"/>
      <c r="K107" s="2504"/>
      <c r="L107" s="2504"/>
      <c r="M107" s="2504"/>
      <c r="N107" s="2504"/>
      <c r="O107" s="2505"/>
      <c r="P107" s="1167"/>
      <c r="Q107" s="149"/>
      <c r="AB107" s="579"/>
      <c r="AC107" s="579"/>
      <c r="AD107" s="579"/>
      <c r="AE107" s="579"/>
      <c r="AF107" s="579"/>
      <c r="AG107" s="579"/>
      <c r="AH107" s="579"/>
      <c r="AI107" s="579"/>
      <c r="AJ107" s="579"/>
      <c r="AK107" s="579"/>
      <c r="AL107" s="579"/>
      <c r="AM107" s="579"/>
      <c r="AN107" s="579"/>
      <c r="AO107" s="579"/>
      <c r="AP107" s="579"/>
      <c r="AQ107" s="579"/>
      <c r="AR107" s="579"/>
      <c r="AS107" s="579"/>
      <c r="AT107" s="579"/>
      <c r="AU107" s="204"/>
      <c r="AV107" s="204"/>
      <c r="AW107" s="204"/>
      <c r="AX107" s="204"/>
      <c r="AY107" s="204"/>
      <c r="AZ107" s="204"/>
      <c r="BA107" s="204"/>
      <c r="BB107" s="204"/>
      <c r="BC107" s="204"/>
      <c r="BD107" s="204"/>
    </row>
    <row r="108" spans="2:61">
      <c r="B108" s="1167"/>
      <c r="C108" s="2500"/>
      <c r="D108" s="2492"/>
      <c r="E108" s="2513"/>
      <c r="F108" s="2514"/>
      <c r="G108" s="2514"/>
      <c r="H108" s="2514"/>
      <c r="I108" s="2514"/>
      <c r="J108" s="2514"/>
      <c r="K108" s="2514"/>
      <c r="L108" s="2514"/>
      <c r="M108" s="2514"/>
      <c r="N108" s="2514"/>
      <c r="O108" s="2515"/>
      <c r="P108" s="1167"/>
      <c r="Q108" s="149"/>
      <c r="AB108" s="579"/>
      <c r="AC108" s="579"/>
      <c r="AD108" s="579"/>
      <c r="AE108" s="579"/>
      <c r="AF108" s="579"/>
      <c r="AG108" s="579"/>
      <c r="AH108" s="579"/>
      <c r="AI108" s="579"/>
      <c r="AJ108" s="579"/>
      <c r="AK108" s="579"/>
      <c r="AL108" s="579"/>
      <c r="AM108" s="579"/>
      <c r="AN108" s="579"/>
      <c r="AO108" s="579"/>
      <c r="AP108" s="579"/>
      <c r="AQ108" s="579"/>
      <c r="AR108" s="579"/>
      <c r="AS108" s="579"/>
      <c r="AT108" s="579"/>
      <c r="AU108" s="204"/>
      <c r="AV108" s="204"/>
      <c r="AW108" s="204"/>
      <c r="AX108" s="204"/>
      <c r="AY108" s="204"/>
      <c r="AZ108" s="204"/>
      <c r="BA108" s="204"/>
      <c r="BB108" s="204"/>
      <c r="BC108" s="204"/>
      <c r="BD108" s="204"/>
    </row>
    <row r="109" spans="2:61" ht="168.75" customHeight="1">
      <c r="B109" s="1167"/>
      <c r="C109" s="1727"/>
      <c r="D109" s="1729">
        <v>2</v>
      </c>
      <c r="E109" s="2488" t="s">
        <v>4958</v>
      </c>
      <c r="F109" s="2488"/>
      <c r="G109" s="2488"/>
      <c r="H109" s="2488"/>
      <c r="I109" s="2488"/>
      <c r="J109" s="2488"/>
      <c r="K109" s="2488"/>
      <c r="L109" s="2488"/>
      <c r="M109" s="2488"/>
      <c r="N109" s="2488"/>
      <c r="O109" s="2488"/>
      <c r="P109" s="1167"/>
      <c r="Q109" s="149"/>
      <c r="R109" s="1543" t="b">
        <f t="shared" ref="R109:R119" si="0">C109="yes"</f>
        <v>0</v>
      </c>
      <c r="S109" s="1545">
        <f t="shared" ref="S109:S119" si="1">IF(R109,D109,0)</f>
        <v>0</v>
      </c>
      <c r="AB109" s="579"/>
      <c r="AC109" s="579"/>
      <c r="AD109" s="579"/>
      <c r="AE109" s="579"/>
      <c r="AF109" s="579"/>
      <c r="AG109" s="579"/>
      <c r="AH109" s="579"/>
      <c r="AI109" s="579"/>
      <c r="AJ109" s="579"/>
      <c r="AK109" s="579"/>
      <c r="AL109" s="579"/>
      <c r="AM109" s="579"/>
      <c r="AN109" s="579"/>
      <c r="AO109" s="579"/>
      <c r="AP109" s="579"/>
      <c r="AQ109" s="579"/>
      <c r="AR109" s="579"/>
      <c r="AS109" s="579"/>
      <c r="AT109" s="579"/>
      <c r="AU109" s="204"/>
      <c r="AV109" s="204"/>
      <c r="AW109" s="204"/>
      <c r="AX109" s="204"/>
      <c r="AY109" s="204"/>
      <c r="AZ109" s="204"/>
      <c r="BA109" s="204"/>
      <c r="BB109" s="204"/>
      <c r="BC109" s="204"/>
      <c r="BD109" s="204"/>
    </row>
    <row r="110" spans="2:61" ht="167.5" customHeight="1">
      <c r="B110" s="1167"/>
      <c r="C110" s="206"/>
      <c r="D110" s="1729">
        <v>2</v>
      </c>
      <c r="E110" s="2488" t="s">
        <v>4959</v>
      </c>
      <c r="F110" s="2512"/>
      <c r="G110" s="2512"/>
      <c r="H110" s="2512"/>
      <c r="I110" s="2512"/>
      <c r="J110" s="2512"/>
      <c r="K110" s="2512"/>
      <c r="L110" s="2512"/>
      <c r="M110" s="2512"/>
      <c r="N110" s="2512"/>
      <c r="O110" s="2512"/>
      <c r="P110" s="1167"/>
      <c r="Q110" s="149"/>
      <c r="R110" s="1543" t="b">
        <f t="shared" si="0"/>
        <v>0</v>
      </c>
      <c r="S110" s="1545">
        <f t="shared" si="1"/>
        <v>0</v>
      </c>
      <c r="AB110" s="579"/>
      <c r="AC110" s="579"/>
      <c r="AD110" s="579"/>
      <c r="AE110" s="579"/>
      <c r="AF110" s="579"/>
      <c r="AG110" s="579"/>
      <c r="AH110" s="579"/>
      <c r="AI110" s="579"/>
      <c r="AJ110" s="579"/>
      <c r="AK110" s="579"/>
      <c r="AL110" s="579"/>
      <c r="AM110" s="579"/>
      <c r="AN110" s="579"/>
      <c r="AO110" s="579"/>
      <c r="AP110" s="579"/>
      <c r="AQ110" s="579"/>
      <c r="AR110" s="579"/>
      <c r="AS110" s="579"/>
      <c r="AT110" s="579"/>
      <c r="AU110" s="204"/>
      <c r="AV110" s="204"/>
      <c r="AW110" s="204"/>
      <c r="AX110" s="204"/>
      <c r="AY110" s="204"/>
      <c r="AZ110" s="204"/>
      <c r="BA110" s="204"/>
      <c r="BB110" s="204"/>
      <c r="BC110" s="204"/>
      <c r="BD110" s="204"/>
    </row>
    <row r="111" spans="2:61" ht="30" customHeight="1">
      <c r="B111" s="1167"/>
      <c r="C111" s="1727"/>
      <c r="D111" s="1729">
        <v>1</v>
      </c>
      <c r="E111" s="2488" t="s">
        <v>4960</v>
      </c>
      <c r="F111" s="2488"/>
      <c r="G111" s="2488"/>
      <c r="H111" s="2488"/>
      <c r="I111" s="2488"/>
      <c r="J111" s="2488"/>
      <c r="K111" s="2488"/>
      <c r="L111" s="2488"/>
      <c r="M111" s="2488"/>
      <c r="N111" s="2488"/>
      <c r="O111" s="2488"/>
      <c r="P111" s="1167"/>
      <c r="Q111" s="149"/>
      <c r="R111" s="1543" t="b">
        <f t="shared" si="0"/>
        <v>0</v>
      </c>
      <c r="S111" s="204">
        <f t="shared" si="1"/>
        <v>0</v>
      </c>
      <c r="AF111" s="579"/>
      <c r="AI111" s="579"/>
      <c r="AJ111" s="579"/>
      <c r="AK111" s="579"/>
      <c r="AL111" s="579"/>
      <c r="AM111" s="579"/>
      <c r="AN111" s="579"/>
      <c r="AO111" s="579"/>
      <c r="AP111" s="579"/>
      <c r="AQ111" s="579"/>
      <c r="AR111" s="579"/>
      <c r="AS111" s="579"/>
      <c r="AT111" s="579"/>
      <c r="AU111" s="579"/>
      <c r="AV111" s="579"/>
      <c r="AW111" s="579"/>
      <c r="AX111" s="579"/>
      <c r="AY111" s="579"/>
      <c r="AZ111" s="204"/>
      <c r="BA111" s="204"/>
      <c r="BB111" s="204"/>
      <c r="BC111" s="204"/>
      <c r="BD111" s="204"/>
      <c r="BE111" s="204"/>
      <c r="BF111" s="204"/>
      <c r="BG111" s="204"/>
      <c r="BH111" s="204"/>
      <c r="BI111" s="204"/>
    </row>
    <row r="112" spans="2:61" ht="29.25" customHeight="1">
      <c r="B112" s="1167"/>
      <c r="C112" s="1727"/>
      <c r="D112" s="1729">
        <v>1</v>
      </c>
      <c r="E112" s="2488" t="s">
        <v>4961</v>
      </c>
      <c r="F112" s="2488"/>
      <c r="G112" s="2488"/>
      <c r="H112" s="2488"/>
      <c r="I112" s="2488"/>
      <c r="J112" s="2488"/>
      <c r="K112" s="2488"/>
      <c r="L112" s="2488"/>
      <c r="M112" s="2488"/>
      <c r="N112" s="2488"/>
      <c r="O112" s="2488"/>
      <c r="P112" s="1167"/>
      <c r="Q112" s="149"/>
      <c r="R112" s="1543" t="b">
        <f t="shared" si="0"/>
        <v>0</v>
      </c>
      <c r="S112" s="204">
        <f t="shared" si="1"/>
        <v>0</v>
      </c>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204"/>
      <c r="BA112" s="204"/>
      <c r="BB112" s="204"/>
      <c r="BC112" s="204"/>
      <c r="BD112" s="204"/>
      <c r="BE112" s="204"/>
      <c r="BF112" s="204"/>
      <c r="BG112" s="204"/>
      <c r="BH112" s="204"/>
      <c r="BI112" s="204"/>
    </row>
    <row r="113" spans="2:61" ht="120.75" customHeight="1">
      <c r="B113" s="1167"/>
      <c r="C113" s="1727"/>
      <c r="D113" s="1729">
        <v>2</v>
      </c>
      <c r="E113" s="2488" t="s">
        <v>4962</v>
      </c>
      <c r="F113" s="2488"/>
      <c r="G113" s="2488"/>
      <c r="H113" s="2488"/>
      <c r="I113" s="2488"/>
      <c r="J113" s="2488"/>
      <c r="K113" s="2488"/>
      <c r="L113" s="2488"/>
      <c r="M113" s="2488"/>
      <c r="N113" s="2488"/>
      <c r="O113" s="2488"/>
      <c r="P113" s="1167"/>
      <c r="Q113" s="149"/>
      <c r="R113" s="1543" t="b">
        <f t="shared" si="0"/>
        <v>0</v>
      </c>
      <c r="S113" s="204">
        <f t="shared" si="1"/>
        <v>0</v>
      </c>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204"/>
      <c r="BA113" s="204"/>
      <c r="BB113" s="204"/>
      <c r="BC113" s="204"/>
      <c r="BD113" s="204"/>
      <c r="BE113" s="204"/>
      <c r="BF113" s="204"/>
      <c r="BG113" s="204"/>
      <c r="BH113" s="204"/>
      <c r="BI113" s="204"/>
    </row>
    <row r="114" spans="2:61" ht="150" customHeight="1">
      <c r="B114" s="1167"/>
      <c r="C114" s="1727"/>
      <c r="D114" s="1729">
        <v>2</v>
      </c>
      <c r="E114" s="2488" t="s">
        <v>4963</v>
      </c>
      <c r="F114" s="2488"/>
      <c r="G114" s="2488"/>
      <c r="H114" s="2488"/>
      <c r="I114" s="2488"/>
      <c r="J114" s="2488"/>
      <c r="K114" s="2488"/>
      <c r="L114" s="2488"/>
      <c r="M114" s="2488"/>
      <c r="N114" s="2488"/>
      <c r="O114" s="2488"/>
      <c r="P114" s="1167"/>
      <c r="Q114" s="149"/>
      <c r="R114" s="1543" t="b">
        <f t="shared" si="0"/>
        <v>0</v>
      </c>
      <c r="S114" s="204">
        <f t="shared" si="1"/>
        <v>0</v>
      </c>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204"/>
      <c r="BA114" s="204"/>
      <c r="BB114" s="204"/>
      <c r="BC114" s="204"/>
      <c r="BD114" s="204"/>
      <c r="BE114" s="204"/>
      <c r="BF114" s="204"/>
      <c r="BG114" s="204"/>
      <c r="BH114" s="204"/>
      <c r="BI114" s="204"/>
    </row>
    <row r="115" spans="2:61" ht="108" customHeight="1">
      <c r="B115" s="1167"/>
      <c r="C115" s="1727"/>
      <c r="D115" s="992">
        <v>2</v>
      </c>
      <c r="E115" s="2488" t="s">
        <v>4964</v>
      </c>
      <c r="F115" s="2488"/>
      <c r="G115" s="2488"/>
      <c r="H115" s="2488"/>
      <c r="I115" s="2488"/>
      <c r="J115" s="2488"/>
      <c r="K115" s="2488"/>
      <c r="L115" s="2488"/>
      <c r="M115" s="2488"/>
      <c r="N115" s="2488"/>
      <c r="O115" s="2488"/>
      <c r="P115" s="1167"/>
      <c r="Q115" s="149"/>
      <c r="R115" s="1543" t="b">
        <f t="shared" si="0"/>
        <v>0</v>
      </c>
      <c r="S115" s="204">
        <f t="shared" si="1"/>
        <v>0</v>
      </c>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204"/>
      <c r="BA115" s="204"/>
      <c r="BB115" s="204"/>
      <c r="BC115" s="204"/>
      <c r="BD115" s="204"/>
      <c r="BE115" s="204"/>
      <c r="BF115" s="204"/>
      <c r="BG115" s="204"/>
      <c r="BH115" s="204"/>
      <c r="BI115" s="204"/>
    </row>
    <row r="116" spans="2:61" ht="107" customHeight="1">
      <c r="B116" s="1167"/>
      <c r="C116" s="1727"/>
      <c r="D116" s="1729">
        <v>2</v>
      </c>
      <c r="E116" s="2488" t="s">
        <v>4965</v>
      </c>
      <c r="F116" s="2488"/>
      <c r="G116" s="2488"/>
      <c r="H116" s="2488"/>
      <c r="I116" s="2488"/>
      <c r="J116" s="2488"/>
      <c r="K116" s="2488"/>
      <c r="L116" s="2488"/>
      <c r="M116" s="2488"/>
      <c r="N116" s="2488"/>
      <c r="O116" s="2488"/>
      <c r="P116" s="1167"/>
      <c r="Q116" s="149"/>
      <c r="R116" s="1543" t="b">
        <f t="shared" si="0"/>
        <v>0</v>
      </c>
      <c r="S116" s="204">
        <f t="shared" si="1"/>
        <v>0</v>
      </c>
      <c r="AD116" s="1082"/>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204"/>
      <c r="BA116" s="204"/>
      <c r="BB116" s="204"/>
      <c r="BC116" s="204"/>
      <c r="BD116" s="204"/>
      <c r="BE116" s="204"/>
      <c r="BF116" s="204"/>
      <c r="BG116" s="204"/>
      <c r="BH116" s="204"/>
      <c r="BI116" s="204"/>
    </row>
    <row r="117" spans="2:61" ht="125.25" customHeight="1">
      <c r="B117" s="1167"/>
      <c r="C117" s="1727"/>
      <c r="D117" s="1729">
        <v>1</v>
      </c>
      <c r="E117" s="2488" t="s">
        <v>4966</v>
      </c>
      <c r="F117" s="2488"/>
      <c r="G117" s="2488"/>
      <c r="H117" s="2488"/>
      <c r="I117" s="2488"/>
      <c r="J117" s="2488"/>
      <c r="K117" s="2488"/>
      <c r="L117" s="2488"/>
      <c r="M117" s="2488"/>
      <c r="N117" s="2488"/>
      <c r="O117" s="2488"/>
      <c r="P117" s="1167"/>
      <c r="Q117" s="149"/>
      <c r="R117" s="1543" t="b">
        <f t="shared" si="0"/>
        <v>0</v>
      </c>
      <c r="S117" s="204">
        <f t="shared" si="1"/>
        <v>0</v>
      </c>
      <c r="AF117" s="579"/>
      <c r="AI117" s="579"/>
      <c r="AJ117" s="579"/>
      <c r="AK117" s="579"/>
      <c r="AL117" s="579"/>
      <c r="AM117" s="579"/>
      <c r="AN117" s="579"/>
      <c r="AO117" s="579"/>
      <c r="AP117" s="579"/>
      <c r="AQ117" s="579"/>
      <c r="AR117" s="579"/>
      <c r="AS117" s="579"/>
      <c r="AT117" s="579"/>
      <c r="AU117" s="579"/>
      <c r="AV117" s="579"/>
      <c r="AW117" s="579"/>
      <c r="AX117" s="579"/>
      <c r="AY117" s="579"/>
      <c r="AZ117" s="204"/>
      <c r="BA117" s="204"/>
      <c r="BB117" s="204"/>
      <c r="BC117" s="204"/>
      <c r="BD117" s="204"/>
      <c r="BE117" s="204"/>
      <c r="BF117" s="204"/>
      <c r="BG117" s="204"/>
      <c r="BH117" s="204"/>
      <c r="BI117" s="204"/>
    </row>
    <row r="118" spans="2:61" ht="76.5" customHeight="1">
      <c r="B118" s="1167"/>
      <c r="C118" s="1727"/>
      <c r="D118" s="1729">
        <v>1</v>
      </c>
      <c r="E118" s="2488" t="s">
        <v>4967</v>
      </c>
      <c r="F118" s="2512"/>
      <c r="G118" s="2512"/>
      <c r="H118" s="2512"/>
      <c r="I118" s="2512"/>
      <c r="J118" s="2512"/>
      <c r="K118" s="2512"/>
      <c r="L118" s="2512"/>
      <c r="M118" s="2512"/>
      <c r="N118" s="2512"/>
      <c r="O118" s="2512"/>
      <c r="P118" s="1167"/>
      <c r="Q118" s="149"/>
      <c r="R118" s="1543" t="b">
        <f t="shared" si="0"/>
        <v>0</v>
      </c>
      <c r="S118" s="204">
        <f t="shared" si="1"/>
        <v>0</v>
      </c>
      <c r="AF118" s="579"/>
      <c r="AI118" s="579"/>
      <c r="AJ118" s="579"/>
      <c r="AK118" s="579"/>
      <c r="AL118" s="579"/>
      <c r="AM118" s="579"/>
      <c r="AN118" s="579"/>
      <c r="AO118" s="579"/>
      <c r="AP118" s="579"/>
      <c r="AQ118" s="579"/>
      <c r="AR118" s="579"/>
      <c r="AS118" s="579"/>
      <c r="AT118" s="579"/>
      <c r="AU118" s="579"/>
      <c r="AV118" s="579"/>
      <c r="AW118" s="579"/>
      <c r="AX118" s="579"/>
      <c r="AY118" s="579"/>
      <c r="AZ118" s="204"/>
      <c r="BA118" s="204"/>
      <c r="BB118" s="204"/>
      <c r="BC118" s="204"/>
      <c r="BD118" s="204"/>
      <c r="BE118" s="204"/>
      <c r="BF118" s="204"/>
      <c r="BG118" s="204"/>
      <c r="BH118" s="204"/>
      <c r="BI118" s="204"/>
    </row>
    <row r="119" spans="2:61">
      <c r="B119" s="1167"/>
      <c r="C119" s="1727"/>
      <c r="D119" s="1729">
        <v>1</v>
      </c>
      <c r="E119" s="2493" t="s">
        <v>4968</v>
      </c>
      <c r="F119" s="2493"/>
      <c r="G119" s="2493"/>
      <c r="H119" s="2493"/>
      <c r="I119" s="2493"/>
      <c r="J119" s="2493"/>
      <c r="K119" s="2493"/>
      <c r="L119" s="2493"/>
      <c r="M119" s="2493"/>
      <c r="N119" s="2493"/>
      <c r="O119" s="2493"/>
      <c r="P119" s="1167"/>
      <c r="Q119" s="149"/>
      <c r="R119" s="1543" t="b">
        <f t="shared" si="0"/>
        <v>0</v>
      </c>
      <c r="S119" s="204">
        <f t="shared" si="1"/>
        <v>0</v>
      </c>
      <c r="AF119" s="579"/>
      <c r="AI119" s="579"/>
      <c r="AJ119" s="579"/>
      <c r="AK119" s="579"/>
      <c r="AL119" s="579"/>
      <c r="AM119" s="579"/>
      <c r="AN119" s="579"/>
      <c r="AO119" s="579"/>
      <c r="AP119" s="579"/>
      <c r="AQ119" s="579"/>
      <c r="AR119" s="579"/>
      <c r="AS119" s="579"/>
      <c r="AT119" s="579"/>
      <c r="AU119" s="579"/>
      <c r="AV119" s="579"/>
      <c r="AW119" s="579"/>
      <c r="AX119" s="579"/>
      <c r="AY119" s="579"/>
      <c r="AZ119" s="204"/>
      <c r="BA119" s="204"/>
      <c r="BB119" s="204"/>
      <c r="BC119" s="204"/>
      <c r="BD119" s="204"/>
      <c r="BE119" s="204"/>
      <c r="BF119" s="204"/>
      <c r="BG119" s="204"/>
      <c r="BH119" s="204"/>
      <c r="BI119" s="204"/>
    </row>
    <row r="120" spans="2:61">
      <c r="B120" s="1167"/>
      <c r="C120" s="1167"/>
      <c r="D120" s="1167"/>
      <c r="E120" s="1167"/>
      <c r="F120" s="1167"/>
      <c r="G120" s="1167"/>
      <c r="H120" s="1167"/>
      <c r="I120" s="1167"/>
      <c r="J120" s="1167"/>
      <c r="K120" s="1167"/>
      <c r="L120" s="1167"/>
      <c r="M120" s="1167"/>
      <c r="N120" s="1167"/>
      <c r="O120" s="1167"/>
      <c r="P120" s="1167"/>
      <c r="Q120" s="149"/>
      <c r="AF120" s="579"/>
      <c r="AI120" s="579"/>
      <c r="AJ120" s="579"/>
      <c r="AK120" s="579"/>
      <c r="AL120" s="579"/>
      <c r="AM120" s="579"/>
      <c r="AN120" s="579"/>
      <c r="AO120" s="579"/>
      <c r="AP120" s="579"/>
      <c r="AQ120" s="579"/>
      <c r="AR120" s="579"/>
      <c r="AS120" s="579"/>
      <c r="AT120" s="579"/>
      <c r="AU120" s="579"/>
      <c r="AV120" s="579"/>
      <c r="AW120" s="579"/>
      <c r="AX120" s="579"/>
      <c r="AY120" s="579"/>
      <c r="AZ120" s="204"/>
      <c r="BA120" s="204"/>
      <c r="BB120" s="204"/>
      <c r="BC120" s="204"/>
      <c r="BD120" s="204"/>
      <c r="BE120" s="204"/>
      <c r="BF120" s="204"/>
      <c r="BG120" s="204"/>
      <c r="BH120" s="204"/>
      <c r="BI120" s="204"/>
    </row>
    <row r="121" spans="2:61" ht="16">
      <c r="B121" s="1407" t="s">
        <v>4969</v>
      </c>
      <c r="C121" s="1167"/>
      <c r="D121" s="1167"/>
      <c r="E121" s="1167"/>
      <c r="F121" s="1167"/>
      <c r="G121" s="1167"/>
      <c r="H121" s="1167"/>
      <c r="I121" s="1167"/>
      <c r="J121" s="1167"/>
      <c r="K121" s="1167"/>
      <c r="L121" s="1167"/>
      <c r="M121" s="1167"/>
      <c r="N121" s="1167"/>
      <c r="O121" s="1167"/>
      <c r="P121" s="1167"/>
      <c r="Q121" s="149"/>
      <c r="AF121" s="579"/>
      <c r="AI121" s="579"/>
      <c r="AJ121" s="579"/>
      <c r="AK121" s="579"/>
      <c r="AL121" s="579"/>
      <c r="AM121" s="579"/>
      <c r="AN121" s="579"/>
      <c r="AO121" s="579"/>
      <c r="AP121" s="579"/>
      <c r="AQ121" s="579"/>
      <c r="AR121" s="579"/>
      <c r="AS121" s="579"/>
      <c r="AT121" s="579"/>
      <c r="AU121" s="579"/>
      <c r="AV121" s="579"/>
      <c r="AW121" s="579"/>
      <c r="AX121" s="579"/>
      <c r="AY121" s="579"/>
      <c r="AZ121" s="204"/>
      <c r="BA121" s="204"/>
      <c r="BB121" s="204"/>
      <c r="BC121" s="204"/>
      <c r="BD121" s="204"/>
      <c r="BE121" s="204"/>
      <c r="BF121" s="204"/>
      <c r="BG121" s="204"/>
      <c r="BH121" s="204"/>
      <c r="BI121" s="204"/>
    </row>
    <row r="122" spans="2:61" ht="16">
      <c r="B122" s="1408" t="s">
        <v>4970</v>
      </c>
      <c r="C122" s="1167"/>
      <c r="D122" s="1167"/>
      <c r="E122" s="1167"/>
      <c r="F122" s="1167"/>
      <c r="G122" s="1167"/>
      <c r="H122" s="1167"/>
      <c r="I122" s="1167"/>
      <c r="J122" s="1167"/>
      <c r="K122" s="1167"/>
      <c r="L122" s="1167"/>
      <c r="M122" s="1167"/>
      <c r="N122" s="1167"/>
      <c r="O122" s="1167"/>
      <c r="P122" s="1167"/>
      <c r="Q122" s="149"/>
      <c r="AF122" s="579"/>
      <c r="AI122" s="579"/>
      <c r="AJ122" s="579"/>
      <c r="AK122" s="579"/>
      <c r="AL122" s="579"/>
      <c r="AM122" s="579"/>
      <c r="AN122" s="579"/>
      <c r="AO122" s="579"/>
      <c r="AP122" s="579"/>
      <c r="AQ122" s="579"/>
      <c r="AR122" s="579"/>
      <c r="AS122" s="579"/>
      <c r="AT122" s="579"/>
      <c r="AU122" s="579"/>
      <c r="AV122" s="579"/>
      <c r="AW122" s="579"/>
      <c r="AX122" s="579"/>
      <c r="AY122" s="579"/>
      <c r="AZ122" s="204"/>
      <c r="BA122" s="204"/>
      <c r="BB122" s="204"/>
      <c r="BC122" s="204"/>
      <c r="BD122" s="204"/>
      <c r="BE122" s="204"/>
      <c r="BF122" s="204"/>
      <c r="BG122" s="204"/>
      <c r="BH122" s="204"/>
      <c r="BI122" s="204"/>
    </row>
    <row r="123" spans="2:61">
      <c r="B123" s="1167"/>
      <c r="C123" s="2500" t="s">
        <v>4926</v>
      </c>
      <c r="D123" s="2492" t="s">
        <v>4739</v>
      </c>
      <c r="E123" s="2503" t="s">
        <v>4770</v>
      </c>
      <c r="F123" s="2504"/>
      <c r="G123" s="2504"/>
      <c r="H123" s="2504"/>
      <c r="I123" s="2504"/>
      <c r="J123" s="2504"/>
      <c r="K123" s="2504"/>
      <c r="L123" s="2504"/>
      <c r="M123" s="2504"/>
      <c r="N123" s="2504"/>
      <c r="O123" s="2505"/>
      <c r="P123" s="1167"/>
      <c r="Q123" s="14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P123" s="204"/>
      <c r="AQ123" s="204"/>
      <c r="AR123" s="204"/>
      <c r="AS123" s="204"/>
      <c r="AT123" s="204"/>
      <c r="AU123" s="204"/>
      <c r="AV123" s="204"/>
      <c r="AW123" s="204"/>
      <c r="AX123" s="204"/>
      <c r="AY123" s="204"/>
    </row>
    <row r="124" spans="2:61" ht="15.5" customHeight="1">
      <c r="B124" s="1167"/>
      <c r="C124" s="2501"/>
      <c r="D124" s="2502"/>
      <c r="E124" s="2506"/>
      <c r="F124" s="2507"/>
      <c r="G124" s="2507"/>
      <c r="H124" s="2507"/>
      <c r="I124" s="2507"/>
      <c r="J124" s="2507"/>
      <c r="K124" s="2507"/>
      <c r="L124" s="2507"/>
      <c r="M124" s="2507"/>
      <c r="N124" s="2507"/>
      <c r="O124" s="2508"/>
      <c r="P124" s="1167"/>
      <c r="Q124" s="14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P124" s="204"/>
      <c r="AQ124" s="204"/>
      <c r="AR124" s="204"/>
      <c r="AS124" s="204"/>
      <c r="AT124" s="204"/>
      <c r="AU124" s="204"/>
      <c r="AV124" s="204"/>
      <c r="AW124" s="204"/>
      <c r="AX124" s="204"/>
      <c r="AY124" s="204"/>
    </row>
    <row r="125" spans="2:61" ht="60.5" customHeight="1">
      <c r="B125" s="1167"/>
      <c r="C125" s="1727"/>
      <c r="D125" s="1729">
        <v>1</v>
      </c>
      <c r="E125" s="2477" t="s">
        <v>4971</v>
      </c>
      <c r="F125" s="2477"/>
      <c r="G125" s="2477"/>
      <c r="H125" s="2477"/>
      <c r="I125" s="2477"/>
      <c r="J125" s="2477"/>
      <c r="K125" s="2477"/>
      <c r="L125" s="2477"/>
      <c r="M125" s="2477"/>
      <c r="N125" s="2477"/>
      <c r="O125" s="2477"/>
      <c r="P125" s="1167"/>
      <c r="Q125" s="579"/>
      <c r="R125" s="1543" t="b">
        <f t="shared" ref="R125:R131" si="2">C125="yes"</f>
        <v>0</v>
      </c>
      <c r="S125" s="204">
        <f t="shared" ref="S125:S132" si="3">IF(R125,D125,0)</f>
        <v>0</v>
      </c>
      <c r="T125" s="579"/>
      <c r="U125" s="579"/>
      <c r="V125" s="579"/>
      <c r="W125" s="579"/>
      <c r="X125" s="579"/>
      <c r="Y125" s="579"/>
      <c r="Z125" s="579"/>
      <c r="AA125" s="579"/>
      <c r="AB125" s="579"/>
      <c r="AC125" s="579"/>
      <c r="AD125" s="579"/>
      <c r="AE125" s="579"/>
      <c r="AF125" s="579"/>
      <c r="AG125" s="579"/>
      <c r="AH125" s="579"/>
      <c r="AI125" s="579"/>
      <c r="AJ125" s="579"/>
      <c r="AK125" s="204"/>
      <c r="AL125" s="204"/>
      <c r="AM125" s="204"/>
      <c r="AN125" s="204"/>
      <c r="AO125" s="204"/>
      <c r="AP125" s="204"/>
      <c r="AQ125" s="204"/>
      <c r="AR125" s="204"/>
      <c r="AS125" s="204"/>
      <c r="AT125" s="204"/>
    </row>
    <row r="126" spans="2:61">
      <c r="B126" s="1167"/>
      <c r="C126" s="1727"/>
      <c r="D126" s="983">
        <v>2</v>
      </c>
      <c r="E126" s="2477" t="s">
        <v>4972</v>
      </c>
      <c r="F126" s="2477"/>
      <c r="G126" s="2477"/>
      <c r="H126" s="2477"/>
      <c r="I126" s="2477"/>
      <c r="J126" s="2477"/>
      <c r="K126" s="2477"/>
      <c r="L126" s="2477"/>
      <c r="M126" s="2477"/>
      <c r="N126" s="2477"/>
      <c r="O126" s="2477"/>
      <c r="P126" s="1167"/>
      <c r="Q126" s="579"/>
      <c r="R126" s="1543" t="b">
        <f>C126="yes"</f>
        <v>0</v>
      </c>
      <c r="S126" s="204">
        <f t="shared" si="3"/>
        <v>0</v>
      </c>
      <c r="T126" s="579"/>
      <c r="U126" s="579"/>
      <c r="V126" s="579"/>
      <c r="W126" s="579"/>
      <c r="X126" s="579"/>
      <c r="Y126" s="579"/>
      <c r="Z126" s="579"/>
      <c r="AA126" s="579"/>
      <c r="AB126" s="579"/>
      <c r="AC126" s="579"/>
      <c r="AD126" s="579"/>
      <c r="AE126" s="579"/>
      <c r="AF126" s="579"/>
      <c r="AG126" s="579"/>
      <c r="AH126" s="579"/>
      <c r="AI126" s="579"/>
      <c r="AJ126" s="579"/>
      <c r="AK126" s="204"/>
      <c r="AL126" s="204"/>
      <c r="AM126" s="204"/>
      <c r="AN126" s="204"/>
      <c r="AO126" s="204"/>
      <c r="AP126" s="204"/>
      <c r="AQ126" s="204"/>
      <c r="AR126" s="204"/>
      <c r="AS126" s="204"/>
      <c r="AT126" s="204"/>
    </row>
    <row r="127" spans="2:61" ht="15" customHeight="1">
      <c r="B127" s="1167"/>
      <c r="C127" s="1727"/>
      <c r="D127" s="978">
        <v>2</v>
      </c>
      <c r="E127" s="2477" t="s">
        <v>4973</v>
      </c>
      <c r="F127" s="2477"/>
      <c r="G127" s="2477"/>
      <c r="H127" s="2477"/>
      <c r="I127" s="2477"/>
      <c r="J127" s="2477"/>
      <c r="K127" s="2477"/>
      <c r="L127" s="2477"/>
      <c r="M127" s="2477"/>
      <c r="N127" s="2477"/>
      <c r="O127" s="2477"/>
      <c r="P127" s="1167"/>
      <c r="Q127" s="579"/>
      <c r="R127" s="1543" t="b">
        <f>C127="yes"</f>
        <v>0</v>
      </c>
      <c r="S127" s="204">
        <f t="shared" si="3"/>
        <v>0</v>
      </c>
      <c r="T127" s="579"/>
      <c r="U127" s="579"/>
      <c r="V127" s="579"/>
      <c r="W127" s="579"/>
      <c r="X127" s="579"/>
      <c r="Y127" s="579"/>
      <c r="Z127" s="579"/>
      <c r="AA127" s="579"/>
      <c r="AB127" s="579"/>
      <c r="AC127" s="579"/>
      <c r="AD127" s="579"/>
      <c r="AE127" s="579"/>
      <c r="AF127" s="579"/>
      <c r="AG127" s="579"/>
      <c r="AH127" s="579"/>
      <c r="AI127" s="579"/>
      <c r="AJ127" s="579"/>
      <c r="AK127" s="204"/>
      <c r="AL127" s="204"/>
      <c r="AM127" s="204"/>
      <c r="AN127" s="204"/>
      <c r="AO127" s="204"/>
      <c r="AP127" s="204"/>
      <c r="AQ127" s="204"/>
      <c r="AR127" s="204"/>
      <c r="AS127" s="204"/>
      <c r="AT127" s="204"/>
    </row>
    <row r="128" spans="2:61" ht="152.25" customHeight="1">
      <c r="B128" s="1167"/>
      <c r="C128" s="1727"/>
      <c r="D128" s="1730">
        <v>1</v>
      </c>
      <c r="E128" s="2477" t="s">
        <v>4974</v>
      </c>
      <c r="F128" s="2477"/>
      <c r="G128" s="2477"/>
      <c r="H128" s="2477"/>
      <c r="I128" s="2477"/>
      <c r="J128" s="2477"/>
      <c r="K128" s="2477"/>
      <c r="L128" s="2477"/>
      <c r="M128" s="2477"/>
      <c r="N128" s="2477"/>
      <c r="O128" s="2477"/>
      <c r="P128" s="1167"/>
      <c r="Q128" s="579"/>
      <c r="R128" s="1543" t="b">
        <f t="shared" si="2"/>
        <v>0</v>
      </c>
      <c r="S128" s="204">
        <f t="shared" si="3"/>
        <v>0</v>
      </c>
      <c r="T128" s="579"/>
      <c r="U128" s="579"/>
      <c r="V128" s="579"/>
      <c r="W128" s="579"/>
      <c r="X128" s="579"/>
      <c r="Y128" s="579"/>
      <c r="Z128" s="579"/>
      <c r="AA128" s="579"/>
      <c r="AB128" s="579"/>
      <c r="AC128" s="579"/>
      <c r="AD128" s="579"/>
      <c r="AE128" s="579"/>
      <c r="AF128" s="579"/>
      <c r="AG128" s="579"/>
      <c r="AH128" s="579"/>
      <c r="AI128" s="579"/>
      <c r="AJ128" s="579"/>
      <c r="AK128" s="204"/>
      <c r="AL128" s="204"/>
      <c r="AM128" s="204"/>
      <c r="AN128" s="204"/>
      <c r="AO128" s="204"/>
      <c r="AP128" s="204"/>
      <c r="AQ128" s="204"/>
      <c r="AR128" s="204"/>
      <c r="AS128" s="204"/>
      <c r="AT128" s="204"/>
    </row>
    <row r="129" spans="2:46" ht="83" customHeight="1">
      <c r="B129" s="1167"/>
      <c r="C129" s="1727"/>
      <c r="D129" s="1729">
        <v>1</v>
      </c>
      <c r="E129" s="2477" t="s">
        <v>4975</v>
      </c>
      <c r="F129" s="2477"/>
      <c r="G129" s="2477"/>
      <c r="H129" s="2477"/>
      <c r="I129" s="2477"/>
      <c r="J129" s="2477"/>
      <c r="K129" s="2477"/>
      <c r="L129" s="2477"/>
      <c r="M129" s="2477"/>
      <c r="N129" s="2477"/>
      <c r="O129" s="2477"/>
      <c r="P129" s="1167"/>
      <c r="Q129" s="579"/>
      <c r="R129" s="1543" t="b">
        <f t="shared" si="2"/>
        <v>0</v>
      </c>
      <c r="S129" s="204">
        <f t="shared" si="3"/>
        <v>0</v>
      </c>
      <c r="T129" s="579"/>
      <c r="U129" s="579"/>
      <c r="V129" s="579"/>
      <c r="W129" s="579"/>
      <c r="X129" s="579"/>
      <c r="Y129" s="579"/>
      <c r="Z129" s="579"/>
      <c r="AA129" s="579"/>
      <c r="AB129" s="579"/>
      <c r="AC129" s="579"/>
      <c r="AD129" s="579"/>
      <c r="AE129" s="579"/>
      <c r="AF129" s="579"/>
      <c r="AG129" s="579"/>
      <c r="AH129" s="579"/>
      <c r="AI129" s="579"/>
      <c r="AJ129" s="579"/>
      <c r="AK129" s="204"/>
      <c r="AL129" s="204"/>
      <c r="AM129" s="204"/>
      <c r="AN129" s="204"/>
      <c r="AO129" s="204"/>
      <c r="AP129" s="204"/>
      <c r="AQ129" s="204"/>
      <c r="AR129" s="204"/>
      <c r="AS129" s="204"/>
      <c r="AT129" s="204"/>
    </row>
    <row r="130" spans="2:46" ht="76.25" customHeight="1">
      <c r="B130" s="1167"/>
      <c r="C130" s="993"/>
      <c r="D130" s="965">
        <v>2</v>
      </c>
      <c r="E130" s="2477" t="s">
        <v>4976</v>
      </c>
      <c r="F130" s="2477"/>
      <c r="G130" s="2477"/>
      <c r="H130" s="2477"/>
      <c r="I130" s="2477"/>
      <c r="J130" s="2477"/>
      <c r="K130" s="2477"/>
      <c r="L130" s="2477"/>
      <c r="M130" s="2477"/>
      <c r="N130" s="2477"/>
      <c r="O130" s="2477"/>
      <c r="P130" s="1167"/>
      <c r="Q130" s="579"/>
      <c r="R130" s="1543" t="b">
        <f t="shared" si="2"/>
        <v>0</v>
      </c>
      <c r="S130" s="204">
        <f t="shared" si="3"/>
        <v>0</v>
      </c>
      <c r="T130" s="579"/>
      <c r="U130" s="579"/>
      <c r="V130" s="579"/>
      <c r="W130" s="579"/>
      <c r="X130" s="579"/>
      <c r="Y130" s="579"/>
      <c r="Z130" s="579"/>
      <c r="AA130" s="579"/>
      <c r="AB130" s="579"/>
      <c r="AC130" s="579"/>
      <c r="AD130" s="579"/>
      <c r="AE130" s="579"/>
      <c r="AF130" s="579"/>
      <c r="AG130" s="579"/>
      <c r="AH130" s="579"/>
      <c r="AI130" s="579"/>
      <c r="AJ130" s="579"/>
      <c r="AK130" s="204"/>
      <c r="AL130" s="204"/>
      <c r="AM130" s="204"/>
      <c r="AN130" s="204"/>
      <c r="AO130" s="204"/>
      <c r="AP130" s="204"/>
      <c r="AQ130" s="204"/>
      <c r="AR130" s="204"/>
      <c r="AS130" s="204"/>
      <c r="AT130" s="204"/>
    </row>
    <row r="131" spans="2:46" ht="105" customHeight="1">
      <c r="B131" s="1167"/>
      <c r="C131" s="993"/>
      <c r="D131" s="965">
        <v>1</v>
      </c>
      <c r="E131" s="2477" t="s">
        <v>4977</v>
      </c>
      <c r="F131" s="2477"/>
      <c r="G131" s="2477"/>
      <c r="H131" s="2477"/>
      <c r="I131" s="2477"/>
      <c r="J131" s="2477"/>
      <c r="K131" s="2477"/>
      <c r="L131" s="2477"/>
      <c r="M131" s="2477"/>
      <c r="N131" s="2477"/>
      <c r="O131" s="2477"/>
      <c r="P131" s="1167"/>
      <c r="Q131" s="579"/>
      <c r="R131" s="1543" t="b">
        <f t="shared" si="2"/>
        <v>0</v>
      </c>
      <c r="S131" s="204">
        <f>IF(R131,D131,0)</f>
        <v>0</v>
      </c>
      <c r="T131" s="579"/>
      <c r="U131" s="579"/>
      <c r="V131" s="579"/>
      <c r="W131" s="579"/>
      <c r="X131" s="579"/>
      <c r="Y131" s="579"/>
      <c r="Z131" s="579"/>
      <c r="AA131" s="579"/>
      <c r="AB131" s="579"/>
      <c r="AC131" s="579"/>
      <c r="AD131" s="579"/>
      <c r="AE131" s="579"/>
      <c r="AF131" s="579"/>
      <c r="AG131" s="579"/>
      <c r="AH131" s="579"/>
      <c r="AI131" s="579"/>
      <c r="AJ131" s="579"/>
      <c r="AK131" s="204"/>
      <c r="AL131" s="204"/>
      <c r="AM131" s="204"/>
      <c r="AN131" s="204"/>
      <c r="AO131" s="204"/>
      <c r="AP131" s="204"/>
      <c r="AQ131" s="204"/>
      <c r="AR131" s="204"/>
      <c r="AS131" s="204"/>
      <c r="AT131" s="204"/>
    </row>
    <row r="132" spans="2:46">
      <c r="B132" s="1167"/>
      <c r="C132" s="1727"/>
      <c r="D132" s="994">
        <v>1</v>
      </c>
      <c r="E132" s="2477" t="s">
        <v>4978</v>
      </c>
      <c r="F132" s="2477"/>
      <c r="G132" s="2477"/>
      <c r="H132" s="2477"/>
      <c r="I132" s="2477"/>
      <c r="J132" s="2477"/>
      <c r="K132" s="2477"/>
      <c r="L132" s="2477"/>
      <c r="M132" s="2477"/>
      <c r="N132" s="2477"/>
      <c r="O132" s="2477"/>
      <c r="P132" s="1167"/>
      <c r="Q132" s="579"/>
      <c r="R132" s="1543" t="b">
        <f>C132="yes"</f>
        <v>0</v>
      </c>
      <c r="S132" s="204">
        <f t="shared" si="3"/>
        <v>0</v>
      </c>
      <c r="T132" s="579"/>
      <c r="U132" s="579"/>
      <c r="V132" s="579"/>
      <c r="W132" s="579"/>
      <c r="X132" s="579"/>
      <c r="Y132" s="579"/>
      <c r="Z132" s="579"/>
      <c r="AA132" s="579"/>
      <c r="AB132" s="579"/>
      <c r="AC132" s="579"/>
      <c r="AD132" s="579"/>
      <c r="AE132" s="579"/>
      <c r="AF132" s="579"/>
      <c r="AG132" s="579"/>
      <c r="AH132" s="579"/>
      <c r="AI132" s="579"/>
      <c r="AJ132" s="579"/>
      <c r="AK132" s="204"/>
      <c r="AL132" s="204"/>
      <c r="AM132" s="204"/>
      <c r="AN132" s="204"/>
      <c r="AO132" s="204"/>
      <c r="AP132" s="204"/>
      <c r="AQ132" s="204"/>
      <c r="AR132" s="204"/>
      <c r="AS132" s="204"/>
      <c r="AT132" s="204"/>
    </row>
    <row r="133" spans="2:46" ht="16">
      <c r="B133" s="1167"/>
      <c r="C133" s="995" t="s">
        <v>4979</v>
      </c>
      <c r="D133" s="996">
        <f>S133</f>
        <v>0</v>
      </c>
      <c r="E133" s="1167"/>
      <c r="F133" s="1167"/>
      <c r="G133" s="1167"/>
      <c r="H133" s="1167"/>
      <c r="I133" s="1167"/>
      <c r="J133" s="1167"/>
      <c r="K133" s="1167"/>
      <c r="L133" s="1167"/>
      <c r="M133" s="1167"/>
      <c r="N133" s="1167"/>
      <c r="O133" s="1167"/>
      <c r="P133" s="1167"/>
      <c r="Q133" s="579"/>
      <c r="S133" s="204">
        <f>SUM(S96:S132)</f>
        <v>0</v>
      </c>
      <c r="T133" s="579"/>
      <c r="U133" s="579"/>
      <c r="V133" s="579"/>
      <c r="W133" s="579"/>
      <c r="X133" s="579"/>
      <c r="Y133" s="579"/>
      <c r="Z133" s="579"/>
      <c r="AA133" s="579"/>
      <c r="AB133" s="579"/>
      <c r="AC133" s="579"/>
      <c r="AD133" s="579"/>
      <c r="AE133" s="579"/>
      <c r="AF133" s="579"/>
      <c r="AG133" s="579"/>
      <c r="AH133" s="579"/>
      <c r="AI133" s="579"/>
      <c r="AJ133" s="579"/>
      <c r="AK133" s="204"/>
      <c r="AL133" s="204"/>
      <c r="AM133" s="204"/>
      <c r="AN133" s="204"/>
      <c r="AO133" s="204"/>
      <c r="AP133" s="204"/>
      <c r="AQ133" s="204"/>
      <c r="AR133" s="204"/>
      <c r="AS133" s="204"/>
      <c r="AT133" s="204"/>
    </row>
    <row r="134" spans="2:46">
      <c r="B134" s="1167"/>
      <c r="C134" s="1167"/>
      <c r="D134" s="1409"/>
      <c r="E134" s="1409"/>
      <c r="F134" s="1409"/>
      <c r="G134" s="1409"/>
      <c r="H134" s="1409"/>
      <c r="I134" s="1409"/>
      <c r="J134" s="1409"/>
      <c r="K134" s="1409"/>
      <c r="L134" s="1167"/>
      <c r="M134" s="1167"/>
      <c r="N134" s="1167"/>
      <c r="O134" s="1167"/>
      <c r="P134" s="1167"/>
      <c r="Q134" s="579"/>
      <c r="T134" s="579"/>
      <c r="U134" s="579"/>
      <c r="V134" s="579"/>
      <c r="W134" s="579"/>
      <c r="X134" s="579"/>
      <c r="Y134" s="579"/>
      <c r="Z134" s="579"/>
      <c r="AA134" s="579"/>
      <c r="AB134" s="579"/>
      <c r="AC134" s="579"/>
      <c r="AD134" s="579"/>
      <c r="AE134" s="579"/>
      <c r="AF134" s="579"/>
      <c r="AG134" s="579"/>
      <c r="AH134" s="579"/>
      <c r="AI134" s="579"/>
      <c r="AJ134" s="579"/>
      <c r="AK134" s="204"/>
      <c r="AL134" s="204"/>
      <c r="AM134" s="204"/>
      <c r="AN134" s="204"/>
      <c r="AO134" s="204"/>
      <c r="AP134" s="204"/>
      <c r="AQ134" s="204"/>
      <c r="AR134" s="204"/>
      <c r="AS134" s="204"/>
      <c r="AT134" s="204"/>
    </row>
    <row r="135" spans="2:46" ht="34">
      <c r="B135" s="1167"/>
      <c r="C135" s="1704" t="s">
        <v>4980</v>
      </c>
      <c r="D135" s="1704" t="s">
        <v>4981</v>
      </c>
      <c r="E135" s="1167"/>
      <c r="F135" s="1167"/>
      <c r="G135" s="1167"/>
      <c r="H135" s="1167"/>
      <c r="I135" s="1167"/>
      <c r="J135" s="1167"/>
      <c r="K135" s="1167"/>
      <c r="L135" s="1167"/>
      <c r="M135" s="1167"/>
      <c r="N135" s="1167"/>
      <c r="O135" s="1167"/>
      <c r="P135" s="1167"/>
      <c r="Q135" s="579"/>
      <c r="R135" s="204">
        <f>SUM(S97,S101:S105,S109,S110,S111,S112,S113,S114,S115,S116,S117,S118,S119,S125,S126,S127,S128,S129,S130,S131,S132)</f>
        <v>0</v>
      </c>
      <c r="S135" s="917"/>
      <c r="T135" s="579"/>
      <c r="U135" s="579"/>
      <c r="V135" s="579"/>
      <c r="W135" s="579"/>
      <c r="X135" s="579"/>
      <c r="Y135" s="579"/>
      <c r="Z135" s="579"/>
      <c r="AA135" s="579"/>
      <c r="AB135" s="579"/>
      <c r="AC135" s="579"/>
      <c r="AD135" s="579"/>
      <c r="AE135" s="579"/>
      <c r="AF135" s="579"/>
      <c r="AG135" s="579"/>
      <c r="AH135" s="579"/>
      <c r="AI135" s="579"/>
      <c r="AJ135" s="579"/>
      <c r="AK135" s="204"/>
      <c r="AL135" s="204"/>
      <c r="AM135" s="204"/>
      <c r="AN135" s="204"/>
      <c r="AO135" s="204"/>
      <c r="AP135" s="204"/>
      <c r="AQ135" s="204"/>
      <c r="AR135" s="204"/>
      <c r="AS135" s="204"/>
      <c r="AT135" s="204"/>
    </row>
    <row r="136" spans="2:46" ht="14.5" customHeight="1">
      <c r="B136" s="1167"/>
      <c r="C136" s="898" t="s">
        <v>4982</v>
      </c>
      <c r="D136" s="898">
        <v>13</v>
      </c>
      <c r="E136" s="1409"/>
      <c r="F136" s="1409"/>
      <c r="G136" s="1409"/>
      <c r="H136" s="1409"/>
      <c r="I136" s="1409"/>
      <c r="J136" s="1409"/>
      <c r="K136" s="1409"/>
      <c r="L136" s="1167"/>
      <c r="M136" s="1167"/>
      <c r="N136" s="1167"/>
      <c r="O136" s="1167"/>
      <c r="P136" s="1167"/>
      <c r="Q136" s="579"/>
      <c r="R136" s="1543" t="b">
        <f>S133&gt;=21</f>
        <v>0</v>
      </c>
      <c r="S136" s="204">
        <f>IF(R136,IF(R$135&gt;D136,D136,R$135), 0)</f>
        <v>0</v>
      </c>
      <c r="T136" s="579"/>
      <c r="U136" s="579"/>
      <c r="V136" s="579"/>
      <c r="W136" s="579"/>
      <c r="X136" s="579"/>
      <c r="Y136" s="579"/>
      <c r="Z136" s="579"/>
      <c r="AA136" s="579"/>
      <c r="AB136" s="579"/>
      <c r="AC136" s="579"/>
      <c r="AD136" s="579"/>
      <c r="AE136" s="579"/>
      <c r="AF136" s="579"/>
      <c r="AG136" s="579"/>
      <c r="AH136" s="579"/>
      <c r="AI136" s="579"/>
      <c r="AJ136" s="579"/>
      <c r="AK136" s="204"/>
      <c r="AL136" s="204"/>
      <c r="AM136" s="204"/>
      <c r="AN136" s="204"/>
      <c r="AO136" s="204"/>
      <c r="AP136" s="204"/>
      <c r="AQ136" s="204"/>
      <c r="AR136" s="204"/>
      <c r="AS136" s="204"/>
      <c r="AT136" s="204"/>
    </row>
    <row r="137" spans="2:46" ht="14.5" customHeight="1">
      <c r="B137" s="1167"/>
      <c r="C137" s="898" t="s">
        <v>4983</v>
      </c>
      <c r="D137" s="898">
        <v>10</v>
      </c>
      <c r="E137" s="1167"/>
      <c r="F137" s="1167"/>
      <c r="G137" s="1167"/>
      <c r="H137" s="1167"/>
      <c r="I137" s="1167"/>
      <c r="J137" s="1167"/>
      <c r="K137" s="1167"/>
      <c r="L137" s="1167"/>
      <c r="M137" s="1167"/>
      <c r="N137" s="1167"/>
      <c r="O137" s="1167"/>
      <c r="P137" s="1167"/>
      <c r="Q137" s="579"/>
      <c r="R137" s="1543" t="b">
        <f>AND(S133&gt;=17, S133&lt;=20)</f>
        <v>0</v>
      </c>
      <c r="S137" s="204">
        <f>IF(R137,IF(R$135&gt;D137,D137,R$135), 0)</f>
        <v>0</v>
      </c>
      <c r="T137" s="579"/>
      <c r="U137" s="579"/>
      <c r="V137" s="579"/>
      <c r="W137" s="579"/>
      <c r="X137" s="579"/>
      <c r="Y137" s="579"/>
      <c r="Z137" s="579"/>
      <c r="AA137" s="579"/>
      <c r="AB137" s="579"/>
      <c r="AC137" s="579"/>
      <c r="AD137" s="579"/>
      <c r="AE137" s="579"/>
      <c r="AF137" s="579"/>
      <c r="AG137" s="579"/>
      <c r="AH137" s="579"/>
      <c r="AI137" s="579"/>
      <c r="AJ137" s="579"/>
      <c r="AK137" s="204"/>
      <c r="AL137" s="204"/>
      <c r="AM137" s="204"/>
      <c r="AN137" s="204"/>
      <c r="AO137" s="204"/>
      <c r="AP137" s="204"/>
      <c r="AQ137" s="204"/>
      <c r="AR137" s="204"/>
      <c r="AS137" s="204"/>
      <c r="AT137" s="204"/>
    </row>
    <row r="138" spans="2:46" ht="14.5" customHeight="1">
      <c r="B138" s="1167"/>
      <c r="C138" s="898" t="s">
        <v>4984</v>
      </c>
      <c r="D138" s="898">
        <v>7</v>
      </c>
      <c r="E138" s="1409"/>
      <c r="F138" s="1409"/>
      <c r="G138" s="1409"/>
      <c r="H138" s="1409"/>
      <c r="I138" s="1409"/>
      <c r="J138" s="1409"/>
      <c r="K138" s="1409"/>
      <c r="L138" s="1167"/>
      <c r="M138" s="1167"/>
      <c r="N138" s="1167"/>
      <c r="O138" s="1167"/>
      <c r="P138" s="1167"/>
      <c r="Q138" s="579"/>
      <c r="R138" s="1543" t="b">
        <f>AND(S133&gt;=13, S133&lt;=16)</f>
        <v>0</v>
      </c>
      <c r="S138" s="204">
        <f>IF(R138,IF(R$135&gt;D138,D138,R$135), 0)</f>
        <v>0</v>
      </c>
      <c r="T138" s="579"/>
      <c r="U138" s="579"/>
      <c r="V138" s="579"/>
      <c r="W138" s="579"/>
      <c r="X138" s="579"/>
      <c r="Y138" s="579"/>
      <c r="Z138" s="579"/>
      <c r="AA138" s="579"/>
      <c r="AB138" s="579"/>
      <c r="AC138" s="579"/>
      <c r="AD138" s="579"/>
      <c r="AE138" s="579"/>
      <c r="AF138" s="579"/>
      <c r="AG138" s="579"/>
      <c r="AH138" s="579"/>
      <c r="AI138" s="579"/>
      <c r="AJ138" s="579"/>
      <c r="AK138" s="204"/>
      <c r="AL138" s="204"/>
      <c r="AM138" s="204"/>
      <c r="AN138" s="204"/>
      <c r="AO138" s="204"/>
      <c r="AP138" s="204"/>
      <c r="AQ138" s="204"/>
      <c r="AR138" s="204"/>
      <c r="AS138" s="204"/>
      <c r="AT138" s="204"/>
    </row>
    <row r="139" spans="2:46">
      <c r="B139" s="1167"/>
      <c r="C139" s="899" t="s">
        <v>4985</v>
      </c>
      <c r="D139" s="898">
        <v>4</v>
      </c>
      <c r="E139" s="1167"/>
      <c r="F139" s="1174"/>
      <c r="G139" s="1167"/>
      <c r="H139" s="1167"/>
      <c r="I139" s="1167"/>
      <c r="J139" s="1167"/>
      <c r="K139" s="1167"/>
      <c r="L139" s="1167"/>
      <c r="M139" s="1167"/>
      <c r="N139" s="1167"/>
      <c r="O139" s="1167"/>
      <c r="P139" s="1167"/>
      <c r="Q139" s="579"/>
      <c r="R139" s="1543" t="b">
        <f>AND(S133&gt;=8, S133&lt;=12)</f>
        <v>0</v>
      </c>
      <c r="S139" s="204">
        <f>IF(R139,IF(R$135&gt;D139,D139,R$135), 0)</f>
        <v>0</v>
      </c>
      <c r="T139" s="579"/>
      <c r="U139" s="579"/>
      <c r="V139" s="579"/>
      <c r="W139" s="579"/>
      <c r="X139" s="579"/>
      <c r="Y139" s="579"/>
      <c r="Z139" s="579"/>
      <c r="AA139" s="579"/>
      <c r="AB139" s="579"/>
      <c r="AC139" s="579"/>
      <c r="AD139" s="579"/>
      <c r="AE139" s="579"/>
      <c r="AF139" s="579"/>
      <c r="AG139" s="579"/>
      <c r="AH139" s="579"/>
      <c r="AI139" s="579"/>
      <c r="AJ139" s="579"/>
      <c r="AK139" s="204"/>
      <c r="AL139" s="204"/>
      <c r="AM139" s="204"/>
      <c r="AN139" s="204"/>
      <c r="AO139" s="204"/>
      <c r="AP139" s="204"/>
      <c r="AQ139" s="204"/>
      <c r="AR139" s="204"/>
      <c r="AS139" s="204"/>
      <c r="AT139" s="204"/>
    </row>
    <row r="140" spans="2:46">
      <c r="B140" s="1167"/>
      <c r="C140" s="899" t="s">
        <v>4986</v>
      </c>
      <c r="D140" s="898">
        <v>2</v>
      </c>
      <c r="E140" s="1409"/>
      <c r="F140" s="1409"/>
      <c r="G140" s="1409"/>
      <c r="H140" s="1409"/>
      <c r="I140" s="1409"/>
      <c r="J140" s="1409"/>
      <c r="K140" s="1409"/>
      <c r="L140" s="1167"/>
      <c r="M140" s="1167"/>
      <c r="N140" s="1167"/>
      <c r="O140" s="1167"/>
      <c r="P140" s="1167"/>
      <c r="Q140" s="579"/>
      <c r="R140" s="1543" t="b">
        <f>AND(S133&gt;=3, S133&lt;=7)</f>
        <v>0</v>
      </c>
      <c r="S140" s="204">
        <f>IF(R140,IF(R$135&gt;D140,D140,R$135), 0)</f>
        <v>0</v>
      </c>
      <c r="T140" s="579"/>
      <c r="U140" s="579"/>
      <c r="V140" s="579"/>
      <c r="W140" s="579"/>
      <c r="X140" s="579"/>
      <c r="Y140" s="579"/>
      <c r="Z140" s="579"/>
      <c r="AA140" s="579"/>
      <c r="AB140" s="579"/>
      <c r="AC140" s="579"/>
      <c r="AD140" s="579"/>
      <c r="AE140" s="579"/>
      <c r="AF140" s="579"/>
      <c r="AG140" s="579"/>
      <c r="AH140" s="579"/>
      <c r="AI140" s="579"/>
      <c r="AJ140" s="579"/>
      <c r="AK140" s="204"/>
      <c r="AL140" s="204"/>
      <c r="AM140" s="204"/>
      <c r="AN140" s="204"/>
      <c r="AO140" s="204"/>
      <c r="AP140" s="204"/>
      <c r="AQ140" s="204"/>
      <c r="AR140" s="204"/>
      <c r="AS140" s="204"/>
      <c r="AT140" s="204"/>
    </row>
    <row r="141" spans="2:46">
      <c r="B141" s="1167"/>
      <c r="C141" s="1167"/>
      <c r="D141" s="1167"/>
      <c r="E141" s="1167"/>
      <c r="F141" s="1167"/>
      <c r="G141" s="1167"/>
      <c r="H141" s="1167"/>
      <c r="I141" s="1167"/>
      <c r="J141" s="1167"/>
      <c r="K141" s="1167"/>
      <c r="L141" s="1167"/>
      <c r="M141" s="1167"/>
      <c r="N141" s="1167"/>
      <c r="O141" s="1167"/>
      <c r="P141" s="1167"/>
      <c r="Q141" s="579"/>
      <c r="R141" s="1543"/>
      <c r="S141" s="204"/>
      <c r="T141" s="579"/>
      <c r="U141" s="579"/>
      <c r="V141" s="579"/>
      <c r="W141" s="579"/>
      <c r="X141" s="579"/>
      <c r="Y141" s="579"/>
      <c r="Z141" s="579"/>
      <c r="AA141" s="579"/>
      <c r="AB141" s="579"/>
      <c r="AC141" s="579"/>
      <c r="AD141" s="579"/>
      <c r="AE141" s="579"/>
      <c r="AF141" s="579"/>
      <c r="AG141" s="579"/>
      <c r="AH141" s="579"/>
      <c r="AI141" s="579"/>
      <c r="AJ141" s="579"/>
      <c r="AK141" s="204"/>
      <c r="AL141" s="204"/>
      <c r="AM141" s="204"/>
      <c r="AN141" s="204"/>
      <c r="AO141" s="204"/>
      <c r="AP141" s="204"/>
      <c r="AQ141" s="204"/>
      <c r="AR141" s="204"/>
      <c r="AS141" s="204"/>
      <c r="AT141" s="204"/>
    </row>
    <row r="142" spans="2:46">
      <c r="B142" s="1167"/>
      <c r="C142" s="1722" t="s">
        <v>4734</v>
      </c>
      <c r="D142" s="1722" t="s">
        <v>4708</v>
      </c>
      <c r="E142" s="1722" t="s">
        <v>1010</v>
      </c>
      <c r="F142" s="1167"/>
      <c r="G142" s="1167"/>
      <c r="H142" s="1167"/>
      <c r="I142" s="1167"/>
      <c r="J142" s="1167"/>
      <c r="K142" s="1167"/>
      <c r="L142" s="1167"/>
      <c r="M142" s="1167"/>
      <c r="N142" s="1167"/>
      <c r="O142" s="1167"/>
      <c r="P142" s="1167"/>
      <c r="Q142" s="579"/>
      <c r="R142" s="1543" t="b">
        <f>AND(S133&lt;5)</f>
        <v>1</v>
      </c>
      <c r="S142" s="204">
        <f>IF(R142, 0)</f>
        <v>0</v>
      </c>
      <c r="T142" s="579"/>
      <c r="U142" s="579"/>
      <c r="V142" s="579"/>
      <c r="W142" s="579"/>
      <c r="X142" s="579"/>
      <c r="Y142" s="579"/>
      <c r="Z142" s="579"/>
      <c r="AA142" s="579"/>
      <c r="AB142" s="579"/>
      <c r="AC142" s="579"/>
      <c r="AD142" s="579"/>
      <c r="AE142" s="579"/>
      <c r="AF142" s="579"/>
      <c r="AG142" s="579"/>
      <c r="AH142" s="579"/>
      <c r="AI142" s="579"/>
      <c r="AJ142" s="579"/>
      <c r="AK142" s="204"/>
      <c r="AL142" s="204"/>
      <c r="AM142" s="204"/>
      <c r="AN142" s="204"/>
      <c r="AO142" s="204"/>
      <c r="AP142" s="204"/>
      <c r="AQ142" s="204"/>
      <c r="AR142" s="204"/>
      <c r="AS142" s="204"/>
      <c r="AT142" s="204"/>
    </row>
    <row r="143" spans="2:46" ht="16">
      <c r="B143" s="1167"/>
      <c r="C143" s="1734">
        <v>13</v>
      </c>
      <c r="D143" s="1735">
        <f>R144</f>
        <v>0</v>
      </c>
      <c r="E143" s="1044"/>
      <c r="F143" s="1167"/>
      <c r="G143" s="1167"/>
      <c r="H143" s="1167"/>
      <c r="I143" s="1167"/>
      <c r="J143" s="1167"/>
      <c r="K143" s="1167"/>
      <c r="L143" s="1167"/>
      <c r="M143" s="1167"/>
      <c r="N143" s="1167"/>
      <c r="O143" s="1167"/>
      <c r="P143" s="1167"/>
      <c r="Q143" s="579"/>
      <c r="R143" s="1543">
        <f>IF(S143&gt;13, 13, S143)</f>
        <v>0</v>
      </c>
      <c r="S143" s="204">
        <f>SUM(S136:S142)</f>
        <v>0</v>
      </c>
      <c r="T143" s="579"/>
      <c r="U143" s="579"/>
      <c r="V143" s="579"/>
      <c r="W143" s="579"/>
      <c r="X143" s="579"/>
      <c r="Y143" s="579"/>
      <c r="Z143" s="579"/>
      <c r="AA143" s="579"/>
      <c r="AB143" s="579"/>
      <c r="AC143" s="579"/>
      <c r="AD143" s="579"/>
      <c r="AE143" s="579"/>
      <c r="AF143" s="579"/>
      <c r="AG143" s="579"/>
      <c r="AH143" s="579"/>
      <c r="AI143" s="579"/>
      <c r="AJ143" s="579"/>
      <c r="AK143" s="204"/>
      <c r="AL143" s="204"/>
      <c r="AM143" s="204"/>
      <c r="AN143" s="204"/>
      <c r="AO143" s="204"/>
      <c r="AP143" s="204"/>
      <c r="AQ143" s="204"/>
      <c r="AR143" s="204"/>
      <c r="AS143" s="204"/>
      <c r="AT143" s="204"/>
    </row>
    <row r="144" spans="2:46">
      <c r="B144" s="1167"/>
      <c r="C144" s="1167"/>
      <c r="D144" s="1167"/>
      <c r="E144" s="1167"/>
      <c r="F144" s="1167"/>
      <c r="G144" s="1167"/>
      <c r="H144" s="1167"/>
      <c r="I144" s="1167"/>
      <c r="J144" s="1167"/>
      <c r="K144" s="1167"/>
      <c r="L144" s="1167"/>
      <c r="M144" s="1167"/>
      <c r="N144" s="1167"/>
      <c r="O144" s="1167"/>
      <c r="P144" s="1167"/>
      <c r="Q144" s="579"/>
      <c r="R144" s="1543">
        <f>IF(R143, R143, 0)</f>
        <v>0</v>
      </c>
      <c r="S144" s="204"/>
      <c r="T144" s="579"/>
      <c r="U144" s="579"/>
      <c r="V144" s="579"/>
      <c r="W144" s="579"/>
      <c r="X144" s="579"/>
      <c r="Y144" s="579"/>
      <c r="Z144" s="579"/>
      <c r="AA144" s="579"/>
      <c r="AB144" s="579"/>
      <c r="AC144" s="579"/>
      <c r="AD144" s="579"/>
      <c r="AE144" s="579"/>
      <c r="AF144" s="579"/>
      <c r="AG144" s="579"/>
      <c r="AH144" s="579"/>
      <c r="AI144" s="579"/>
      <c r="AJ144" s="579"/>
      <c r="AK144" s="204"/>
      <c r="AL144" s="204"/>
      <c r="AM144" s="204"/>
      <c r="AN144" s="204"/>
      <c r="AO144" s="204"/>
      <c r="AP144" s="204"/>
      <c r="AQ144" s="204"/>
      <c r="AR144" s="204"/>
      <c r="AS144" s="204"/>
      <c r="AT144" s="204"/>
    </row>
    <row r="145" spans="1:56" ht="19">
      <c r="B145" s="8" t="s">
        <v>3364</v>
      </c>
      <c r="C145" s="3"/>
      <c r="D145" s="3"/>
      <c r="E145" s="3"/>
      <c r="F145" s="3"/>
      <c r="G145" s="3"/>
      <c r="H145" s="3"/>
      <c r="I145" s="3"/>
      <c r="J145" s="8" t="s">
        <v>3372</v>
      </c>
      <c r="K145" s="3"/>
      <c r="L145" s="3"/>
      <c r="M145" s="3"/>
      <c r="N145" s="3"/>
      <c r="O145" s="3"/>
      <c r="P145" s="3"/>
      <c r="Q145" s="579"/>
      <c r="T145" s="579"/>
      <c r="U145" s="579"/>
      <c r="V145" s="579"/>
      <c r="W145" s="579"/>
      <c r="X145" s="579"/>
      <c r="Y145" s="579"/>
      <c r="Z145" s="579"/>
      <c r="AA145" s="579"/>
      <c r="AB145" s="579"/>
      <c r="AC145" s="579"/>
      <c r="AD145" s="579"/>
      <c r="AE145" s="579"/>
      <c r="AF145" s="579"/>
      <c r="AG145" s="579"/>
      <c r="AH145" s="579"/>
      <c r="AI145" s="579"/>
      <c r="AJ145" s="579"/>
      <c r="AK145" s="204"/>
      <c r="AL145" s="204"/>
      <c r="AM145" s="204"/>
      <c r="AN145" s="204"/>
      <c r="AO145" s="204"/>
      <c r="AP145" s="204"/>
      <c r="AQ145" s="204"/>
      <c r="AR145" s="204"/>
      <c r="AS145" s="204"/>
      <c r="AT145" s="204"/>
    </row>
    <row r="146" spans="1:56">
      <c r="B146" s="1170" t="s">
        <v>4538</v>
      </c>
      <c r="C146" s="1167"/>
      <c r="D146" s="1167"/>
      <c r="E146" s="1167"/>
      <c r="F146" s="1167"/>
      <c r="G146" s="1167"/>
      <c r="H146" s="1167"/>
      <c r="I146" s="1167"/>
      <c r="J146" s="1172" t="s">
        <v>4434</v>
      </c>
      <c r="K146" s="1167"/>
      <c r="L146" s="1167"/>
      <c r="M146" s="1167"/>
      <c r="N146" s="1167"/>
      <c r="O146" s="1167"/>
      <c r="P146" s="1167"/>
      <c r="Q146" s="579"/>
      <c r="T146" s="579"/>
      <c r="U146" s="579"/>
      <c r="V146" s="579"/>
      <c r="W146" s="579"/>
      <c r="X146" s="579"/>
      <c r="Y146" s="579"/>
      <c r="Z146" s="579"/>
      <c r="AA146" s="579"/>
      <c r="AB146" s="579"/>
      <c r="AC146" s="579"/>
      <c r="AD146" s="579"/>
      <c r="AE146" s="579"/>
      <c r="AF146" s="579"/>
      <c r="AG146" s="579"/>
      <c r="AH146" s="579"/>
      <c r="AI146" s="579"/>
      <c r="AJ146" s="579"/>
      <c r="AK146" s="204"/>
      <c r="AL146" s="204"/>
      <c r="AM146" s="204"/>
      <c r="AN146" s="204"/>
      <c r="AO146" s="204"/>
      <c r="AP146" s="204"/>
      <c r="AQ146" s="204"/>
      <c r="AR146" s="204"/>
      <c r="AS146" s="204"/>
      <c r="AT146" s="204"/>
    </row>
    <row r="147" spans="1:56">
      <c r="B147" s="1167"/>
      <c r="C147" s="1957"/>
      <c r="D147" s="1958"/>
      <c r="E147" s="1958"/>
      <c r="F147" s="1958"/>
      <c r="G147" s="1958"/>
      <c r="H147" s="1959"/>
      <c r="I147" s="1167"/>
      <c r="J147" s="1957"/>
      <c r="K147" s="1958"/>
      <c r="L147" s="1958"/>
      <c r="M147" s="1958"/>
      <c r="N147" s="1958"/>
      <c r="O147" s="1959"/>
      <c r="P147" s="1167"/>
      <c r="Q147" s="579"/>
      <c r="T147" s="579"/>
      <c r="U147" s="579"/>
      <c r="V147" s="579"/>
      <c r="W147" s="579"/>
      <c r="X147" s="579"/>
      <c r="Y147" s="579"/>
      <c r="Z147" s="579"/>
      <c r="AA147" s="579"/>
      <c r="AB147" s="579"/>
      <c r="AC147" s="579"/>
      <c r="AD147" s="579"/>
      <c r="AE147" s="579"/>
      <c r="AF147" s="579"/>
      <c r="AG147" s="579"/>
      <c r="AH147" s="579"/>
      <c r="AI147" s="579"/>
      <c r="AJ147" s="579"/>
      <c r="AK147" s="204"/>
      <c r="AL147" s="204"/>
      <c r="AM147" s="204"/>
      <c r="AN147" s="204"/>
      <c r="AO147" s="204"/>
      <c r="AP147" s="204"/>
      <c r="AQ147" s="204"/>
      <c r="AR147" s="204"/>
      <c r="AS147" s="204"/>
      <c r="AT147" s="204"/>
    </row>
    <row r="148" spans="1:56">
      <c r="B148" s="1167"/>
      <c r="C148" s="1960"/>
      <c r="D148" s="1961"/>
      <c r="E148" s="1961"/>
      <c r="F148" s="1961"/>
      <c r="G148" s="1961"/>
      <c r="H148" s="1962"/>
      <c r="I148" s="1167"/>
      <c r="J148" s="1960"/>
      <c r="K148" s="1961"/>
      <c r="L148" s="1961"/>
      <c r="M148" s="1961"/>
      <c r="N148" s="1961"/>
      <c r="O148" s="1962"/>
      <c r="P148" s="1167"/>
      <c r="Q148" s="579"/>
      <c r="T148" s="579"/>
      <c r="U148" s="579"/>
      <c r="V148" s="579"/>
      <c r="W148" s="579"/>
      <c r="X148" s="579"/>
      <c r="Y148" s="579"/>
      <c r="Z148" s="579"/>
      <c r="AA148" s="579"/>
      <c r="AB148" s="579"/>
      <c r="AC148" s="579"/>
      <c r="AD148" s="579"/>
      <c r="AE148" s="579"/>
      <c r="AF148" s="579"/>
      <c r="AG148" s="579"/>
      <c r="AH148" s="579"/>
      <c r="AI148" s="579"/>
      <c r="AJ148" s="579"/>
      <c r="AK148" s="204"/>
      <c r="AL148" s="204"/>
      <c r="AM148" s="204"/>
      <c r="AN148" s="204"/>
      <c r="AO148" s="204"/>
      <c r="AP148" s="204"/>
      <c r="AQ148" s="204"/>
      <c r="AR148" s="204"/>
      <c r="AS148" s="204"/>
      <c r="AT148" s="204"/>
    </row>
    <row r="149" spans="1:56">
      <c r="B149" s="1167"/>
      <c r="C149" s="1960"/>
      <c r="D149" s="1961"/>
      <c r="E149" s="1961"/>
      <c r="F149" s="1961"/>
      <c r="G149" s="1961"/>
      <c r="H149" s="1962"/>
      <c r="I149" s="1167"/>
      <c r="J149" s="1960"/>
      <c r="K149" s="1961"/>
      <c r="L149" s="1961"/>
      <c r="M149" s="1961"/>
      <c r="N149" s="1961"/>
      <c r="O149" s="1962"/>
      <c r="P149" s="1167"/>
      <c r="Q149" s="579"/>
      <c r="T149" s="579"/>
      <c r="U149" s="579"/>
      <c r="V149" s="579"/>
      <c r="W149" s="579"/>
      <c r="X149" s="579"/>
      <c r="Y149" s="579"/>
      <c r="Z149" s="579"/>
      <c r="AA149" s="579"/>
      <c r="AB149" s="579"/>
      <c r="AC149" s="579"/>
      <c r="AD149" s="579"/>
      <c r="AE149" s="579"/>
      <c r="AF149" s="579"/>
      <c r="AG149" s="579"/>
      <c r="AH149" s="579"/>
      <c r="AI149" s="579"/>
      <c r="AJ149" s="579"/>
      <c r="AK149" s="204"/>
      <c r="AL149" s="204"/>
      <c r="AM149" s="204"/>
      <c r="AN149" s="204"/>
      <c r="AO149" s="204"/>
      <c r="AP149" s="204"/>
      <c r="AQ149" s="204"/>
      <c r="AR149" s="204"/>
      <c r="AS149" s="204"/>
      <c r="AT149" s="204"/>
    </row>
    <row r="150" spans="1:56">
      <c r="B150" s="1167"/>
      <c r="C150" s="1960"/>
      <c r="D150" s="1961"/>
      <c r="E150" s="1961"/>
      <c r="F150" s="1961"/>
      <c r="G150" s="1961"/>
      <c r="H150" s="1962"/>
      <c r="I150" s="1167"/>
      <c r="J150" s="1960"/>
      <c r="K150" s="1961"/>
      <c r="L150" s="1961"/>
      <c r="M150" s="1961"/>
      <c r="N150" s="1961"/>
      <c r="O150" s="1962"/>
      <c r="P150" s="1167"/>
      <c r="Q150" s="579"/>
      <c r="T150" s="579"/>
      <c r="U150" s="579"/>
      <c r="V150" s="579"/>
      <c r="W150" s="579"/>
      <c r="X150" s="579"/>
      <c r="Y150" s="579"/>
      <c r="Z150" s="579"/>
      <c r="AA150" s="579"/>
      <c r="AB150" s="579"/>
      <c r="AC150" s="579"/>
      <c r="AD150" s="579"/>
      <c r="AE150" s="579"/>
      <c r="AF150" s="579"/>
      <c r="AG150" s="579"/>
      <c r="AH150" s="579"/>
      <c r="AI150" s="579"/>
      <c r="AJ150" s="579"/>
      <c r="AK150" s="204"/>
      <c r="AL150" s="204"/>
      <c r="AM150" s="204"/>
      <c r="AN150" s="204"/>
      <c r="AO150" s="204"/>
      <c r="AP150" s="204"/>
      <c r="AQ150" s="204"/>
      <c r="AR150" s="204"/>
      <c r="AS150" s="204"/>
      <c r="AT150" s="204"/>
    </row>
    <row r="151" spans="1:56">
      <c r="B151" s="1167"/>
      <c r="C151" s="1960"/>
      <c r="D151" s="1961"/>
      <c r="E151" s="1961"/>
      <c r="F151" s="1961"/>
      <c r="G151" s="1961"/>
      <c r="H151" s="1962"/>
      <c r="I151" s="1167"/>
      <c r="J151" s="1960"/>
      <c r="K151" s="1961"/>
      <c r="L151" s="1961"/>
      <c r="M151" s="1961"/>
      <c r="N151" s="1961"/>
      <c r="O151" s="1962"/>
      <c r="P151" s="1167"/>
      <c r="Q151" s="579"/>
      <c r="T151" s="579"/>
      <c r="U151" s="579"/>
      <c r="V151" s="579"/>
      <c r="W151" s="579"/>
      <c r="X151" s="579"/>
      <c r="Y151" s="579"/>
      <c r="Z151" s="579"/>
      <c r="AA151" s="579"/>
      <c r="AB151" s="579"/>
      <c r="AC151" s="579"/>
      <c r="AD151" s="579"/>
      <c r="AE151" s="579"/>
      <c r="AF151" s="579"/>
      <c r="AG151" s="579"/>
      <c r="AH151" s="579"/>
      <c r="AI151" s="579"/>
      <c r="AJ151" s="579"/>
      <c r="AK151" s="204"/>
      <c r="AL151" s="204"/>
      <c r="AM151" s="204"/>
      <c r="AN151" s="204"/>
      <c r="AO151" s="204"/>
      <c r="AP151" s="204"/>
      <c r="AQ151" s="204"/>
      <c r="AR151" s="204"/>
      <c r="AS151" s="204"/>
      <c r="AT151" s="204"/>
    </row>
    <row r="152" spans="1:56">
      <c r="B152" s="1167"/>
      <c r="C152" s="1960"/>
      <c r="D152" s="1961"/>
      <c r="E152" s="1961"/>
      <c r="F152" s="1961"/>
      <c r="G152" s="1961"/>
      <c r="H152" s="1962"/>
      <c r="I152" s="1167"/>
      <c r="J152" s="1960"/>
      <c r="K152" s="1961"/>
      <c r="L152" s="1961"/>
      <c r="M152" s="1961"/>
      <c r="N152" s="1961"/>
      <c r="O152" s="1962"/>
      <c r="P152" s="1167"/>
      <c r="Q152" s="579"/>
      <c r="T152" s="579"/>
      <c r="U152" s="579"/>
      <c r="V152" s="579"/>
      <c r="W152" s="579"/>
      <c r="X152" s="579"/>
      <c r="Y152" s="579"/>
      <c r="Z152" s="579"/>
      <c r="AA152" s="579"/>
      <c r="AB152" s="579"/>
      <c r="AC152" s="579"/>
      <c r="AD152" s="579"/>
      <c r="AE152" s="579"/>
      <c r="AF152" s="579"/>
      <c r="AG152" s="579"/>
      <c r="AH152" s="579"/>
      <c r="AI152" s="579"/>
      <c r="AJ152" s="579"/>
      <c r="AK152" s="204"/>
      <c r="AL152" s="204"/>
      <c r="AM152" s="204"/>
      <c r="AN152" s="204"/>
      <c r="AO152" s="204"/>
      <c r="AP152" s="204"/>
      <c r="AQ152" s="204"/>
      <c r="AR152" s="204"/>
      <c r="AS152" s="204"/>
      <c r="AT152" s="204"/>
    </row>
    <row r="153" spans="1:56">
      <c r="B153" s="1167"/>
      <c r="C153" s="1960"/>
      <c r="D153" s="1961"/>
      <c r="E153" s="1961"/>
      <c r="F153" s="1961"/>
      <c r="G153" s="1961"/>
      <c r="H153" s="1962"/>
      <c r="I153" s="1167"/>
      <c r="J153" s="1960"/>
      <c r="K153" s="1961"/>
      <c r="L153" s="1961"/>
      <c r="M153" s="1961"/>
      <c r="N153" s="1961"/>
      <c r="O153" s="1962"/>
      <c r="P153" s="1167"/>
      <c r="Q153" s="579"/>
      <c r="R153" s="1543"/>
      <c r="S153" s="204"/>
      <c r="T153" s="579"/>
      <c r="U153" s="579"/>
      <c r="V153" s="579"/>
      <c r="W153" s="579"/>
      <c r="X153" s="579"/>
      <c r="Y153" s="579"/>
      <c r="Z153" s="579"/>
      <c r="AA153" s="579"/>
      <c r="AB153" s="579"/>
      <c r="AC153" s="579"/>
      <c r="AD153" s="579"/>
      <c r="AE153" s="579"/>
      <c r="AF153" s="579"/>
      <c r="AG153" s="579"/>
      <c r="AH153" s="579"/>
      <c r="AI153" s="579"/>
      <c r="AJ153" s="579"/>
      <c r="AK153" s="204"/>
      <c r="AL153" s="204"/>
      <c r="AM153" s="204"/>
      <c r="AN153" s="204"/>
      <c r="AO153" s="204"/>
      <c r="AP153" s="204"/>
      <c r="AQ153" s="204"/>
      <c r="AR153" s="204"/>
      <c r="AS153" s="204"/>
      <c r="AT153" s="204"/>
    </row>
    <row r="154" spans="1:56">
      <c r="B154" s="1167"/>
      <c r="C154" s="1960"/>
      <c r="D154" s="1961"/>
      <c r="E154" s="1961"/>
      <c r="F154" s="1961"/>
      <c r="G154" s="1961"/>
      <c r="H154" s="1962"/>
      <c r="I154" s="1167"/>
      <c r="J154" s="1960"/>
      <c r="K154" s="1961"/>
      <c r="L154" s="1961"/>
      <c r="M154" s="1961"/>
      <c r="N154" s="1961"/>
      <c r="O154" s="1962"/>
      <c r="P154" s="1167"/>
      <c r="Q154" s="579"/>
      <c r="R154" s="1543"/>
      <c r="S154" s="204"/>
      <c r="T154" s="579"/>
      <c r="U154" s="579"/>
      <c r="V154" s="579"/>
      <c r="W154" s="579"/>
      <c r="X154" s="579"/>
      <c r="Y154" s="579"/>
      <c r="Z154" s="579"/>
      <c r="AA154" s="579"/>
      <c r="AB154" s="579"/>
      <c r="AC154" s="579"/>
      <c r="AD154" s="579"/>
      <c r="AE154" s="579"/>
      <c r="AF154" s="579"/>
      <c r="AG154" s="579"/>
      <c r="AH154" s="579"/>
      <c r="AI154" s="579"/>
      <c r="AJ154" s="579"/>
      <c r="AK154" s="204"/>
      <c r="AL154" s="204"/>
      <c r="AM154" s="204"/>
      <c r="AN154" s="204"/>
      <c r="AO154" s="204"/>
      <c r="AP154" s="204"/>
      <c r="AQ154" s="204"/>
      <c r="AR154" s="204"/>
      <c r="AS154" s="204"/>
      <c r="AT154" s="204"/>
    </row>
    <row r="155" spans="1:56">
      <c r="B155" s="1167"/>
      <c r="C155" s="1960"/>
      <c r="D155" s="1961"/>
      <c r="E155" s="1961"/>
      <c r="F155" s="1961"/>
      <c r="G155" s="1961"/>
      <c r="H155" s="1962"/>
      <c r="I155" s="1167"/>
      <c r="J155" s="1963"/>
      <c r="K155" s="1964"/>
      <c r="L155" s="1964"/>
      <c r="M155" s="1964"/>
      <c r="N155" s="1964"/>
      <c r="O155" s="1965"/>
      <c r="P155" s="1167"/>
      <c r="Q155" s="579"/>
      <c r="R155" s="1543"/>
      <c r="S155" s="204"/>
      <c r="T155" s="579"/>
      <c r="U155" s="579"/>
      <c r="V155" s="579"/>
      <c r="W155" s="579"/>
      <c r="X155" s="579"/>
      <c r="Y155" s="579"/>
      <c r="Z155" s="579"/>
      <c r="AA155" s="579"/>
      <c r="AB155" s="579"/>
      <c r="AC155" s="579"/>
      <c r="AD155" s="579"/>
      <c r="AE155" s="579"/>
      <c r="AF155" s="579"/>
      <c r="AG155" s="579"/>
      <c r="AH155" s="579"/>
      <c r="AI155" s="579"/>
      <c r="AJ155" s="579"/>
      <c r="AK155" s="204"/>
      <c r="AL155" s="204"/>
      <c r="AM155" s="204"/>
      <c r="AN155" s="204"/>
      <c r="AO155" s="204"/>
      <c r="AP155" s="204"/>
      <c r="AQ155" s="204"/>
      <c r="AR155" s="204"/>
      <c r="AS155" s="204"/>
      <c r="AT155" s="204"/>
    </row>
    <row r="156" spans="1:56">
      <c r="B156" s="1167"/>
      <c r="C156" s="1960"/>
      <c r="D156" s="1961"/>
      <c r="E156" s="1961"/>
      <c r="F156" s="1961"/>
      <c r="G156" s="1961"/>
      <c r="H156" s="1962"/>
      <c r="I156" s="1167"/>
      <c r="J156" s="1733" t="s">
        <v>4766</v>
      </c>
      <c r="K156" s="1167"/>
      <c r="L156" s="1167"/>
      <c r="M156" s="1167"/>
      <c r="N156" s="1167"/>
      <c r="O156" s="1167"/>
      <c r="P156" s="1167"/>
      <c r="Q156" s="579"/>
      <c r="R156" s="1543"/>
      <c r="S156" s="204"/>
      <c r="T156" s="579"/>
      <c r="U156" s="579"/>
      <c r="V156" s="579"/>
      <c r="W156" s="579"/>
      <c r="X156" s="579"/>
      <c r="Y156" s="579"/>
      <c r="Z156" s="579"/>
      <c r="AA156" s="579"/>
      <c r="AB156" s="579"/>
      <c r="AC156" s="579"/>
      <c r="AD156" s="579"/>
      <c r="AE156" s="579"/>
      <c r="AF156" s="579"/>
      <c r="AG156" s="579"/>
      <c r="AH156" s="579"/>
      <c r="AI156" s="579"/>
      <c r="AJ156" s="579"/>
      <c r="AK156" s="204"/>
      <c r="AL156" s="204"/>
      <c r="AM156" s="204"/>
      <c r="AN156" s="204"/>
      <c r="AO156" s="204"/>
      <c r="AP156" s="204"/>
      <c r="AQ156" s="204"/>
      <c r="AR156" s="204"/>
      <c r="AS156" s="204"/>
      <c r="AT156" s="204"/>
    </row>
    <row r="157" spans="1:56">
      <c r="B157" s="1167"/>
      <c r="C157" s="1963"/>
      <c r="D157" s="1964"/>
      <c r="E157" s="1964"/>
      <c r="F157" s="1964"/>
      <c r="G157" s="1964"/>
      <c r="H157" s="1965"/>
      <c r="I157" s="1167"/>
      <c r="J157" s="2489"/>
      <c r="K157" s="2489"/>
      <c r="L157" s="2489"/>
      <c r="M157" s="2489"/>
      <c r="N157" s="2489"/>
      <c r="O157" s="2489"/>
      <c r="P157" s="1167"/>
      <c r="Q157" s="149"/>
      <c r="AA157" s="579"/>
      <c r="AB157" s="579"/>
      <c r="AC157" s="579"/>
      <c r="AD157" s="579"/>
      <c r="AE157" s="579"/>
      <c r="AF157" s="579"/>
      <c r="AG157" s="579"/>
      <c r="AH157" s="579"/>
      <c r="AI157" s="579"/>
      <c r="AJ157" s="579"/>
      <c r="AK157" s="579"/>
      <c r="AL157" s="579"/>
      <c r="AM157" s="579"/>
      <c r="AN157" s="579"/>
      <c r="AO157" s="579"/>
      <c r="AP157" s="579"/>
      <c r="AQ157" s="579"/>
      <c r="AR157" s="579"/>
      <c r="AS157" s="579"/>
      <c r="AT157" s="579"/>
      <c r="AU157" s="204"/>
      <c r="AV157" s="204"/>
      <c r="AW157" s="204"/>
      <c r="AX157" s="204"/>
      <c r="AY157" s="204"/>
      <c r="AZ157" s="204"/>
      <c r="BA157" s="204"/>
      <c r="BB157" s="204"/>
      <c r="BC157" s="204"/>
      <c r="BD157" s="204"/>
    </row>
    <row r="158" spans="1:56">
      <c r="B158" s="1167"/>
      <c r="C158" s="1167"/>
      <c r="D158" s="1167"/>
      <c r="E158" s="1167"/>
      <c r="F158" s="1167"/>
      <c r="G158" s="1167"/>
      <c r="H158" s="1167"/>
      <c r="I158" s="1167"/>
      <c r="J158" s="1167"/>
      <c r="K158" s="1167"/>
      <c r="L158" s="1167"/>
      <c r="M158" s="1167"/>
      <c r="N158" s="1167"/>
      <c r="O158" s="1167"/>
      <c r="P158" s="1167"/>
      <c r="Q158" s="149"/>
      <c r="AA158" s="579"/>
      <c r="AB158" s="579"/>
      <c r="AC158" s="579"/>
      <c r="AD158" s="579"/>
      <c r="AE158" s="579"/>
      <c r="AF158" s="579"/>
      <c r="AG158" s="579"/>
      <c r="AH158" s="579"/>
      <c r="AI158" s="579"/>
      <c r="AJ158" s="579"/>
      <c r="AK158" s="579"/>
      <c r="AL158" s="579"/>
      <c r="AM158" s="579"/>
      <c r="AN158" s="579"/>
      <c r="AO158" s="579"/>
      <c r="AP158" s="579"/>
      <c r="AQ158" s="579"/>
      <c r="AR158" s="579"/>
      <c r="AS158" s="579"/>
      <c r="AT158" s="579"/>
      <c r="AU158" s="204"/>
      <c r="AV158" s="204"/>
      <c r="AW158" s="204"/>
      <c r="AX158" s="204"/>
      <c r="AY158" s="204"/>
      <c r="AZ158" s="204"/>
      <c r="BA158" s="204"/>
      <c r="BB158" s="204"/>
      <c r="BC158" s="204"/>
      <c r="BD158" s="204"/>
    </row>
    <row r="159" spans="1:56" s="989" customFormat="1" ht="21">
      <c r="A159" s="977"/>
      <c r="B159" s="977" t="s">
        <v>4722</v>
      </c>
      <c r="E159" s="987"/>
      <c r="F159" s="987"/>
      <c r="G159" s="987"/>
      <c r="H159" s="987"/>
      <c r="I159" s="987"/>
      <c r="J159" s="987"/>
      <c r="K159" s="987"/>
      <c r="L159" s="987"/>
      <c r="M159" s="987"/>
      <c r="N159" s="987"/>
      <c r="O159" s="987"/>
      <c r="P159" s="987"/>
      <c r="Q159" s="999"/>
      <c r="R159" s="1534"/>
      <c r="S159" s="997"/>
      <c r="T159" s="999"/>
      <c r="U159" s="999"/>
      <c r="V159" s="999"/>
      <c r="W159" s="999"/>
      <c r="X159" s="999"/>
      <c r="Y159" s="999"/>
      <c r="Z159" s="999"/>
      <c r="AA159" s="999"/>
      <c r="AB159" s="999"/>
      <c r="AC159" s="999"/>
      <c r="AD159" s="999"/>
      <c r="AE159" s="999"/>
      <c r="AF159" s="999"/>
      <c r="AG159" s="999"/>
      <c r="AH159" s="999"/>
      <c r="AI159" s="999"/>
      <c r="AJ159" s="997"/>
      <c r="AK159" s="997"/>
      <c r="AL159" s="997"/>
      <c r="AM159" s="997"/>
      <c r="AN159" s="997"/>
      <c r="AO159" s="997"/>
      <c r="AP159" s="997"/>
      <c r="AQ159" s="997"/>
      <c r="AR159" s="997"/>
      <c r="AS159" s="997"/>
      <c r="AT159" s="997"/>
      <c r="AU159" s="997"/>
      <c r="AV159" s="997"/>
      <c r="AW159" s="997"/>
      <c r="AX159" s="997"/>
      <c r="AY159" s="997"/>
      <c r="AZ159" s="997"/>
      <c r="BA159" s="997"/>
      <c r="BB159" s="997"/>
      <c r="BC159" s="997"/>
    </row>
    <row r="160" spans="1:56">
      <c r="B160" s="1733" t="s">
        <v>4795</v>
      </c>
      <c r="C160" s="1167"/>
      <c r="D160" s="1167"/>
      <c r="E160" s="1167"/>
      <c r="F160" s="914"/>
      <c r="G160" s="1167"/>
      <c r="H160" s="1167"/>
      <c r="I160" s="1167"/>
      <c r="J160" s="1167"/>
      <c r="K160" s="1167"/>
      <c r="L160" s="1167"/>
      <c r="M160" s="1167"/>
      <c r="N160" s="1167"/>
      <c r="O160" s="1167"/>
      <c r="P160" s="1167"/>
      <c r="Q160" s="149"/>
      <c r="R160" s="1533" t="b">
        <f>IF(F160="Yes",TRUE,FALSE)</f>
        <v>0</v>
      </c>
      <c r="T160" s="462"/>
      <c r="AJ160" s="149"/>
      <c r="AK160" s="149"/>
      <c r="AL160" s="149"/>
      <c r="AM160" s="149"/>
      <c r="AN160" s="149"/>
      <c r="AO160" s="149"/>
      <c r="AP160" s="149"/>
      <c r="AQ160" s="149"/>
      <c r="AR160" s="149"/>
      <c r="AS160" s="149"/>
      <c r="AT160" s="149"/>
      <c r="AU160" s="149"/>
      <c r="AV160" s="149"/>
      <c r="AW160" s="9"/>
      <c r="AX160" s="9"/>
      <c r="AY160" s="9"/>
      <c r="AZ160" s="9"/>
      <c r="BA160" s="9"/>
      <c r="BB160" s="9"/>
      <c r="BC160" s="9"/>
    </row>
    <row r="161" spans="2:55">
      <c r="B161" s="1167"/>
      <c r="C161" s="1167"/>
      <c r="D161" s="1167"/>
      <c r="E161" s="1167"/>
      <c r="F161" s="1167"/>
      <c r="G161" s="1167"/>
      <c r="H161" s="1167"/>
      <c r="I161" s="1167"/>
      <c r="J161" s="1167"/>
      <c r="K161" s="1167"/>
      <c r="L161" s="1167"/>
      <c r="M161" s="1167"/>
      <c r="N161" s="1167"/>
      <c r="O161" s="1167"/>
      <c r="P161" s="1167"/>
      <c r="Q161" s="149"/>
      <c r="T161" s="462"/>
      <c r="AJ161" s="149"/>
      <c r="AK161" s="149"/>
      <c r="AL161" s="149"/>
      <c r="AM161" s="149"/>
      <c r="AN161" s="149"/>
      <c r="AO161" s="149"/>
      <c r="AP161" s="149"/>
      <c r="AQ161" s="149"/>
      <c r="AR161" s="149"/>
      <c r="AS161" s="149"/>
      <c r="AT161" s="149"/>
      <c r="AU161" s="149"/>
      <c r="AV161" s="149"/>
      <c r="AW161" s="9"/>
      <c r="AX161" s="9"/>
      <c r="AY161" s="9"/>
      <c r="AZ161" s="9"/>
      <c r="BA161" s="9"/>
      <c r="BB161" s="9"/>
      <c r="BC161" s="9"/>
    </row>
    <row r="162" spans="2:55">
      <c r="B162" s="1170" t="s">
        <v>3736</v>
      </c>
      <c r="C162" s="1167"/>
      <c r="D162" s="1167"/>
      <c r="E162" s="1167"/>
      <c r="F162" s="1167"/>
      <c r="G162" s="1167"/>
      <c r="H162" s="1167"/>
      <c r="I162" s="1167"/>
      <c r="J162" s="1167"/>
      <c r="K162" s="1167"/>
      <c r="L162" s="1167"/>
      <c r="M162" s="1167"/>
      <c r="N162" s="1167"/>
      <c r="O162" s="1167"/>
      <c r="P162" s="1167"/>
      <c r="Q162" s="149"/>
      <c r="T162" s="462"/>
      <c r="AJ162" s="149"/>
      <c r="AK162" s="149"/>
      <c r="AL162" s="149"/>
      <c r="AM162" s="149"/>
      <c r="AN162" s="149"/>
      <c r="AO162" s="149"/>
      <c r="AP162" s="149"/>
      <c r="AQ162" s="149"/>
      <c r="AR162" s="149"/>
      <c r="AS162" s="149"/>
      <c r="AT162" s="149"/>
      <c r="AU162" s="149"/>
      <c r="AV162" s="149"/>
      <c r="AW162" s="9"/>
      <c r="AX162" s="9"/>
      <c r="AY162" s="9"/>
      <c r="AZ162" s="9"/>
      <c r="BA162" s="9"/>
      <c r="BB162" s="9"/>
      <c r="BC162" s="9"/>
    </row>
    <row r="163" spans="2:55">
      <c r="B163" s="1689" t="s">
        <v>4987</v>
      </c>
      <c r="C163" s="1167"/>
      <c r="D163" s="1167"/>
      <c r="E163" s="1167"/>
      <c r="F163" s="1167"/>
      <c r="G163" s="1167"/>
      <c r="H163" s="1167"/>
      <c r="I163" s="1167"/>
      <c r="J163" s="1167"/>
      <c r="K163" s="1167"/>
      <c r="L163" s="1167"/>
      <c r="M163" s="1167"/>
      <c r="N163" s="1167"/>
      <c r="O163" s="1167"/>
      <c r="P163" s="1167"/>
      <c r="Q163" s="149"/>
      <c r="AJ163" s="149"/>
      <c r="AK163" s="149"/>
      <c r="AL163" s="149"/>
      <c r="AM163" s="149"/>
      <c r="AN163" s="149"/>
      <c r="AO163" s="149"/>
      <c r="AP163" s="149"/>
      <c r="AQ163" s="149"/>
      <c r="AR163" s="149"/>
      <c r="AS163" s="149"/>
      <c r="AT163" s="149"/>
      <c r="AU163" s="149"/>
      <c r="AV163" s="149"/>
      <c r="AW163" s="9"/>
      <c r="AX163" s="9"/>
      <c r="AY163" s="9"/>
      <c r="AZ163" s="9"/>
      <c r="BA163" s="9"/>
      <c r="BB163" s="9"/>
      <c r="BC163" s="9"/>
    </row>
    <row r="164" spans="2:55">
      <c r="B164" s="1167" t="s">
        <v>4988</v>
      </c>
      <c r="C164" s="1167"/>
      <c r="D164" s="1167"/>
      <c r="E164" s="1167"/>
      <c r="F164" s="1167"/>
      <c r="G164" s="1167"/>
      <c r="H164" s="1167"/>
      <c r="I164" s="1167"/>
      <c r="J164" s="1167"/>
      <c r="K164" s="1167"/>
      <c r="L164" s="1167"/>
      <c r="M164" s="1167"/>
      <c r="N164" s="1167"/>
      <c r="O164" s="1167"/>
      <c r="P164" s="1167"/>
      <c r="Q164" s="149"/>
      <c r="AJ164" s="149"/>
      <c r="AK164" s="149"/>
      <c r="AL164" s="149"/>
      <c r="AM164" s="149"/>
      <c r="AN164" s="149"/>
      <c r="AO164" s="149"/>
      <c r="AP164" s="149"/>
      <c r="AQ164" s="149"/>
      <c r="AR164" s="149"/>
      <c r="AS164" s="149"/>
      <c r="AT164" s="149"/>
      <c r="AU164" s="149"/>
      <c r="AV164" s="149"/>
      <c r="AW164" s="9"/>
      <c r="AX164" s="9"/>
      <c r="AY164" s="9"/>
      <c r="AZ164" s="9"/>
      <c r="BA164" s="9"/>
      <c r="BB164" s="9"/>
      <c r="BC164" s="9"/>
    </row>
    <row r="165" spans="2:55">
      <c r="B165" s="1167"/>
      <c r="C165" s="1167"/>
      <c r="D165" s="1167"/>
      <c r="E165" s="1167"/>
      <c r="F165" s="1167"/>
      <c r="G165" s="1167"/>
      <c r="H165" s="1167"/>
      <c r="I165" s="1167"/>
      <c r="J165" s="1167"/>
      <c r="K165" s="1167"/>
      <c r="L165" s="1167"/>
      <c r="M165" s="1167"/>
      <c r="N165" s="1167"/>
      <c r="O165" s="1167"/>
      <c r="P165" s="1167"/>
      <c r="Q165" s="149"/>
      <c r="AJ165" s="149"/>
      <c r="AK165" s="149"/>
      <c r="AL165" s="149"/>
      <c r="AM165" s="149"/>
      <c r="AN165" s="149"/>
      <c r="AO165" s="149"/>
      <c r="AP165" s="149"/>
      <c r="AQ165" s="149"/>
      <c r="AR165" s="149"/>
      <c r="AS165" s="149"/>
      <c r="AT165" s="149"/>
      <c r="AU165" s="149"/>
      <c r="AV165" s="149"/>
      <c r="AW165" s="9"/>
      <c r="AX165" s="9"/>
      <c r="AY165" s="9"/>
      <c r="AZ165" s="9"/>
      <c r="BA165" s="9"/>
      <c r="BB165" s="9"/>
      <c r="BC165" s="9"/>
    </row>
    <row r="166" spans="2:55">
      <c r="B166" s="1914" t="s">
        <v>4989</v>
      </c>
      <c r="C166" s="1914"/>
      <c r="D166" s="1914"/>
      <c r="E166" s="1914"/>
      <c r="F166" s="1914"/>
      <c r="G166" s="1914"/>
      <c r="H166" s="1914"/>
      <c r="I166" s="1914"/>
      <c r="J166" s="1914"/>
      <c r="K166" s="1914"/>
      <c r="L166" s="1914"/>
      <c r="M166" s="1914"/>
      <c r="N166" s="1914"/>
      <c r="O166" s="1914"/>
      <c r="P166" s="1167"/>
      <c r="Q166" s="149"/>
      <c r="AJ166" s="149"/>
      <c r="AK166" s="149"/>
      <c r="AL166" s="149"/>
      <c r="AM166" s="149"/>
      <c r="AN166" s="149"/>
      <c r="AO166" s="149"/>
      <c r="AP166" s="149"/>
      <c r="AQ166" s="149"/>
      <c r="AR166" s="149"/>
      <c r="AS166" s="149"/>
      <c r="AT166" s="149"/>
      <c r="AU166" s="149"/>
      <c r="AV166" s="149"/>
      <c r="AW166" s="9"/>
      <c r="AX166" s="9"/>
      <c r="AY166" s="9"/>
      <c r="AZ166" s="9"/>
      <c r="BA166" s="9"/>
      <c r="BB166" s="9"/>
      <c r="BC166" s="9"/>
    </row>
    <row r="167" spans="2:55">
      <c r="B167" s="1914"/>
      <c r="C167" s="1914"/>
      <c r="D167" s="1914"/>
      <c r="E167" s="1914"/>
      <c r="F167" s="1914"/>
      <c r="G167" s="1914"/>
      <c r="H167" s="1914"/>
      <c r="I167" s="1914"/>
      <c r="J167" s="1914"/>
      <c r="K167" s="1914"/>
      <c r="L167" s="1914"/>
      <c r="M167" s="1914"/>
      <c r="N167" s="1914"/>
      <c r="O167" s="1914"/>
      <c r="P167" s="1167"/>
      <c r="Q167" s="149"/>
      <c r="AJ167" s="149"/>
      <c r="AK167" s="149"/>
      <c r="AL167" s="149"/>
      <c r="AM167" s="149"/>
      <c r="AN167" s="149"/>
      <c r="AO167" s="149"/>
      <c r="AP167" s="149"/>
      <c r="AQ167" s="149"/>
      <c r="AR167" s="149"/>
      <c r="AS167" s="149"/>
      <c r="AT167" s="149"/>
      <c r="AU167" s="149"/>
      <c r="AV167" s="149"/>
      <c r="AW167" s="9"/>
      <c r="AX167" s="9"/>
      <c r="AY167" s="9"/>
      <c r="AZ167" s="9"/>
      <c r="BA167" s="9"/>
      <c r="BB167" s="9"/>
      <c r="BC167" s="9"/>
    </row>
    <row r="168" spans="2:55">
      <c r="B168" s="1410"/>
      <c r="C168" s="1410"/>
      <c r="D168" s="1410"/>
      <c r="E168" s="1410"/>
      <c r="F168" s="1410"/>
      <c r="G168" s="1410"/>
      <c r="H168" s="1410"/>
      <c r="I168" s="1410"/>
      <c r="J168" s="1410"/>
      <c r="K168" s="1410"/>
      <c r="L168" s="1410"/>
      <c r="M168" s="1410"/>
      <c r="N168" s="1410"/>
      <c r="O168" s="1410"/>
      <c r="P168" s="1167"/>
      <c r="Q168" s="149"/>
      <c r="AJ168" s="149"/>
      <c r="AK168" s="149"/>
      <c r="AL168" s="149"/>
      <c r="AM168" s="149"/>
      <c r="AN168" s="149"/>
      <c r="AO168" s="149"/>
      <c r="AP168" s="149"/>
      <c r="AQ168" s="149"/>
      <c r="AR168" s="149"/>
      <c r="AS168" s="149"/>
      <c r="AT168" s="149"/>
      <c r="AU168" s="149"/>
      <c r="AV168" s="149"/>
      <c r="AW168" s="9"/>
      <c r="AX168" s="9"/>
      <c r="AY168" s="9"/>
      <c r="AZ168" s="9"/>
      <c r="BA168" s="9"/>
      <c r="BB168" s="9"/>
      <c r="BC168" s="9"/>
    </row>
    <row r="169" spans="2:55">
      <c r="B169" s="1689" t="s">
        <v>4990</v>
      </c>
      <c r="C169" s="1167"/>
      <c r="D169" s="1167"/>
      <c r="E169" s="1167"/>
      <c r="F169" s="1167"/>
      <c r="G169" s="1167"/>
      <c r="H169" s="1167"/>
      <c r="I169" s="1167"/>
      <c r="J169" s="1167"/>
      <c r="K169" s="1167"/>
      <c r="L169" s="1167"/>
      <c r="M169" s="1167"/>
      <c r="N169" s="1167"/>
      <c r="O169" s="1167"/>
      <c r="P169" s="1167"/>
      <c r="Q169" s="149"/>
      <c r="AJ169" s="149"/>
      <c r="AK169" s="149"/>
      <c r="AL169" s="149"/>
      <c r="AM169" s="149"/>
      <c r="AN169" s="149"/>
      <c r="AO169" s="149"/>
      <c r="AP169" s="149"/>
      <c r="AQ169" s="149"/>
      <c r="AR169" s="149"/>
      <c r="AS169" s="149"/>
      <c r="AT169" s="149"/>
      <c r="AU169" s="149"/>
      <c r="AV169" s="149"/>
      <c r="AW169" s="9"/>
      <c r="AX169" s="9"/>
      <c r="AY169" s="9"/>
      <c r="AZ169" s="9"/>
      <c r="BA169" s="9"/>
      <c r="BB169" s="9"/>
      <c r="BC169" s="9"/>
    </row>
    <row r="170" spans="2:55">
      <c r="B170" s="1167" t="s">
        <v>4991</v>
      </c>
      <c r="C170" s="1167"/>
      <c r="D170" s="1167"/>
      <c r="E170" s="1167"/>
      <c r="F170" s="1167"/>
      <c r="G170" s="1167"/>
      <c r="H170" s="1167"/>
      <c r="I170" s="1167"/>
      <c r="J170" s="1167"/>
      <c r="K170" s="1167"/>
      <c r="L170" s="1167"/>
      <c r="M170" s="1167"/>
      <c r="N170" s="1167"/>
      <c r="O170" s="1167"/>
      <c r="P170" s="1167"/>
      <c r="Q170" s="149"/>
      <c r="AJ170" s="149"/>
      <c r="AK170" s="149"/>
      <c r="AL170" s="149"/>
      <c r="AM170" s="149"/>
      <c r="AN170" s="149"/>
      <c r="AO170" s="149"/>
      <c r="AP170" s="149"/>
      <c r="AQ170" s="149"/>
      <c r="AR170" s="149"/>
      <c r="AS170" s="149"/>
      <c r="AT170" s="149"/>
      <c r="AU170" s="149"/>
      <c r="AV170" s="149"/>
      <c r="AW170" s="9"/>
      <c r="AX170" s="9"/>
      <c r="AY170" s="9"/>
      <c r="AZ170" s="9"/>
      <c r="BA170" s="9"/>
      <c r="BB170" s="9"/>
      <c r="BC170" s="9"/>
    </row>
    <row r="171" spans="2:55">
      <c r="B171" s="1689" t="s">
        <v>4992</v>
      </c>
      <c r="C171" s="1167"/>
      <c r="D171" s="1167"/>
      <c r="E171" s="1167"/>
      <c r="F171" s="1167"/>
      <c r="G171" s="1167"/>
      <c r="H171" s="1167"/>
      <c r="I171" s="1167"/>
      <c r="J171" s="1167"/>
      <c r="K171" s="1167"/>
      <c r="L171" s="1167"/>
      <c r="M171" s="1167"/>
      <c r="N171" s="1167"/>
      <c r="O171" s="1167"/>
      <c r="P171" s="1167"/>
      <c r="Q171" s="149"/>
      <c r="AJ171" s="149"/>
      <c r="AK171" s="149"/>
      <c r="AL171" s="149"/>
      <c r="AM171" s="149"/>
      <c r="AN171" s="149"/>
      <c r="AO171" s="149"/>
      <c r="AP171" s="149"/>
      <c r="AQ171" s="149"/>
      <c r="AR171" s="149"/>
      <c r="AS171" s="149"/>
      <c r="AT171" s="149"/>
      <c r="AU171" s="149"/>
      <c r="AV171" s="149"/>
      <c r="AW171" s="9"/>
      <c r="AX171" s="9"/>
      <c r="AY171" s="9"/>
      <c r="AZ171" s="9"/>
      <c r="BA171" s="9"/>
      <c r="BB171" s="9"/>
      <c r="BC171" s="9"/>
    </row>
    <row r="172" spans="2:55">
      <c r="B172" s="1689" t="s">
        <v>4993</v>
      </c>
      <c r="C172" s="1167"/>
      <c r="D172" s="1167"/>
      <c r="E172" s="1167"/>
      <c r="F172" s="1167"/>
      <c r="G172" s="1167"/>
      <c r="H172" s="1167"/>
      <c r="I172" s="1167"/>
      <c r="J172" s="1167"/>
      <c r="K172" s="1167"/>
      <c r="L172" s="1167"/>
      <c r="M172" s="1167"/>
      <c r="N172" s="1167"/>
      <c r="O172" s="1167"/>
      <c r="P172" s="1167"/>
      <c r="Q172" s="149"/>
      <c r="AJ172" s="149"/>
      <c r="AK172" s="149"/>
      <c r="AL172" s="149"/>
      <c r="AM172" s="149"/>
      <c r="AN172" s="149"/>
      <c r="AO172" s="149"/>
      <c r="AP172" s="149"/>
      <c r="AQ172" s="149"/>
      <c r="AR172" s="149"/>
      <c r="AS172" s="149"/>
      <c r="AT172" s="149"/>
      <c r="AU172" s="149"/>
      <c r="AV172" s="149"/>
      <c r="AW172" s="9"/>
      <c r="AX172" s="9"/>
      <c r="AY172" s="9"/>
      <c r="AZ172" s="9"/>
      <c r="BA172" s="9"/>
      <c r="BB172" s="9"/>
      <c r="BC172" s="9"/>
    </row>
    <row r="173" spans="2:55">
      <c r="B173" s="1689" t="s">
        <v>4994</v>
      </c>
      <c r="C173" s="1167"/>
      <c r="D173" s="1167"/>
      <c r="E173" s="1167"/>
      <c r="F173" s="1167"/>
      <c r="G173" s="1167"/>
      <c r="H173" s="1167"/>
      <c r="I173" s="1167"/>
      <c r="J173" s="1167"/>
      <c r="K173" s="1167"/>
      <c r="L173" s="1167"/>
      <c r="M173" s="1167"/>
      <c r="N173" s="1167"/>
      <c r="O173" s="1167"/>
      <c r="P173" s="1167"/>
      <c r="Q173" s="149"/>
      <c r="AJ173" s="149"/>
      <c r="AK173" s="149"/>
      <c r="AL173" s="149"/>
      <c r="AM173" s="149"/>
      <c r="AN173" s="149"/>
      <c r="AO173" s="149"/>
      <c r="AP173" s="149"/>
      <c r="AQ173" s="149"/>
      <c r="AR173" s="149"/>
      <c r="AS173" s="149"/>
      <c r="AT173" s="149"/>
      <c r="AU173" s="149"/>
      <c r="AV173" s="149"/>
      <c r="AW173" s="9"/>
      <c r="AX173" s="9"/>
      <c r="AY173" s="9"/>
      <c r="AZ173" s="9"/>
      <c r="BA173" s="9"/>
      <c r="BB173" s="9"/>
      <c r="BC173" s="9"/>
    </row>
    <row r="174" spans="2:55">
      <c r="B174" s="1689" t="s">
        <v>4995</v>
      </c>
      <c r="C174" s="1167"/>
      <c r="D174" s="1167"/>
      <c r="E174" s="1167"/>
      <c r="F174" s="1167"/>
      <c r="G174" s="1167"/>
      <c r="H174" s="1167"/>
      <c r="I174" s="1167"/>
      <c r="J174" s="1167"/>
      <c r="K174" s="1167"/>
      <c r="L174" s="1167"/>
      <c r="M174" s="1167"/>
      <c r="N174" s="1167"/>
      <c r="O174" s="1167"/>
      <c r="P174" s="1167"/>
      <c r="Q174" s="149"/>
      <c r="AJ174" s="149"/>
      <c r="AK174" s="149"/>
      <c r="AL174" s="149"/>
      <c r="AM174" s="149"/>
      <c r="AN174" s="149"/>
      <c r="AO174" s="149"/>
      <c r="AP174" s="149"/>
      <c r="AQ174" s="149"/>
      <c r="AR174" s="149"/>
      <c r="AS174" s="149"/>
      <c r="AT174" s="149"/>
      <c r="AU174" s="149"/>
      <c r="AV174" s="149"/>
      <c r="AW174" s="9"/>
      <c r="AX174" s="9"/>
      <c r="AY174" s="9"/>
      <c r="AZ174" s="9"/>
      <c r="BA174" s="9"/>
      <c r="BB174" s="9"/>
      <c r="BC174" s="9"/>
    </row>
    <row r="175" spans="2:55">
      <c r="B175" s="1689" t="s">
        <v>4996</v>
      </c>
      <c r="C175" s="1167"/>
      <c r="D175" s="1167"/>
      <c r="E175" s="1167"/>
      <c r="F175" s="1167"/>
      <c r="G175" s="1167"/>
      <c r="H175" s="1167"/>
      <c r="I175" s="1167"/>
      <c r="J175" s="1167"/>
      <c r="K175" s="1167"/>
      <c r="L175" s="1167"/>
      <c r="M175" s="1167"/>
      <c r="N175" s="1167"/>
      <c r="O175" s="1167"/>
      <c r="P175" s="1167"/>
      <c r="Q175" s="149"/>
      <c r="AJ175" s="149"/>
      <c r="AK175" s="149"/>
      <c r="AL175" s="149"/>
      <c r="AM175" s="149"/>
      <c r="AN175" s="149"/>
      <c r="AO175" s="149"/>
      <c r="AP175" s="149"/>
      <c r="AQ175" s="149"/>
      <c r="AR175" s="149"/>
      <c r="AS175" s="149"/>
      <c r="AT175" s="149"/>
      <c r="AU175" s="149"/>
      <c r="AV175" s="149"/>
      <c r="AW175" s="9"/>
      <c r="AX175" s="9"/>
      <c r="AY175" s="9"/>
      <c r="AZ175" s="9"/>
      <c r="BA175" s="9"/>
      <c r="BB175" s="9"/>
      <c r="BC175" s="9"/>
    </row>
    <row r="176" spans="2:55">
      <c r="B176" s="1689" t="s">
        <v>4997</v>
      </c>
      <c r="C176" s="1167"/>
      <c r="D176" s="1167"/>
      <c r="E176" s="1167"/>
      <c r="F176" s="1167"/>
      <c r="G176" s="1167"/>
      <c r="H176" s="1167"/>
      <c r="I176" s="1167"/>
      <c r="J176" s="1167"/>
      <c r="K176" s="1167"/>
      <c r="L176" s="1167"/>
      <c r="M176" s="1167"/>
      <c r="N176" s="1167"/>
      <c r="O176" s="1167"/>
      <c r="P176" s="1167"/>
      <c r="Q176" s="149"/>
      <c r="AJ176" s="149"/>
      <c r="AK176" s="149"/>
      <c r="AL176" s="149"/>
      <c r="AM176" s="149"/>
      <c r="AN176" s="149"/>
      <c r="AO176" s="149"/>
      <c r="AP176" s="149"/>
      <c r="AQ176" s="149"/>
      <c r="AR176" s="149"/>
      <c r="AS176" s="149"/>
      <c r="AT176" s="149"/>
      <c r="AU176" s="149"/>
      <c r="AV176" s="149"/>
      <c r="AW176" s="9"/>
      <c r="AX176" s="9"/>
      <c r="AY176" s="9"/>
      <c r="AZ176" s="9"/>
      <c r="BA176" s="9"/>
      <c r="BB176" s="9"/>
      <c r="BC176" s="9"/>
    </row>
    <row r="177" spans="2:55">
      <c r="B177" s="1689" t="s">
        <v>4998</v>
      </c>
      <c r="C177" s="1167"/>
      <c r="D177" s="1167"/>
      <c r="E177" s="1167"/>
      <c r="F177" s="1167"/>
      <c r="G177" s="1167"/>
      <c r="H177" s="1167"/>
      <c r="I177" s="1167"/>
      <c r="J177" s="1167"/>
      <c r="K177" s="1167"/>
      <c r="L177" s="1167"/>
      <c r="M177" s="1167"/>
      <c r="N177" s="1167"/>
      <c r="O177" s="1167"/>
      <c r="P177" s="1167"/>
      <c r="Q177" s="149"/>
      <c r="AJ177" s="149"/>
      <c r="AK177" s="149"/>
      <c r="AL177" s="149"/>
      <c r="AM177" s="149"/>
      <c r="AN177" s="149"/>
      <c r="AO177" s="149"/>
      <c r="AP177" s="149"/>
      <c r="AQ177" s="149"/>
      <c r="AR177" s="149"/>
      <c r="AS177" s="149"/>
      <c r="AT177" s="149"/>
      <c r="AU177" s="149"/>
      <c r="AV177" s="149"/>
      <c r="AW177" s="9"/>
      <c r="AX177" s="9"/>
      <c r="AY177" s="9"/>
      <c r="AZ177" s="9"/>
      <c r="BA177" s="9"/>
      <c r="BB177" s="9"/>
      <c r="BC177" s="9"/>
    </row>
    <row r="178" spans="2:55">
      <c r="B178" s="2423" t="s">
        <v>4999</v>
      </c>
      <c r="C178" s="2423"/>
      <c r="D178" s="2423"/>
      <c r="E178" s="2423"/>
      <c r="F178" s="2423"/>
      <c r="G178" s="2423"/>
      <c r="H178" s="2423"/>
      <c r="I178" s="2423"/>
      <c r="J178" s="2423"/>
      <c r="K178" s="2423"/>
      <c r="L178" s="2423"/>
      <c r="M178" s="2423"/>
      <c r="N178" s="2423"/>
      <c r="O178" s="2423"/>
      <c r="P178" s="1167"/>
      <c r="Q178" s="149"/>
      <c r="AJ178" s="149"/>
      <c r="AK178" s="149"/>
      <c r="AL178" s="149"/>
      <c r="AM178" s="149"/>
      <c r="AN178" s="149"/>
      <c r="AO178" s="149"/>
      <c r="AP178" s="149"/>
      <c r="AQ178" s="149"/>
      <c r="AR178" s="149"/>
      <c r="AS178" s="149"/>
      <c r="AT178" s="149"/>
      <c r="AU178" s="149"/>
      <c r="AV178" s="149"/>
      <c r="AW178" s="9"/>
      <c r="AX178" s="9"/>
      <c r="AY178" s="9"/>
      <c r="AZ178" s="9"/>
      <c r="BA178" s="9"/>
      <c r="BB178" s="9"/>
      <c r="BC178" s="9"/>
    </row>
    <row r="179" spans="2:55">
      <c r="B179" s="2423"/>
      <c r="C179" s="2423"/>
      <c r="D179" s="2423"/>
      <c r="E179" s="2423"/>
      <c r="F179" s="2423"/>
      <c r="G179" s="2423"/>
      <c r="H179" s="2423"/>
      <c r="I179" s="2423"/>
      <c r="J179" s="2423"/>
      <c r="K179" s="2423"/>
      <c r="L179" s="2423"/>
      <c r="M179" s="2423"/>
      <c r="N179" s="2423"/>
      <c r="O179" s="2423"/>
      <c r="P179" s="1167"/>
      <c r="Q179" s="149"/>
      <c r="AJ179" s="149"/>
      <c r="AK179" s="149"/>
      <c r="AL179" s="149"/>
      <c r="AM179" s="149"/>
      <c r="AN179" s="149"/>
      <c r="AO179" s="149"/>
      <c r="AP179" s="149"/>
      <c r="AQ179" s="149"/>
      <c r="AR179" s="149"/>
      <c r="AS179" s="149"/>
      <c r="AT179" s="149"/>
      <c r="AU179" s="149"/>
      <c r="AV179" s="149"/>
      <c r="AW179" s="9"/>
      <c r="AX179" s="9"/>
      <c r="AY179" s="9"/>
      <c r="AZ179" s="9"/>
      <c r="BA179" s="9"/>
      <c r="BB179" s="9"/>
      <c r="BC179" s="9"/>
    </row>
    <row r="180" spans="2:55">
      <c r="B180" s="1689" t="s">
        <v>5000</v>
      </c>
      <c r="C180" s="1167"/>
      <c r="D180" s="1167"/>
      <c r="E180" s="1167"/>
      <c r="F180" s="1167"/>
      <c r="G180" s="1167"/>
      <c r="H180" s="1167"/>
      <c r="I180" s="1167"/>
      <c r="J180" s="1167"/>
      <c r="K180" s="1167"/>
      <c r="L180" s="1167"/>
      <c r="M180" s="1167"/>
      <c r="N180" s="1167"/>
      <c r="O180" s="1167"/>
      <c r="P180" s="1167"/>
      <c r="Q180" s="149"/>
      <c r="AJ180" s="149"/>
      <c r="AK180" s="149"/>
      <c r="AL180" s="149"/>
      <c r="AM180" s="149"/>
      <c r="AN180" s="149"/>
      <c r="AO180" s="149"/>
      <c r="AP180" s="149"/>
      <c r="AQ180" s="149"/>
      <c r="AR180" s="149"/>
      <c r="AS180" s="149"/>
      <c r="AT180" s="149"/>
      <c r="AU180" s="149"/>
      <c r="AV180" s="149"/>
      <c r="AW180" s="9"/>
      <c r="AX180" s="9"/>
      <c r="AY180" s="9"/>
      <c r="AZ180" s="9"/>
      <c r="BA180" s="9"/>
      <c r="BB180" s="9"/>
      <c r="BC180" s="9"/>
    </row>
    <row r="181" spans="2:55">
      <c r="B181" s="1167"/>
      <c r="C181" s="1167"/>
      <c r="D181" s="1167"/>
      <c r="E181" s="1167"/>
      <c r="F181" s="1167"/>
      <c r="G181" s="1167"/>
      <c r="H181" s="1167"/>
      <c r="I181" s="1167"/>
      <c r="J181" s="1167"/>
      <c r="K181" s="1167"/>
      <c r="L181" s="1167"/>
      <c r="M181" s="1167"/>
      <c r="N181" s="1167"/>
      <c r="O181" s="1167"/>
      <c r="P181" s="1167"/>
      <c r="Q181" s="149"/>
      <c r="AJ181" s="149"/>
      <c r="AK181" s="149"/>
      <c r="AL181" s="149"/>
      <c r="AM181" s="149"/>
      <c r="AN181" s="149"/>
      <c r="AO181" s="149"/>
      <c r="AP181" s="149"/>
      <c r="AQ181" s="149"/>
      <c r="AR181" s="149"/>
      <c r="AS181" s="149"/>
      <c r="AT181" s="149"/>
      <c r="AU181" s="149"/>
      <c r="AV181" s="149"/>
      <c r="AW181" s="9"/>
      <c r="AX181" s="9"/>
      <c r="AY181" s="9"/>
      <c r="AZ181" s="9"/>
      <c r="BA181" s="9"/>
      <c r="BB181" s="9"/>
      <c r="BC181" s="9"/>
    </row>
    <row r="182" spans="2:55">
      <c r="B182" s="1167" t="s">
        <v>5001</v>
      </c>
      <c r="C182" s="1167"/>
      <c r="D182" s="1167"/>
      <c r="E182" s="1167"/>
      <c r="F182" s="1167"/>
      <c r="G182" s="1167"/>
      <c r="H182" s="1167"/>
      <c r="I182" s="1167"/>
      <c r="J182" s="1167"/>
      <c r="K182" s="1167"/>
      <c r="L182" s="1167"/>
      <c r="M182" s="1167"/>
      <c r="N182" s="1167"/>
      <c r="O182" s="1167"/>
      <c r="P182" s="1167"/>
      <c r="Q182" s="149"/>
      <c r="AJ182" s="149"/>
      <c r="AK182" s="149"/>
      <c r="AL182" s="149"/>
      <c r="AM182" s="149"/>
      <c r="AN182" s="149"/>
      <c r="AO182" s="149"/>
      <c r="AP182" s="149"/>
      <c r="AQ182" s="149"/>
      <c r="AR182" s="149"/>
      <c r="AS182" s="149"/>
      <c r="AT182" s="149"/>
      <c r="AU182" s="149"/>
      <c r="AV182" s="149"/>
      <c r="AW182" s="9"/>
      <c r="AX182" s="9"/>
      <c r="AY182" s="9"/>
      <c r="AZ182" s="9"/>
      <c r="BA182" s="9"/>
      <c r="BB182" s="9"/>
      <c r="BC182" s="9"/>
    </row>
    <row r="183" spans="2:55">
      <c r="B183" s="1689" t="s">
        <v>5002</v>
      </c>
      <c r="C183" s="1167"/>
      <c r="D183" s="1167"/>
      <c r="E183" s="1167"/>
      <c r="F183" s="1167"/>
      <c r="G183" s="1167"/>
      <c r="H183" s="1167"/>
      <c r="I183" s="1167"/>
      <c r="J183" s="1167"/>
      <c r="K183" s="1167"/>
      <c r="L183" s="1167"/>
      <c r="M183" s="1167"/>
      <c r="N183" s="1167"/>
      <c r="O183" s="1167"/>
      <c r="P183" s="1167"/>
      <c r="Q183" s="149"/>
      <c r="AJ183" s="149"/>
      <c r="AK183" s="149"/>
      <c r="AL183" s="149"/>
      <c r="AM183" s="149"/>
      <c r="AN183" s="149"/>
      <c r="AO183" s="149"/>
      <c r="AP183" s="149"/>
      <c r="AQ183" s="149"/>
      <c r="AR183" s="149"/>
      <c r="AS183" s="149"/>
      <c r="AT183" s="149"/>
      <c r="AU183" s="149"/>
      <c r="AV183" s="149"/>
      <c r="AW183" s="9"/>
      <c r="AX183" s="9"/>
      <c r="AY183" s="9"/>
      <c r="AZ183" s="9"/>
      <c r="BA183" s="9"/>
      <c r="BB183" s="9"/>
      <c r="BC183" s="9"/>
    </row>
    <row r="184" spans="2:55">
      <c r="B184" s="1689"/>
      <c r="C184" s="1167"/>
      <c r="D184" s="1167"/>
      <c r="E184" s="1167"/>
      <c r="F184" s="1167"/>
      <c r="G184" s="1167"/>
      <c r="H184" s="1167"/>
      <c r="I184" s="1167"/>
      <c r="J184" s="1167"/>
      <c r="K184" s="1167"/>
      <c r="L184" s="1167"/>
      <c r="M184" s="1167"/>
      <c r="N184" s="1167"/>
      <c r="O184" s="1167"/>
      <c r="P184" s="1167"/>
      <c r="Q184" s="149"/>
      <c r="AJ184" s="149"/>
      <c r="AK184" s="149"/>
      <c r="AL184" s="149"/>
      <c r="AM184" s="149"/>
      <c r="AN184" s="149"/>
      <c r="AO184" s="149"/>
      <c r="AP184" s="149"/>
      <c r="AQ184" s="149"/>
      <c r="AR184" s="149"/>
      <c r="AS184" s="149"/>
      <c r="AT184" s="149"/>
      <c r="AU184" s="149"/>
      <c r="AV184" s="149"/>
      <c r="AW184" s="9"/>
      <c r="AX184" s="9"/>
      <c r="AY184" s="9"/>
      <c r="AZ184" s="9"/>
      <c r="BA184" s="9"/>
      <c r="BB184" s="9"/>
      <c r="BC184" s="9"/>
    </row>
    <row r="185" spans="2:55">
      <c r="B185" s="1689" t="s">
        <v>5003</v>
      </c>
      <c r="C185" s="1167"/>
      <c r="D185" s="1167"/>
      <c r="E185" s="1167"/>
      <c r="F185" s="1167"/>
      <c r="G185" s="1167"/>
      <c r="H185" s="1167"/>
      <c r="I185" s="1167"/>
      <c r="J185" s="1167"/>
      <c r="K185" s="1167"/>
      <c r="L185" s="1167"/>
      <c r="M185" s="1167"/>
      <c r="N185" s="1167"/>
      <c r="O185" s="1167"/>
      <c r="P185" s="1167"/>
      <c r="Q185" s="149"/>
      <c r="AJ185" s="149"/>
      <c r="AK185" s="149"/>
      <c r="AL185" s="149"/>
      <c r="AM185" s="149"/>
      <c r="AN185" s="149"/>
      <c r="AO185" s="149"/>
      <c r="AP185" s="149"/>
      <c r="AQ185" s="149"/>
      <c r="AR185" s="149"/>
      <c r="AS185" s="149"/>
      <c r="AT185" s="149"/>
      <c r="AU185" s="149"/>
      <c r="AV185" s="149"/>
      <c r="AW185" s="9"/>
      <c r="AX185" s="9"/>
      <c r="AY185" s="9"/>
      <c r="AZ185" s="9"/>
      <c r="BA185" s="9"/>
      <c r="BB185" s="9"/>
      <c r="BC185" s="9"/>
    </row>
    <row r="186" spans="2:55">
      <c r="B186" s="1167"/>
      <c r="C186" s="1167"/>
      <c r="D186" s="1167"/>
      <c r="E186" s="1167"/>
      <c r="F186" s="1167"/>
      <c r="G186" s="1167"/>
      <c r="H186" s="1167"/>
      <c r="I186" s="1167"/>
      <c r="J186" s="1167"/>
      <c r="K186" s="1167"/>
      <c r="L186" s="1167"/>
      <c r="M186" s="1167"/>
      <c r="N186" s="1167"/>
      <c r="O186" s="1167"/>
      <c r="P186" s="1167"/>
      <c r="Q186" s="149"/>
      <c r="AJ186" s="149"/>
      <c r="AK186" s="149"/>
      <c r="AL186" s="149"/>
      <c r="AM186" s="149"/>
      <c r="AN186" s="149"/>
      <c r="AO186" s="149"/>
      <c r="AP186" s="149"/>
      <c r="AQ186" s="149"/>
      <c r="AR186" s="149"/>
      <c r="AS186" s="149"/>
      <c r="AT186" s="149"/>
      <c r="AU186" s="149"/>
      <c r="AV186" s="149"/>
      <c r="AW186" s="9"/>
      <c r="AX186" s="9"/>
      <c r="AY186" s="9"/>
      <c r="AZ186" s="9"/>
      <c r="BA186" s="9"/>
      <c r="BB186" s="9"/>
      <c r="BC186" s="9"/>
    </row>
    <row r="187" spans="2:55">
      <c r="B187" s="1167"/>
      <c r="C187" s="1722" t="s">
        <v>4734</v>
      </c>
      <c r="D187" s="1722" t="s">
        <v>4708</v>
      </c>
      <c r="E187" s="1722" t="s">
        <v>1010</v>
      </c>
      <c r="F187" s="1167"/>
      <c r="G187" s="1167"/>
      <c r="H187" s="1167"/>
      <c r="I187" s="1167"/>
      <c r="J187" s="1167"/>
      <c r="K187" s="1167"/>
      <c r="L187" s="1167"/>
      <c r="M187" s="1167"/>
      <c r="N187" s="1167"/>
      <c r="O187" s="1167"/>
      <c r="P187" s="1167"/>
      <c r="Q187" s="149"/>
      <c r="AJ187" s="149"/>
      <c r="AK187" s="149"/>
      <c r="AL187" s="149"/>
      <c r="AM187" s="149"/>
      <c r="AN187" s="149"/>
      <c r="AO187" s="149"/>
      <c r="AP187" s="149"/>
      <c r="AQ187" s="149"/>
      <c r="AR187" s="149"/>
      <c r="AS187" s="149"/>
      <c r="AT187" s="149"/>
      <c r="AU187" s="149"/>
      <c r="AV187" s="149"/>
      <c r="AW187" s="9"/>
      <c r="AX187" s="9"/>
      <c r="AY187" s="9"/>
      <c r="AZ187" s="9"/>
      <c r="BA187" s="9"/>
      <c r="BB187" s="9"/>
      <c r="BC187" s="9"/>
    </row>
    <row r="188" spans="2:55" ht="16">
      <c r="B188" s="1167"/>
      <c r="C188" s="1734">
        <v>3</v>
      </c>
      <c r="D188" s="1735">
        <f>R188</f>
        <v>0</v>
      </c>
      <c r="E188" s="1044"/>
      <c r="F188" s="1167"/>
      <c r="G188" s="1167"/>
      <c r="H188" s="1167"/>
      <c r="I188" s="1167"/>
      <c r="J188" s="1167"/>
      <c r="K188" s="1167"/>
      <c r="L188" s="1167"/>
      <c r="M188" s="1167"/>
      <c r="N188" s="1167"/>
      <c r="O188" s="1167"/>
      <c r="P188" s="1167"/>
      <c r="Q188" s="149"/>
      <c r="R188" s="1533">
        <f>IF(R160, 3, 0)</f>
        <v>0</v>
      </c>
      <c r="AJ188" s="149"/>
      <c r="AK188" s="149"/>
      <c r="AL188" s="149"/>
      <c r="AM188" s="149"/>
      <c r="AN188" s="149"/>
      <c r="AO188" s="149"/>
      <c r="AP188" s="149"/>
      <c r="AQ188" s="149"/>
      <c r="AR188" s="149"/>
      <c r="AS188" s="149"/>
      <c r="AT188" s="149"/>
      <c r="AU188" s="149"/>
      <c r="AV188" s="149"/>
      <c r="AW188" s="9"/>
      <c r="AX188" s="9"/>
      <c r="AY188" s="9"/>
      <c r="AZ188" s="9"/>
      <c r="BA188" s="9"/>
      <c r="BB188" s="9"/>
      <c r="BC188" s="9"/>
    </row>
    <row r="189" spans="2:55">
      <c r="B189" s="1167"/>
      <c r="C189" s="1167"/>
      <c r="D189" s="1167"/>
      <c r="E189" s="1167"/>
      <c r="F189" s="1167"/>
      <c r="G189" s="1167"/>
      <c r="H189" s="1167"/>
      <c r="I189" s="1167"/>
      <c r="J189" s="1167"/>
      <c r="K189" s="1167"/>
      <c r="L189" s="1167"/>
      <c r="M189" s="1167"/>
      <c r="N189" s="1167"/>
      <c r="O189" s="1167"/>
      <c r="P189" s="1167"/>
      <c r="Q189" s="149"/>
      <c r="AJ189" s="149"/>
      <c r="AK189" s="149"/>
      <c r="AL189" s="149"/>
      <c r="AM189" s="149"/>
      <c r="AN189" s="149"/>
      <c r="AO189" s="149"/>
      <c r="AP189" s="149"/>
      <c r="AQ189" s="149"/>
      <c r="AR189" s="149"/>
      <c r="AS189" s="149"/>
      <c r="AT189" s="149"/>
      <c r="AU189" s="149"/>
      <c r="AV189" s="149"/>
      <c r="AW189" s="9"/>
      <c r="AX189" s="9"/>
      <c r="AY189" s="9"/>
      <c r="AZ189" s="9"/>
      <c r="BA189" s="9"/>
      <c r="BB189" s="9"/>
      <c r="BC189" s="9"/>
    </row>
    <row r="190" spans="2:55" ht="19">
      <c r="B190" s="8" t="s">
        <v>3364</v>
      </c>
      <c r="C190" s="3"/>
      <c r="D190" s="3"/>
      <c r="E190" s="3"/>
      <c r="F190" s="3"/>
      <c r="G190" s="3"/>
      <c r="H190" s="3"/>
      <c r="I190" s="3"/>
      <c r="J190" s="8" t="s">
        <v>3372</v>
      </c>
      <c r="K190" s="3"/>
      <c r="L190" s="3"/>
      <c r="M190" s="3"/>
      <c r="N190" s="3"/>
      <c r="O190" s="3"/>
      <c r="P190" s="3"/>
      <c r="Q190" s="149"/>
      <c r="AJ190" s="149"/>
      <c r="AK190" s="149"/>
      <c r="AL190" s="149"/>
      <c r="AM190" s="149"/>
      <c r="AN190" s="149"/>
      <c r="AO190" s="149"/>
      <c r="AP190" s="149"/>
      <c r="AQ190" s="149"/>
      <c r="AR190" s="149"/>
      <c r="AS190" s="149"/>
      <c r="AT190" s="149"/>
      <c r="AU190" s="149"/>
      <c r="AV190" s="149"/>
      <c r="AW190" s="9"/>
      <c r="AX190" s="9"/>
      <c r="AY190" s="9"/>
      <c r="AZ190" s="9"/>
      <c r="BA190" s="9"/>
      <c r="BB190" s="9"/>
      <c r="BC190" s="9"/>
    </row>
    <row r="191" spans="2:55">
      <c r="B191" s="1170" t="s">
        <v>4538</v>
      </c>
      <c r="C191" s="1167"/>
      <c r="D191" s="1167"/>
      <c r="E191" s="1167"/>
      <c r="F191" s="1167"/>
      <c r="G191" s="1167"/>
      <c r="H191" s="1167"/>
      <c r="I191" s="1167"/>
      <c r="J191" s="1172" t="s">
        <v>4434</v>
      </c>
      <c r="K191" s="1167"/>
      <c r="L191" s="1167"/>
      <c r="M191" s="1167"/>
      <c r="N191" s="1167"/>
      <c r="O191" s="1167"/>
      <c r="P191" s="1167"/>
      <c r="Q191" s="149"/>
      <c r="AJ191" s="149"/>
      <c r="AK191" s="149"/>
      <c r="AL191" s="149"/>
      <c r="AM191" s="149"/>
      <c r="AN191" s="149"/>
      <c r="AO191" s="149"/>
      <c r="AP191" s="149"/>
      <c r="AQ191" s="149"/>
      <c r="AR191" s="149"/>
      <c r="AS191" s="149"/>
      <c r="AT191" s="149"/>
      <c r="AU191" s="149"/>
      <c r="AV191" s="149"/>
      <c r="AW191" s="9"/>
      <c r="AX191" s="9"/>
      <c r="AY191" s="9"/>
      <c r="AZ191" s="9"/>
      <c r="BA191" s="9"/>
      <c r="BB191" s="9"/>
      <c r="BC191" s="9"/>
    </row>
    <row r="192" spans="2:55">
      <c r="B192" s="1167"/>
      <c r="C192" s="1957"/>
      <c r="D192" s="1958"/>
      <c r="E192" s="1958"/>
      <c r="F192" s="1958"/>
      <c r="G192" s="1958"/>
      <c r="H192" s="1959"/>
      <c r="I192" s="1167"/>
      <c r="J192" s="1957"/>
      <c r="K192" s="1958"/>
      <c r="L192" s="1958"/>
      <c r="M192" s="1958"/>
      <c r="N192" s="1958"/>
      <c r="O192" s="1959"/>
      <c r="P192" s="1167"/>
      <c r="Q192" s="149"/>
      <c r="AJ192" s="149"/>
      <c r="AK192" s="149"/>
      <c r="AL192" s="149"/>
      <c r="AM192" s="149"/>
      <c r="AN192" s="149"/>
      <c r="AO192" s="149"/>
      <c r="AP192" s="149"/>
      <c r="AQ192" s="149"/>
      <c r="AR192" s="149"/>
      <c r="AS192" s="149"/>
      <c r="AT192" s="149"/>
      <c r="AU192" s="149"/>
      <c r="AV192" s="149"/>
      <c r="AW192" s="9"/>
      <c r="AX192" s="9"/>
      <c r="AY192" s="9"/>
      <c r="AZ192" s="9"/>
      <c r="BA192" s="9"/>
      <c r="BB192" s="9"/>
      <c r="BC192" s="9"/>
    </row>
    <row r="193" spans="1:129">
      <c r="B193" s="1167"/>
      <c r="C193" s="1960"/>
      <c r="D193" s="1961"/>
      <c r="E193" s="1961"/>
      <c r="F193" s="1961"/>
      <c r="G193" s="1961"/>
      <c r="H193" s="1962"/>
      <c r="I193" s="1167"/>
      <c r="J193" s="1960"/>
      <c r="K193" s="1961"/>
      <c r="L193" s="1961"/>
      <c r="M193" s="1961"/>
      <c r="N193" s="1961"/>
      <c r="O193" s="1962"/>
      <c r="P193" s="1167"/>
      <c r="Q193" s="149"/>
      <c r="AJ193" s="149"/>
      <c r="AK193" s="149"/>
      <c r="AL193" s="149"/>
      <c r="AM193" s="149"/>
      <c r="AN193" s="149"/>
      <c r="AO193" s="149"/>
      <c r="AP193" s="149"/>
      <c r="AQ193" s="149"/>
      <c r="AR193" s="149"/>
      <c r="AS193" s="149"/>
      <c r="AT193" s="149"/>
      <c r="AU193" s="149"/>
      <c r="AV193" s="149"/>
      <c r="AW193" s="9"/>
      <c r="AX193" s="9"/>
      <c r="AY193" s="9"/>
      <c r="AZ193" s="9"/>
      <c r="BA193" s="9"/>
      <c r="BB193" s="9"/>
      <c r="BC193" s="9"/>
    </row>
    <row r="194" spans="1:129">
      <c r="B194" s="1167"/>
      <c r="C194" s="1960"/>
      <c r="D194" s="1961"/>
      <c r="E194" s="1961"/>
      <c r="F194" s="1961"/>
      <c r="G194" s="1961"/>
      <c r="H194" s="1962"/>
      <c r="I194" s="1167"/>
      <c r="J194" s="1960"/>
      <c r="K194" s="1961"/>
      <c r="L194" s="1961"/>
      <c r="M194" s="1961"/>
      <c r="N194" s="1961"/>
      <c r="O194" s="1962"/>
      <c r="P194" s="1167"/>
      <c r="Q194" s="149"/>
      <c r="AJ194" s="149"/>
      <c r="AK194" s="149"/>
      <c r="AL194" s="149"/>
      <c r="AM194" s="149"/>
      <c r="AN194" s="149"/>
      <c r="AO194" s="149"/>
      <c r="AP194" s="149"/>
      <c r="AQ194" s="149"/>
      <c r="AR194" s="149"/>
      <c r="AS194" s="149"/>
      <c r="AT194" s="149"/>
      <c r="AU194" s="149"/>
      <c r="AV194" s="149"/>
      <c r="AW194" s="9"/>
      <c r="AX194" s="9"/>
      <c r="AY194" s="9"/>
      <c r="AZ194" s="9"/>
      <c r="BA194" s="9"/>
      <c r="BB194" s="9"/>
      <c r="BC194" s="9"/>
    </row>
    <row r="195" spans="1:129">
      <c r="B195" s="1167"/>
      <c r="C195" s="1960"/>
      <c r="D195" s="1961"/>
      <c r="E195" s="1961"/>
      <c r="F195" s="1961"/>
      <c r="G195" s="1961"/>
      <c r="H195" s="1962"/>
      <c r="I195" s="1167"/>
      <c r="J195" s="1960"/>
      <c r="K195" s="1961"/>
      <c r="L195" s="1961"/>
      <c r="M195" s="1961"/>
      <c r="N195" s="1961"/>
      <c r="O195" s="1962"/>
      <c r="P195" s="1167"/>
      <c r="Q195" s="149"/>
      <c r="AJ195" s="149"/>
      <c r="AK195" s="149"/>
      <c r="AL195" s="149"/>
      <c r="AM195" s="149"/>
      <c r="AN195" s="149"/>
      <c r="AO195" s="149"/>
      <c r="AP195" s="149"/>
      <c r="AQ195" s="149"/>
      <c r="AR195" s="149"/>
      <c r="AS195" s="149"/>
      <c r="AT195" s="149"/>
      <c r="AU195" s="149"/>
      <c r="AV195" s="149"/>
      <c r="AW195" s="9"/>
      <c r="AX195" s="9"/>
      <c r="AY195" s="9"/>
      <c r="AZ195" s="9"/>
      <c r="BA195" s="9"/>
      <c r="BB195" s="9"/>
      <c r="BC195" s="9"/>
    </row>
    <row r="196" spans="1:129">
      <c r="B196" s="1167"/>
      <c r="C196" s="1960"/>
      <c r="D196" s="1961"/>
      <c r="E196" s="1961"/>
      <c r="F196" s="1961"/>
      <c r="G196" s="1961"/>
      <c r="H196" s="1962"/>
      <c r="I196" s="1167"/>
      <c r="J196" s="1960"/>
      <c r="K196" s="1961"/>
      <c r="L196" s="1961"/>
      <c r="M196" s="1961"/>
      <c r="N196" s="1961"/>
      <c r="O196" s="1962"/>
      <c r="P196" s="1167"/>
      <c r="Q196" s="149"/>
      <c r="AJ196" s="149"/>
      <c r="AK196" s="149"/>
      <c r="AL196" s="149"/>
      <c r="AM196" s="149"/>
      <c r="AN196" s="149"/>
      <c r="AO196" s="149"/>
      <c r="AP196" s="149"/>
      <c r="AQ196" s="149"/>
      <c r="AR196" s="149"/>
      <c r="AS196" s="149"/>
      <c r="AT196" s="149"/>
      <c r="AU196" s="149"/>
      <c r="AV196" s="149"/>
      <c r="AW196" s="9"/>
      <c r="AX196" s="9"/>
      <c r="AY196" s="9"/>
      <c r="AZ196" s="9"/>
      <c r="BA196" s="9"/>
      <c r="BB196" s="9"/>
      <c r="BC196" s="9"/>
    </row>
    <row r="197" spans="1:129">
      <c r="B197" s="1167"/>
      <c r="C197" s="1960"/>
      <c r="D197" s="1961"/>
      <c r="E197" s="1961"/>
      <c r="F197" s="1961"/>
      <c r="G197" s="1961"/>
      <c r="H197" s="1962"/>
      <c r="I197" s="1167"/>
      <c r="J197" s="1960"/>
      <c r="K197" s="1961"/>
      <c r="L197" s="1961"/>
      <c r="M197" s="1961"/>
      <c r="N197" s="1961"/>
      <c r="O197" s="1962"/>
      <c r="P197" s="1167"/>
      <c r="Q197" s="149"/>
      <c r="AJ197" s="149"/>
      <c r="AK197" s="149"/>
      <c r="AL197" s="149"/>
      <c r="AM197" s="149"/>
      <c r="AN197" s="149"/>
      <c r="AO197" s="149"/>
      <c r="AP197" s="149"/>
      <c r="AQ197" s="149"/>
      <c r="AR197" s="149"/>
      <c r="AS197" s="149"/>
      <c r="AT197" s="149"/>
      <c r="AU197" s="149"/>
      <c r="AV197" s="149"/>
      <c r="AW197" s="9"/>
      <c r="AX197" s="9"/>
      <c r="AY197" s="9"/>
      <c r="AZ197" s="9"/>
      <c r="BA197" s="9"/>
      <c r="BB197" s="9"/>
      <c r="BC197" s="9"/>
    </row>
    <row r="198" spans="1:129">
      <c r="B198" s="1167"/>
      <c r="C198" s="1960"/>
      <c r="D198" s="1961"/>
      <c r="E198" s="1961"/>
      <c r="F198" s="1961"/>
      <c r="G198" s="1961"/>
      <c r="H198" s="1962"/>
      <c r="I198" s="1167"/>
      <c r="J198" s="1960"/>
      <c r="K198" s="1961"/>
      <c r="L198" s="1961"/>
      <c r="M198" s="1961"/>
      <c r="N198" s="1961"/>
      <c r="O198" s="1962"/>
      <c r="P198" s="1167"/>
      <c r="Q198" s="149"/>
      <c r="AJ198" s="149"/>
      <c r="AK198" s="149"/>
      <c r="AL198" s="149"/>
      <c r="AM198" s="149"/>
      <c r="AN198" s="149"/>
      <c r="AO198" s="149"/>
      <c r="AP198" s="149"/>
      <c r="AQ198" s="149"/>
      <c r="AR198" s="149"/>
      <c r="AS198" s="149"/>
      <c r="AT198" s="149"/>
      <c r="AU198" s="149"/>
      <c r="AV198" s="149"/>
      <c r="AW198" s="9"/>
      <c r="AX198" s="9"/>
      <c r="AY198" s="9"/>
      <c r="AZ198" s="9"/>
      <c r="BA198" s="9"/>
      <c r="BB198" s="9"/>
      <c r="BC198" s="9"/>
    </row>
    <row r="199" spans="1:129">
      <c r="B199" s="1167"/>
      <c r="C199" s="1960"/>
      <c r="D199" s="1961"/>
      <c r="E199" s="1961"/>
      <c r="F199" s="1961"/>
      <c r="G199" s="1961"/>
      <c r="H199" s="1962"/>
      <c r="I199" s="1167"/>
      <c r="J199" s="1960"/>
      <c r="K199" s="1961"/>
      <c r="L199" s="1961"/>
      <c r="M199" s="1961"/>
      <c r="N199" s="1961"/>
      <c r="O199" s="1962"/>
      <c r="P199" s="1167"/>
      <c r="Q199" s="149"/>
      <c r="AJ199" s="149"/>
      <c r="AK199" s="149"/>
      <c r="AL199" s="149"/>
      <c r="AM199" s="149"/>
      <c r="AN199" s="149"/>
      <c r="AO199" s="149"/>
      <c r="AP199" s="149"/>
      <c r="AQ199" s="149"/>
      <c r="AR199" s="149"/>
      <c r="AS199" s="149"/>
      <c r="AT199" s="149"/>
      <c r="AU199" s="149"/>
      <c r="AV199" s="149"/>
      <c r="AW199" s="9"/>
      <c r="AX199" s="9"/>
      <c r="AY199" s="9"/>
      <c r="AZ199" s="9"/>
      <c r="BA199" s="9"/>
      <c r="BB199" s="9"/>
      <c r="BC199" s="9"/>
    </row>
    <row r="200" spans="1:129">
      <c r="B200" s="1167"/>
      <c r="C200" s="1960"/>
      <c r="D200" s="1961"/>
      <c r="E200" s="1961"/>
      <c r="F200" s="1961"/>
      <c r="G200" s="1961"/>
      <c r="H200" s="1962"/>
      <c r="I200" s="1167"/>
      <c r="J200" s="1963"/>
      <c r="K200" s="1964"/>
      <c r="L200" s="1964"/>
      <c r="M200" s="1964"/>
      <c r="N200" s="1964"/>
      <c r="O200" s="1965"/>
      <c r="P200" s="1167"/>
      <c r="Q200" s="149"/>
      <c r="AJ200" s="149"/>
      <c r="AK200" s="149"/>
      <c r="AL200" s="149"/>
      <c r="AM200" s="149"/>
      <c r="AN200" s="149"/>
      <c r="AO200" s="149"/>
      <c r="AP200" s="149"/>
      <c r="AQ200" s="149"/>
      <c r="AR200" s="149"/>
      <c r="AS200" s="149"/>
      <c r="AT200" s="149"/>
      <c r="AU200" s="149"/>
      <c r="AV200" s="149"/>
      <c r="AW200" s="9"/>
      <c r="AX200" s="9"/>
      <c r="AY200" s="9"/>
      <c r="AZ200" s="9"/>
      <c r="BA200" s="9"/>
      <c r="BB200" s="9"/>
      <c r="BC200" s="9"/>
    </row>
    <row r="201" spans="1:129">
      <c r="B201" s="1167"/>
      <c r="C201" s="1960"/>
      <c r="D201" s="1961"/>
      <c r="E201" s="1961"/>
      <c r="F201" s="1961"/>
      <c r="G201" s="1961"/>
      <c r="H201" s="1962"/>
      <c r="I201" s="1167"/>
      <c r="J201" s="1733" t="s">
        <v>4766</v>
      </c>
      <c r="K201" s="1167"/>
      <c r="L201" s="1167"/>
      <c r="M201" s="1167"/>
      <c r="N201" s="1167"/>
      <c r="O201" s="1167"/>
      <c r="P201" s="1167"/>
      <c r="Q201" s="149"/>
      <c r="AJ201" s="149"/>
      <c r="AK201" s="149"/>
      <c r="AL201" s="149"/>
      <c r="AM201" s="149"/>
      <c r="AN201" s="149"/>
      <c r="AO201" s="149"/>
      <c r="AP201" s="149"/>
      <c r="AQ201" s="149"/>
      <c r="AR201" s="149"/>
      <c r="AS201" s="149"/>
      <c r="AT201" s="149"/>
      <c r="AU201" s="149"/>
      <c r="AV201" s="149"/>
      <c r="AW201" s="9"/>
      <c r="AX201" s="9"/>
      <c r="AY201" s="9"/>
      <c r="AZ201" s="9"/>
      <c r="BA201" s="9"/>
      <c r="BB201" s="9"/>
      <c r="BC201" s="9"/>
    </row>
    <row r="202" spans="1:129">
      <c r="B202" s="1167"/>
      <c r="C202" s="1963"/>
      <c r="D202" s="1964"/>
      <c r="E202" s="1964"/>
      <c r="F202" s="1964"/>
      <c r="G202" s="1964"/>
      <c r="H202" s="1965"/>
      <c r="I202" s="1167"/>
      <c r="J202" s="2489"/>
      <c r="K202" s="2489"/>
      <c r="L202" s="2489"/>
      <c r="M202" s="2489"/>
      <c r="N202" s="2489"/>
      <c r="O202" s="2489"/>
      <c r="P202" s="1167"/>
      <c r="Q202" s="149"/>
      <c r="AJ202" s="149"/>
      <c r="AK202" s="149"/>
      <c r="AL202" s="149"/>
      <c r="AM202" s="149"/>
      <c r="AN202" s="149"/>
      <c r="AO202" s="149"/>
      <c r="AP202" s="149"/>
      <c r="AQ202" s="149"/>
      <c r="AR202" s="149"/>
      <c r="AS202" s="149"/>
      <c r="AT202" s="149"/>
      <c r="AU202" s="149"/>
      <c r="AV202" s="149"/>
      <c r="AW202" s="9"/>
      <c r="AX202" s="9"/>
      <c r="AY202" s="9"/>
      <c r="AZ202" s="9"/>
      <c r="BA202" s="9"/>
      <c r="BB202" s="9"/>
      <c r="BC202" s="9"/>
    </row>
    <row r="203" spans="1:129">
      <c r="B203" s="1167"/>
      <c r="C203" s="1167"/>
      <c r="D203" s="1167"/>
      <c r="E203" s="1167"/>
      <c r="F203" s="1167"/>
      <c r="G203" s="1167"/>
      <c r="H203" s="1167"/>
      <c r="I203" s="1167"/>
      <c r="J203" s="1167"/>
      <c r="K203" s="1167"/>
      <c r="L203" s="1167"/>
      <c r="M203" s="1167"/>
      <c r="N203" s="1167"/>
      <c r="O203" s="1167"/>
      <c r="P203" s="1167"/>
      <c r="Q203" s="149"/>
      <c r="AJ203" s="149"/>
      <c r="AK203" s="149"/>
      <c r="AL203" s="149"/>
      <c r="AM203" s="149"/>
      <c r="AN203" s="149"/>
      <c r="AO203" s="149"/>
      <c r="AP203" s="149"/>
      <c r="AQ203" s="149"/>
      <c r="AR203" s="149"/>
      <c r="AS203" s="149"/>
      <c r="AT203" s="149"/>
      <c r="AU203" s="149"/>
      <c r="AV203" s="149"/>
      <c r="AW203" s="9"/>
      <c r="AX203" s="9"/>
      <c r="AY203" s="9"/>
      <c r="AZ203" s="9"/>
      <c r="BA203" s="9"/>
      <c r="BB203" s="9"/>
      <c r="BC203" s="9"/>
    </row>
    <row r="204" spans="1:129" ht="21">
      <c r="A204" s="998"/>
      <c r="B204" s="977" t="s">
        <v>4723</v>
      </c>
      <c r="C204" s="3"/>
      <c r="D204" s="3"/>
      <c r="E204" s="3"/>
      <c r="F204" s="3"/>
      <c r="G204" s="3"/>
      <c r="H204" s="3"/>
      <c r="I204" s="3"/>
      <c r="J204" s="3"/>
      <c r="K204" s="3"/>
      <c r="L204" s="3"/>
      <c r="M204" s="3"/>
      <c r="N204" s="3"/>
      <c r="O204" s="3"/>
      <c r="P204" s="3"/>
      <c r="Q204" s="14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row>
    <row r="205" spans="1:129">
      <c r="B205" s="1914" t="s">
        <v>5004</v>
      </c>
      <c r="C205" s="1914"/>
      <c r="D205" s="1914"/>
      <c r="E205" s="1914"/>
      <c r="F205" s="1914"/>
      <c r="G205" s="1914"/>
      <c r="H205" s="1914"/>
      <c r="I205" s="1914"/>
      <c r="J205" s="1914"/>
      <c r="K205" s="1914"/>
      <c r="L205" s="1914"/>
      <c r="M205" s="1914"/>
      <c r="N205" s="1914"/>
      <c r="O205" s="1914"/>
      <c r="P205" s="1411"/>
      <c r="Q205" s="149"/>
      <c r="R205" s="1533" t="b">
        <f>+IF(Is_project_in_a_Qualified_Census_Tract?="Yes",TRUE,FALSE)</f>
        <v>0</v>
      </c>
      <c r="AJ205" s="149"/>
      <c r="AK205" s="149"/>
      <c r="AL205" s="149"/>
      <c r="AM205" s="149"/>
      <c r="AN205" s="149"/>
      <c r="AO205" s="149"/>
      <c r="AP205" s="149"/>
      <c r="AQ205" s="149"/>
      <c r="AR205" s="149"/>
      <c r="AS205" s="149"/>
      <c r="AT205" s="149"/>
      <c r="AU205" s="149"/>
      <c r="AV205" s="149"/>
      <c r="AW205" s="149"/>
      <c r="AX205" s="149"/>
      <c r="AY205" s="14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row>
    <row r="206" spans="1:129" ht="15" customHeight="1">
      <c r="B206" s="1914"/>
      <c r="C206" s="1914"/>
      <c r="D206" s="1914"/>
      <c r="E206" s="1914"/>
      <c r="F206" s="1914"/>
      <c r="G206" s="1914"/>
      <c r="H206" s="1914"/>
      <c r="I206" s="1914"/>
      <c r="J206" s="1914"/>
      <c r="K206" s="1914"/>
      <c r="L206" s="1914"/>
      <c r="M206" s="1914"/>
      <c r="N206" s="1914"/>
      <c r="O206" s="1914"/>
      <c r="P206" s="1412"/>
      <c r="Q206" s="149"/>
      <c r="AJ206" s="149"/>
      <c r="AK206" s="149"/>
      <c r="AL206" s="149"/>
      <c r="AM206" s="149"/>
      <c r="AN206" s="149"/>
      <c r="AO206" s="149"/>
      <c r="AP206" s="149"/>
      <c r="AQ206" s="149"/>
      <c r="AR206" s="149"/>
      <c r="AS206" s="149"/>
      <c r="AT206" s="149"/>
      <c r="AU206" s="149"/>
      <c r="AV206" s="149"/>
      <c r="AW206" s="149"/>
      <c r="AX206" s="149"/>
      <c r="AY206" s="14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row>
    <row r="207" spans="1:129">
      <c r="B207" s="1739" t="s">
        <v>5005</v>
      </c>
      <c r="C207" s="1413"/>
      <c r="D207" s="1413"/>
      <c r="E207" s="1413"/>
      <c r="F207" s="1413"/>
      <c r="G207" s="1413"/>
      <c r="H207" s="1413"/>
      <c r="I207" s="1413"/>
      <c r="J207" s="1413"/>
      <c r="K207" s="1413"/>
      <c r="L207" s="1413"/>
      <c r="M207" s="1413"/>
      <c r="N207" s="1413"/>
      <c r="O207" s="1413"/>
      <c r="P207" s="1413"/>
      <c r="Q207" s="149"/>
      <c r="R207" s="1533" t="b">
        <f>IF('10. Project and Unit Amenities'!D19="Yes",TRUE,FALSE)</f>
        <v>0</v>
      </c>
      <c r="AJ207" s="149"/>
      <c r="AK207" s="149"/>
      <c r="AL207" s="149"/>
      <c r="AM207" s="149"/>
      <c r="AN207" s="149"/>
      <c r="AO207" s="149"/>
      <c r="AP207" s="149"/>
      <c r="AQ207" s="149"/>
      <c r="AR207" s="149"/>
      <c r="AS207" s="149"/>
      <c r="AT207" s="149"/>
      <c r="AU207" s="149"/>
      <c r="AV207" s="149"/>
      <c r="AW207" s="149"/>
      <c r="AX207" s="149"/>
      <c r="AY207" s="14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row>
    <row r="208" spans="1:129" ht="15" customHeight="1">
      <c r="B208" s="1167" t="s">
        <v>5006</v>
      </c>
      <c r="C208" s="1414"/>
      <c r="D208" s="1414"/>
      <c r="E208" s="1414"/>
      <c r="F208" s="1414"/>
      <c r="G208" s="1414"/>
      <c r="H208" s="1414"/>
      <c r="I208" s="1414"/>
      <c r="J208" s="1414"/>
      <c r="K208" s="1414"/>
      <c r="L208" s="1414"/>
      <c r="M208" s="1414"/>
      <c r="N208" s="1414"/>
      <c r="O208" s="1414"/>
      <c r="P208" s="1414"/>
      <c r="Q208" s="149"/>
      <c r="AJ208" s="149"/>
      <c r="AK208" s="149"/>
      <c r="AL208" s="149"/>
      <c r="AM208" s="149"/>
      <c r="AN208" s="149"/>
      <c r="AO208" s="149"/>
      <c r="AP208" s="149"/>
      <c r="AQ208" s="149"/>
      <c r="AR208" s="149"/>
      <c r="AS208" s="149"/>
      <c r="AT208" s="149"/>
      <c r="AU208" s="149"/>
      <c r="AV208" s="149"/>
      <c r="AW208" s="149"/>
      <c r="AX208" s="149"/>
      <c r="AY208" s="14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row>
    <row r="209" spans="2:129">
      <c r="B209" s="2245" t="s">
        <v>5007</v>
      </c>
      <c r="C209" s="2245"/>
      <c r="D209" s="2245"/>
      <c r="E209" s="2245"/>
      <c r="F209" s="2245"/>
      <c r="G209" s="2245"/>
      <c r="H209" s="2245"/>
      <c r="I209" s="2245"/>
      <c r="J209" s="2245"/>
      <c r="K209" s="2245"/>
      <c r="L209" s="2245"/>
      <c r="M209" s="2245"/>
      <c r="N209" s="2245"/>
      <c r="O209" s="2245"/>
      <c r="P209" s="1739"/>
      <c r="Q209" s="149"/>
      <c r="AJ209" s="149"/>
      <c r="AK209" s="149"/>
      <c r="AL209" s="149"/>
      <c r="AM209" s="149"/>
      <c r="AN209" s="149"/>
      <c r="AO209" s="149"/>
      <c r="AP209" s="149"/>
      <c r="AQ209" s="149"/>
      <c r="AR209" s="149"/>
      <c r="AS209" s="149"/>
      <c r="AT209" s="149"/>
      <c r="AU209" s="149"/>
      <c r="AV209" s="149"/>
      <c r="AW209" s="149"/>
      <c r="AX209" s="149"/>
      <c r="AY209" s="14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row>
    <row r="210" spans="2:129" ht="15" customHeight="1">
      <c r="B210" s="2245"/>
      <c r="C210" s="2245"/>
      <c r="D210" s="2245"/>
      <c r="E210" s="2245"/>
      <c r="F210" s="2245"/>
      <c r="G210" s="2245"/>
      <c r="H210" s="2245"/>
      <c r="I210" s="2245"/>
      <c r="J210" s="2245"/>
      <c r="K210" s="2245"/>
      <c r="L210" s="2245"/>
      <c r="M210" s="2245"/>
      <c r="N210" s="2245"/>
      <c r="O210" s="2245"/>
      <c r="P210" s="1412"/>
      <c r="Q210" s="149"/>
      <c r="AJ210" s="149"/>
      <c r="AK210" s="149"/>
      <c r="AL210" s="149"/>
      <c r="AM210" s="149"/>
      <c r="AN210" s="149"/>
      <c r="AO210" s="149"/>
      <c r="AP210" s="149"/>
      <c r="AQ210" s="149"/>
      <c r="AR210" s="149"/>
      <c r="AS210" s="149"/>
      <c r="AT210" s="149"/>
      <c r="AU210" s="149"/>
      <c r="AV210" s="149"/>
      <c r="AW210" s="149"/>
      <c r="AX210" s="149"/>
      <c r="AY210" s="14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row>
    <row r="211" spans="2:129">
      <c r="B211" s="2245"/>
      <c r="C211" s="2245"/>
      <c r="D211" s="2245"/>
      <c r="E211" s="2245"/>
      <c r="F211" s="2245"/>
      <c r="G211" s="2245"/>
      <c r="H211" s="2245"/>
      <c r="I211" s="2245"/>
      <c r="J211" s="2245"/>
      <c r="K211" s="2245"/>
      <c r="L211" s="2245"/>
      <c r="M211" s="2245"/>
      <c r="N211" s="2245"/>
      <c r="O211" s="2245"/>
      <c r="P211" s="1167"/>
      <c r="Q211" s="149"/>
      <c r="AJ211" s="149"/>
      <c r="AK211" s="149"/>
      <c r="AL211" s="149"/>
      <c r="AM211" s="149"/>
      <c r="AN211" s="149"/>
      <c r="AO211" s="149"/>
      <c r="AP211" s="149"/>
      <c r="AQ211" s="149"/>
      <c r="AR211" s="149"/>
      <c r="AS211" s="149"/>
      <c r="AT211" s="149"/>
      <c r="AU211" s="149"/>
      <c r="AV211" s="149"/>
      <c r="AW211" s="149"/>
      <c r="AX211" s="149"/>
      <c r="AY211" s="14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row>
    <row r="212" spans="2:129">
      <c r="B212" s="1167" t="s">
        <v>5008</v>
      </c>
      <c r="C212" s="1167"/>
      <c r="D212" s="1167"/>
      <c r="E212" s="1167"/>
      <c r="F212" s="1167"/>
      <c r="G212" s="1167"/>
      <c r="H212" s="1167"/>
      <c r="I212" s="1167"/>
      <c r="J212" s="1167"/>
      <c r="K212" s="1167"/>
      <c r="L212" s="1167"/>
      <c r="M212" s="1167"/>
      <c r="N212" s="1167"/>
      <c r="O212" s="1167"/>
      <c r="P212" s="1167"/>
      <c r="Q212" s="149"/>
      <c r="AJ212" s="149"/>
      <c r="AK212" s="149"/>
      <c r="AL212" s="149"/>
      <c r="AM212" s="149"/>
      <c r="AN212" s="149"/>
      <c r="AO212" s="149"/>
      <c r="AP212" s="149"/>
      <c r="AQ212" s="149"/>
      <c r="AR212" s="149"/>
      <c r="AS212" s="149"/>
      <c r="AT212" s="149"/>
      <c r="AU212" s="149"/>
      <c r="AV212" s="149"/>
      <c r="AW212" s="149"/>
      <c r="AX212" s="149"/>
      <c r="AY212" s="14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row>
    <row r="213" spans="2:129">
      <c r="B213" s="1167" t="s">
        <v>5009</v>
      </c>
      <c r="C213" s="1167"/>
      <c r="D213" s="1167"/>
      <c r="E213" s="1167"/>
      <c r="F213" s="1167"/>
      <c r="G213" s="1167"/>
      <c r="H213" s="1167"/>
      <c r="I213" s="1167"/>
      <c r="J213" s="1167"/>
      <c r="K213" s="1167"/>
      <c r="L213" s="1167"/>
      <c r="M213" s="1167"/>
      <c r="N213" s="1167"/>
      <c r="O213" s="1167"/>
      <c r="P213" s="1167"/>
      <c r="Q213" s="149"/>
      <c r="AJ213" s="149"/>
      <c r="AK213" s="149"/>
      <c r="AL213" s="149"/>
      <c r="AM213" s="149"/>
      <c r="AN213" s="149"/>
      <c r="AO213" s="149"/>
      <c r="AP213" s="149"/>
      <c r="AQ213" s="149"/>
      <c r="AR213" s="149"/>
      <c r="AS213" s="149"/>
      <c r="AT213" s="149"/>
      <c r="AU213" s="149"/>
      <c r="AV213" s="149"/>
      <c r="AW213" s="149"/>
      <c r="AX213" s="149"/>
      <c r="AY213" s="14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row>
    <row r="214" spans="2:129">
      <c r="B214" s="1167" t="s">
        <v>5010</v>
      </c>
      <c r="C214" s="1167"/>
      <c r="D214" s="1167"/>
      <c r="E214" s="1167"/>
      <c r="F214" s="1167"/>
      <c r="G214" s="1167"/>
      <c r="H214" s="1167"/>
      <c r="I214" s="1167"/>
      <c r="J214" s="1167"/>
      <c r="K214" s="1167"/>
      <c r="L214" s="1167"/>
      <c r="M214" s="1167"/>
      <c r="N214" s="1167"/>
      <c r="O214" s="1167"/>
      <c r="P214" s="1167"/>
      <c r="Q214" s="149"/>
      <c r="AJ214" s="149"/>
      <c r="AK214" s="149"/>
      <c r="AL214" s="149"/>
      <c r="AM214" s="149"/>
      <c r="AN214" s="149"/>
      <c r="AO214" s="149"/>
      <c r="AP214" s="149"/>
      <c r="AQ214" s="149"/>
      <c r="AR214" s="149"/>
      <c r="AS214" s="149"/>
      <c r="AT214" s="149"/>
      <c r="AU214" s="149"/>
      <c r="AV214" s="149"/>
      <c r="AW214" s="149"/>
      <c r="AX214" s="149"/>
      <c r="AY214" s="14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row>
    <row r="215" spans="2:129">
      <c r="B215" s="2245" t="s">
        <v>5011</v>
      </c>
      <c r="C215" s="2245"/>
      <c r="D215" s="2245"/>
      <c r="E215" s="2245"/>
      <c r="F215" s="2245"/>
      <c r="G215" s="2245"/>
      <c r="H215" s="2245"/>
      <c r="I215" s="2245"/>
      <c r="J215" s="2245"/>
      <c r="K215" s="2245"/>
      <c r="L215" s="2245"/>
      <c r="M215" s="2245"/>
      <c r="N215" s="2245"/>
      <c r="O215" s="2245"/>
      <c r="P215" s="1167"/>
      <c r="Q215" s="149"/>
      <c r="AJ215" s="149"/>
      <c r="AK215" s="149"/>
      <c r="AL215" s="149"/>
      <c r="AM215" s="149"/>
      <c r="AN215" s="149"/>
      <c r="AO215" s="149"/>
      <c r="AP215" s="149"/>
      <c r="AQ215" s="149"/>
      <c r="AR215" s="149"/>
      <c r="AS215" s="149"/>
      <c r="AT215" s="149"/>
      <c r="AU215" s="149"/>
      <c r="AV215" s="149"/>
      <c r="AW215" s="149"/>
      <c r="AX215" s="149"/>
      <c r="AY215" s="14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row>
    <row r="216" spans="2:129">
      <c r="B216" s="2245"/>
      <c r="C216" s="2245"/>
      <c r="D216" s="2245"/>
      <c r="E216" s="2245"/>
      <c r="F216" s="2245"/>
      <c r="G216" s="2245"/>
      <c r="H216" s="2245"/>
      <c r="I216" s="2245"/>
      <c r="J216" s="2245"/>
      <c r="K216" s="2245"/>
      <c r="L216" s="2245"/>
      <c r="M216" s="2245"/>
      <c r="N216" s="2245"/>
      <c r="O216" s="2245"/>
      <c r="P216" s="1167"/>
      <c r="Q216" s="149"/>
      <c r="AJ216" s="149"/>
      <c r="AK216" s="149"/>
      <c r="AL216" s="149"/>
      <c r="AM216" s="149"/>
      <c r="AN216" s="149"/>
      <c r="AO216" s="149"/>
      <c r="AP216" s="149"/>
      <c r="AQ216" s="149"/>
      <c r="AR216" s="149"/>
      <c r="AS216" s="149"/>
      <c r="AT216" s="149"/>
      <c r="AU216" s="149"/>
      <c r="AV216" s="149"/>
      <c r="AW216" s="149"/>
      <c r="AX216" s="149"/>
      <c r="AY216" s="14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row>
    <row r="217" spans="2:129">
      <c r="B217" s="1167" t="s">
        <v>5012</v>
      </c>
      <c r="C217" s="1167"/>
      <c r="D217" s="1167"/>
      <c r="E217" s="1167"/>
      <c r="F217" s="1167"/>
      <c r="G217" s="1167"/>
      <c r="H217" s="1167"/>
      <c r="I217" s="1167"/>
      <c r="J217" s="1167"/>
      <c r="K217" s="1167"/>
      <c r="L217" s="1167"/>
      <c r="M217" s="1167"/>
      <c r="N217" s="1167"/>
      <c r="O217" s="1167"/>
      <c r="P217" s="1167"/>
      <c r="Q217" s="149"/>
      <c r="AJ217" s="149"/>
      <c r="AK217" s="149"/>
      <c r="AL217" s="149"/>
      <c r="AM217" s="149"/>
      <c r="AN217" s="149"/>
      <c r="AO217" s="149"/>
      <c r="AP217" s="149"/>
      <c r="AQ217" s="149"/>
      <c r="AR217" s="149"/>
      <c r="AS217" s="149"/>
      <c r="AT217" s="149"/>
      <c r="AU217" s="149"/>
      <c r="AV217" s="149"/>
      <c r="AW217" s="149"/>
      <c r="AX217" s="149"/>
      <c r="AY217" s="14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row>
    <row r="218" spans="2:129">
      <c r="B218" s="1175" t="s">
        <v>5013</v>
      </c>
      <c r="C218" s="1207"/>
      <c r="D218" s="1207"/>
      <c r="E218" s="1207"/>
      <c r="F218" s="1207"/>
      <c r="G218" s="1207"/>
      <c r="H218" s="1207"/>
      <c r="I218" s="1207"/>
      <c r="J218" s="1207"/>
      <c r="K218" s="1207"/>
      <c r="L218" s="1207"/>
      <c r="M218" s="1207"/>
      <c r="N218" s="1207"/>
      <c r="O218" s="1207"/>
      <c r="P218" s="1207"/>
      <c r="Q218" s="149"/>
      <c r="AJ218" s="149"/>
      <c r="AK218" s="149"/>
      <c r="AL218" s="149"/>
      <c r="AM218" s="149"/>
      <c r="AN218" s="149"/>
      <c r="AO218" s="149"/>
      <c r="AP218" s="149"/>
      <c r="AQ218" s="149"/>
      <c r="AR218" s="149"/>
      <c r="AS218" s="149"/>
      <c r="AT218" s="149"/>
      <c r="AU218" s="149"/>
      <c r="AV218" s="149"/>
      <c r="AW218" s="149"/>
      <c r="AX218" s="149"/>
      <c r="AY218" s="14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row>
    <row r="219" spans="2:129">
      <c r="B219" s="1207"/>
      <c r="C219" s="1207"/>
      <c r="D219" s="1207"/>
      <c r="E219" s="1207"/>
      <c r="F219" s="1207"/>
      <c r="G219" s="1207"/>
      <c r="H219" s="1207"/>
      <c r="I219" s="1207"/>
      <c r="J219" s="1207"/>
      <c r="K219" s="1207"/>
      <c r="L219" s="1207"/>
      <c r="M219" s="1207"/>
      <c r="N219" s="1207"/>
      <c r="O219" s="1207"/>
      <c r="P219" s="1207"/>
      <c r="Q219" s="149"/>
      <c r="AJ219" s="149"/>
      <c r="AK219" s="149"/>
      <c r="AL219" s="149"/>
      <c r="AM219" s="149"/>
      <c r="AN219" s="149"/>
      <c r="AO219" s="149"/>
      <c r="AP219" s="149"/>
      <c r="AQ219" s="149"/>
      <c r="AR219" s="149"/>
      <c r="AS219" s="149"/>
      <c r="AT219" s="149"/>
      <c r="AU219" s="149"/>
      <c r="AV219" s="149"/>
      <c r="AW219" s="149"/>
      <c r="AX219" s="149"/>
      <c r="AY219" s="14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row>
    <row r="220" spans="2:129">
      <c r="B220" s="1170" t="s">
        <v>5014</v>
      </c>
      <c r="C220" s="1167"/>
      <c r="D220" s="1167"/>
      <c r="E220" s="1167"/>
      <c r="F220" s="1167"/>
      <c r="G220" s="1167"/>
      <c r="H220" s="1167"/>
      <c r="I220" s="1167"/>
      <c r="J220" s="1167"/>
      <c r="K220" s="1167"/>
      <c r="L220" s="1167"/>
      <c r="M220" s="1167"/>
      <c r="N220" s="1167"/>
      <c r="O220" s="1167"/>
      <c r="P220" s="1167"/>
      <c r="Q220" s="149"/>
      <c r="AJ220" s="149"/>
      <c r="AK220" s="149"/>
      <c r="AL220" s="149"/>
      <c r="AM220" s="149"/>
      <c r="AN220" s="149"/>
      <c r="AO220" s="149"/>
      <c r="AP220" s="149"/>
      <c r="AQ220" s="149"/>
      <c r="AR220" s="149"/>
      <c r="AS220" s="149"/>
      <c r="AT220" s="149"/>
      <c r="AU220" s="149"/>
      <c r="AV220" s="149"/>
      <c r="AW220" s="149"/>
      <c r="AX220" s="149"/>
      <c r="AY220" s="14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row>
    <row r="221" spans="2:129">
      <c r="B221" s="1914" t="s">
        <v>5015</v>
      </c>
      <c r="C221" s="1914"/>
      <c r="D221" s="1914"/>
      <c r="E221" s="1914"/>
      <c r="F221" s="1914"/>
      <c r="G221" s="1914"/>
      <c r="H221" s="1914"/>
      <c r="I221" s="1914"/>
      <c r="J221" s="1914"/>
      <c r="K221" s="1914"/>
      <c r="L221" s="1914"/>
      <c r="M221" s="1914"/>
      <c r="N221" s="1914"/>
      <c r="O221" s="1914"/>
      <c r="P221" s="1167"/>
      <c r="Q221" s="149"/>
      <c r="AJ221" s="149"/>
      <c r="AK221" s="149"/>
      <c r="AL221" s="149"/>
      <c r="AM221" s="149"/>
      <c r="AN221" s="149"/>
      <c r="AO221" s="149"/>
      <c r="AP221" s="149"/>
      <c r="AQ221" s="149"/>
      <c r="AR221" s="149"/>
      <c r="AS221" s="149"/>
      <c r="AT221" s="149"/>
      <c r="AU221" s="149"/>
      <c r="AV221" s="149"/>
      <c r="AW221" s="149"/>
      <c r="AX221" s="149"/>
      <c r="AY221" s="14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row>
    <row r="222" spans="2:129">
      <c r="B222" s="1914"/>
      <c r="C222" s="1914"/>
      <c r="D222" s="1914"/>
      <c r="E222" s="1914"/>
      <c r="F222" s="1914"/>
      <c r="G222" s="1914"/>
      <c r="H222" s="1914"/>
      <c r="I222" s="1914"/>
      <c r="J222" s="1914"/>
      <c r="K222" s="1914"/>
      <c r="L222" s="1914"/>
      <c r="M222" s="1914"/>
      <c r="N222" s="1914"/>
      <c r="O222" s="1914"/>
      <c r="P222" s="1167"/>
      <c r="Q222" s="149"/>
      <c r="AJ222" s="149"/>
      <c r="AK222" s="149"/>
      <c r="AL222" s="149"/>
      <c r="AM222" s="149"/>
      <c r="AN222" s="149"/>
      <c r="AO222" s="149"/>
      <c r="AP222" s="149"/>
      <c r="AQ222" s="149"/>
      <c r="AR222" s="149"/>
      <c r="AS222" s="149"/>
      <c r="AT222" s="149"/>
      <c r="AU222" s="149"/>
      <c r="AV222" s="149"/>
      <c r="AW222" s="149"/>
      <c r="AX222" s="149"/>
      <c r="AY222" s="14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row>
    <row r="223" spans="2:129">
      <c r="B223" s="1167"/>
      <c r="C223" s="1167"/>
      <c r="D223" s="1167"/>
      <c r="E223" s="1167"/>
      <c r="F223" s="1167"/>
      <c r="G223" s="1167"/>
      <c r="H223" s="1167"/>
      <c r="I223" s="1167"/>
      <c r="J223" s="1167"/>
      <c r="K223" s="1167"/>
      <c r="L223" s="1167"/>
      <c r="M223" s="1167"/>
      <c r="N223" s="1167"/>
      <c r="O223" s="1167"/>
      <c r="P223" s="1167"/>
      <c r="Q223" s="149"/>
      <c r="AJ223" s="149"/>
      <c r="AK223" s="149"/>
      <c r="AL223" s="149"/>
      <c r="AM223" s="149"/>
      <c r="AN223" s="149"/>
      <c r="AO223" s="149"/>
      <c r="AP223" s="149"/>
      <c r="AQ223" s="149"/>
      <c r="AR223" s="149"/>
      <c r="AS223" s="149"/>
      <c r="AT223" s="149"/>
      <c r="AU223" s="149"/>
      <c r="AV223" s="149"/>
      <c r="AW223" s="149"/>
      <c r="AX223" s="149"/>
      <c r="AY223" s="14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row>
    <row r="224" spans="2:129">
      <c r="B224" s="1167" t="s">
        <v>5016</v>
      </c>
      <c r="C224" s="1167"/>
      <c r="D224" s="1167"/>
      <c r="E224" s="1167"/>
      <c r="F224" s="1167"/>
      <c r="G224" s="1167"/>
      <c r="H224" s="1167"/>
      <c r="I224" s="1167"/>
      <c r="J224" s="1167"/>
      <c r="K224" s="1167"/>
      <c r="L224" s="1167"/>
      <c r="M224" s="1167"/>
      <c r="N224" s="1167"/>
      <c r="O224" s="1167"/>
      <c r="P224" s="1167"/>
      <c r="Q224" s="149"/>
      <c r="AJ224" s="149"/>
      <c r="AK224" s="149"/>
      <c r="AL224" s="149"/>
      <c r="AM224" s="149"/>
      <c r="AN224" s="149"/>
      <c r="AO224" s="149"/>
      <c r="AP224" s="149"/>
      <c r="AQ224" s="149"/>
      <c r="AR224" s="149"/>
      <c r="AS224" s="149"/>
      <c r="AT224" s="149"/>
      <c r="AU224" s="149"/>
      <c r="AV224" s="149"/>
      <c r="AW224" s="149"/>
      <c r="AX224" s="149"/>
      <c r="AY224" s="14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row>
    <row r="225" spans="2:129">
      <c r="B225" s="1167"/>
      <c r="C225" s="1167"/>
      <c r="D225" s="1167"/>
      <c r="E225" s="1167"/>
      <c r="F225" s="1167"/>
      <c r="G225" s="1167"/>
      <c r="H225" s="1167"/>
      <c r="I225" s="1167"/>
      <c r="J225" s="1167"/>
      <c r="K225" s="1167"/>
      <c r="L225" s="1167"/>
      <c r="M225" s="1167"/>
      <c r="N225" s="1167"/>
      <c r="O225" s="1167"/>
      <c r="P225" s="1167"/>
      <c r="Q225" s="149"/>
      <c r="R225" s="1533">
        <f>IF(AND(R205,R207),C227,0)</f>
        <v>0</v>
      </c>
      <c r="AJ225" s="149"/>
      <c r="AK225" s="149"/>
      <c r="AL225" s="149"/>
      <c r="AM225" s="149"/>
      <c r="AN225" s="149"/>
      <c r="AO225" s="149"/>
      <c r="AP225" s="149"/>
      <c r="AQ225" s="149"/>
      <c r="AR225" s="149"/>
      <c r="AS225" s="149"/>
      <c r="AT225" s="149"/>
      <c r="AU225" s="149"/>
      <c r="AV225" s="149"/>
      <c r="AW225" s="149"/>
      <c r="AX225" s="149"/>
      <c r="AY225" s="14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row>
    <row r="226" spans="2:129" ht="16">
      <c r="B226" s="1167"/>
      <c r="C226" s="1375" t="s">
        <v>4734</v>
      </c>
      <c r="D226" s="1375" t="s">
        <v>4708</v>
      </c>
      <c r="E226" s="1375" t="s">
        <v>1010</v>
      </c>
      <c r="F226" s="1167"/>
      <c r="G226" s="1167"/>
      <c r="H226" s="1167"/>
      <c r="I226" s="1167"/>
      <c r="J226" s="1167"/>
      <c r="K226" s="1167"/>
      <c r="L226" s="1167"/>
      <c r="M226" s="1167"/>
      <c r="N226" s="1167"/>
      <c r="O226" s="1167"/>
      <c r="P226" s="1167"/>
      <c r="Q226" s="149"/>
      <c r="AJ226" s="149"/>
      <c r="AK226" s="149"/>
      <c r="AL226" s="149"/>
      <c r="AM226" s="149"/>
      <c r="AN226" s="149"/>
      <c r="AO226" s="149"/>
      <c r="AP226" s="149"/>
      <c r="AQ226" s="149"/>
      <c r="AR226" s="149"/>
      <c r="AS226" s="149"/>
      <c r="AT226" s="149"/>
      <c r="AU226" s="149"/>
      <c r="AV226" s="149"/>
      <c r="AW226" s="149"/>
      <c r="AX226" s="149"/>
      <c r="AY226" s="14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row>
    <row r="227" spans="2:129" ht="16">
      <c r="B227" s="1167"/>
      <c r="C227" s="1734">
        <v>2</v>
      </c>
      <c r="D227" s="1735">
        <f>R225</f>
        <v>0</v>
      </c>
      <c r="E227" s="1044"/>
      <c r="F227" s="1167"/>
      <c r="G227" s="1167"/>
      <c r="H227" s="1167"/>
      <c r="I227" s="1167"/>
      <c r="J227" s="1167"/>
      <c r="K227" s="1167"/>
      <c r="L227" s="1167"/>
      <c r="M227" s="1167"/>
      <c r="N227" s="1167"/>
      <c r="O227" s="1167"/>
      <c r="P227" s="1167"/>
      <c r="Q227" s="149"/>
      <c r="AJ227" s="149"/>
      <c r="AK227" s="149"/>
      <c r="AL227" s="149"/>
      <c r="AM227" s="149"/>
      <c r="AN227" s="149"/>
      <c r="AO227" s="149"/>
      <c r="AP227" s="149"/>
      <c r="AQ227" s="149"/>
      <c r="AR227" s="149"/>
      <c r="AS227" s="149"/>
      <c r="AT227" s="149"/>
      <c r="AU227" s="149"/>
      <c r="AV227" s="149"/>
      <c r="AW227" s="149"/>
      <c r="AX227" s="149"/>
      <c r="AY227" s="14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row>
    <row r="228" spans="2:129">
      <c r="B228" s="1167"/>
      <c r="C228" s="1167"/>
      <c r="D228" s="1167"/>
      <c r="E228" s="1167"/>
      <c r="F228" s="1167"/>
      <c r="G228" s="1167"/>
      <c r="H228" s="1167"/>
      <c r="I228" s="1167"/>
      <c r="J228" s="1167"/>
      <c r="K228" s="1167"/>
      <c r="L228" s="1167"/>
      <c r="M228" s="1167"/>
      <c r="N228" s="1167"/>
      <c r="O228" s="1167"/>
      <c r="P228" s="1167"/>
      <c r="Q228" s="149"/>
      <c r="AJ228" s="149"/>
      <c r="AK228" s="149"/>
      <c r="AL228" s="149"/>
      <c r="AM228" s="149"/>
      <c r="AN228" s="149"/>
      <c r="AO228" s="149"/>
      <c r="AP228" s="149"/>
      <c r="AQ228" s="149"/>
      <c r="AR228" s="149"/>
      <c r="AS228" s="149"/>
      <c r="AT228" s="149"/>
      <c r="AU228" s="149"/>
      <c r="AV228" s="149"/>
      <c r="AW228" s="149"/>
      <c r="AX228" s="149"/>
      <c r="AY228" s="14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row>
    <row r="229" spans="2:129" ht="19">
      <c r="B229" s="8" t="s">
        <v>3364</v>
      </c>
      <c r="C229" s="3"/>
      <c r="D229" s="3"/>
      <c r="E229" s="3"/>
      <c r="F229" s="3"/>
      <c r="G229" s="3"/>
      <c r="H229" s="3"/>
      <c r="I229" s="3"/>
      <c r="J229" s="8" t="s">
        <v>3372</v>
      </c>
      <c r="K229" s="3"/>
      <c r="L229" s="3"/>
      <c r="M229" s="3"/>
      <c r="N229" s="3"/>
      <c r="O229" s="3"/>
      <c r="P229" s="3"/>
      <c r="Q229" s="149"/>
      <c r="AJ229" s="149"/>
      <c r="AK229" s="149"/>
      <c r="AL229" s="149"/>
      <c r="AM229" s="149"/>
      <c r="AN229" s="149"/>
      <c r="AO229" s="149"/>
      <c r="AP229" s="149"/>
      <c r="AQ229" s="149"/>
      <c r="AR229" s="149"/>
      <c r="AS229" s="149"/>
      <c r="AT229" s="149"/>
      <c r="AU229" s="149"/>
      <c r="AV229" s="149"/>
      <c r="AW229" s="149"/>
      <c r="AX229" s="149"/>
      <c r="AY229" s="14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row>
    <row r="230" spans="2:129">
      <c r="B230" s="1170" t="s">
        <v>4538</v>
      </c>
      <c r="C230" s="1167"/>
      <c r="D230" s="1167"/>
      <c r="E230" s="1167"/>
      <c r="F230" s="1167"/>
      <c r="G230" s="1167"/>
      <c r="H230" s="1167"/>
      <c r="I230" s="1167"/>
      <c r="J230" s="1172" t="s">
        <v>4434</v>
      </c>
      <c r="K230" s="1167"/>
      <c r="L230" s="1167"/>
      <c r="M230" s="1167"/>
      <c r="N230" s="1167"/>
      <c r="O230" s="1167"/>
      <c r="P230" s="1167"/>
      <c r="Q230" s="149"/>
      <c r="AJ230" s="149"/>
      <c r="AK230" s="149"/>
      <c r="AL230" s="149"/>
      <c r="AM230" s="149"/>
      <c r="AN230" s="149"/>
      <c r="AO230" s="149"/>
      <c r="AP230" s="149"/>
      <c r="AQ230" s="149"/>
      <c r="AR230" s="149"/>
      <c r="AS230" s="149"/>
      <c r="AT230" s="149"/>
      <c r="AU230" s="149"/>
      <c r="AV230" s="149"/>
      <c r="AW230" s="149"/>
      <c r="AX230" s="149"/>
      <c r="AY230" s="14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row>
    <row r="231" spans="2:129">
      <c r="B231" s="1167"/>
      <c r="C231" s="1957"/>
      <c r="D231" s="1958"/>
      <c r="E231" s="1958"/>
      <c r="F231" s="1958"/>
      <c r="G231" s="1958"/>
      <c r="H231" s="1959"/>
      <c r="I231" s="1167"/>
      <c r="J231" s="1957"/>
      <c r="K231" s="1958"/>
      <c r="L231" s="1958"/>
      <c r="M231" s="1958"/>
      <c r="N231" s="1958"/>
      <c r="O231" s="1959"/>
      <c r="P231" s="1167"/>
      <c r="Q231" s="149"/>
      <c r="AJ231" s="149"/>
      <c r="AK231" s="149"/>
      <c r="AL231" s="149"/>
      <c r="AM231" s="149"/>
      <c r="AN231" s="149"/>
      <c r="AO231" s="149"/>
      <c r="AP231" s="149"/>
      <c r="AQ231" s="149"/>
      <c r="AR231" s="149"/>
      <c r="AS231" s="149"/>
      <c r="AT231" s="149"/>
      <c r="AU231" s="149"/>
      <c r="AV231" s="149"/>
      <c r="AW231" s="149"/>
      <c r="AX231" s="149"/>
      <c r="AY231" s="14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row>
    <row r="232" spans="2:129">
      <c r="B232" s="1167"/>
      <c r="C232" s="1960"/>
      <c r="D232" s="1961"/>
      <c r="E232" s="1961"/>
      <c r="F232" s="1961"/>
      <c r="G232" s="1961"/>
      <c r="H232" s="1962"/>
      <c r="I232" s="1167"/>
      <c r="J232" s="1960"/>
      <c r="K232" s="1961"/>
      <c r="L232" s="1961"/>
      <c r="M232" s="1961"/>
      <c r="N232" s="1961"/>
      <c r="O232" s="1962"/>
      <c r="P232" s="1167"/>
      <c r="Q232" s="149"/>
      <c r="AJ232" s="149"/>
      <c r="AK232" s="149"/>
      <c r="AL232" s="149"/>
      <c r="AM232" s="149"/>
      <c r="AN232" s="149"/>
      <c r="AO232" s="149"/>
      <c r="AP232" s="149"/>
      <c r="AQ232" s="149"/>
      <c r="AR232" s="149"/>
      <c r="AS232" s="149"/>
      <c r="AT232" s="149"/>
      <c r="AU232" s="149"/>
      <c r="AV232" s="149"/>
      <c r="AW232" s="149"/>
      <c r="AX232" s="149"/>
      <c r="AY232" s="14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row>
    <row r="233" spans="2:129">
      <c r="B233" s="1167"/>
      <c r="C233" s="1960"/>
      <c r="D233" s="1961"/>
      <c r="E233" s="1961"/>
      <c r="F233" s="1961"/>
      <c r="G233" s="1961"/>
      <c r="H233" s="1962"/>
      <c r="I233" s="1167"/>
      <c r="J233" s="1960"/>
      <c r="K233" s="1961"/>
      <c r="L233" s="1961"/>
      <c r="M233" s="1961"/>
      <c r="N233" s="1961"/>
      <c r="O233" s="1962"/>
      <c r="P233" s="1167"/>
      <c r="Q233" s="149"/>
      <c r="AJ233" s="149"/>
      <c r="AK233" s="149"/>
      <c r="AL233" s="149"/>
      <c r="AM233" s="149"/>
      <c r="AN233" s="149"/>
      <c r="AO233" s="149"/>
      <c r="AP233" s="149"/>
      <c r="AQ233" s="149"/>
      <c r="AR233" s="149"/>
      <c r="AS233" s="149"/>
      <c r="AT233" s="149"/>
      <c r="AU233" s="149"/>
      <c r="AV233" s="149"/>
      <c r="AW233" s="149"/>
      <c r="AX233" s="149"/>
      <c r="AY233" s="14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row>
    <row r="234" spans="2:129">
      <c r="B234" s="1167"/>
      <c r="C234" s="1960"/>
      <c r="D234" s="1961"/>
      <c r="E234" s="1961"/>
      <c r="F234" s="1961"/>
      <c r="G234" s="1961"/>
      <c r="H234" s="1962"/>
      <c r="I234" s="1167"/>
      <c r="J234" s="1960"/>
      <c r="K234" s="1961"/>
      <c r="L234" s="1961"/>
      <c r="M234" s="1961"/>
      <c r="N234" s="1961"/>
      <c r="O234" s="1962"/>
      <c r="P234" s="1167"/>
      <c r="Q234" s="149"/>
      <c r="AJ234" s="149"/>
      <c r="AK234" s="149"/>
      <c r="AL234" s="149"/>
      <c r="AM234" s="149"/>
      <c r="AN234" s="149"/>
      <c r="AO234" s="149"/>
      <c r="AP234" s="149"/>
      <c r="AQ234" s="149"/>
      <c r="AR234" s="149"/>
      <c r="AS234" s="149"/>
      <c r="AT234" s="149"/>
      <c r="AU234" s="149"/>
      <c r="AV234" s="149"/>
      <c r="AW234" s="149"/>
      <c r="AX234" s="149"/>
      <c r="AY234" s="14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row>
    <row r="235" spans="2:129">
      <c r="B235" s="1167"/>
      <c r="C235" s="1960"/>
      <c r="D235" s="1961"/>
      <c r="E235" s="1961"/>
      <c r="F235" s="1961"/>
      <c r="G235" s="1961"/>
      <c r="H235" s="1962"/>
      <c r="I235" s="1167"/>
      <c r="J235" s="1960"/>
      <c r="K235" s="1961"/>
      <c r="L235" s="1961"/>
      <c r="M235" s="1961"/>
      <c r="N235" s="1961"/>
      <c r="O235" s="1962"/>
      <c r="P235" s="1167"/>
      <c r="Q235" s="149"/>
      <c r="AJ235" s="149"/>
      <c r="AK235" s="149"/>
      <c r="AL235" s="149"/>
      <c r="AM235" s="149"/>
      <c r="AN235" s="149"/>
      <c r="AO235" s="149"/>
      <c r="AP235" s="149"/>
      <c r="AQ235" s="149"/>
      <c r="AR235" s="149"/>
      <c r="AS235" s="149"/>
      <c r="AT235" s="149"/>
      <c r="AU235" s="149"/>
      <c r="AV235" s="149"/>
      <c r="AW235" s="149"/>
      <c r="AX235" s="149"/>
      <c r="AY235" s="14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row>
    <row r="236" spans="2:129">
      <c r="B236" s="1167"/>
      <c r="C236" s="1960"/>
      <c r="D236" s="1961"/>
      <c r="E236" s="1961"/>
      <c r="F236" s="1961"/>
      <c r="G236" s="1961"/>
      <c r="H236" s="1962"/>
      <c r="I236" s="1167"/>
      <c r="J236" s="1960"/>
      <c r="K236" s="1961"/>
      <c r="L236" s="1961"/>
      <c r="M236" s="1961"/>
      <c r="N236" s="1961"/>
      <c r="O236" s="1962"/>
      <c r="P236" s="1167"/>
      <c r="Q236" s="149"/>
      <c r="AJ236" s="149"/>
      <c r="AK236" s="149"/>
      <c r="AL236" s="149"/>
      <c r="AM236" s="149"/>
      <c r="AN236" s="149"/>
      <c r="AO236" s="149"/>
      <c r="AP236" s="149"/>
      <c r="AQ236" s="149"/>
      <c r="AR236" s="149"/>
      <c r="AS236" s="149"/>
      <c r="AT236" s="149"/>
      <c r="AU236" s="149"/>
      <c r="AV236" s="149"/>
      <c r="AW236" s="149"/>
      <c r="AX236" s="149"/>
      <c r="AY236" s="14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row>
    <row r="237" spans="2:129">
      <c r="B237" s="1167"/>
      <c r="C237" s="1960"/>
      <c r="D237" s="1961"/>
      <c r="E237" s="1961"/>
      <c r="F237" s="1961"/>
      <c r="G237" s="1961"/>
      <c r="H237" s="1962"/>
      <c r="I237" s="1167"/>
      <c r="J237" s="1960"/>
      <c r="K237" s="1961"/>
      <c r="L237" s="1961"/>
      <c r="M237" s="1961"/>
      <c r="N237" s="1961"/>
      <c r="O237" s="1962"/>
      <c r="P237" s="1167"/>
      <c r="Q237" s="149"/>
      <c r="AJ237" s="149"/>
      <c r="AK237" s="149"/>
      <c r="AL237" s="149"/>
      <c r="AM237" s="149"/>
      <c r="AN237" s="149"/>
      <c r="AO237" s="149"/>
      <c r="AP237" s="149"/>
      <c r="AQ237" s="149"/>
      <c r="AR237" s="149"/>
      <c r="AS237" s="149"/>
      <c r="AT237" s="149"/>
      <c r="AU237" s="149"/>
      <c r="AV237" s="149"/>
      <c r="AW237" s="149"/>
      <c r="AX237" s="149"/>
      <c r="AY237" s="14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row>
    <row r="238" spans="2:129">
      <c r="B238" s="1167"/>
      <c r="C238" s="1960"/>
      <c r="D238" s="1961"/>
      <c r="E238" s="1961"/>
      <c r="F238" s="1961"/>
      <c r="G238" s="1961"/>
      <c r="H238" s="1962"/>
      <c r="I238" s="1167"/>
      <c r="J238" s="1960"/>
      <c r="K238" s="1961"/>
      <c r="L238" s="1961"/>
      <c r="M238" s="1961"/>
      <c r="N238" s="1961"/>
      <c r="O238" s="1962"/>
      <c r="P238" s="1167"/>
      <c r="Q238" s="149"/>
      <c r="AJ238" s="149"/>
      <c r="AK238" s="149"/>
      <c r="AL238" s="149"/>
      <c r="AM238" s="149"/>
      <c r="AN238" s="149"/>
      <c r="AO238" s="149"/>
      <c r="AP238" s="149"/>
      <c r="AQ238" s="149"/>
      <c r="AR238" s="149"/>
      <c r="AS238" s="149"/>
      <c r="AT238" s="149"/>
      <c r="AU238" s="149"/>
      <c r="AV238" s="149"/>
      <c r="AW238" s="149"/>
      <c r="AX238" s="149"/>
      <c r="AY238" s="14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row>
    <row r="239" spans="2:129">
      <c r="B239" s="1167"/>
      <c r="C239" s="1960"/>
      <c r="D239" s="1961"/>
      <c r="E239" s="1961"/>
      <c r="F239" s="1961"/>
      <c r="G239" s="1961"/>
      <c r="H239" s="1962"/>
      <c r="I239" s="1167"/>
      <c r="J239" s="1963"/>
      <c r="K239" s="1964"/>
      <c r="L239" s="1964"/>
      <c r="M239" s="1964"/>
      <c r="N239" s="1964"/>
      <c r="O239" s="1965"/>
      <c r="P239" s="1167"/>
      <c r="Q239" s="149"/>
      <c r="AJ239" s="149"/>
      <c r="AK239" s="149"/>
      <c r="AL239" s="149"/>
      <c r="AM239" s="149"/>
      <c r="AN239" s="149"/>
      <c r="AO239" s="149"/>
      <c r="AP239" s="149"/>
      <c r="AQ239" s="149"/>
      <c r="AR239" s="149"/>
      <c r="AS239" s="149"/>
      <c r="AT239" s="149"/>
      <c r="AU239" s="149"/>
      <c r="AV239" s="149"/>
      <c r="AW239" s="149"/>
      <c r="AX239" s="149"/>
      <c r="AY239" s="14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row>
    <row r="240" spans="2:129">
      <c r="B240" s="1167"/>
      <c r="C240" s="1960"/>
      <c r="D240" s="1961"/>
      <c r="E240" s="1961"/>
      <c r="F240" s="1961"/>
      <c r="G240" s="1961"/>
      <c r="H240" s="1962"/>
      <c r="I240" s="1167"/>
      <c r="J240" s="1733" t="s">
        <v>4766</v>
      </c>
      <c r="K240" s="1167"/>
      <c r="L240" s="1167"/>
      <c r="M240" s="1167"/>
      <c r="N240" s="1167"/>
      <c r="O240" s="1167"/>
      <c r="P240" s="1167"/>
      <c r="Q240" s="149"/>
      <c r="AJ240" s="149"/>
      <c r="AK240" s="149"/>
      <c r="AL240" s="149"/>
      <c r="AM240" s="149"/>
      <c r="AN240" s="149"/>
      <c r="AO240" s="149"/>
      <c r="AP240" s="149"/>
      <c r="AQ240" s="149"/>
      <c r="AR240" s="149"/>
      <c r="AS240" s="149"/>
      <c r="AT240" s="149"/>
      <c r="AU240" s="149"/>
      <c r="AV240" s="149"/>
      <c r="AW240" s="149"/>
      <c r="AX240" s="149"/>
      <c r="AY240" s="14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row>
    <row r="241" spans="1:129">
      <c r="B241" s="1167"/>
      <c r="C241" s="1963"/>
      <c r="D241" s="1964"/>
      <c r="E241" s="1964"/>
      <c r="F241" s="1964"/>
      <c r="G241" s="1964"/>
      <c r="H241" s="1965"/>
      <c r="I241" s="1167"/>
      <c r="J241" s="2489"/>
      <c r="K241" s="2489"/>
      <c r="L241" s="2489"/>
      <c r="M241" s="2489"/>
      <c r="N241" s="2489"/>
      <c r="O241" s="2489"/>
      <c r="P241" s="1167"/>
      <c r="Q241" s="149"/>
      <c r="AJ241" s="149"/>
      <c r="AK241" s="149"/>
      <c r="AL241" s="149"/>
      <c r="AM241" s="149"/>
      <c r="AN241" s="149"/>
      <c r="AO241" s="149"/>
      <c r="AP241" s="149"/>
      <c r="AQ241" s="149"/>
      <c r="AR241" s="149"/>
      <c r="AS241" s="149"/>
      <c r="AT241" s="149"/>
      <c r="AU241" s="149"/>
      <c r="AV241" s="149"/>
      <c r="AW241" s="149"/>
      <c r="AX241" s="149"/>
      <c r="AY241" s="14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row>
    <row r="242" spans="1:129">
      <c r="B242" s="1167"/>
      <c r="C242" s="1167"/>
      <c r="D242" s="1167"/>
      <c r="E242" s="1167"/>
      <c r="F242" s="1167"/>
      <c r="G242" s="1167"/>
      <c r="H242" s="1167"/>
      <c r="I242" s="1167"/>
      <c r="J242" s="1167"/>
      <c r="K242" s="1167"/>
      <c r="L242" s="1167"/>
      <c r="M242" s="1167"/>
      <c r="N242" s="1167"/>
      <c r="O242" s="1167"/>
      <c r="P242" s="1167"/>
      <c r="Q242" s="149"/>
      <c r="R242" s="9"/>
      <c r="AJ242" s="149"/>
      <c r="AK242" s="149"/>
      <c r="AL242" s="149"/>
      <c r="AM242" s="149"/>
      <c r="AN242" s="149"/>
      <c r="AO242" s="149"/>
      <c r="AP242" s="149"/>
      <c r="AQ242" s="149"/>
      <c r="AR242" s="149"/>
      <c r="AS242" s="149"/>
      <c r="AT242" s="149"/>
      <c r="AU242" s="149"/>
      <c r="AV242" s="149"/>
      <c r="AW242" s="149"/>
      <c r="AX242" s="149"/>
      <c r="AY242" s="14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row>
    <row r="243" spans="1:129" s="989" customFormat="1" ht="21">
      <c r="A243" s="977"/>
      <c r="B243" s="977" t="s">
        <v>4724</v>
      </c>
      <c r="C243" s="987"/>
      <c r="D243" s="987"/>
      <c r="E243" s="987"/>
      <c r="F243" s="987"/>
      <c r="G243" s="987"/>
      <c r="H243" s="987"/>
      <c r="I243" s="987"/>
      <c r="J243" s="987"/>
      <c r="K243" s="987"/>
      <c r="L243" s="987"/>
      <c r="M243" s="1001"/>
      <c r="N243" s="987"/>
      <c r="O243" s="987"/>
      <c r="P243" s="987"/>
      <c r="Q243" s="149"/>
      <c r="R243" s="9"/>
      <c r="S243" s="9"/>
      <c r="T243" s="149"/>
      <c r="U243" s="149"/>
      <c r="V243" s="999"/>
      <c r="W243" s="999"/>
      <c r="X243" s="999"/>
      <c r="Y243" s="999"/>
      <c r="Z243" s="999"/>
      <c r="AA243" s="999"/>
      <c r="AB243" s="999"/>
      <c r="AC243" s="999"/>
      <c r="AD243" s="999"/>
      <c r="AE243" s="999"/>
      <c r="AF243" s="999"/>
      <c r="AG243" s="999"/>
      <c r="AH243" s="999"/>
      <c r="AI243" s="999"/>
      <c r="AJ243" s="987"/>
      <c r="AK243" s="987"/>
      <c r="AL243" s="987"/>
      <c r="AM243" s="987"/>
      <c r="AN243" s="987"/>
      <c r="AO243" s="987"/>
      <c r="AP243" s="987"/>
      <c r="AQ243" s="987"/>
      <c r="AR243" s="987"/>
      <c r="AS243" s="987"/>
      <c r="AT243" s="987"/>
      <c r="AU243" s="987"/>
      <c r="AV243" s="987"/>
      <c r="AW243" s="987"/>
      <c r="AX243" s="987"/>
      <c r="AY243" s="987"/>
      <c r="AZ243" s="987"/>
      <c r="BA243" s="987"/>
      <c r="BB243" s="987"/>
      <c r="BC243" s="987"/>
      <c r="BD243" s="987"/>
      <c r="BE243" s="987"/>
      <c r="BF243" s="987"/>
      <c r="BG243" s="987"/>
      <c r="BH243" s="987"/>
      <c r="BI243" s="987"/>
      <c r="BJ243" s="987"/>
      <c r="BK243" s="987"/>
      <c r="BL243" s="987"/>
      <c r="BM243" s="987"/>
      <c r="BN243" s="987"/>
      <c r="BO243" s="987"/>
      <c r="BP243" s="987"/>
      <c r="BQ243" s="987"/>
      <c r="BR243" s="987"/>
      <c r="BS243" s="987"/>
      <c r="BT243" s="987"/>
      <c r="BU243" s="987"/>
      <c r="BV243" s="987"/>
      <c r="BW243" s="987"/>
      <c r="BX243" s="987"/>
      <c r="BY243" s="987"/>
      <c r="BZ243" s="987"/>
      <c r="CA243" s="987"/>
      <c r="CB243" s="987"/>
      <c r="CC243" s="987"/>
      <c r="CD243" s="987"/>
      <c r="CE243" s="987"/>
      <c r="CF243" s="987"/>
      <c r="CG243" s="987"/>
      <c r="CH243" s="987"/>
      <c r="CI243" s="987"/>
      <c r="CJ243" s="987"/>
      <c r="CK243" s="987"/>
      <c r="CL243" s="987"/>
      <c r="CM243" s="987"/>
      <c r="CN243" s="987"/>
      <c r="CO243" s="987"/>
      <c r="CP243" s="987"/>
      <c r="CQ243" s="987"/>
      <c r="CR243" s="987"/>
      <c r="CS243" s="987"/>
      <c r="CT243" s="987"/>
    </row>
    <row r="244" spans="1:129" s="989" customFormat="1" ht="21">
      <c r="A244" s="977"/>
      <c r="B244" s="1170" t="s">
        <v>3736</v>
      </c>
      <c r="C244" s="1484"/>
      <c r="D244" s="1484"/>
      <c r="E244" s="1484"/>
      <c r="F244" s="1484"/>
      <c r="G244" s="1484"/>
      <c r="H244" s="1484"/>
      <c r="I244" s="1484"/>
      <c r="J244" s="1484"/>
      <c r="K244" s="1484"/>
      <c r="L244" s="1484"/>
      <c r="M244" s="1485"/>
      <c r="N244" s="1484"/>
      <c r="O244" s="1484"/>
      <c r="P244" s="1484"/>
      <c r="Q244" s="149"/>
      <c r="R244" s="9"/>
      <c r="S244" s="9"/>
      <c r="T244" s="149"/>
      <c r="U244" s="149"/>
      <c r="V244" s="999"/>
      <c r="W244" s="999"/>
      <c r="X244" s="999"/>
      <c r="Y244" s="999"/>
      <c r="Z244" s="999"/>
      <c r="AA244" s="999"/>
      <c r="AB244" s="999"/>
      <c r="AC244" s="999"/>
      <c r="AD244" s="999"/>
      <c r="AE244" s="999"/>
      <c r="AF244" s="999"/>
      <c r="AG244" s="999"/>
      <c r="AH244" s="999"/>
      <c r="AI244" s="999"/>
      <c r="AJ244" s="987"/>
      <c r="AK244" s="987"/>
      <c r="AL244" s="987"/>
      <c r="AM244" s="987"/>
      <c r="AN244" s="987"/>
      <c r="AO244" s="987"/>
      <c r="AP244" s="987"/>
      <c r="AQ244" s="987"/>
      <c r="AR244" s="987"/>
      <c r="AS244" s="987"/>
      <c r="AT244" s="987"/>
      <c r="AU244" s="987"/>
      <c r="AV244" s="987"/>
      <c r="AW244" s="987"/>
      <c r="AX244" s="987"/>
      <c r="AY244" s="987"/>
      <c r="AZ244" s="987"/>
      <c r="BA244" s="987"/>
      <c r="BB244" s="987"/>
      <c r="BC244" s="987"/>
      <c r="BD244" s="987"/>
      <c r="BE244" s="987"/>
      <c r="BF244" s="987"/>
      <c r="BG244" s="987"/>
      <c r="BH244" s="987"/>
      <c r="BI244" s="987"/>
      <c r="BJ244" s="987"/>
      <c r="BK244" s="987"/>
      <c r="BL244" s="987"/>
      <c r="BM244" s="987"/>
      <c r="BN244" s="987"/>
      <c r="BO244" s="987"/>
      <c r="BP244" s="987"/>
      <c r="BQ244" s="987"/>
      <c r="BR244" s="987"/>
      <c r="BS244" s="987"/>
      <c r="BT244" s="987"/>
      <c r="BU244" s="987"/>
      <c r="BV244" s="987"/>
      <c r="BW244" s="987"/>
      <c r="BX244" s="987"/>
      <c r="BY244" s="987"/>
      <c r="BZ244" s="987"/>
      <c r="CA244" s="987"/>
      <c r="CB244" s="987"/>
      <c r="CC244" s="987"/>
      <c r="CD244" s="987"/>
      <c r="CE244" s="987"/>
      <c r="CF244" s="987"/>
      <c r="CG244" s="987"/>
      <c r="CH244" s="987"/>
      <c r="CI244" s="987"/>
      <c r="CJ244" s="987"/>
      <c r="CK244" s="987"/>
      <c r="CL244" s="987"/>
      <c r="CM244" s="987"/>
      <c r="CN244" s="987"/>
      <c r="CO244" s="987"/>
      <c r="CP244" s="987"/>
      <c r="CQ244" s="987"/>
      <c r="CR244" s="987"/>
      <c r="CS244" s="987"/>
      <c r="CT244" s="987"/>
    </row>
    <row r="245" spans="1:129" s="989" customFormat="1" ht="21">
      <c r="A245" s="977"/>
      <c r="B245" s="1167" t="s">
        <v>5017</v>
      </c>
      <c r="C245" s="1484"/>
      <c r="D245" s="1484"/>
      <c r="E245" s="1484"/>
      <c r="F245" s="1484"/>
      <c r="G245" s="1484"/>
      <c r="H245" s="1484"/>
      <c r="I245" s="1484"/>
      <c r="J245" s="1484"/>
      <c r="K245" s="1484"/>
      <c r="L245" s="1484"/>
      <c r="M245" s="1485"/>
      <c r="N245" s="1484"/>
      <c r="O245" s="1484"/>
      <c r="P245" s="1484"/>
      <c r="Q245" s="149"/>
      <c r="R245" s="9"/>
      <c r="S245" s="9"/>
      <c r="T245" s="149"/>
      <c r="U245" s="149"/>
      <c r="V245" s="999"/>
      <c r="W245" s="999"/>
      <c r="X245" s="999"/>
      <c r="Y245" s="999"/>
      <c r="Z245" s="999"/>
      <c r="AA245" s="999"/>
      <c r="AB245" s="999"/>
      <c r="AC245" s="999"/>
      <c r="AD245" s="999"/>
      <c r="AE245" s="999"/>
      <c r="AF245" s="999"/>
      <c r="AG245" s="999"/>
      <c r="AH245" s="999"/>
      <c r="AI245" s="999"/>
      <c r="AJ245" s="987"/>
      <c r="AK245" s="987"/>
      <c r="AL245" s="987"/>
      <c r="AM245" s="987"/>
      <c r="AN245" s="987"/>
      <c r="AO245" s="987"/>
      <c r="AP245" s="987"/>
      <c r="AQ245" s="987"/>
      <c r="AR245" s="987"/>
      <c r="AS245" s="987"/>
      <c r="AT245" s="987"/>
      <c r="AU245" s="987"/>
      <c r="AV245" s="987"/>
      <c r="AW245" s="987"/>
      <c r="AX245" s="987"/>
      <c r="AY245" s="987"/>
      <c r="AZ245" s="987"/>
      <c r="BA245" s="987"/>
      <c r="BB245" s="987"/>
      <c r="BC245" s="987"/>
      <c r="BD245" s="987"/>
      <c r="BE245" s="987"/>
      <c r="BF245" s="987"/>
      <c r="BG245" s="987"/>
      <c r="BH245" s="987"/>
      <c r="BI245" s="987"/>
      <c r="BJ245" s="987"/>
      <c r="BK245" s="987"/>
      <c r="BL245" s="987"/>
      <c r="BM245" s="987"/>
      <c r="BN245" s="987"/>
      <c r="BO245" s="987"/>
      <c r="BP245" s="987"/>
      <c r="BQ245" s="987"/>
      <c r="BR245" s="987"/>
      <c r="BS245" s="987"/>
      <c r="BT245" s="987"/>
      <c r="BU245" s="987"/>
      <c r="BV245" s="987"/>
      <c r="BW245" s="987"/>
      <c r="BX245" s="987"/>
      <c r="BY245" s="987"/>
      <c r="BZ245" s="987"/>
      <c r="CA245" s="987"/>
      <c r="CB245" s="987"/>
      <c r="CC245" s="987"/>
      <c r="CD245" s="987"/>
      <c r="CE245" s="987"/>
      <c r="CF245" s="987"/>
      <c r="CG245" s="987"/>
      <c r="CH245" s="987"/>
      <c r="CI245" s="987"/>
      <c r="CJ245" s="987"/>
      <c r="CK245" s="987"/>
      <c r="CL245" s="987"/>
      <c r="CM245" s="987"/>
      <c r="CN245" s="987"/>
      <c r="CO245" s="987"/>
      <c r="CP245" s="987"/>
      <c r="CQ245" s="987"/>
      <c r="CR245" s="987"/>
      <c r="CS245" s="987"/>
      <c r="CT245" s="987"/>
    </row>
    <row r="246" spans="1:129" s="3" customFormat="1">
      <c r="B246" s="1167"/>
      <c r="C246" s="1167"/>
      <c r="D246" s="1167"/>
      <c r="E246" s="1167"/>
      <c r="F246" s="1167"/>
      <c r="G246" s="1167"/>
      <c r="H246" s="1167"/>
      <c r="I246" s="1167"/>
      <c r="J246" s="1167"/>
      <c r="K246" s="1167"/>
      <c r="L246" s="1167"/>
      <c r="M246" s="1167"/>
      <c r="N246" s="1678"/>
      <c r="O246" s="1678"/>
      <c r="P246" s="1678"/>
      <c r="Q246" s="149"/>
      <c r="R246" s="9"/>
      <c r="S246" s="9"/>
      <c r="T246" s="149"/>
      <c r="U246" s="149"/>
      <c r="V246" s="149"/>
      <c r="W246" s="149"/>
      <c r="X246" s="149"/>
      <c r="Y246" s="149"/>
      <c r="Z246" s="149"/>
      <c r="AA246" s="149"/>
      <c r="AB246" s="149"/>
      <c r="AC246" s="149"/>
      <c r="AD246" s="149"/>
      <c r="AE246" s="149"/>
      <c r="AF246" s="149"/>
      <c r="AG246" s="149"/>
      <c r="AH246" s="149"/>
      <c r="AI246" s="149"/>
      <c r="AJ246" s="149"/>
    </row>
    <row r="247" spans="1:129" s="3" customFormat="1">
      <c r="B247" s="1167"/>
      <c r="C247" s="1415" t="s">
        <v>5018</v>
      </c>
      <c r="D247" s="2436" t="s">
        <v>5019</v>
      </c>
      <c r="E247" s="2436"/>
      <c r="F247" s="2436"/>
      <c r="G247" s="2436"/>
      <c r="H247" s="2497" t="s">
        <v>4741</v>
      </c>
      <c r="I247" s="2498"/>
      <c r="J247" s="2498"/>
      <c r="K247" s="2498"/>
      <c r="L247" s="2499"/>
      <c r="M247" s="1167"/>
      <c r="N247" s="1678"/>
      <c r="O247" s="1678"/>
      <c r="P247" s="1678"/>
      <c r="Q247" s="149"/>
      <c r="R247" s="9" t="b">
        <f>C248="Yes"</f>
        <v>0</v>
      </c>
      <c r="S247" s="9">
        <f>IF(R247, 1, 0)</f>
        <v>0</v>
      </c>
      <c r="T247" s="149"/>
      <c r="U247" s="149"/>
      <c r="V247" s="149"/>
      <c r="W247" s="149"/>
      <c r="X247" s="149"/>
      <c r="Y247" s="149"/>
      <c r="Z247" s="149"/>
      <c r="AA247" s="149"/>
      <c r="AB247" s="149"/>
      <c r="AC247" s="149"/>
      <c r="AD247" s="149"/>
      <c r="AE247" s="149"/>
      <c r="AF247" s="149"/>
      <c r="AG247" s="149"/>
      <c r="AH247" s="149"/>
      <c r="AI247" s="149"/>
      <c r="AJ247" s="149"/>
    </row>
    <row r="248" spans="1:129">
      <c r="B248" s="1167"/>
      <c r="C248" s="2531" t="str">
        <f>IF(AND('10. Project and Unit Amenities'!D27="yes",'10. Project and Unit Amenities'!J27=0),"Yes","No")</f>
        <v>No</v>
      </c>
      <c r="D248" s="2524" t="s">
        <v>5020</v>
      </c>
      <c r="E248" s="2524"/>
      <c r="F248" s="2524"/>
      <c r="G248" s="2519"/>
      <c r="H248" s="2525" t="str">
        <f>_xlfn.CONCAT("In-Unit Internet Access, tab 10. Project Amenities: ",IF('10. Project and Unit Amenities'!D27="","blank",'10. Project and Unit Amenities'!D27),".")</f>
        <v>In-Unit Internet Access, tab 10. Project Amenities: blank.</v>
      </c>
      <c r="I248" s="2526"/>
      <c r="J248" s="2526"/>
      <c r="K248" s="2526"/>
      <c r="L248" s="2527"/>
      <c r="M248" s="1167"/>
      <c r="N248" s="1678"/>
      <c r="O248" s="1678"/>
      <c r="P248" s="1678"/>
      <c r="Q248" s="149"/>
      <c r="R248" s="9" t="b">
        <f>C250="Yes"</f>
        <v>0</v>
      </c>
      <c r="S248" s="9">
        <f>IF(R248, 1, 0)</f>
        <v>0</v>
      </c>
      <c r="AJ248" s="14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row>
    <row r="249" spans="1:129">
      <c r="B249" s="1167"/>
      <c r="C249" s="2531"/>
      <c r="D249" s="2524"/>
      <c r="E249" s="2524"/>
      <c r="F249" s="2524"/>
      <c r="G249" s="2519"/>
      <c r="H249" s="2528" t="str">
        <f>_xlfn.CONCAT("In-Unit Internet Est. Cost, tab 10. Project Amenities: ",IF('10. Project and Unit Amenities'!J27="","blank",'10. Project and Unit Amenities'!J27),".")</f>
        <v>In-Unit Internet Est. Cost, tab 10. Project Amenities: blank.</v>
      </c>
      <c r="I249" s="2529"/>
      <c r="J249" s="2529"/>
      <c r="K249" s="2529"/>
      <c r="L249" s="2530"/>
      <c r="M249" s="1678"/>
      <c r="N249" s="1678"/>
      <c r="O249" s="1678"/>
      <c r="P249" s="1678"/>
      <c r="Q249" s="149"/>
      <c r="R249" s="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row>
    <row r="250" spans="1:129" ht="29.5" customHeight="1">
      <c r="B250" s="1167"/>
      <c r="C250" s="1740" t="str">
        <f>IF(Community_Room="Yes","Yes","No")</f>
        <v>No</v>
      </c>
      <c r="D250" s="2522" t="s">
        <v>5021</v>
      </c>
      <c r="E250" s="2522"/>
      <c r="F250" s="2522"/>
      <c r="G250" s="2523"/>
      <c r="H250" s="2519" t="str">
        <f>_xlfn.CONCAT("Community Room, tab 10. Project Amenities: ",IF(Community_Room="","blank",Community_Room),".")</f>
        <v>Community Room, tab 10. Project Amenities: blank.</v>
      </c>
      <c r="I250" s="2520"/>
      <c r="J250" s="2520"/>
      <c r="K250" s="2520"/>
      <c r="L250" s="2521"/>
      <c r="M250" s="1678"/>
      <c r="N250" s="1678"/>
      <c r="O250" s="1678"/>
      <c r="P250" s="1678"/>
      <c r="Q250" s="149"/>
      <c r="R250" s="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row>
    <row r="251" spans="1:129">
      <c r="B251" s="1167"/>
      <c r="C251" s="1167"/>
      <c r="D251" s="1167"/>
      <c r="E251" s="1167"/>
      <c r="F251" s="1167"/>
      <c r="G251" s="1167"/>
      <c r="H251" s="1167"/>
      <c r="I251" s="1167"/>
      <c r="J251" s="1167"/>
      <c r="K251" s="1167"/>
      <c r="L251" s="1167"/>
      <c r="M251" s="1678"/>
      <c r="N251" s="1678"/>
      <c r="O251" s="1678"/>
      <c r="P251" s="1678"/>
      <c r="Q251" s="149"/>
      <c r="R251" s="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row>
    <row r="252" spans="1:129" ht="16">
      <c r="B252" s="1167"/>
      <c r="C252" s="1375" t="s">
        <v>4734</v>
      </c>
      <c r="D252" s="1375" t="s">
        <v>4708</v>
      </c>
      <c r="E252" s="1375" t="s">
        <v>1010</v>
      </c>
      <c r="F252" s="1167"/>
      <c r="G252" s="1167"/>
      <c r="H252" s="1167"/>
      <c r="I252" s="1167"/>
      <c r="J252" s="1167"/>
      <c r="K252" s="1167"/>
      <c r="L252" s="1167"/>
      <c r="M252" s="1678"/>
      <c r="N252" s="1678"/>
      <c r="O252" s="1678"/>
      <c r="P252" s="1678"/>
      <c r="Q252" s="149"/>
      <c r="R252" s="9"/>
      <c r="S252" s="9">
        <f>SUM(S247:S248)</f>
        <v>0</v>
      </c>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row>
    <row r="253" spans="1:129" ht="16">
      <c r="B253" s="1167"/>
      <c r="C253" s="1734">
        <v>2</v>
      </c>
      <c r="D253" s="1735">
        <f>S252</f>
        <v>0</v>
      </c>
      <c r="E253" s="1044"/>
      <c r="F253" s="1167"/>
      <c r="G253" s="1167"/>
      <c r="H253" s="1167"/>
      <c r="I253" s="1167"/>
      <c r="J253" s="1167"/>
      <c r="K253" s="1167"/>
      <c r="L253" s="1167"/>
      <c r="M253" s="1678"/>
      <c r="N253" s="1678"/>
      <c r="O253" s="1678"/>
      <c r="P253" s="1678"/>
      <c r="Q253" s="149"/>
      <c r="R253" s="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row>
    <row r="254" spans="1:129">
      <c r="B254" s="1167"/>
      <c r="C254" s="1167"/>
      <c r="D254" s="1167"/>
      <c r="E254" s="1167"/>
      <c r="F254" s="1167"/>
      <c r="G254" s="1167"/>
      <c r="H254" s="1167"/>
      <c r="I254" s="1167"/>
      <c r="J254" s="1167"/>
      <c r="K254" s="1167"/>
      <c r="L254" s="1167"/>
      <c r="M254" s="1678"/>
      <c r="N254" s="1678"/>
      <c r="O254" s="1678"/>
      <c r="P254" s="1678"/>
      <c r="Q254" s="149"/>
      <c r="R254" s="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row>
    <row r="255" spans="1:129" ht="19">
      <c r="B255" s="8" t="s">
        <v>3364</v>
      </c>
      <c r="C255" s="3"/>
      <c r="D255" s="3"/>
      <c r="E255" s="3"/>
      <c r="F255" s="3"/>
      <c r="G255" s="3"/>
      <c r="H255" s="3"/>
      <c r="I255" s="3"/>
      <c r="J255" s="8" t="s">
        <v>3372</v>
      </c>
      <c r="K255" s="3"/>
      <c r="L255" s="3"/>
      <c r="M255" s="3"/>
      <c r="N255" s="3"/>
      <c r="O255" s="3"/>
      <c r="P255" s="3"/>
      <c r="Q255" s="149"/>
      <c r="R255" s="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row>
    <row r="256" spans="1:129">
      <c r="B256" s="1170" t="s">
        <v>4538</v>
      </c>
      <c r="C256" s="1167"/>
      <c r="D256" s="1167"/>
      <c r="E256" s="1167"/>
      <c r="F256" s="1167"/>
      <c r="G256" s="1167"/>
      <c r="H256" s="1167"/>
      <c r="I256" s="1167"/>
      <c r="J256" s="1172" t="s">
        <v>4434</v>
      </c>
      <c r="K256" s="1167"/>
      <c r="L256" s="1167"/>
      <c r="M256" s="1167"/>
      <c r="N256" s="1167"/>
      <c r="O256" s="1167"/>
      <c r="P256" s="1167"/>
      <c r="Q256" s="149"/>
      <c r="R256" s="9"/>
      <c r="AJ256" s="14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row>
    <row r="257" spans="2:94">
      <c r="B257" s="1167"/>
      <c r="C257" s="1957"/>
      <c r="D257" s="1958"/>
      <c r="E257" s="1958"/>
      <c r="F257" s="1958"/>
      <c r="G257" s="1958"/>
      <c r="H257" s="1959"/>
      <c r="I257" s="1167"/>
      <c r="J257" s="1957"/>
      <c r="K257" s="1958"/>
      <c r="L257" s="1958"/>
      <c r="M257" s="1958"/>
      <c r="N257" s="1958"/>
      <c r="O257" s="1959"/>
      <c r="P257" s="1167"/>
      <c r="Q257" s="149"/>
      <c r="R257" s="9"/>
      <c r="AJ257" s="14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row>
    <row r="258" spans="2:94">
      <c r="B258" s="1167"/>
      <c r="C258" s="1960"/>
      <c r="D258" s="1961"/>
      <c r="E258" s="1961"/>
      <c r="F258" s="1961"/>
      <c r="G258" s="1961"/>
      <c r="H258" s="1962"/>
      <c r="I258" s="1167"/>
      <c r="J258" s="1960"/>
      <c r="K258" s="1961"/>
      <c r="L258" s="1961"/>
      <c r="M258" s="1961"/>
      <c r="N258" s="1961"/>
      <c r="O258" s="1962"/>
      <c r="P258" s="1167"/>
      <c r="Q258" s="149"/>
      <c r="R258" s="9"/>
      <c r="AJ258" s="14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row>
    <row r="259" spans="2:94">
      <c r="B259" s="1167"/>
      <c r="C259" s="1960"/>
      <c r="D259" s="1961"/>
      <c r="E259" s="1961"/>
      <c r="F259" s="1961"/>
      <c r="G259" s="1961"/>
      <c r="H259" s="1962"/>
      <c r="I259" s="1167"/>
      <c r="J259" s="1960"/>
      <c r="K259" s="1961"/>
      <c r="L259" s="1961"/>
      <c r="M259" s="1961"/>
      <c r="N259" s="1961"/>
      <c r="O259" s="1962"/>
      <c r="P259" s="1167"/>
      <c r="Q259" s="149"/>
      <c r="R259" s="9"/>
      <c r="AJ259" s="14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row>
    <row r="260" spans="2:94">
      <c r="B260" s="1167"/>
      <c r="C260" s="1960"/>
      <c r="D260" s="1961"/>
      <c r="E260" s="1961"/>
      <c r="F260" s="1961"/>
      <c r="G260" s="1961"/>
      <c r="H260" s="1962"/>
      <c r="I260" s="1167"/>
      <c r="J260" s="1960"/>
      <c r="K260" s="1961"/>
      <c r="L260" s="1961"/>
      <c r="M260" s="1961"/>
      <c r="N260" s="1961"/>
      <c r="O260" s="1962"/>
      <c r="P260" s="1167"/>
      <c r="Q260" s="149"/>
      <c r="R260" s="9"/>
      <c r="AJ260" s="14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row>
    <row r="261" spans="2:94">
      <c r="B261" s="1167"/>
      <c r="C261" s="1960"/>
      <c r="D261" s="1961"/>
      <c r="E261" s="1961"/>
      <c r="F261" s="1961"/>
      <c r="G261" s="1961"/>
      <c r="H261" s="1962"/>
      <c r="I261" s="1167"/>
      <c r="J261" s="1960"/>
      <c r="K261" s="1961"/>
      <c r="L261" s="1961"/>
      <c r="M261" s="1961"/>
      <c r="N261" s="1961"/>
      <c r="O261" s="1962"/>
      <c r="P261" s="1167"/>
      <c r="Q261" s="149"/>
      <c r="R261" s="9"/>
      <c r="AJ261" s="14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row>
    <row r="262" spans="2:94">
      <c r="B262" s="1167"/>
      <c r="C262" s="1960"/>
      <c r="D262" s="1961"/>
      <c r="E262" s="1961"/>
      <c r="F262" s="1961"/>
      <c r="G262" s="1961"/>
      <c r="H262" s="1962"/>
      <c r="I262" s="1167"/>
      <c r="J262" s="1960"/>
      <c r="K262" s="1961"/>
      <c r="L262" s="1961"/>
      <c r="M262" s="1961"/>
      <c r="N262" s="1961"/>
      <c r="O262" s="1962"/>
      <c r="P262" s="1167"/>
      <c r="Q262" s="149"/>
      <c r="R262" s="9"/>
      <c r="AJ262" s="14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row>
    <row r="263" spans="2:94">
      <c r="B263" s="1167"/>
      <c r="C263" s="1960"/>
      <c r="D263" s="1961"/>
      <c r="E263" s="1961"/>
      <c r="F263" s="1961"/>
      <c r="G263" s="1961"/>
      <c r="H263" s="1962"/>
      <c r="I263" s="1167"/>
      <c r="J263" s="1960"/>
      <c r="K263" s="1961"/>
      <c r="L263" s="1961"/>
      <c r="M263" s="1961"/>
      <c r="N263" s="1961"/>
      <c r="O263" s="1962"/>
      <c r="P263" s="1167"/>
      <c r="Q263" s="149"/>
      <c r="R263" s="9"/>
      <c r="AJ263" s="14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row>
    <row r="264" spans="2:94">
      <c r="B264" s="1167"/>
      <c r="C264" s="1960"/>
      <c r="D264" s="1961"/>
      <c r="E264" s="1961"/>
      <c r="F264" s="1961"/>
      <c r="G264" s="1961"/>
      <c r="H264" s="1962"/>
      <c r="I264" s="1167"/>
      <c r="J264" s="1960"/>
      <c r="K264" s="1961"/>
      <c r="L264" s="1961"/>
      <c r="M264" s="1961"/>
      <c r="N264" s="1961"/>
      <c r="O264" s="1962"/>
      <c r="P264" s="1167"/>
      <c r="Q264" s="149"/>
      <c r="R264" s="9"/>
      <c r="AJ264" s="14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row>
    <row r="265" spans="2:94">
      <c r="B265" s="1167"/>
      <c r="C265" s="1960"/>
      <c r="D265" s="1961"/>
      <c r="E265" s="1961"/>
      <c r="F265" s="1961"/>
      <c r="G265" s="1961"/>
      <c r="H265" s="1962"/>
      <c r="I265" s="1167"/>
      <c r="J265" s="1963"/>
      <c r="K265" s="1964"/>
      <c r="L265" s="1964"/>
      <c r="M265" s="1964"/>
      <c r="N265" s="1964"/>
      <c r="O265" s="1965"/>
      <c r="P265" s="1167"/>
      <c r="Q265" s="149"/>
      <c r="R265" s="9"/>
      <c r="AJ265" s="14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row>
    <row r="266" spans="2:94">
      <c r="B266" s="1167"/>
      <c r="C266" s="1960"/>
      <c r="D266" s="1961"/>
      <c r="E266" s="1961"/>
      <c r="F266" s="1961"/>
      <c r="G266" s="1961"/>
      <c r="H266" s="1962"/>
      <c r="I266" s="1167"/>
      <c r="J266" s="1733" t="s">
        <v>4766</v>
      </c>
      <c r="K266" s="1167"/>
      <c r="L266" s="1167"/>
      <c r="M266" s="1167"/>
      <c r="N266" s="1167"/>
      <c r="O266" s="1167"/>
      <c r="P266" s="1167"/>
      <c r="Q266" s="149"/>
      <c r="R266" s="9"/>
      <c r="AJ266" s="14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row>
    <row r="267" spans="2:94">
      <c r="B267" s="1167"/>
      <c r="C267" s="1963"/>
      <c r="D267" s="1964"/>
      <c r="E267" s="1964"/>
      <c r="F267" s="1964"/>
      <c r="G267" s="1964"/>
      <c r="H267" s="1965"/>
      <c r="I267" s="1167"/>
      <c r="J267" s="2489"/>
      <c r="K267" s="2489"/>
      <c r="L267" s="2489"/>
      <c r="M267" s="2489"/>
      <c r="N267" s="2489"/>
      <c r="O267" s="2489"/>
      <c r="P267" s="1167"/>
      <c r="Q267" s="149"/>
      <c r="R267" s="9"/>
      <c r="AJ267" s="14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row>
    <row r="268" spans="2:94">
      <c r="B268" s="1167"/>
      <c r="C268" s="1167"/>
      <c r="D268" s="1167"/>
      <c r="E268" s="1167"/>
      <c r="F268" s="1167"/>
      <c r="G268" s="1167"/>
      <c r="H268" s="1167"/>
      <c r="I268" s="1167"/>
      <c r="J268" s="1167"/>
      <c r="K268" s="1167"/>
      <c r="L268" s="1167"/>
      <c r="M268" s="1167"/>
      <c r="N268" s="1167"/>
      <c r="O268" s="1167"/>
      <c r="P268" s="1167"/>
      <c r="Q268" s="149"/>
      <c r="R268" s="9"/>
      <c r="AJ268" s="14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row>
    <row r="269" spans="2:94">
      <c r="B269" s="3"/>
      <c r="C269" s="3"/>
      <c r="D269" s="3"/>
      <c r="E269" s="3"/>
      <c r="F269" s="3"/>
      <c r="G269" s="3"/>
      <c r="H269" s="3"/>
      <c r="I269" s="3"/>
      <c r="J269" s="3"/>
      <c r="K269" s="3"/>
      <c r="L269" s="3"/>
      <c r="M269" s="1711"/>
      <c r="N269" s="3"/>
      <c r="O269" s="3"/>
      <c r="P269" s="3"/>
      <c r="Q269" s="149"/>
      <c r="AJ269" s="14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row>
    <row r="270" spans="2:94">
      <c r="B270" s="3"/>
      <c r="C270" s="3"/>
      <c r="D270" s="3"/>
      <c r="E270" s="3"/>
      <c r="F270" s="3"/>
      <c r="G270" s="3"/>
      <c r="H270" s="3"/>
      <c r="I270" s="3"/>
      <c r="J270" s="3"/>
      <c r="K270" s="3"/>
      <c r="L270" s="3"/>
      <c r="M270" s="1711"/>
      <c r="N270" s="3"/>
      <c r="O270" s="3"/>
      <c r="P270" s="3"/>
      <c r="Q270" s="149"/>
      <c r="AJ270" s="14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row>
    <row r="271" spans="2:94">
      <c r="B271" s="3"/>
      <c r="C271" s="3"/>
      <c r="D271" s="3"/>
      <c r="E271" s="3"/>
      <c r="F271" s="3"/>
      <c r="G271" s="3"/>
      <c r="H271" s="3"/>
      <c r="I271" s="3"/>
      <c r="J271" s="3"/>
      <c r="K271" s="3"/>
      <c r="L271" s="3"/>
      <c r="M271" s="1711"/>
      <c r="N271" s="3"/>
      <c r="O271" s="3"/>
      <c r="P271" s="3"/>
      <c r="Q271" s="149"/>
      <c r="AJ271" s="14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row>
    <row r="272" spans="2:94">
      <c r="B272" s="3"/>
      <c r="C272" s="3"/>
      <c r="D272" s="3"/>
      <c r="E272" s="3"/>
      <c r="F272" s="3"/>
      <c r="G272" s="3"/>
      <c r="H272" s="3"/>
      <c r="I272" s="3"/>
      <c r="J272" s="3"/>
      <c r="K272" s="3"/>
      <c r="L272" s="3"/>
      <c r="M272" s="1711"/>
      <c r="N272" s="3"/>
      <c r="O272" s="3"/>
      <c r="P272" s="3"/>
      <c r="Q272" s="149"/>
      <c r="AJ272" s="14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row>
    <row r="273" spans="2:94">
      <c r="B273" s="3"/>
      <c r="C273" s="3"/>
      <c r="D273" s="3"/>
      <c r="E273" s="3"/>
      <c r="F273" s="3"/>
      <c r="G273" s="3"/>
      <c r="H273" s="3"/>
      <c r="I273" s="3"/>
      <c r="J273" s="3"/>
      <c r="K273" s="3"/>
      <c r="L273" s="3"/>
      <c r="M273" s="1711"/>
      <c r="N273" s="3"/>
      <c r="O273" s="3"/>
      <c r="P273" s="3"/>
      <c r="Q273" s="149"/>
      <c r="AJ273" s="14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row>
    <row r="274" spans="2:94">
      <c r="B274" s="3"/>
      <c r="C274" s="3"/>
      <c r="D274" s="3"/>
      <c r="E274" s="3"/>
      <c r="F274" s="3"/>
      <c r="G274" s="3"/>
      <c r="H274" s="3"/>
      <c r="I274" s="3"/>
      <c r="J274" s="3"/>
      <c r="K274" s="3"/>
      <c r="L274" s="3"/>
      <c r="M274" s="1711"/>
      <c r="N274" s="3"/>
      <c r="O274" s="3"/>
      <c r="P274" s="3"/>
      <c r="Q274" s="149"/>
      <c r="AJ274" s="14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row>
    <row r="275" spans="2:94">
      <c r="B275" s="3"/>
      <c r="C275" s="3"/>
      <c r="D275" s="3"/>
      <c r="E275" s="3"/>
      <c r="F275" s="3"/>
      <c r="G275" s="3"/>
      <c r="H275" s="3"/>
      <c r="I275" s="3"/>
      <c r="J275" s="3"/>
      <c r="K275" s="3"/>
      <c r="L275" s="3"/>
      <c r="M275" s="1711"/>
      <c r="N275" s="3"/>
      <c r="O275" s="3"/>
      <c r="P275" s="3"/>
      <c r="Q275" s="149"/>
      <c r="AJ275" s="14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row>
    <row r="276" spans="2:94">
      <c r="B276" s="3"/>
      <c r="C276" s="3"/>
      <c r="D276" s="3"/>
      <c r="E276" s="3"/>
      <c r="F276" s="3"/>
      <c r="G276" s="3"/>
      <c r="H276" s="3"/>
      <c r="I276" s="3"/>
      <c r="J276" s="3"/>
      <c r="K276" s="3"/>
      <c r="L276" s="3"/>
      <c r="M276" s="1711"/>
      <c r="N276" s="3"/>
      <c r="O276" s="3"/>
      <c r="P276" s="3"/>
      <c r="Q276" s="149"/>
      <c r="AJ276" s="14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row>
    <row r="277" spans="2:94">
      <c r="B277" s="3"/>
      <c r="C277" s="3"/>
      <c r="D277" s="3"/>
      <c r="E277" s="3"/>
      <c r="F277" s="3"/>
      <c r="G277" s="3"/>
      <c r="H277" s="3"/>
      <c r="I277" s="3"/>
      <c r="J277" s="3"/>
      <c r="K277" s="3"/>
      <c r="L277" s="3"/>
      <c r="M277" s="1711"/>
      <c r="N277" s="3"/>
      <c r="O277" s="3"/>
      <c r="P277" s="3"/>
      <c r="Q277" s="149"/>
      <c r="AJ277" s="14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row>
    <row r="278" spans="2:94">
      <c r="B278" s="3"/>
      <c r="C278" s="3"/>
      <c r="D278" s="3"/>
      <c r="E278" s="3"/>
      <c r="F278" s="3"/>
      <c r="G278" s="3"/>
      <c r="H278" s="3"/>
      <c r="I278" s="3"/>
      <c r="J278" s="3"/>
      <c r="K278" s="3"/>
      <c r="L278" s="3"/>
      <c r="M278" s="1711"/>
      <c r="N278" s="3"/>
      <c r="O278" s="3"/>
      <c r="P278" s="3"/>
      <c r="Q278" s="149"/>
      <c r="AJ278" s="14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row>
    <row r="279" spans="2:94">
      <c r="B279" s="3"/>
      <c r="C279" s="3"/>
      <c r="D279" s="3"/>
      <c r="E279" s="3"/>
      <c r="F279" s="3"/>
      <c r="G279" s="3"/>
      <c r="H279" s="3"/>
      <c r="I279" s="3"/>
      <c r="J279" s="3"/>
      <c r="K279" s="3"/>
      <c r="L279" s="3"/>
      <c r="M279" s="1711"/>
      <c r="N279" s="3"/>
      <c r="O279" s="3"/>
      <c r="P279" s="3"/>
      <c r="Q279" s="149"/>
      <c r="AJ279" s="14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row>
    <row r="280" spans="2:94">
      <c r="B280" s="3"/>
      <c r="C280" s="3"/>
      <c r="D280" s="3"/>
      <c r="E280" s="3"/>
      <c r="F280" s="3"/>
      <c r="G280" s="3"/>
      <c r="H280" s="3"/>
      <c r="I280" s="3"/>
      <c r="J280" s="3"/>
      <c r="K280" s="3"/>
      <c r="L280" s="3"/>
      <c r="M280" s="1711"/>
      <c r="N280" s="3"/>
      <c r="O280" s="3"/>
      <c r="P280" s="3"/>
      <c r="Q280" s="149"/>
      <c r="AJ280" s="14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row>
    <row r="281" spans="2:94">
      <c r="B281" s="3"/>
      <c r="C281" s="3"/>
      <c r="D281" s="3"/>
      <c r="E281" s="3"/>
      <c r="F281" s="3"/>
      <c r="G281" s="3"/>
      <c r="H281" s="3"/>
      <c r="I281" s="3"/>
      <c r="J281" s="3"/>
      <c r="K281" s="3"/>
      <c r="L281" s="3"/>
      <c r="M281" s="1711"/>
      <c r="N281" s="3"/>
      <c r="O281" s="3"/>
      <c r="P281" s="3"/>
      <c r="Q281" s="149"/>
      <c r="AJ281" s="14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row>
    <row r="282" spans="2:94">
      <c r="B282" s="3"/>
      <c r="C282" s="3"/>
      <c r="D282" s="3"/>
      <c r="E282" s="3"/>
      <c r="F282" s="3"/>
      <c r="G282" s="3"/>
      <c r="H282" s="3"/>
      <c r="I282" s="3"/>
      <c r="J282" s="3"/>
      <c r="K282" s="3"/>
      <c r="L282" s="3"/>
      <c r="M282" s="1711"/>
      <c r="N282" s="3"/>
      <c r="O282" s="3"/>
      <c r="P282" s="3"/>
      <c r="Q282" s="149"/>
      <c r="AJ282" s="14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row>
    <row r="283" spans="2:94">
      <c r="B283" s="3"/>
      <c r="C283" s="3"/>
      <c r="D283" s="3"/>
      <c r="E283" s="3"/>
      <c r="F283" s="3"/>
      <c r="G283" s="3"/>
      <c r="H283" s="3"/>
      <c r="I283" s="3"/>
      <c r="J283" s="3"/>
      <c r="K283" s="3"/>
      <c r="L283" s="3"/>
      <c r="M283" s="1711"/>
      <c r="N283" s="3"/>
      <c r="O283" s="3"/>
      <c r="P283" s="3"/>
      <c r="Q283" s="149"/>
      <c r="AJ283" s="14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row>
    <row r="284" spans="2:94">
      <c r="B284" s="3"/>
      <c r="C284" s="3"/>
      <c r="D284" s="3"/>
      <c r="E284" s="3"/>
      <c r="F284" s="3"/>
      <c r="G284" s="3"/>
      <c r="H284" s="3"/>
      <c r="I284" s="3"/>
      <c r="J284" s="3"/>
      <c r="K284" s="3"/>
      <c r="L284" s="3"/>
      <c r="M284" s="1711"/>
      <c r="N284" s="3"/>
      <c r="O284" s="3"/>
      <c r="P284" s="3"/>
      <c r="Q284" s="149"/>
      <c r="AJ284" s="14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row>
    <row r="285" spans="2:94">
      <c r="B285" s="3"/>
      <c r="C285" s="3"/>
      <c r="D285" s="3"/>
      <c r="E285" s="3"/>
      <c r="F285" s="3"/>
      <c r="G285" s="3"/>
      <c r="H285" s="3"/>
      <c r="I285" s="3"/>
      <c r="J285" s="3"/>
      <c r="K285" s="3"/>
      <c r="L285" s="3"/>
      <c r="M285" s="1711"/>
      <c r="N285" s="3"/>
      <c r="O285" s="3"/>
      <c r="P285" s="3"/>
      <c r="Q285" s="149"/>
      <c r="AJ285" s="14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row>
    <row r="286" spans="2:94">
      <c r="B286" s="3"/>
      <c r="C286" s="3"/>
      <c r="D286" s="3"/>
      <c r="E286" s="3"/>
      <c r="F286" s="3"/>
      <c r="G286" s="3"/>
      <c r="H286" s="3"/>
      <c r="I286" s="3"/>
      <c r="J286" s="3"/>
      <c r="K286" s="3"/>
      <c r="L286" s="3"/>
      <c r="M286" s="1711"/>
      <c r="N286" s="3"/>
      <c r="O286" s="3"/>
      <c r="P286" s="3"/>
      <c r="Q286" s="149"/>
      <c r="AJ286" s="14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row>
    <row r="287" spans="2:94">
      <c r="B287" s="3"/>
      <c r="C287" s="3"/>
      <c r="D287" s="3"/>
      <c r="E287" s="3"/>
      <c r="F287" s="3"/>
      <c r="G287" s="3"/>
      <c r="H287" s="3"/>
      <c r="I287" s="3"/>
      <c r="J287" s="3"/>
      <c r="K287" s="3"/>
      <c r="L287" s="3"/>
      <c r="M287" s="1711"/>
      <c r="N287" s="3"/>
      <c r="O287" s="3"/>
      <c r="P287" s="3"/>
      <c r="Q287" s="149"/>
      <c r="AJ287" s="14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row>
    <row r="288" spans="2:94">
      <c r="B288" s="3"/>
      <c r="C288" s="3"/>
      <c r="D288" s="3"/>
      <c r="E288" s="3"/>
      <c r="F288" s="3"/>
      <c r="G288" s="3"/>
      <c r="H288" s="3"/>
      <c r="I288" s="3"/>
      <c r="J288" s="3"/>
      <c r="K288" s="3"/>
      <c r="L288" s="3"/>
      <c r="M288" s="1711"/>
      <c r="N288" s="3"/>
      <c r="O288" s="3"/>
      <c r="P288" s="3"/>
      <c r="Q288" s="149"/>
      <c r="AJ288" s="14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row>
    <row r="289" spans="2:94">
      <c r="B289" s="3"/>
      <c r="C289" s="3"/>
      <c r="D289" s="3"/>
      <c r="E289" s="3"/>
      <c r="F289" s="3"/>
      <c r="G289" s="3"/>
      <c r="H289" s="3"/>
      <c r="I289" s="3"/>
      <c r="J289" s="3"/>
      <c r="K289" s="3"/>
      <c r="L289" s="3"/>
      <c r="M289" s="1711"/>
      <c r="N289" s="3"/>
      <c r="O289" s="3"/>
      <c r="P289" s="3"/>
      <c r="Q289" s="149"/>
      <c r="AJ289" s="14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row>
    <row r="290" spans="2:94">
      <c r="B290" s="3"/>
      <c r="C290" s="3"/>
      <c r="D290" s="3"/>
      <c r="E290" s="3"/>
      <c r="F290" s="3"/>
      <c r="G290" s="3"/>
      <c r="H290" s="3"/>
      <c r="I290" s="3"/>
      <c r="J290" s="3"/>
      <c r="K290" s="3"/>
      <c r="L290" s="3"/>
      <c r="M290" s="1711"/>
      <c r="N290" s="3"/>
      <c r="O290" s="3"/>
      <c r="P290" s="3"/>
      <c r="Q290" s="149"/>
      <c r="AJ290" s="14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row>
    <row r="291" spans="2:94">
      <c r="B291" s="3"/>
      <c r="C291" s="3"/>
      <c r="D291" s="3"/>
      <c r="E291" s="3"/>
      <c r="F291" s="3"/>
      <c r="G291" s="3"/>
      <c r="H291" s="3"/>
      <c r="I291" s="3"/>
      <c r="J291" s="3"/>
      <c r="K291" s="3"/>
      <c r="L291" s="3"/>
      <c r="M291" s="1711"/>
      <c r="N291" s="3"/>
      <c r="O291" s="3"/>
      <c r="P291" s="3"/>
      <c r="Q291" s="149"/>
      <c r="AJ291" s="14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row>
    <row r="292" spans="2:94">
      <c r="B292" s="3"/>
      <c r="C292" s="3"/>
      <c r="D292" s="3"/>
      <c r="E292" s="3"/>
      <c r="F292" s="3"/>
      <c r="G292" s="3"/>
      <c r="H292" s="3"/>
      <c r="I292" s="3"/>
      <c r="J292" s="3"/>
      <c r="K292" s="3"/>
      <c r="L292" s="3"/>
      <c r="M292" s="1711"/>
      <c r="N292" s="3"/>
      <c r="O292" s="3"/>
      <c r="P292" s="3"/>
      <c r="Q292" s="149"/>
      <c r="AJ292" s="14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row>
    <row r="293" spans="2:94">
      <c r="B293" s="3"/>
      <c r="C293" s="3"/>
      <c r="D293" s="3"/>
      <c r="E293" s="3"/>
      <c r="F293" s="3"/>
      <c r="G293" s="3"/>
      <c r="H293" s="3"/>
      <c r="I293" s="3"/>
      <c r="J293" s="3"/>
      <c r="K293" s="3"/>
      <c r="L293" s="3"/>
      <c r="M293" s="1711"/>
      <c r="N293" s="3"/>
      <c r="O293" s="3"/>
      <c r="P293" s="3"/>
      <c r="Q293" s="149"/>
      <c r="AJ293" s="14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row>
    <row r="294" spans="2:94">
      <c r="B294" s="3"/>
      <c r="C294" s="3"/>
      <c r="D294" s="3"/>
      <c r="E294" s="3"/>
      <c r="F294" s="3"/>
      <c r="G294" s="3"/>
      <c r="H294" s="3"/>
      <c r="I294" s="3"/>
      <c r="J294" s="3"/>
      <c r="K294" s="3"/>
      <c r="L294" s="3"/>
      <c r="M294" s="1711"/>
      <c r="N294" s="3"/>
      <c r="O294" s="3"/>
      <c r="P294" s="3"/>
      <c r="Q294" s="149"/>
      <c r="AJ294" s="14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row>
    <row r="295" spans="2:94">
      <c r="B295" s="3"/>
      <c r="C295" s="3"/>
      <c r="D295" s="3"/>
      <c r="E295" s="3"/>
      <c r="F295" s="3"/>
      <c r="G295" s="3"/>
      <c r="H295" s="3"/>
      <c r="I295" s="3"/>
      <c r="J295" s="3"/>
      <c r="K295" s="3"/>
      <c r="L295" s="3"/>
      <c r="M295" s="1711"/>
      <c r="N295" s="3"/>
      <c r="O295" s="3"/>
      <c r="P295" s="3"/>
      <c r="Q295" s="149"/>
      <c r="AJ295" s="14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row>
    <row r="296" spans="2:94">
      <c r="B296" s="3"/>
      <c r="C296" s="3"/>
      <c r="D296" s="3"/>
      <c r="E296" s="3"/>
      <c r="F296" s="3"/>
      <c r="G296" s="3"/>
      <c r="H296" s="3"/>
      <c r="I296" s="3"/>
      <c r="J296" s="3"/>
      <c r="K296" s="3"/>
      <c r="L296" s="3"/>
      <c r="M296" s="1711"/>
      <c r="N296" s="3"/>
      <c r="O296" s="3"/>
      <c r="P296" s="3"/>
      <c r="Q296" s="149"/>
      <c r="AJ296" s="14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row>
    <row r="297" spans="2:94">
      <c r="B297" s="3"/>
      <c r="C297" s="3"/>
      <c r="D297" s="3"/>
      <c r="E297" s="3"/>
      <c r="F297" s="3"/>
      <c r="G297" s="3"/>
      <c r="H297" s="3"/>
      <c r="I297" s="3"/>
      <c r="J297" s="3"/>
      <c r="K297" s="3"/>
      <c r="L297" s="3"/>
      <c r="M297" s="1711"/>
      <c r="N297" s="3"/>
      <c r="O297" s="3"/>
      <c r="P297" s="3"/>
      <c r="Q297" s="149"/>
      <c r="AJ297" s="14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row>
    <row r="298" spans="2:94">
      <c r="B298" s="3"/>
      <c r="C298" s="3"/>
      <c r="D298" s="3"/>
      <c r="E298" s="3"/>
      <c r="F298" s="3"/>
      <c r="G298" s="3"/>
      <c r="H298" s="3"/>
      <c r="I298" s="3"/>
      <c r="J298" s="3"/>
      <c r="K298" s="3"/>
      <c r="L298" s="3"/>
      <c r="M298" s="1711"/>
      <c r="N298" s="3"/>
      <c r="O298" s="3"/>
      <c r="P298" s="3"/>
      <c r="Q298" s="149"/>
      <c r="AJ298" s="14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row>
    <row r="299" spans="2:94">
      <c r="B299" s="3"/>
      <c r="C299" s="3"/>
      <c r="D299" s="3"/>
      <c r="E299" s="3"/>
      <c r="F299" s="3"/>
      <c r="G299" s="3"/>
      <c r="H299" s="3"/>
      <c r="I299" s="3"/>
      <c r="J299" s="3"/>
      <c r="K299" s="3"/>
      <c r="L299" s="3"/>
      <c r="M299" s="1711"/>
      <c r="N299" s="3"/>
      <c r="O299" s="3"/>
      <c r="P299" s="3"/>
      <c r="Q299" s="149"/>
      <c r="AJ299" s="14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row>
    <row r="300" spans="2:94">
      <c r="B300" s="3"/>
      <c r="C300" s="3"/>
      <c r="D300" s="3"/>
      <c r="E300" s="3"/>
      <c r="F300" s="3"/>
      <c r="G300" s="3"/>
      <c r="H300" s="3"/>
      <c r="I300" s="3"/>
      <c r="J300" s="3"/>
      <c r="K300" s="3"/>
      <c r="L300" s="3"/>
      <c r="M300" s="1711"/>
      <c r="N300" s="3"/>
      <c r="O300" s="3"/>
      <c r="P300" s="3"/>
      <c r="Q300" s="149"/>
      <c r="AJ300" s="14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row>
    <row r="301" spans="2:94">
      <c r="B301" s="3"/>
      <c r="C301" s="3"/>
      <c r="D301" s="3"/>
      <c r="E301" s="3"/>
      <c r="F301" s="3"/>
      <c r="G301" s="3"/>
      <c r="H301" s="3"/>
      <c r="I301" s="3"/>
      <c r="J301" s="3"/>
      <c r="K301" s="3"/>
      <c r="L301" s="3"/>
      <c r="M301" s="1711"/>
      <c r="N301" s="3"/>
      <c r="O301" s="3"/>
      <c r="P301" s="3"/>
      <c r="Q301" s="149"/>
      <c r="AJ301" s="14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row>
    <row r="302" spans="2:94">
      <c r="B302" s="3"/>
      <c r="C302" s="3"/>
      <c r="D302" s="3"/>
      <c r="E302" s="3"/>
      <c r="F302" s="3"/>
      <c r="G302" s="3"/>
      <c r="H302" s="3"/>
      <c r="I302" s="3"/>
      <c r="J302" s="3"/>
      <c r="K302" s="3"/>
      <c r="L302" s="3"/>
      <c r="M302" s="1711"/>
      <c r="N302" s="3"/>
      <c r="O302" s="3"/>
      <c r="P302" s="3"/>
      <c r="Q302" s="149"/>
      <c r="AJ302" s="14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row>
    <row r="303" spans="2:94">
      <c r="B303" s="3"/>
      <c r="C303" s="3"/>
      <c r="D303" s="3"/>
      <c r="E303" s="3"/>
      <c r="F303" s="3"/>
      <c r="G303" s="3"/>
      <c r="H303" s="3"/>
      <c r="I303" s="3"/>
      <c r="J303" s="3"/>
      <c r="K303" s="3"/>
      <c r="L303" s="3"/>
      <c r="M303" s="1711"/>
      <c r="N303" s="3"/>
      <c r="O303" s="3"/>
      <c r="P303" s="3"/>
      <c r="Q303" s="149"/>
      <c r="AJ303" s="14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row>
    <row r="304" spans="2:94">
      <c r="B304" s="3"/>
      <c r="C304" s="3"/>
      <c r="D304" s="3"/>
      <c r="E304" s="3"/>
      <c r="F304" s="3"/>
      <c r="G304" s="3"/>
      <c r="H304" s="3"/>
      <c r="I304" s="3"/>
      <c r="J304" s="3"/>
      <c r="K304" s="3"/>
      <c r="L304" s="3"/>
      <c r="M304" s="1711"/>
      <c r="N304" s="3"/>
      <c r="O304" s="3"/>
      <c r="P304" s="3"/>
      <c r="Q304" s="149"/>
      <c r="AJ304" s="14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row>
    <row r="305" spans="2:94">
      <c r="B305" s="3"/>
      <c r="C305" s="3"/>
      <c r="D305" s="3"/>
      <c r="E305" s="3"/>
      <c r="F305" s="3"/>
      <c r="G305" s="3"/>
      <c r="H305" s="3"/>
      <c r="I305" s="3"/>
      <c r="J305" s="3"/>
      <c r="K305" s="3"/>
      <c r="L305" s="3"/>
      <c r="M305" s="1711"/>
      <c r="N305" s="3"/>
      <c r="O305" s="3"/>
      <c r="P305" s="3"/>
      <c r="Q305" s="149"/>
      <c r="AJ305" s="14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row>
    <row r="306" spans="2:94">
      <c r="B306" s="3"/>
      <c r="C306" s="3"/>
      <c r="D306" s="3"/>
      <c r="E306" s="3"/>
      <c r="F306" s="3"/>
      <c r="G306" s="3"/>
      <c r="H306" s="3"/>
      <c r="I306" s="3"/>
      <c r="J306" s="3"/>
      <c r="K306" s="3"/>
      <c r="L306" s="3"/>
      <c r="M306" s="1711"/>
      <c r="N306" s="3"/>
      <c r="O306" s="3"/>
      <c r="P306" s="3"/>
      <c r="Q306" s="149"/>
      <c r="AJ306" s="14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row>
    <row r="307" spans="2:94">
      <c r="B307" s="3"/>
      <c r="C307" s="3"/>
      <c r="D307" s="3"/>
      <c r="E307" s="3"/>
      <c r="F307" s="3"/>
      <c r="G307" s="3"/>
      <c r="H307" s="3"/>
      <c r="I307" s="3"/>
      <c r="J307" s="3"/>
      <c r="K307" s="3"/>
      <c r="L307" s="3"/>
      <c r="M307" s="1711"/>
      <c r="N307" s="3"/>
      <c r="O307" s="3"/>
      <c r="P307" s="3"/>
      <c r="Q307" s="149"/>
      <c r="AJ307" s="14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row>
    <row r="308" spans="2:94">
      <c r="B308" s="3"/>
      <c r="C308" s="3"/>
      <c r="D308" s="3"/>
      <c r="E308" s="3"/>
      <c r="F308" s="3"/>
      <c r="G308" s="3"/>
      <c r="H308" s="3"/>
      <c r="I308" s="3"/>
      <c r="J308" s="3"/>
      <c r="K308" s="3"/>
      <c r="L308" s="3"/>
      <c r="M308" s="1711"/>
      <c r="N308" s="3"/>
      <c r="O308" s="3"/>
      <c r="P308" s="3"/>
      <c r="Q308" s="149"/>
      <c r="AJ308" s="14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row>
    <row r="309" spans="2:94">
      <c r="B309" s="3"/>
      <c r="C309" s="3"/>
      <c r="D309" s="3"/>
      <c r="E309" s="3"/>
      <c r="F309" s="3"/>
      <c r="G309" s="3"/>
      <c r="H309" s="3"/>
      <c r="I309" s="3"/>
      <c r="J309" s="3"/>
      <c r="K309" s="3"/>
      <c r="L309" s="3"/>
      <c r="M309" s="1711"/>
      <c r="N309" s="3"/>
      <c r="O309" s="3"/>
      <c r="P309" s="3"/>
      <c r="Q309" s="149"/>
      <c r="AJ309" s="14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row>
    <row r="310" spans="2:94">
      <c r="B310" s="3"/>
      <c r="C310" s="3"/>
      <c r="D310" s="3"/>
      <c r="E310" s="3"/>
      <c r="F310" s="3"/>
      <c r="G310" s="3"/>
      <c r="H310" s="3"/>
      <c r="I310" s="3"/>
      <c r="J310" s="3"/>
      <c r="K310" s="3"/>
      <c r="L310" s="3"/>
      <c r="M310" s="1711"/>
      <c r="N310" s="3"/>
      <c r="O310" s="3"/>
      <c r="P310" s="3"/>
      <c r="Q310" s="149"/>
      <c r="AJ310" s="14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row>
    <row r="311" spans="2:94">
      <c r="B311" s="3"/>
      <c r="C311" s="3"/>
      <c r="D311" s="3"/>
      <c r="E311" s="3"/>
      <c r="F311" s="3"/>
      <c r="G311" s="3"/>
      <c r="H311" s="3"/>
      <c r="I311" s="3"/>
      <c r="J311" s="3"/>
      <c r="K311" s="3"/>
      <c r="L311" s="3"/>
      <c r="M311" s="1711"/>
      <c r="N311" s="3"/>
      <c r="O311" s="3"/>
      <c r="P311" s="3"/>
      <c r="Q311" s="149"/>
      <c r="AJ311" s="14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row>
    <row r="312" spans="2:94">
      <c r="B312" s="3"/>
      <c r="C312" s="3"/>
      <c r="D312" s="3"/>
      <c r="E312" s="3"/>
      <c r="F312" s="3"/>
      <c r="G312" s="3"/>
      <c r="H312" s="3"/>
      <c r="I312" s="3"/>
      <c r="J312" s="3"/>
      <c r="K312" s="3"/>
      <c r="L312" s="3"/>
      <c r="M312" s="1711"/>
      <c r="N312" s="3"/>
      <c r="O312" s="3"/>
      <c r="P312" s="3"/>
      <c r="Q312" s="149"/>
      <c r="AJ312" s="14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row>
    <row r="313" spans="2:94">
      <c r="B313" s="3"/>
      <c r="C313" s="3"/>
      <c r="D313" s="3"/>
      <c r="E313" s="3"/>
      <c r="F313" s="3"/>
      <c r="G313" s="3"/>
      <c r="H313" s="3"/>
      <c r="I313" s="3"/>
      <c r="J313" s="3"/>
      <c r="K313" s="3"/>
      <c r="L313" s="3"/>
      <c r="M313" s="1711"/>
      <c r="N313" s="3"/>
      <c r="O313" s="3"/>
      <c r="P313" s="3"/>
      <c r="Q313" s="149"/>
      <c r="AJ313" s="14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row>
    <row r="314" spans="2:94">
      <c r="B314" s="3"/>
      <c r="C314" s="3"/>
      <c r="D314" s="3"/>
      <c r="E314" s="3"/>
      <c r="F314" s="3"/>
      <c r="G314" s="3"/>
      <c r="H314" s="3"/>
      <c r="I314" s="3"/>
      <c r="J314" s="3"/>
      <c r="K314" s="3"/>
      <c r="L314" s="3"/>
      <c r="M314" s="1711"/>
      <c r="N314" s="3"/>
      <c r="O314" s="3"/>
      <c r="P314" s="3"/>
      <c r="Q314" s="149"/>
      <c r="AJ314" s="14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row>
    <row r="315" spans="2:94">
      <c r="B315" s="3"/>
      <c r="C315" s="3"/>
      <c r="D315" s="3"/>
      <c r="E315" s="3"/>
      <c r="F315" s="3"/>
      <c r="G315" s="3"/>
      <c r="H315" s="3"/>
      <c r="I315" s="3"/>
      <c r="J315" s="3"/>
      <c r="K315" s="3"/>
      <c r="L315" s="3"/>
      <c r="M315" s="1711"/>
      <c r="N315" s="3"/>
      <c r="O315" s="3"/>
      <c r="P315" s="3"/>
      <c r="Q315" s="149"/>
      <c r="AJ315" s="14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row>
    <row r="316" spans="2:94">
      <c r="B316" s="3"/>
      <c r="C316" s="3"/>
      <c r="D316" s="3"/>
      <c r="E316" s="3"/>
      <c r="F316" s="3"/>
      <c r="G316" s="3"/>
      <c r="H316" s="3"/>
      <c r="I316" s="3"/>
      <c r="J316" s="3"/>
      <c r="K316" s="3"/>
      <c r="L316" s="3"/>
      <c r="M316" s="1711"/>
      <c r="N316" s="3"/>
      <c r="O316" s="3"/>
      <c r="P316" s="3"/>
      <c r="Q316" s="149"/>
      <c r="AJ316" s="14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row>
    <row r="317" spans="2:94">
      <c r="B317" s="3"/>
      <c r="C317" s="3"/>
      <c r="D317" s="3"/>
      <c r="E317" s="3"/>
      <c r="F317" s="3"/>
      <c r="G317" s="3"/>
      <c r="H317" s="3"/>
      <c r="I317" s="3"/>
      <c r="J317" s="3"/>
      <c r="K317" s="3"/>
      <c r="L317" s="3"/>
      <c r="M317" s="1711"/>
      <c r="N317" s="3"/>
      <c r="O317" s="3"/>
      <c r="P317" s="3"/>
      <c r="Q317" s="149"/>
      <c r="AJ317" s="14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row>
    <row r="318" spans="2:94">
      <c r="B318" s="3"/>
      <c r="C318" s="3"/>
      <c r="D318" s="3"/>
      <c r="E318" s="3"/>
      <c r="F318" s="3"/>
      <c r="G318" s="3"/>
      <c r="H318" s="3"/>
      <c r="I318" s="3"/>
      <c r="J318" s="3"/>
      <c r="K318" s="3"/>
      <c r="L318" s="3"/>
      <c r="M318" s="1711"/>
      <c r="N318" s="3"/>
      <c r="O318" s="3"/>
      <c r="P318" s="3"/>
      <c r="Q318" s="149"/>
      <c r="AJ318" s="14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row>
    <row r="319" spans="2:94">
      <c r="B319" s="3"/>
      <c r="C319" s="3"/>
      <c r="D319" s="3"/>
      <c r="E319" s="3"/>
      <c r="F319" s="3"/>
      <c r="G319" s="3"/>
      <c r="H319" s="3"/>
      <c r="I319" s="3"/>
      <c r="J319" s="3"/>
      <c r="K319" s="3"/>
      <c r="L319" s="3"/>
      <c r="M319" s="1711"/>
      <c r="N319" s="3"/>
      <c r="O319" s="3"/>
      <c r="P319" s="3"/>
      <c r="Q319" s="149"/>
      <c r="AJ319" s="14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row>
    <row r="320" spans="2:94">
      <c r="B320" s="3"/>
      <c r="C320" s="3"/>
      <c r="D320" s="3"/>
      <c r="E320" s="3"/>
      <c r="F320" s="3"/>
      <c r="G320" s="3"/>
      <c r="H320" s="3"/>
      <c r="I320" s="3"/>
      <c r="J320" s="3"/>
      <c r="K320" s="3"/>
      <c r="L320" s="3"/>
      <c r="M320" s="1711"/>
      <c r="N320" s="3"/>
      <c r="O320" s="3"/>
      <c r="P320" s="3"/>
      <c r="Q320" s="149"/>
      <c r="AJ320" s="14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row>
    <row r="321" spans="2:94">
      <c r="B321" s="3"/>
      <c r="C321" s="3"/>
      <c r="D321" s="3"/>
      <c r="E321" s="3"/>
      <c r="F321" s="3"/>
      <c r="G321" s="3"/>
      <c r="H321" s="3"/>
      <c r="I321" s="3"/>
      <c r="J321" s="3"/>
      <c r="K321" s="3"/>
      <c r="L321" s="3"/>
      <c r="M321" s="1711"/>
      <c r="N321" s="3"/>
      <c r="O321" s="3"/>
      <c r="P321" s="3"/>
      <c r="Q321" s="149"/>
      <c r="AJ321" s="14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row>
    <row r="322" spans="2:94">
      <c r="B322" s="3"/>
      <c r="C322" s="3"/>
      <c r="D322" s="3"/>
      <c r="E322" s="3"/>
      <c r="F322" s="3"/>
      <c r="G322" s="3"/>
      <c r="H322" s="3"/>
      <c r="I322" s="3"/>
      <c r="J322" s="3"/>
      <c r="K322" s="3"/>
      <c r="L322" s="3"/>
      <c r="M322" s="1711"/>
      <c r="N322" s="3"/>
      <c r="O322" s="3"/>
      <c r="P322" s="3"/>
      <c r="Q322" s="149"/>
      <c r="AJ322" s="14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row>
    <row r="323" spans="2:94">
      <c r="B323" s="3"/>
      <c r="C323" s="3"/>
      <c r="D323" s="3"/>
      <c r="E323" s="3"/>
      <c r="F323" s="3"/>
      <c r="G323" s="3"/>
      <c r="H323" s="3"/>
      <c r="I323" s="3"/>
      <c r="J323" s="3"/>
      <c r="K323" s="3"/>
      <c r="L323" s="3"/>
      <c r="M323" s="1711"/>
      <c r="N323" s="3"/>
      <c r="O323" s="3"/>
      <c r="P323" s="3"/>
      <c r="Q323" s="149"/>
      <c r="AJ323" s="14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row>
    <row r="324" spans="2:94">
      <c r="B324" s="3"/>
      <c r="C324" s="3"/>
      <c r="D324" s="3"/>
      <c r="E324" s="3"/>
      <c r="F324" s="3"/>
      <c r="G324" s="3"/>
      <c r="H324" s="3"/>
      <c r="I324" s="3"/>
      <c r="J324" s="3"/>
      <c r="K324" s="3"/>
      <c r="L324" s="3"/>
      <c r="M324" s="1711"/>
      <c r="N324" s="3"/>
      <c r="O324" s="3"/>
      <c r="P324" s="3"/>
      <c r="Q324" s="149"/>
      <c r="AJ324" s="14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row>
    <row r="325" spans="2:94">
      <c r="B325" s="3"/>
      <c r="C325" s="3"/>
      <c r="D325" s="3"/>
      <c r="E325" s="3"/>
      <c r="F325" s="3"/>
      <c r="G325" s="3"/>
      <c r="H325" s="3"/>
      <c r="I325" s="3"/>
      <c r="J325" s="3"/>
      <c r="K325" s="3"/>
      <c r="L325" s="3"/>
      <c r="M325" s="1711"/>
      <c r="N325" s="3"/>
      <c r="O325" s="3"/>
      <c r="P325" s="3"/>
      <c r="Q325" s="149"/>
      <c r="AJ325" s="14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row>
    <row r="326" spans="2:94">
      <c r="B326" s="3"/>
      <c r="C326" s="3"/>
      <c r="D326" s="3"/>
      <c r="E326" s="3"/>
      <c r="F326" s="3"/>
      <c r="G326" s="3"/>
      <c r="H326" s="3"/>
      <c r="I326" s="3"/>
      <c r="J326" s="3"/>
      <c r="K326" s="3"/>
      <c r="L326" s="3"/>
      <c r="M326" s="1711"/>
      <c r="N326" s="3"/>
      <c r="O326" s="3"/>
      <c r="P326" s="3"/>
      <c r="Q326" s="149"/>
      <c r="AJ326" s="14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row>
    <row r="327" spans="2:94">
      <c r="B327" s="3"/>
      <c r="C327" s="3"/>
      <c r="D327" s="3"/>
      <c r="E327" s="3"/>
      <c r="F327" s="3"/>
      <c r="G327" s="3"/>
      <c r="H327" s="3"/>
      <c r="I327" s="3"/>
      <c r="J327" s="3"/>
      <c r="K327" s="3"/>
      <c r="L327" s="3"/>
      <c r="M327" s="1711"/>
      <c r="N327" s="3"/>
      <c r="O327" s="3"/>
      <c r="P327" s="3"/>
      <c r="Q327" s="149"/>
      <c r="AJ327" s="14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row>
    <row r="328" spans="2:94">
      <c r="B328" s="3"/>
      <c r="C328" s="3"/>
      <c r="D328" s="3"/>
      <c r="E328" s="3"/>
      <c r="F328" s="3"/>
      <c r="G328" s="3"/>
      <c r="H328" s="3"/>
      <c r="I328" s="3"/>
      <c r="J328" s="3"/>
      <c r="K328" s="3"/>
      <c r="L328" s="3"/>
      <c r="M328" s="1711"/>
      <c r="N328" s="3"/>
      <c r="O328" s="3"/>
      <c r="P328" s="3"/>
      <c r="Q328" s="149"/>
      <c r="AJ328" s="14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row>
    <row r="329" spans="2:94">
      <c r="B329" s="3"/>
      <c r="C329" s="3"/>
      <c r="D329" s="3"/>
      <c r="E329" s="3"/>
      <c r="F329" s="3"/>
      <c r="G329" s="3"/>
      <c r="H329" s="3"/>
      <c r="I329" s="3"/>
      <c r="J329" s="3"/>
      <c r="K329" s="3"/>
      <c r="L329" s="3"/>
      <c r="M329" s="1711"/>
      <c r="N329" s="3"/>
      <c r="O329" s="3"/>
      <c r="P329" s="3"/>
      <c r="Q329" s="149"/>
      <c r="AJ329" s="14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row>
    <row r="330" spans="2:94">
      <c r="B330" s="3"/>
      <c r="C330" s="3"/>
      <c r="D330" s="3"/>
      <c r="E330" s="3"/>
      <c r="F330" s="3"/>
      <c r="G330" s="3"/>
      <c r="H330" s="3"/>
      <c r="I330" s="3"/>
      <c r="J330" s="3"/>
      <c r="K330" s="3"/>
      <c r="L330" s="3"/>
      <c r="M330" s="1711"/>
      <c r="N330" s="3"/>
      <c r="O330" s="3"/>
      <c r="P330" s="3"/>
      <c r="Q330" s="149"/>
      <c r="AJ330" s="14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row>
    <row r="331" spans="2:94">
      <c r="B331" s="3"/>
      <c r="C331" s="3"/>
      <c r="D331" s="3"/>
      <c r="E331" s="3"/>
      <c r="F331" s="3"/>
      <c r="G331" s="3"/>
      <c r="H331" s="3"/>
      <c r="I331" s="3"/>
      <c r="J331" s="3"/>
      <c r="K331" s="3"/>
      <c r="L331" s="3"/>
      <c r="M331" s="1711"/>
      <c r="N331" s="3"/>
      <c r="O331" s="3"/>
      <c r="P331" s="3"/>
      <c r="Q331" s="149"/>
      <c r="AJ331" s="14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row>
    <row r="332" spans="2:94">
      <c r="B332" s="3"/>
      <c r="C332" s="3"/>
      <c r="D332" s="3"/>
      <c r="E332" s="3"/>
      <c r="F332" s="3"/>
      <c r="G332" s="3"/>
      <c r="H332" s="3"/>
      <c r="I332" s="3"/>
      <c r="J332" s="3"/>
      <c r="K332" s="3"/>
      <c r="L332" s="3"/>
      <c r="M332" s="1711"/>
      <c r="N332" s="3"/>
      <c r="O332" s="3"/>
      <c r="P332" s="3"/>
      <c r="Q332" s="149"/>
      <c r="AJ332" s="14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row>
    <row r="333" spans="2:94">
      <c r="B333" s="3"/>
      <c r="C333" s="3"/>
      <c r="D333" s="3"/>
      <c r="E333" s="3"/>
      <c r="F333" s="3"/>
      <c r="G333" s="3"/>
      <c r="H333" s="3"/>
      <c r="I333" s="3"/>
      <c r="J333" s="3"/>
      <c r="K333" s="3"/>
      <c r="L333" s="3"/>
      <c r="M333" s="1711"/>
      <c r="N333" s="3"/>
      <c r="O333" s="3"/>
      <c r="P333" s="3"/>
      <c r="Q333" s="149"/>
      <c r="AJ333" s="14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row>
    <row r="334" spans="2:94">
      <c r="B334" s="3"/>
      <c r="C334" s="3"/>
      <c r="D334" s="3"/>
      <c r="E334" s="3"/>
      <c r="F334" s="3"/>
      <c r="G334" s="3"/>
      <c r="H334" s="3"/>
      <c r="I334" s="3"/>
      <c r="J334" s="3"/>
      <c r="K334" s="3"/>
      <c r="L334" s="3"/>
      <c r="M334" s="1711"/>
      <c r="N334" s="3"/>
      <c r="O334" s="3"/>
      <c r="P334" s="3"/>
      <c r="Q334" s="149"/>
      <c r="AJ334" s="14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row>
    <row r="335" spans="2:94">
      <c r="B335" s="3"/>
      <c r="C335" s="3"/>
      <c r="D335" s="3"/>
      <c r="E335" s="3"/>
      <c r="F335" s="3"/>
      <c r="G335" s="3"/>
      <c r="H335" s="3"/>
      <c r="I335" s="3"/>
      <c r="J335" s="3"/>
      <c r="K335" s="3"/>
      <c r="L335" s="3"/>
      <c r="M335" s="1711"/>
      <c r="N335" s="3"/>
      <c r="O335" s="3"/>
      <c r="P335" s="3"/>
      <c r="Q335" s="149"/>
      <c r="AJ335" s="14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row>
    <row r="336" spans="2:94">
      <c r="B336" s="3"/>
      <c r="C336" s="3"/>
      <c r="D336" s="3"/>
      <c r="E336" s="3"/>
      <c r="F336" s="3"/>
      <c r="G336" s="3"/>
      <c r="H336" s="3"/>
      <c r="I336" s="3"/>
      <c r="J336" s="3"/>
      <c r="K336" s="3"/>
      <c r="L336" s="3"/>
      <c r="M336" s="1711"/>
      <c r="N336" s="3"/>
      <c r="O336" s="3"/>
      <c r="P336" s="3"/>
      <c r="Q336" s="149"/>
      <c r="AJ336" s="14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row>
    <row r="337" spans="2:94">
      <c r="B337" s="3"/>
      <c r="C337" s="3"/>
      <c r="D337" s="3"/>
      <c r="E337" s="3"/>
      <c r="F337" s="3"/>
      <c r="G337" s="3"/>
      <c r="H337" s="3"/>
      <c r="I337" s="3"/>
      <c r="J337" s="3"/>
      <c r="K337" s="3"/>
      <c r="L337" s="3"/>
      <c r="M337" s="1711"/>
      <c r="N337" s="3"/>
      <c r="O337" s="3"/>
      <c r="P337" s="3"/>
      <c r="Q337" s="149"/>
      <c r="AJ337" s="14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row>
    <row r="338" spans="2:94">
      <c r="B338" s="3"/>
      <c r="C338" s="3"/>
      <c r="D338" s="3"/>
      <c r="E338" s="3"/>
      <c r="F338" s="3"/>
      <c r="G338" s="3"/>
      <c r="H338" s="3"/>
      <c r="I338" s="3"/>
      <c r="J338" s="3"/>
      <c r="K338" s="3"/>
      <c r="L338" s="3"/>
      <c r="M338" s="1711"/>
      <c r="N338" s="3"/>
      <c r="O338" s="3"/>
      <c r="P338" s="3"/>
      <c r="Q338" s="149"/>
      <c r="AJ338" s="14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row>
    <row r="339" spans="2:94">
      <c r="B339" s="3"/>
      <c r="C339" s="3"/>
      <c r="D339" s="3"/>
      <c r="E339" s="3"/>
      <c r="F339" s="3"/>
      <c r="G339" s="3"/>
      <c r="H339" s="3"/>
      <c r="I339" s="3"/>
      <c r="J339" s="3"/>
      <c r="K339" s="3"/>
      <c r="L339" s="3"/>
      <c r="M339" s="1711"/>
      <c r="N339" s="3"/>
      <c r="O339" s="3"/>
      <c r="P339" s="3"/>
      <c r="Q339" s="149"/>
      <c r="AJ339" s="14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row>
    <row r="340" spans="2:94">
      <c r="B340" s="3"/>
      <c r="C340" s="3"/>
      <c r="D340" s="3"/>
      <c r="E340" s="3"/>
      <c r="F340" s="3"/>
      <c r="G340" s="3"/>
      <c r="H340" s="3"/>
      <c r="I340" s="3"/>
      <c r="J340" s="3"/>
      <c r="K340" s="3"/>
      <c r="L340" s="3"/>
      <c r="M340" s="1711"/>
      <c r="N340" s="3"/>
      <c r="O340" s="3"/>
      <c r="P340" s="3"/>
      <c r="Q340" s="149"/>
      <c r="AJ340" s="14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row>
    <row r="341" spans="2:94">
      <c r="B341" s="3"/>
      <c r="C341" s="3"/>
      <c r="D341" s="3"/>
      <c r="E341" s="3"/>
      <c r="F341" s="3"/>
      <c r="G341" s="3"/>
      <c r="H341" s="3"/>
      <c r="I341" s="3"/>
      <c r="J341" s="3"/>
      <c r="K341" s="3"/>
      <c r="L341" s="3"/>
      <c r="M341" s="1711"/>
      <c r="N341" s="3"/>
      <c r="O341" s="3"/>
      <c r="P341" s="3"/>
      <c r="Q341" s="149"/>
      <c r="AJ341" s="14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row>
    <row r="342" spans="2:94">
      <c r="B342" s="3"/>
      <c r="C342" s="3"/>
      <c r="D342" s="3"/>
      <c r="E342" s="3"/>
      <c r="F342" s="3"/>
      <c r="G342" s="3"/>
      <c r="H342" s="3"/>
      <c r="I342" s="3"/>
      <c r="J342" s="3"/>
      <c r="K342" s="3"/>
      <c r="L342" s="3"/>
      <c r="M342" s="1711"/>
      <c r="N342" s="3"/>
      <c r="O342" s="3"/>
      <c r="P342" s="3"/>
      <c r="Q342" s="149"/>
      <c r="AJ342" s="14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row>
    <row r="343" spans="2:94">
      <c r="B343" s="3"/>
      <c r="C343" s="3"/>
      <c r="D343" s="3"/>
      <c r="E343" s="3"/>
      <c r="F343" s="3"/>
      <c r="G343" s="3"/>
      <c r="H343" s="3"/>
      <c r="I343" s="3"/>
      <c r="J343" s="3"/>
      <c r="K343" s="3"/>
      <c r="L343" s="3"/>
      <c r="M343" s="1711"/>
      <c r="N343" s="3"/>
      <c r="O343" s="3"/>
      <c r="P343" s="3"/>
      <c r="Q343" s="149"/>
      <c r="AJ343" s="14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row>
    <row r="344" spans="2:94">
      <c r="B344" s="3"/>
      <c r="C344" s="3"/>
      <c r="D344" s="3"/>
      <c r="E344" s="3"/>
      <c r="F344" s="3"/>
      <c r="G344" s="3"/>
      <c r="H344" s="3"/>
      <c r="I344" s="3"/>
      <c r="J344" s="3"/>
      <c r="K344" s="3"/>
      <c r="L344" s="3"/>
      <c r="M344" s="1711"/>
      <c r="N344" s="3"/>
      <c r="O344" s="3"/>
      <c r="P344" s="3"/>
      <c r="Q344" s="149"/>
      <c r="AJ344" s="14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row>
    <row r="345" spans="2:94">
      <c r="B345" s="3"/>
      <c r="C345" s="3"/>
      <c r="D345" s="3"/>
      <c r="E345" s="3"/>
      <c r="F345" s="3"/>
      <c r="G345" s="3"/>
      <c r="H345" s="3"/>
      <c r="I345" s="3"/>
      <c r="J345" s="3"/>
      <c r="K345" s="3"/>
      <c r="L345" s="3"/>
      <c r="M345" s="1711"/>
      <c r="N345" s="3"/>
      <c r="O345" s="3"/>
      <c r="P345" s="3"/>
      <c r="Q345" s="149"/>
      <c r="AJ345" s="14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row>
    <row r="346" spans="2:94">
      <c r="B346" s="3"/>
      <c r="C346" s="3"/>
      <c r="D346" s="3"/>
      <c r="E346" s="3"/>
      <c r="F346" s="3"/>
      <c r="G346" s="3"/>
      <c r="H346" s="3"/>
      <c r="I346" s="3"/>
      <c r="J346" s="3"/>
      <c r="K346" s="3"/>
      <c r="L346" s="3"/>
      <c r="M346" s="1711"/>
      <c r="N346" s="3"/>
      <c r="O346" s="3"/>
      <c r="P346" s="3"/>
      <c r="Q346" s="149"/>
      <c r="AJ346" s="14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row>
    <row r="347" spans="2:94">
      <c r="B347" s="3"/>
      <c r="C347" s="3"/>
      <c r="D347" s="3"/>
      <c r="E347" s="3"/>
      <c r="F347" s="3"/>
      <c r="G347" s="3"/>
      <c r="H347" s="3"/>
      <c r="I347" s="3"/>
      <c r="J347" s="3"/>
      <c r="K347" s="3"/>
      <c r="L347" s="3"/>
      <c r="M347" s="1711"/>
      <c r="N347" s="3"/>
      <c r="O347" s="3"/>
      <c r="P347" s="3"/>
      <c r="Q347" s="149"/>
      <c r="AJ347" s="14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row>
    <row r="348" spans="2:94">
      <c r="B348" s="3"/>
      <c r="C348" s="3"/>
      <c r="D348" s="3"/>
      <c r="E348" s="3"/>
      <c r="F348" s="3"/>
      <c r="G348" s="3"/>
      <c r="H348" s="3"/>
      <c r="I348" s="3"/>
      <c r="J348" s="3"/>
      <c r="K348" s="3"/>
      <c r="L348" s="3"/>
      <c r="M348" s="1711"/>
      <c r="N348" s="3"/>
      <c r="O348" s="3"/>
      <c r="P348" s="3"/>
      <c r="Q348" s="149"/>
      <c r="AJ348" s="14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row>
    <row r="349" spans="2:94">
      <c r="B349" s="3"/>
      <c r="C349" s="3"/>
      <c r="D349" s="3"/>
      <c r="E349" s="3"/>
      <c r="F349" s="3"/>
      <c r="G349" s="3"/>
      <c r="H349" s="3"/>
      <c r="I349" s="3"/>
      <c r="J349" s="3"/>
      <c r="K349" s="3"/>
      <c r="L349" s="3"/>
      <c r="M349" s="1711"/>
      <c r="N349" s="3"/>
      <c r="O349" s="3"/>
      <c r="P349" s="3"/>
      <c r="Q349" s="149"/>
      <c r="AJ349" s="14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row>
    <row r="350" spans="2:94">
      <c r="B350" s="3"/>
      <c r="C350" s="3"/>
      <c r="D350" s="3"/>
      <c r="E350" s="3"/>
      <c r="F350" s="3"/>
      <c r="G350" s="3"/>
      <c r="H350" s="3"/>
      <c r="I350" s="3"/>
      <c r="J350" s="3"/>
      <c r="K350" s="3"/>
      <c r="L350" s="3"/>
      <c r="M350" s="1711"/>
      <c r="N350" s="3"/>
      <c r="O350" s="3"/>
      <c r="P350" s="3"/>
      <c r="Q350" s="149"/>
      <c r="AJ350" s="14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row>
    <row r="351" spans="2:94">
      <c r="B351" s="3"/>
      <c r="C351" s="3"/>
      <c r="D351" s="3"/>
      <c r="E351" s="3"/>
      <c r="F351" s="3"/>
      <c r="G351" s="3"/>
      <c r="H351" s="3"/>
      <c r="I351" s="3"/>
      <c r="J351" s="3"/>
      <c r="K351" s="3"/>
      <c r="L351" s="3"/>
      <c r="M351" s="1711"/>
      <c r="N351" s="3"/>
      <c r="O351" s="3"/>
      <c r="P351" s="3"/>
      <c r="Q351" s="149"/>
      <c r="AJ351" s="14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row>
    <row r="352" spans="2:94">
      <c r="B352" s="3"/>
      <c r="C352" s="3"/>
      <c r="D352" s="3"/>
      <c r="E352" s="3"/>
      <c r="F352" s="3"/>
      <c r="G352" s="3"/>
      <c r="H352" s="3"/>
      <c r="I352" s="3"/>
      <c r="J352" s="3"/>
      <c r="K352" s="3"/>
      <c r="L352" s="3"/>
      <c r="M352" s="1711"/>
      <c r="N352" s="3"/>
      <c r="O352" s="3"/>
      <c r="P352" s="3"/>
      <c r="Q352" s="149"/>
      <c r="AJ352" s="14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row>
    <row r="353" spans="2:94">
      <c r="B353" s="3"/>
      <c r="C353" s="3"/>
      <c r="D353" s="3"/>
      <c r="E353" s="3"/>
      <c r="F353" s="3"/>
      <c r="G353" s="3"/>
      <c r="H353" s="3"/>
      <c r="I353" s="3"/>
      <c r="J353" s="3"/>
      <c r="K353" s="3"/>
      <c r="L353" s="3"/>
      <c r="M353" s="1711"/>
      <c r="N353" s="3"/>
      <c r="O353" s="3"/>
      <c r="P353" s="3"/>
      <c r="Q353" s="149"/>
      <c r="AJ353" s="14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row>
    <row r="354" spans="2:94">
      <c r="B354" s="3"/>
      <c r="C354" s="3"/>
      <c r="D354" s="3"/>
      <c r="E354" s="3"/>
      <c r="F354" s="3"/>
      <c r="G354" s="3"/>
      <c r="H354" s="3"/>
      <c r="I354" s="3"/>
      <c r="J354" s="3"/>
      <c r="K354" s="3"/>
      <c r="L354" s="3"/>
      <c r="M354" s="1711"/>
      <c r="N354" s="3"/>
      <c r="O354" s="3"/>
      <c r="P354" s="3"/>
      <c r="Q354" s="149"/>
      <c r="AJ354" s="14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row>
    <row r="355" spans="2:94">
      <c r="B355" s="3"/>
      <c r="C355" s="3"/>
      <c r="D355" s="3"/>
      <c r="E355" s="3"/>
      <c r="F355" s="3"/>
      <c r="G355" s="3"/>
      <c r="H355" s="3"/>
      <c r="I355" s="3"/>
      <c r="J355" s="3"/>
      <c r="K355" s="3"/>
      <c r="L355" s="3"/>
      <c r="M355" s="1711"/>
      <c r="N355" s="3"/>
      <c r="O355" s="3"/>
      <c r="P355" s="3"/>
      <c r="Q355" s="149"/>
      <c r="AJ355" s="14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row>
    <row r="356" spans="2:94">
      <c r="B356" s="3"/>
      <c r="C356" s="3"/>
      <c r="D356" s="3"/>
      <c r="E356" s="3"/>
      <c r="F356" s="3"/>
      <c r="G356" s="3"/>
      <c r="H356" s="3"/>
      <c r="I356" s="3"/>
      <c r="J356" s="3"/>
      <c r="K356" s="3"/>
      <c r="L356" s="3"/>
      <c r="M356" s="1711"/>
      <c r="N356" s="3"/>
      <c r="O356" s="3"/>
      <c r="P356" s="3"/>
      <c r="Q356" s="149"/>
      <c r="AJ356" s="14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row>
    <row r="357" spans="2:94">
      <c r="B357" s="3"/>
      <c r="C357" s="3"/>
      <c r="D357" s="3"/>
      <c r="E357" s="3"/>
      <c r="F357" s="3"/>
      <c r="G357" s="3"/>
      <c r="H357" s="3"/>
      <c r="I357" s="3"/>
      <c r="J357" s="3"/>
      <c r="K357" s="3"/>
      <c r="L357" s="3"/>
      <c r="M357" s="1711"/>
      <c r="N357" s="3"/>
      <c r="O357" s="3"/>
      <c r="P357" s="3"/>
      <c r="Q357" s="149"/>
      <c r="AJ357" s="14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row>
    <row r="358" spans="2:94">
      <c r="B358" s="3"/>
      <c r="C358" s="3"/>
      <c r="D358" s="3"/>
      <c r="E358" s="3"/>
      <c r="F358" s="3"/>
      <c r="G358" s="3"/>
      <c r="H358" s="3"/>
      <c r="I358" s="3"/>
      <c r="J358" s="3"/>
      <c r="K358" s="3"/>
      <c r="L358" s="3"/>
      <c r="M358" s="1711"/>
      <c r="N358" s="3"/>
      <c r="O358" s="3"/>
      <c r="P358" s="3"/>
      <c r="Q358" s="149"/>
      <c r="AJ358" s="14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row>
    <row r="359" spans="2:94">
      <c r="B359" s="3"/>
      <c r="C359" s="3"/>
      <c r="D359" s="3"/>
      <c r="E359" s="3"/>
      <c r="F359" s="3"/>
      <c r="G359" s="3"/>
      <c r="H359" s="3"/>
      <c r="I359" s="3"/>
      <c r="J359" s="3"/>
      <c r="K359" s="3"/>
      <c r="L359" s="3"/>
      <c r="M359" s="1711"/>
      <c r="N359" s="3"/>
      <c r="O359" s="3"/>
      <c r="P359" s="3"/>
      <c r="Q359" s="149"/>
      <c r="AJ359" s="14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row>
    <row r="360" spans="2:94">
      <c r="B360" s="3"/>
      <c r="C360" s="3"/>
      <c r="D360" s="3"/>
      <c r="E360" s="3"/>
      <c r="F360" s="3"/>
      <c r="G360" s="3"/>
      <c r="H360" s="3"/>
      <c r="I360" s="3"/>
      <c r="J360" s="3"/>
      <c r="K360" s="3"/>
      <c r="L360" s="3"/>
      <c r="M360" s="1711"/>
      <c r="N360" s="3"/>
      <c r="O360" s="3"/>
      <c r="P360" s="3"/>
      <c r="Q360" s="149"/>
      <c r="AJ360" s="14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row>
    <row r="361" spans="2:94">
      <c r="B361" s="3"/>
      <c r="C361" s="3"/>
      <c r="D361" s="3"/>
      <c r="E361" s="3"/>
      <c r="F361" s="3"/>
      <c r="G361" s="3"/>
      <c r="H361" s="3"/>
      <c r="I361" s="3"/>
      <c r="J361" s="3"/>
      <c r="K361" s="3"/>
      <c r="L361" s="3"/>
      <c r="M361" s="1711"/>
      <c r="N361" s="3"/>
      <c r="O361" s="3"/>
      <c r="P361" s="3"/>
      <c r="Q361" s="149"/>
      <c r="AJ361" s="14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row>
    <row r="362" spans="2:94">
      <c r="B362" s="3"/>
      <c r="C362" s="3"/>
      <c r="D362" s="3"/>
      <c r="E362" s="3"/>
      <c r="F362" s="3"/>
      <c r="G362" s="3"/>
      <c r="H362" s="3"/>
      <c r="I362" s="3"/>
      <c r="J362" s="3"/>
      <c r="K362" s="3"/>
      <c r="L362" s="3"/>
      <c r="M362" s="1711"/>
      <c r="N362" s="3"/>
      <c r="O362" s="3"/>
      <c r="P362" s="3"/>
      <c r="Q362" s="149"/>
      <c r="AJ362" s="14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row>
    <row r="363" spans="2:94">
      <c r="B363" s="3"/>
      <c r="C363" s="3"/>
      <c r="D363" s="3"/>
      <c r="E363" s="3"/>
      <c r="F363" s="3"/>
      <c r="G363" s="3"/>
      <c r="H363" s="3"/>
      <c r="I363" s="3"/>
      <c r="J363" s="3"/>
      <c r="K363" s="3"/>
      <c r="L363" s="3"/>
      <c r="M363" s="1711"/>
      <c r="N363" s="3"/>
      <c r="O363" s="3"/>
      <c r="P363" s="3"/>
      <c r="Q363" s="149"/>
      <c r="AJ363" s="14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row>
    <row r="364" spans="2:94">
      <c r="B364" s="3"/>
      <c r="C364" s="3"/>
      <c r="D364" s="3"/>
      <c r="E364" s="3"/>
      <c r="F364" s="3"/>
      <c r="G364" s="3"/>
      <c r="H364" s="3"/>
      <c r="I364" s="3"/>
      <c r="J364" s="3"/>
      <c r="K364" s="3"/>
      <c r="L364" s="3"/>
      <c r="M364" s="1711"/>
      <c r="N364" s="3"/>
      <c r="O364" s="3"/>
      <c r="P364" s="3"/>
      <c r="Q364" s="149"/>
      <c r="AJ364" s="14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row>
    <row r="365" spans="2:94">
      <c r="B365" s="3"/>
      <c r="C365" s="3"/>
      <c r="D365" s="3"/>
      <c r="E365" s="3"/>
      <c r="F365" s="3"/>
      <c r="G365" s="3"/>
      <c r="H365" s="3"/>
      <c r="I365" s="3"/>
      <c r="J365" s="3"/>
      <c r="K365" s="3"/>
      <c r="L365" s="3"/>
      <c r="M365" s="1711"/>
      <c r="N365" s="3"/>
      <c r="O365" s="3"/>
      <c r="P365" s="3"/>
      <c r="Q365" s="149"/>
      <c r="AJ365" s="14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row>
    <row r="366" spans="2:94">
      <c r="B366" s="3"/>
      <c r="C366" s="3"/>
      <c r="D366" s="3"/>
      <c r="E366" s="3"/>
      <c r="F366" s="3"/>
      <c r="G366" s="3"/>
      <c r="H366" s="3"/>
      <c r="I366" s="3"/>
      <c r="J366" s="3"/>
      <c r="K366" s="3"/>
      <c r="L366" s="3"/>
      <c r="M366" s="1711"/>
      <c r="N366" s="3"/>
      <c r="O366" s="3"/>
      <c r="P366" s="3"/>
      <c r="Q366" s="149"/>
      <c r="AJ366" s="14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row>
    <row r="367" spans="2:94">
      <c r="B367" s="3"/>
      <c r="C367" s="3"/>
      <c r="D367" s="3"/>
      <c r="E367" s="3"/>
      <c r="F367" s="3"/>
      <c r="G367" s="3"/>
      <c r="H367" s="3"/>
      <c r="I367" s="3"/>
      <c r="J367" s="3"/>
      <c r="K367" s="3"/>
      <c r="L367" s="3"/>
      <c r="M367" s="1711"/>
      <c r="N367" s="3"/>
      <c r="O367" s="3"/>
      <c r="P367" s="3"/>
      <c r="Q367" s="149"/>
      <c r="AJ367" s="14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row>
    <row r="368" spans="2:94">
      <c r="B368" s="3"/>
      <c r="C368" s="3"/>
      <c r="D368" s="3"/>
      <c r="E368" s="3"/>
      <c r="F368" s="3"/>
      <c r="G368" s="3"/>
      <c r="H368" s="3"/>
      <c r="I368" s="3"/>
      <c r="J368" s="3"/>
      <c r="K368" s="3"/>
      <c r="L368" s="3"/>
      <c r="M368" s="1711"/>
      <c r="N368" s="3"/>
      <c r="O368" s="3"/>
      <c r="P368" s="3"/>
      <c r="Q368" s="149"/>
      <c r="AJ368" s="14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row>
    <row r="369" spans="2:94">
      <c r="B369" s="3"/>
      <c r="C369" s="3"/>
      <c r="D369" s="3"/>
      <c r="E369" s="3"/>
      <c r="F369" s="3"/>
      <c r="G369" s="3"/>
      <c r="H369" s="3"/>
      <c r="I369" s="3"/>
      <c r="J369" s="3"/>
      <c r="K369" s="3"/>
      <c r="L369" s="3"/>
      <c r="M369" s="1711"/>
      <c r="N369" s="3"/>
      <c r="O369" s="3"/>
      <c r="P369" s="3"/>
      <c r="Q369" s="149"/>
      <c r="AJ369" s="14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row>
    <row r="370" spans="2:94">
      <c r="B370" s="3"/>
      <c r="C370" s="3"/>
      <c r="D370" s="3"/>
      <c r="E370" s="3"/>
      <c r="F370" s="3"/>
      <c r="G370" s="3"/>
      <c r="H370" s="3"/>
      <c r="I370" s="3"/>
      <c r="J370" s="3"/>
      <c r="K370" s="3"/>
      <c r="L370" s="3"/>
      <c r="M370" s="1711"/>
      <c r="N370" s="3"/>
      <c r="O370" s="3"/>
      <c r="P370" s="3"/>
      <c r="Q370" s="149"/>
      <c r="AJ370" s="14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row>
    <row r="371" spans="2:94">
      <c r="B371" s="3"/>
      <c r="C371" s="3"/>
      <c r="D371" s="3"/>
      <c r="E371" s="3"/>
      <c r="F371" s="3"/>
      <c r="G371" s="3"/>
      <c r="H371" s="3"/>
      <c r="I371" s="3"/>
      <c r="J371" s="3"/>
      <c r="K371" s="3"/>
      <c r="L371" s="3"/>
      <c r="M371" s="1711"/>
      <c r="N371" s="3"/>
      <c r="O371" s="3"/>
      <c r="P371" s="3"/>
      <c r="Q371" s="149"/>
      <c r="AJ371" s="14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row>
    <row r="372" spans="2:94">
      <c r="B372" s="3"/>
      <c r="C372" s="3"/>
      <c r="D372" s="3"/>
      <c r="E372" s="3"/>
      <c r="F372" s="3"/>
      <c r="G372" s="3"/>
      <c r="H372" s="3"/>
      <c r="I372" s="3"/>
      <c r="J372" s="3"/>
      <c r="K372" s="3"/>
      <c r="L372" s="3"/>
      <c r="M372" s="1711"/>
      <c r="N372" s="3"/>
      <c r="O372" s="3"/>
      <c r="P372" s="3"/>
      <c r="Q372" s="149"/>
      <c r="AJ372" s="14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row>
    <row r="373" spans="2:94">
      <c r="B373" s="3"/>
      <c r="C373" s="3"/>
      <c r="D373" s="3"/>
      <c r="E373" s="3"/>
      <c r="F373" s="3"/>
      <c r="G373" s="3"/>
      <c r="H373" s="3"/>
      <c r="I373" s="3"/>
      <c r="J373" s="3"/>
      <c r="K373" s="3"/>
      <c r="L373" s="3"/>
      <c r="M373" s="1711"/>
      <c r="N373" s="3"/>
      <c r="O373" s="3"/>
      <c r="P373" s="3"/>
      <c r="Q373" s="149"/>
      <c r="AJ373" s="14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row>
    <row r="374" spans="2:94">
      <c r="B374" s="3"/>
      <c r="C374" s="3"/>
      <c r="D374" s="3"/>
      <c r="E374" s="3"/>
      <c r="F374" s="3"/>
      <c r="G374" s="3"/>
      <c r="H374" s="3"/>
      <c r="I374" s="3"/>
      <c r="J374" s="3"/>
      <c r="K374" s="3"/>
      <c r="L374" s="3"/>
      <c r="M374" s="1711"/>
      <c r="N374" s="3"/>
      <c r="O374" s="3"/>
      <c r="P374" s="3"/>
      <c r="Q374" s="149"/>
      <c r="AJ374" s="14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row>
    <row r="375" spans="2:94">
      <c r="B375" s="3"/>
      <c r="C375" s="3"/>
      <c r="D375" s="3"/>
      <c r="E375" s="3"/>
      <c r="F375" s="3"/>
      <c r="G375" s="3"/>
      <c r="H375" s="3"/>
      <c r="I375" s="3"/>
      <c r="J375" s="3"/>
      <c r="K375" s="3"/>
      <c r="L375" s="3"/>
      <c r="M375" s="1711"/>
      <c r="N375" s="3"/>
      <c r="O375" s="3"/>
      <c r="P375" s="3"/>
      <c r="Q375" s="149"/>
      <c r="AJ375" s="14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row>
    <row r="376" spans="2:94">
      <c r="B376" s="3"/>
      <c r="C376" s="3"/>
      <c r="D376" s="3"/>
      <c r="E376" s="3"/>
      <c r="F376" s="3"/>
      <c r="G376" s="3"/>
      <c r="H376" s="3"/>
      <c r="I376" s="3"/>
      <c r="J376" s="3"/>
      <c r="K376" s="3"/>
      <c r="L376" s="3"/>
      <c r="M376" s="1711"/>
      <c r="N376" s="3"/>
      <c r="O376" s="3"/>
      <c r="P376" s="3"/>
      <c r="Q376" s="149"/>
      <c r="AJ376" s="14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row>
    <row r="377" spans="2:94">
      <c r="B377" s="3"/>
      <c r="C377" s="3"/>
      <c r="D377" s="3"/>
      <c r="E377" s="3"/>
      <c r="F377" s="3"/>
      <c r="G377" s="3"/>
      <c r="H377" s="3"/>
      <c r="I377" s="3"/>
      <c r="J377" s="3"/>
      <c r="K377" s="3"/>
      <c r="L377" s="3"/>
      <c r="M377" s="1711"/>
      <c r="N377" s="3"/>
      <c r="O377" s="3"/>
      <c r="P377" s="3"/>
      <c r="Q377" s="149"/>
      <c r="AJ377" s="14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row>
    <row r="378" spans="2:94">
      <c r="B378" s="3"/>
      <c r="C378" s="3"/>
      <c r="D378" s="3"/>
      <c r="E378" s="3"/>
      <c r="F378" s="3"/>
      <c r="G378" s="3"/>
      <c r="H378" s="3"/>
      <c r="I378" s="3"/>
      <c r="J378" s="3"/>
      <c r="K378" s="3"/>
      <c r="L378" s="3"/>
      <c r="M378" s="1711"/>
      <c r="N378" s="3"/>
      <c r="O378" s="3"/>
      <c r="P378" s="3"/>
      <c r="Q378" s="149"/>
      <c r="AJ378" s="14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row>
    <row r="379" spans="2:94">
      <c r="B379" s="3"/>
      <c r="C379" s="3"/>
      <c r="D379" s="3"/>
      <c r="E379" s="3"/>
      <c r="F379" s="3"/>
      <c r="G379" s="3"/>
      <c r="H379" s="3"/>
      <c r="I379" s="3"/>
      <c r="J379" s="3"/>
      <c r="K379" s="3"/>
      <c r="L379" s="3"/>
      <c r="M379" s="1711"/>
      <c r="N379" s="3"/>
      <c r="O379" s="3"/>
      <c r="P379" s="3"/>
      <c r="Q379" s="149"/>
      <c r="AJ379" s="14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row>
    <row r="380" spans="2:94">
      <c r="B380" s="3"/>
      <c r="C380" s="3"/>
      <c r="D380" s="3"/>
      <c r="E380" s="3"/>
      <c r="F380" s="3"/>
      <c r="G380" s="3"/>
      <c r="H380" s="3"/>
      <c r="I380" s="3"/>
      <c r="J380" s="3"/>
      <c r="K380" s="3"/>
      <c r="L380" s="3"/>
      <c r="M380" s="1711"/>
      <c r="N380" s="3"/>
      <c r="O380" s="3"/>
      <c r="P380" s="3"/>
      <c r="Q380" s="149"/>
      <c r="AJ380" s="14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row>
    <row r="381" spans="2:94">
      <c r="B381" s="3"/>
      <c r="C381" s="3"/>
      <c r="D381" s="3"/>
      <c r="E381" s="3"/>
      <c r="F381" s="3"/>
      <c r="G381" s="3"/>
      <c r="H381" s="3"/>
      <c r="I381" s="3"/>
      <c r="J381" s="3"/>
      <c r="K381" s="3"/>
      <c r="L381" s="3"/>
      <c r="M381" s="1711"/>
      <c r="N381" s="3"/>
      <c r="O381" s="3"/>
      <c r="P381" s="3"/>
      <c r="Q381" s="149"/>
      <c r="AJ381" s="14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row>
    <row r="382" spans="2:94">
      <c r="B382" s="3"/>
      <c r="C382" s="3"/>
      <c r="D382" s="3"/>
      <c r="E382" s="3"/>
      <c r="F382" s="3"/>
      <c r="G382" s="3"/>
      <c r="H382" s="3"/>
      <c r="I382" s="3"/>
      <c r="J382" s="3"/>
      <c r="K382" s="3"/>
      <c r="L382" s="3"/>
      <c r="M382" s="1711"/>
      <c r="N382" s="3"/>
      <c r="O382" s="3"/>
      <c r="P382" s="3"/>
      <c r="Q382" s="149"/>
      <c r="AJ382" s="14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row>
    <row r="383" spans="2:94">
      <c r="B383" s="3"/>
      <c r="C383" s="3"/>
      <c r="D383" s="3"/>
      <c r="E383" s="3"/>
      <c r="F383" s="3"/>
      <c r="G383" s="3"/>
      <c r="H383" s="3"/>
      <c r="I383" s="3"/>
      <c r="J383" s="3"/>
      <c r="K383" s="3"/>
      <c r="L383" s="3"/>
      <c r="M383" s="1711"/>
      <c r="N383" s="3"/>
      <c r="O383" s="3"/>
      <c r="P383" s="3"/>
      <c r="Q383" s="149"/>
      <c r="AJ383" s="14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row>
    <row r="384" spans="2:94">
      <c r="B384" s="3"/>
      <c r="C384" s="3"/>
      <c r="D384" s="3"/>
      <c r="E384" s="3"/>
      <c r="F384" s="3"/>
      <c r="G384" s="3"/>
      <c r="H384" s="3"/>
      <c r="I384" s="3"/>
      <c r="J384" s="3"/>
      <c r="K384" s="3"/>
      <c r="L384" s="3"/>
      <c r="M384" s="1711"/>
      <c r="N384" s="3"/>
      <c r="O384" s="3"/>
      <c r="P384" s="3"/>
      <c r="Q384" s="149"/>
      <c r="AJ384" s="14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row>
    <row r="385" spans="2:94">
      <c r="B385" s="3"/>
      <c r="C385" s="3"/>
      <c r="D385" s="3"/>
      <c r="E385" s="3"/>
      <c r="F385" s="3"/>
      <c r="G385" s="3"/>
      <c r="H385" s="3"/>
      <c r="I385" s="3"/>
      <c r="J385" s="3"/>
      <c r="K385" s="3"/>
      <c r="L385" s="3"/>
      <c r="M385" s="1711"/>
      <c r="N385" s="3"/>
      <c r="O385" s="3"/>
      <c r="P385" s="3"/>
      <c r="Q385" s="149"/>
      <c r="AJ385" s="14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row>
    <row r="386" spans="2:94">
      <c r="B386" s="3"/>
      <c r="C386" s="3"/>
      <c r="D386" s="3"/>
      <c r="E386" s="3"/>
      <c r="F386" s="3"/>
      <c r="G386" s="3"/>
      <c r="H386" s="3"/>
      <c r="I386" s="3"/>
      <c r="J386" s="3"/>
      <c r="K386" s="3"/>
      <c r="L386" s="3"/>
      <c r="M386" s="1711"/>
      <c r="N386" s="3"/>
      <c r="O386" s="3"/>
      <c r="P386" s="3"/>
      <c r="Q386" s="149"/>
      <c r="AJ386" s="14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row>
    <row r="387" spans="2:94">
      <c r="B387" s="3"/>
      <c r="C387" s="3"/>
      <c r="D387" s="3"/>
      <c r="E387" s="3"/>
      <c r="F387" s="3"/>
      <c r="G387" s="3"/>
      <c r="H387" s="3"/>
      <c r="I387" s="3"/>
      <c r="J387" s="3"/>
      <c r="K387" s="3"/>
      <c r="L387" s="3"/>
      <c r="M387" s="1711"/>
      <c r="N387" s="3"/>
      <c r="O387" s="3"/>
      <c r="P387" s="3"/>
      <c r="Q387" s="149"/>
      <c r="AJ387" s="14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row>
    <row r="388" spans="2:94">
      <c r="B388" s="3"/>
      <c r="C388" s="3"/>
      <c r="D388" s="3"/>
      <c r="E388" s="3"/>
      <c r="F388" s="3"/>
      <c r="G388" s="3"/>
      <c r="H388" s="3"/>
      <c r="I388" s="3"/>
      <c r="J388" s="3"/>
      <c r="K388" s="3"/>
      <c r="L388" s="3"/>
      <c r="M388" s="1711"/>
      <c r="N388" s="3"/>
      <c r="O388" s="3"/>
      <c r="P388" s="3"/>
      <c r="Q388" s="149"/>
      <c r="AJ388" s="14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row>
    <row r="389" spans="2:94">
      <c r="B389" s="3"/>
      <c r="C389" s="3"/>
      <c r="D389" s="3"/>
      <c r="E389" s="3"/>
      <c r="F389" s="3"/>
      <c r="G389" s="3"/>
      <c r="H389" s="3"/>
      <c r="I389" s="3"/>
      <c r="J389" s="3"/>
      <c r="K389" s="3"/>
      <c r="L389" s="3"/>
      <c r="M389" s="1711"/>
      <c r="N389" s="3"/>
      <c r="O389" s="3"/>
      <c r="P389" s="3"/>
      <c r="Q389" s="149"/>
      <c r="AJ389" s="14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row>
    <row r="390" spans="2:94">
      <c r="B390" s="3"/>
      <c r="C390" s="3"/>
      <c r="D390" s="3"/>
      <c r="E390" s="3"/>
      <c r="F390" s="3"/>
      <c r="G390" s="3"/>
      <c r="H390" s="3"/>
      <c r="I390" s="3"/>
      <c r="J390" s="3"/>
      <c r="K390" s="3"/>
      <c r="L390" s="3"/>
      <c r="M390" s="1711"/>
      <c r="N390" s="3"/>
      <c r="O390" s="3"/>
      <c r="P390" s="3"/>
      <c r="Q390" s="149"/>
      <c r="AJ390" s="14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row>
    <row r="391" spans="2:94">
      <c r="B391" s="3"/>
      <c r="C391" s="3"/>
      <c r="D391" s="3"/>
      <c r="E391" s="3"/>
      <c r="F391" s="3"/>
      <c r="G391" s="3"/>
      <c r="H391" s="3"/>
      <c r="I391" s="3"/>
      <c r="J391" s="3"/>
      <c r="K391" s="3"/>
      <c r="L391" s="3"/>
      <c r="M391" s="1711"/>
      <c r="N391" s="3"/>
      <c r="O391" s="3"/>
      <c r="P391" s="3"/>
      <c r="Q391" s="149"/>
      <c r="AJ391" s="14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row>
    <row r="392" spans="2:94">
      <c r="B392" s="3"/>
      <c r="C392" s="3"/>
      <c r="D392" s="3"/>
      <c r="E392" s="3"/>
      <c r="F392" s="3"/>
      <c r="G392" s="3"/>
      <c r="H392" s="3"/>
      <c r="I392" s="3"/>
      <c r="J392" s="3"/>
      <c r="K392" s="3"/>
      <c r="L392" s="3"/>
      <c r="M392" s="1711"/>
      <c r="N392" s="3"/>
      <c r="O392" s="3"/>
      <c r="P392" s="3"/>
      <c r="Q392" s="149"/>
      <c r="AJ392" s="14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row>
    <row r="393" spans="2:94">
      <c r="B393" s="3"/>
      <c r="C393" s="3"/>
      <c r="D393" s="3"/>
      <c r="E393" s="3"/>
      <c r="F393" s="3"/>
      <c r="G393" s="3"/>
      <c r="H393" s="3"/>
      <c r="I393" s="3"/>
      <c r="J393" s="3"/>
      <c r="K393" s="3"/>
      <c r="L393" s="3"/>
      <c r="M393" s="1711"/>
      <c r="N393" s="3"/>
      <c r="O393" s="3"/>
      <c r="P393" s="3"/>
      <c r="Q393" s="149"/>
      <c r="AJ393" s="14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row>
    <row r="394" spans="2:94">
      <c r="B394" s="3"/>
      <c r="C394" s="3"/>
      <c r="D394" s="3"/>
      <c r="E394" s="3"/>
      <c r="F394" s="3"/>
      <c r="G394" s="3"/>
      <c r="H394" s="3"/>
      <c r="I394" s="3"/>
      <c r="J394" s="3"/>
      <c r="K394" s="3"/>
      <c r="L394" s="3"/>
      <c r="M394" s="1711"/>
      <c r="N394" s="3"/>
      <c r="O394" s="3"/>
      <c r="P394" s="3"/>
      <c r="Q394" s="149"/>
      <c r="AJ394" s="14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row>
    <row r="395" spans="2:94">
      <c r="B395" s="3"/>
      <c r="C395" s="3"/>
      <c r="D395" s="3"/>
      <c r="E395" s="3"/>
      <c r="F395" s="3"/>
      <c r="G395" s="3"/>
      <c r="H395" s="3"/>
      <c r="I395" s="3"/>
      <c r="J395" s="3"/>
      <c r="K395" s="3"/>
      <c r="L395" s="3"/>
      <c r="M395" s="1711"/>
      <c r="N395" s="3"/>
      <c r="O395" s="3"/>
      <c r="P395" s="3"/>
      <c r="Q395" s="149"/>
      <c r="AJ395" s="14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row>
    <row r="396" spans="2:94">
      <c r="B396" s="3"/>
      <c r="C396" s="3"/>
      <c r="D396" s="3"/>
      <c r="E396" s="3"/>
      <c r="F396" s="3"/>
      <c r="G396" s="3"/>
      <c r="H396" s="3"/>
      <c r="I396" s="3"/>
      <c r="J396" s="3"/>
      <c r="K396" s="3"/>
      <c r="L396" s="3"/>
      <c r="M396" s="1711"/>
      <c r="N396" s="3"/>
      <c r="O396" s="3"/>
      <c r="P396" s="3"/>
      <c r="Q396" s="149"/>
      <c r="AJ396" s="14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row>
    <row r="397" spans="2:94">
      <c r="B397" s="3"/>
      <c r="C397" s="3"/>
      <c r="D397" s="3"/>
      <c r="E397" s="3"/>
      <c r="F397" s="3"/>
      <c r="G397" s="3"/>
      <c r="H397" s="3"/>
      <c r="I397" s="3"/>
      <c r="J397" s="3"/>
      <c r="K397" s="3"/>
      <c r="L397" s="3"/>
      <c r="M397" s="1711"/>
      <c r="N397" s="3"/>
      <c r="O397" s="3"/>
      <c r="P397" s="3"/>
      <c r="Q397" s="149"/>
      <c r="AJ397" s="14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row>
    <row r="398" spans="2:94">
      <c r="B398" s="3"/>
      <c r="C398" s="3"/>
      <c r="D398" s="3"/>
      <c r="E398" s="3"/>
      <c r="F398" s="3"/>
      <c r="G398" s="3"/>
      <c r="H398" s="3"/>
      <c r="I398" s="3"/>
      <c r="J398" s="3"/>
      <c r="K398" s="3"/>
      <c r="L398" s="3"/>
      <c r="M398" s="1711"/>
      <c r="N398" s="3"/>
      <c r="O398" s="3"/>
      <c r="P398" s="3"/>
      <c r="Q398" s="149"/>
      <c r="AJ398" s="14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row>
    <row r="399" spans="2:94">
      <c r="B399" s="3"/>
      <c r="C399" s="3"/>
      <c r="D399" s="3"/>
      <c r="E399" s="3"/>
      <c r="F399" s="3"/>
      <c r="G399" s="3"/>
      <c r="H399" s="3"/>
      <c r="I399" s="3"/>
      <c r="J399" s="3"/>
      <c r="K399" s="3"/>
      <c r="L399" s="3"/>
      <c r="M399" s="1711"/>
      <c r="N399" s="3"/>
      <c r="O399" s="3"/>
      <c r="P399" s="3"/>
      <c r="Q399" s="149"/>
      <c r="AJ399" s="14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row>
    <row r="400" spans="2:94">
      <c r="B400" s="3"/>
      <c r="C400" s="3"/>
      <c r="D400" s="3"/>
      <c r="E400" s="3"/>
      <c r="F400" s="3"/>
      <c r="G400" s="3"/>
      <c r="H400" s="3"/>
      <c r="I400" s="3"/>
      <c r="J400" s="3"/>
      <c r="K400" s="3"/>
      <c r="L400" s="3"/>
      <c r="M400" s="1711"/>
      <c r="N400" s="3"/>
      <c r="O400" s="3"/>
      <c r="P400" s="3"/>
      <c r="Q400" s="149"/>
      <c r="AJ400" s="14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row>
    <row r="401" spans="2:94">
      <c r="B401" s="3"/>
      <c r="C401" s="3"/>
      <c r="D401" s="3"/>
      <c r="E401" s="3"/>
      <c r="F401" s="3"/>
      <c r="G401" s="3"/>
      <c r="H401" s="3"/>
      <c r="I401" s="3"/>
      <c r="J401" s="3"/>
      <c r="K401" s="3"/>
      <c r="L401" s="3"/>
      <c r="M401" s="1711"/>
      <c r="N401" s="3"/>
      <c r="O401" s="3"/>
      <c r="P401" s="3"/>
      <c r="Q401" s="149"/>
      <c r="AJ401" s="14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row>
    <row r="402" spans="2:94">
      <c r="B402" s="3"/>
      <c r="C402" s="3"/>
      <c r="D402" s="3"/>
      <c r="E402" s="3"/>
      <c r="F402" s="3"/>
      <c r="G402" s="3"/>
      <c r="H402" s="3"/>
      <c r="I402" s="3"/>
      <c r="J402" s="3"/>
      <c r="K402" s="3"/>
      <c r="L402" s="3"/>
      <c r="M402" s="1711"/>
      <c r="N402" s="3"/>
      <c r="O402" s="3"/>
      <c r="P402" s="3"/>
      <c r="Q402" s="149"/>
      <c r="AJ402" s="14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row>
    <row r="403" spans="2:94">
      <c r="B403" s="3"/>
      <c r="C403" s="3"/>
      <c r="D403" s="3"/>
      <c r="E403" s="3"/>
      <c r="F403" s="3"/>
      <c r="G403" s="3"/>
      <c r="H403" s="3"/>
      <c r="I403" s="3"/>
      <c r="J403" s="3"/>
      <c r="K403" s="3"/>
      <c r="L403" s="3"/>
      <c r="M403" s="1711"/>
      <c r="N403" s="3"/>
      <c r="O403" s="3"/>
      <c r="P403" s="3"/>
      <c r="Q403" s="149"/>
      <c r="AJ403" s="14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row>
    <row r="404" spans="2:94">
      <c r="B404" s="3"/>
      <c r="C404" s="3"/>
      <c r="D404" s="3"/>
      <c r="E404" s="3"/>
      <c r="F404" s="3"/>
      <c r="G404" s="3"/>
      <c r="H404" s="3"/>
      <c r="I404" s="3"/>
      <c r="J404" s="3"/>
      <c r="K404" s="3"/>
      <c r="L404" s="3"/>
      <c r="M404" s="1711"/>
      <c r="N404" s="3"/>
      <c r="O404" s="3"/>
      <c r="P404" s="3"/>
      <c r="Q404" s="149"/>
      <c r="AJ404" s="14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row>
    <row r="405" spans="2:94">
      <c r="B405" s="3"/>
      <c r="C405" s="3"/>
      <c r="D405" s="3"/>
      <c r="E405" s="3"/>
      <c r="F405" s="3"/>
      <c r="G405" s="3"/>
      <c r="H405" s="3"/>
      <c r="I405" s="3"/>
      <c r="J405" s="3"/>
      <c r="K405" s="3"/>
      <c r="L405" s="3"/>
      <c r="M405" s="1711"/>
      <c r="N405" s="3"/>
      <c r="O405" s="3"/>
      <c r="P405" s="3"/>
      <c r="Q405" s="149"/>
      <c r="AJ405" s="14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row>
    <row r="406" spans="2:94">
      <c r="B406" s="3"/>
      <c r="C406" s="3"/>
      <c r="D406" s="3"/>
      <c r="E406" s="3"/>
      <c r="F406" s="3"/>
      <c r="G406" s="3"/>
      <c r="H406" s="3"/>
      <c r="I406" s="3"/>
      <c r="J406" s="3"/>
      <c r="K406" s="3"/>
      <c r="L406" s="3"/>
      <c r="M406" s="1711"/>
      <c r="N406" s="3"/>
      <c r="O406" s="3"/>
      <c r="P406" s="3"/>
      <c r="Q406" s="149"/>
      <c r="AJ406" s="14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row>
    <row r="407" spans="2:94">
      <c r="B407" s="3"/>
      <c r="C407" s="3"/>
      <c r="D407" s="3"/>
      <c r="E407" s="3"/>
      <c r="F407" s="3"/>
      <c r="G407" s="3"/>
      <c r="H407" s="3"/>
      <c r="I407" s="3"/>
      <c r="J407" s="3"/>
      <c r="K407" s="3"/>
      <c r="L407" s="3"/>
      <c r="M407" s="1711"/>
      <c r="N407" s="3"/>
      <c r="O407" s="3"/>
      <c r="P407" s="3"/>
      <c r="Q407" s="149"/>
      <c r="AJ407" s="14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row>
    <row r="408" spans="2:94">
      <c r="B408" s="3"/>
      <c r="C408" s="3"/>
      <c r="D408" s="3"/>
      <c r="E408" s="3"/>
      <c r="F408" s="3"/>
      <c r="G408" s="3"/>
      <c r="H408" s="3"/>
      <c r="I408" s="3"/>
      <c r="J408" s="3"/>
      <c r="K408" s="3"/>
      <c r="L408" s="3"/>
      <c r="M408" s="1711"/>
      <c r="N408" s="3"/>
      <c r="O408" s="3"/>
      <c r="P408" s="3"/>
      <c r="Q408" s="149"/>
      <c r="AJ408" s="14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row>
    <row r="409" spans="2:94">
      <c r="B409" s="3"/>
      <c r="C409" s="3"/>
      <c r="D409" s="3"/>
      <c r="E409" s="3"/>
      <c r="F409" s="3"/>
      <c r="G409" s="3"/>
      <c r="H409" s="3"/>
      <c r="I409" s="3"/>
      <c r="J409" s="3"/>
      <c r="K409" s="3"/>
      <c r="L409" s="3"/>
      <c r="M409" s="1711"/>
      <c r="N409" s="3"/>
      <c r="O409" s="3"/>
      <c r="P409" s="3"/>
      <c r="Q409" s="149"/>
      <c r="AJ409" s="14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row>
    <row r="410" spans="2:94">
      <c r="B410" s="3"/>
      <c r="C410" s="3"/>
      <c r="D410" s="3"/>
      <c r="E410" s="3"/>
      <c r="F410" s="3"/>
      <c r="G410" s="3"/>
      <c r="H410" s="3"/>
      <c r="I410" s="3"/>
      <c r="J410" s="3"/>
      <c r="K410" s="3"/>
      <c r="L410" s="3"/>
      <c r="M410" s="1711"/>
      <c r="N410" s="3"/>
      <c r="O410" s="3"/>
      <c r="P410" s="3"/>
      <c r="Q410" s="149"/>
      <c r="AJ410" s="14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row>
    <row r="411" spans="2:94">
      <c r="B411" s="3"/>
      <c r="C411" s="3"/>
      <c r="D411" s="3"/>
      <c r="E411" s="3"/>
      <c r="F411" s="3"/>
      <c r="G411" s="3"/>
      <c r="H411" s="3"/>
      <c r="I411" s="3"/>
      <c r="J411" s="3"/>
      <c r="K411" s="3"/>
      <c r="L411" s="3"/>
      <c r="M411" s="1711"/>
      <c r="N411" s="3"/>
      <c r="O411" s="3"/>
      <c r="P411" s="3"/>
      <c r="Q411" s="149"/>
      <c r="AJ411" s="14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row>
    <row r="412" spans="2:94">
      <c r="B412" s="3"/>
      <c r="C412" s="3"/>
      <c r="D412" s="3"/>
      <c r="E412" s="3"/>
      <c r="F412" s="3"/>
      <c r="G412" s="3"/>
      <c r="H412" s="3"/>
      <c r="I412" s="3"/>
      <c r="J412" s="3"/>
      <c r="K412" s="3"/>
      <c r="L412" s="3"/>
      <c r="M412" s="1711"/>
      <c r="N412" s="3"/>
      <c r="O412" s="3"/>
      <c r="P412" s="3"/>
      <c r="Q412" s="149"/>
      <c r="AJ412" s="14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row>
    <row r="413" spans="2:94">
      <c r="B413" s="3"/>
      <c r="C413" s="3"/>
      <c r="D413" s="3"/>
      <c r="E413" s="3"/>
      <c r="F413" s="3"/>
      <c r="G413" s="3"/>
      <c r="H413" s="3"/>
      <c r="I413" s="3"/>
      <c r="J413" s="3"/>
      <c r="K413" s="3"/>
      <c r="L413" s="3"/>
      <c r="M413" s="1711"/>
      <c r="N413" s="3"/>
      <c r="O413" s="3"/>
      <c r="P413" s="3"/>
      <c r="Q413" s="149"/>
      <c r="AJ413" s="14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row>
    <row r="414" spans="2:94">
      <c r="B414" s="3"/>
      <c r="C414" s="3"/>
      <c r="D414" s="3"/>
      <c r="E414" s="3"/>
      <c r="F414" s="3"/>
      <c r="G414" s="3"/>
      <c r="H414" s="3"/>
      <c r="I414" s="3"/>
      <c r="J414" s="3"/>
      <c r="K414" s="3"/>
      <c r="L414" s="3"/>
      <c r="M414" s="1711"/>
      <c r="N414" s="3"/>
      <c r="O414" s="3"/>
      <c r="P414" s="3"/>
      <c r="Q414" s="149"/>
      <c r="AJ414" s="14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row>
    <row r="415" spans="2:94">
      <c r="B415" s="3"/>
      <c r="C415" s="3"/>
      <c r="D415" s="3"/>
      <c r="E415" s="3"/>
      <c r="F415" s="3"/>
      <c r="G415" s="3"/>
      <c r="H415" s="3"/>
      <c r="I415" s="3"/>
      <c r="J415" s="3"/>
      <c r="K415" s="3"/>
      <c r="L415" s="3"/>
      <c r="M415" s="1711"/>
      <c r="N415" s="3"/>
      <c r="O415" s="3"/>
      <c r="P415" s="3"/>
      <c r="Q415" s="149"/>
      <c r="AJ415" s="14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row>
    <row r="416" spans="2:94">
      <c r="B416" s="3"/>
      <c r="C416" s="3"/>
      <c r="D416" s="3"/>
      <c r="E416" s="3"/>
      <c r="F416" s="3"/>
      <c r="G416" s="3"/>
      <c r="H416" s="3"/>
      <c r="I416" s="3"/>
      <c r="J416" s="3"/>
      <c r="K416" s="3"/>
      <c r="L416" s="3"/>
      <c r="M416" s="1711"/>
      <c r="N416" s="3"/>
      <c r="O416" s="3"/>
      <c r="P416" s="3"/>
      <c r="Q416" s="149"/>
      <c r="AJ416" s="14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row>
    <row r="417" spans="2:94">
      <c r="B417" s="3"/>
      <c r="C417" s="3"/>
      <c r="D417" s="3"/>
      <c r="E417" s="3"/>
      <c r="F417" s="3"/>
      <c r="G417" s="3"/>
      <c r="H417" s="3"/>
      <c r="I417" s="3"/>
      <c r="J417" s="3"/>
      <c r="K417" s="3"/>
      <c r="L417" s="3"/>
      <c r="M417" s="1711"/>
      <c r="N417" s="3"/>
      <c r="O417" s="3"/>
      <c r="P417" s="3"/>
      <c r="Q417" s="149"/>
      <c r="AJ417" s="14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row>
    <row r="418" spans="2:94">
      <c r="B418" s="3"/>
      <c r="C418" s="3"/>
      <c r="D418" s="3"/>
      <c r="E418" s="3"/>
      <c r="F418" s="3"/>
      <c r="G418" s="3"/>
      <c r="H418" s="3"/>
      <c r="I418" s="3"/>
      <c r="J418" s="3"/>
      <c r="K418" s="3"/>
      <c r="L418" s="3"/>
      <c r="M418" s="1711"/>
      <c r="N418" s="3"/>
      <c r="O418" s="3"/>
      <c r="P418" s="3"/>
      <c r="Q418" s="149"/>
      <c r="AJ418" s="14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row>
    <row r="419" spans="2:94">
      <c r="B419" s="3"/>
      <c r="C419" s="3"/>
      <c r="D419" s="3"/>
      <c r="E419" s="3"/>
      <c r="F419" s="3"/>
      <c r="G419" s="3"/>
      <c r="H419" s="3"/>
      <c r="I419" s="3"/>
      <c r="J419" s="3"/>
      <c r="K419" s="3"/>
      <c r="L419" s="3"/>
      <c r="M419" s="1711"/>
      <c r="N419" s="3"/>
      <c r="O419" s="3"/>
      <c r="P419" s="3"/>
      <c r="Q419" s="149"/>
      <c r="AJ419" s="14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row>
    <row r="420" spans="2:94">
      <c r="B420" s="3"/>
      <c r="C420" s="3"/>
      <c r="D420" s="3"/>
      <c r="E420" s="3"/>
      <c r="F420" s="3"/>
      <c r="G420" s="3"/>
      <c r="H420" s="3"/>
      <c r="I420" s="3"/>
      <c r="J420" s="3"/>
      <c r="K420" s="3"/>
      <c r="L420" s="3"/>
      <c r="M420" s="1711"/>
      <c r="N420" s="3"/>
      <c r="O420" s="3"/>
      <c r="P420" s="3"/>
      <c r="Q420" s="149"/>
      <c r="AJ420" s="14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row>
    <row r="421" spans="2:94">
      <c r="B421" s="3"/>
      <c r="C421" s="3"/>
      <c r="D421" s="3"/>
      <c r="E421" s="3"/>
      <c r="F421" s="3"/>
      <c r="G421" s="3"/>
      <c r="H421" s="3"/>
      <c r="I421" s="3"/>
      <c r="J421" s="3"/>
      <c r="K421" s="3"/>
      <c r="L421" s="3"/>
      <c r="M421" s="1711"/>
      <c r="N421" s="3"/>
      <c r="O421" s="3"/>
      <c r="P421" s="3"/>
      <c r="Q421" s="149"/>
      <c r="AJ421" s="14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row>
    <row r="422" spans="2:94">
      <c r="B422" s="3"/>
      <c r="C422" s="3"/>
      <c r="D422" s="3"/>
      <c r="E422" s="3"/>
      <c r="F422" s="3"/>
      <c r="G422" s="3"/>
      <c r="H422" s="3"/>
      <c r="I422" s="3"/>
      <c r="J422" s="3"/>
      <c r="K422" s="3"/>
      <c r="L422" s="3"/>
      <c r="M422" s="1711"/>
      <c r="N422" s="3"/>
      <c r="O422" s="3"/>
      <c r="P422" s="3"/>
      <c r="Q422" s="149"/>
      <c r="AJ422" s="14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row>
    <row r="423" spans="2:94">
      <c r="B423" s="3"/>
      <c r="C423" s="3"/>
      <c r="D423" s="3"/>
      <c r="E423" s="3"/>
      <c r="F423" s="3"/>
      <c r="G423" s="3"/>
      <c r="H423" s="3"/>
      <c r="I423" s="3"/>
      <c r="J423" s="3"/>
      <c r="K423" s="3"/>
      <c r="L423" s="3"/>
      <c r="M423" s="1711"/>
      <c r="N423" s="3"/>
      <c r="O423" s="3"/>
      <c r="P423" s="3"/>
      <c r="Q423" s="149"/>
      <c r="AJ423" s="14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row>
    <row r="424" spans="2:94">
      <c r="B424" s="3"/>
      <c r="C424" s="3"/>
      <c r="D424" s="3"/>
      <c r="E424" s="3"/>
      <c r="F424" s="3"/>
      <c r="G424" s="3"/>
      <c r="H424" s="3"/>
      <c r="I424" s="3"/>
      <c r="J424" s="3"/>
      <c r="K424" s="3"/>
      <c r="L424" s="3"/>
      <c r="M424" s="1711"/>
      <c r="N424" s="3"/>
      <c r="O424" s="3"/>
      <c r="P424" s="3"/>
      <c r="Q424" s="149"/>
      <c r="AJ424" s="14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row>
    <row r="425" spans="2:94">
      <c r="B425" s="3"/>
      <c r="C425" s="3"/>
      <c r="D425" s="3"/>
      <c r="E425" s="3"/>
      <c r="F425" s="3"/>
      <c r="G425" s="3"/>
      <c r="H425" s="3"/>
      <c r="I425" s="3"/>
      <c r="J425" s="3"/>
      <c r="K425" s="3"/>
      <c r="L425" s="3"/>
      <c r="M425" s="1711"/>
      <c r="N425" s="3"/>
      <c r="O425" s="3"/>
      <c r="P425" s="3"/>
      <c r="Q425" s="149"/>
      <c r="AJ425" s="14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row>
    <row r="426" spans="2:94">
      <c r="B426" s="3"/>
      <c r="C426" s="3"/>
      <c r="D426" s="3"/>
      <c r="E426" s="3"/>
      <c r="F426" s="3"/>
      <c r="G426" s="3"/>
      <c r="H426" s="3"/>
      <c r="I426" s="3"/>
      <c r="J426" s="3"/>
      <c r="K426" s="3"/>
      <c r="L426" s="3"/>
      <c r="M426" s="1711"/>
      <c r="N426" s="3"/>
      <c r="O426" s="3"/>
      <c r="P426" s="3"/>
      <c r="Q426" s="149"/>
      <c r="AJ426" s="14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row>
    <row r="427" spans="2:94">
      <c r="B427" s="3"/>
      <c r="C427" s="3"/>
      <c r="D427" s="3"/>
      <c r="E427" s="3"/>
      <c r="F427" s="3"/>
      <c r="G427" s="3"/>
      <c r="H427" s="3"/>
      <c r="I427" s="3"/>
      <c r="J427" s="3"/>
      <c r="K427" s="3"/>
      <c r="L427" s="3"/>
      <c r="M427" s="1711"/>
      <c r="N427" s="3"/>
      <c r="O427" s="3"/>
      <c r="P427" s="3"/>
      <c r="Q427" s="149"/>
      <c r="AJ427" s="14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row>
    <row r="428" spans="2:94">
      <c r="B428" s="3"/>
      <c r="C428" s="3"/>
      <c r="D428" s="3"/>
      <c r="E428" s="3"/>
      <c r="F428" s="3"/>
      <c r="G428" s="3"/>
      <c r="H428" s="3"/>
      <c r="I428" s="3"/>
      <c r="J428" s="3"/>
      <c r="K428" s="3"/>
      <c r="L428" s="3"/>
      <c r="M428" s="1711"/>
      <c r="N428" s="3"/>
      <c r="O428" s="3"/>
      <c r="P428" s="3"/>
      <c r="Q428" s="149"/>
      <c r="AJ428" s="14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row>
    <row r="429" spans="2:94">
      <c r="B429" s="3"/>
      <c r="C429" s="3"/>
      <c r="D429" s="3"/>
      <c r="E429" s="3"/>
      <c r="F429" s="3"/>
      <c r="G429" s="3"/>
      <c r="H429" s="3"/>
      <c r="I429" s="3"/>
      <c r="J429" s="3"/>
      <c r="K429" s="3"/>
      <c r="L429" s="3"/>
      <c r="M429" s="1711"/>
      <c r="N429" s="3"/>
      <c r="O429" s="3"/>
      <c r="P429" s="3"/>
      <c r="Q429" s="149"/>
      <c r="AJ429" s="14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row>
    <row r="430" spans="2:94">
      <c r="B430" s="3"/>
      <c r="C430" s="3"/>
      <c r="D430" s="3"/>
      <c r="E430" s="3"/>
      <c r="F430" s="3"/>
      <c r="G430" s="3"/>
      <c r="H430" s="3"/>
      <c r="I430" s="3"/>
      <c r="J430" s="3"/>
      <c r="K430" s="3"/>
      <c r="L430" s="3"/>
      <c r="M430" s="1711"/>
      <c r="N430" s="3"/>
      <c r="O430" s="3"/>
      <c r="P430" s="3"/>
      <c r="Q430" s="149"/>
      <c r="AJ430" s="14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row>
    <row r="431" spans="2:94">
      <c r="B431" s="3"/>
      <c r="C431" s="3"/>
      <c r="D431" s="3"/>
      <c r="E431" s="3"/>
      <c r="F431" s="3"/>
      <c r="G431" s="3"/>
      <c r="H431" s="3"/>
      <c r="I431" s="3"/>
      <c r="J431" s="3"/>
      <c r="K431" s="3"/>
      <c r="L431" s="3"/>
      <c r="M431" s="1711"/>
      <c r="N431" s="3"/>
      <c r="O431" s="3"/>
      <c r="P431" s="3"/>
      <c r="Q431" s="149"/>
      <c r="AJ431" s="14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row>
    <row r="432" spans="2:94">
      <c r="B432" s="3"/>
      <c r="C432" s="3"/>
      <c r="D432" s="3"/>
      <c r="E432" s="3"/>
      <c r="F432" s="3"/>
      <c r="G432" s="3"/>
      <c r="H432" s="3"/>
      <c r="I432" s="3"/>
      <c r="J432" s="3"/>
      <c r="K432" s="3"/>
      <c r="L432" s="3"/>
      <c r="M432" s="1711"/>
      <c r="N432" s="3"/>
      <c r="O432" s="3"/>
      <c r="P432" s="3"/>
      <c r="Q432" s="149"/>
      <c r="AJ432" s="14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row>
    <row r="433" spans="2:94">
      <c r="B433" s="3"/>
      <c r="C433" s="3"/>
      <c r="D433" s="3"/>
      <c r="E433" s="3"/>
      <c r="F433" s="3"/>
      <c r="G433" s="3"/>
      <c r="H433" s="3"/>
      <c r="I433" s="3"/>
      <c r="J433" s="3"/>
      <c r="K433" s="3"/>
      <c r="L433" s="3"/>
      <c r="M433" s="1711"/>
      <c r="N433" s="3"/>
      <c r="O433" s="3"/>
      <c r="P433" s="3"/>
      <c r="Q433" s="149"/>
      <c r="AJ433" s="14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row>
    <row r="434" spans="2:94">
      <c r="B434" s="3"/>
      <c r="C434" s="3"/>
      <c r="D434" s="3"/>
      <c r="E434" s="3"/>
      <c r="F434" s="3"/>
      <c r="G434" s="3"/>
      <c r="H434" s="3"/>
      <c r="I434" s="3"/>
      <c r="J434" s="3"/>
      <c r="K434" s="3"/>
      <c r="L434" s="3"/>
      <c r="M434" s="1711"/>
      <c r="N434" s="3"/>
      <c r="O434" s="3"/>
      <c r="P434" s="3"/>
      <c r="Q434" s="149"/>
      <c r="AJ434" s="14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row>
    <row r="435" spans="2:94">
      <c r="B435" s="3"/>
      <c r="C435" s="3"/>
      <c r="D435" s="3"/>
      <c r="E435" s="3"/>
      <c r="F435" s="3"/>
      <c r="G435" s="3"/>
      <c r="H435" s="3"/>
      <c r="I435" s="3"/>
      <c r="J435" s="3"/>
      <c r="K435" s="3"/>
      <c r="L435" s="3"/>
      <c r="M435" s="1711"/>
      <c r="N435" s="3"/>
      <c r="O435" s="3"/>
      <c r="P435" s="3"/>
      <c r="Q435" s="149"/>
      <c r="AJ435" s="14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row>
    <row r="436" spans="2:94">
      <c r="B436" s="3"/>
      <c r="C436" s="3"/>
      <c r="D436" s="3"/>
      <c r="E436" s="3"/>
      <c r="F436" s="3"/>
      <c r="G436" s="3"/>
      <c r="H436" s="3"/>
      <c r="I436" s="3"/>
      <c r="J436" s="3"/>
      <c r="K436" s="3"/>
      <c r="L436" s="3"/>
      <c r="M436" s="1711"/>
      <c r="N436" s="3"/>
      <c r="O436" s="3"/>
      <c r="P436" s="3"/>
      <c r="Q436" s="149"/>
      <c r="AJ436" s="14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row>
    <row r="437" spans="2:94">
      <c r="B437" s="3"/>
      <c r="C437" s="3"/>
      <c r="D437" s="3"/>
      <c r="E437" s="3"/>
      <c r="F437" s="3"/>
      <c r="G437" s="3"/>
      <c r="H437" s="3"/>
      <c r="I437" s="3"/>
      <c r="J437" s="3"/>
      <c r="K437" s="3"/>
      <c r="L437" s="3"/>
      <c r="M437" s="1711"/>
      <c r="N437" s="3"/>
      <c r="O437" s="3"/>
      <c r="P437" s="3"/>
      <c r="Q437" s="149"/>
      <c r="AJ437" s="14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row>
    <row r="438" spans="2:94">
      <c r="B438" s="3"/>
      <c r="C438" s="3"/>
      <c r="D438" s="3"/>
      <c r="E438" s="3"/>
      <c r="F438" s="3"/>
      <c r="G438" s="3"/>
      <c r="H438" s="3"/>
      <c r="I438" s="3"/>
      <c r="J438" s="3"/>
      <c r="K438" s="3"/>
      <c r="L438" s="3"/>
      <c r="M438" s="1711"/>
      <c r="N438" s="3"/>
      <c r="O438" s="3"/>
      <c r="P438" s="3"/>
      <c r="Q438" s="149"/>
      <c r="AJ438" s="14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row>
    <row r="439" spans="2:94">
      <c r="B439" s="3"/>
      <c r="C439" s="3"/>
      <c r="D439" s="3"/>
      <c r="E439" s="3"/>
      <c r="F439" s="3"/>
      <c r="G439" s="3"/>
      <c r="H439" s="3"/>
      <c r="I439" s="3"/>
      <c r="J439" s="3"/>
      <c r="K439" s="3"/>
      <c r="L439" s="3"/>
      <c r="M439" s="1711"/>
      <c r="N439" s="3"/>
      <c r="O439" s="3"/>
      <c r="P439" s="3"/>
      <c r="Q439" s="149"/>
      <c r="AJ439" s="14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row>
    <row r="440" spans="2:94">
      <c r="B440" s="3"/>
      <c r="C440" s="3"/>
      <c r="D440" s="3"/>
      <c r="E440" s="3"/>
      <c r="F440" s="3"/>
      <c r="G440" s="3"/>
      <c r="H440" s="3"/>
      <c r="I440" s="3"/>
      <c r="J440" s="3"/>
      <c r="K440" s="3"/>
      <c r="L440" s="3"/>
      <c r="M440" s="1711"/>
      <c r="N440" s="3"/>
      <c r="O440" s="3"/>
      <c r="P440" s="3"/>
      <c r="Q440" s="149"/>
      <c r="AJ440" s="14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row>
    <row r="441" spans="2:94">
      <c r="B441" s="3"/>
      <c r="C441" s="3"/>
      <c r="D441" s="3"/>
      <c r="E441" s="3"/>
      <c r="F441" s="3"/>
      <c r="G441" s="3"/>
      <c r="H441" s="3"/>
      <c r="I441" s="3"/>
      <c r="J441" s="3"/>
      <c r="K441" s="3"/>
      <c r="L441" s="3"/>
      <c r="M441" s="1711"/>
      <c r="N441" s="3"/>
      <c r="O441" s="3"/>
      <c r="P441" s="3"/>
      <c r="Q441" s="149"/>
      <c r="AJ441" s="14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row>
    <row r="442" spans="2:94">
      <c r="B442" s="3"/>
      <c r="C442" s="3"/>
      <c r="D442" s="3"/>
      <c r="E442" s="3"/>
      <c r="F442" s="3"/>
      <c r="G442" s="3"/>
      <c r="H442" s="3"/>
      <c r="I442" s="3"/>
      <c r="J442" s="3"/>
      <c r="K442" s="3"/>
      <c r="L442" s="3"/>
      <c r="M442" s="1711"/>
      <c r="N442" s="3"/>
      <c r="O442" s="3"/>
      <c r="P442" s="3"/>
      <c r="Q442" s="149"/>
      <c r="AJ442" s="14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row>
    <row r="443" spans="2:94">
      <c r="B443" s="3"/>
      <c r="C443" s="3"/>
      <c r="D443" s="3"/>
      <c r="E443" s="3"/>
      <c r="F443" s="3"/>
      <c r="G443" s="3"/>
      <c r="H443" s="3"/>
      <c r="I443" s="3"/>
      <c r="J443" s="3"/>
      <c r="K443" s="3"/>
      <c r="L443" s="3"/>
      <c r="M443" s="1711"/>
      <c r="N443" s="3"/>
      <c r="O443" s="3"/>
      <c r="P443" s="3"/>
      <c r="Q443" s="149"/>
      <c r="AJ443" s="14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row>
    <row r="444" spans="2:94">
      <c r="B444" s="3"/>
      <c r="C444" s="3"/>
      <c r="D444" s="3"/>
      <c r="E444" s="3"/>
      <c r="F444" s="3"/>
      <c r="G444" s="3"/>
      <c r="H444" s="3"/>
      <c r="I444" s="3"/>
      <c r="J444" s="3"/>
      <c r="K444" s="3"/>
      <c r="L444" s="3"/>
      <c r="M444" s="1711"/>
      <c r="N444" s="3"/>
      <c r="O444" s="3"/>
      <c r="P444" s="3"/>
      <c r="Q444" s="149"/>
      <c r="AJ444" s="14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row>
    <row r="445" spans="2:94">
      <c r="B445" s="3"/>
      <c r="C445" s="3"/>
      <c r="D445" s="3"/>
      <c r="E445" s="3"/>
      <c r="F445" s="3"/>
      <c r="G445" s="3"/>
      <c r="H445" s="3"/>
      <c r="I445" s="3"/>
      <c r="J445" s="3"/>
      <c r="K445" s="3"/>
      <c r="L445" s="3"/>
      <c r="M445" s="1711"/>
      <c r="N445" s="3"/>
      <c r="O445" s="3"/>
      <c r="P445" s="3"/>
      <c r="Q445" s="149"/>
      <c r="AJ445" s="14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row>
    <row r="446" spans="2:94">
      <c r="B446" s="3"/>
      <c r="C446" s="3"/>
      <c r="D446" s="3"/>
      <c r="E446" s="3"/>
      <c r="F446" s="3"/>
      <c r="G446" s="3"/>
      <c r="H446" s="3"/>
      <c r="I446" s="3"/>
      <c r="J446" s="3"/>
      <c r="K446" s="3"/>
      <c r="L446" s="3"/>
      <c r="M446" s="1711"/>
      <c r="N446" s="3"/>
      <c r="O446" s="3"/>
      <c r="P446" s="3"/>
      <c r="Q446" s="149"/>
      <c r="AJ446" s="14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row>
    <row r="447" spans="2:94">
      <c r="B447" s="3"/>
      <c r="C447" s="3"/>
      <c r="D447" s="3"/>
      <c r="E447" s="3"/>
      <c r="F447" s="3"/>
      <c r="G447" s="3"/>
      <c r="H447" s="3"/>
      <c r="I447" s="3"/>
      <c r="J447" s="3"/>
      <c r="K447" s="3"/>
      <c r="L447" s="3"/>
      <c r="M447" s="1711"/>
      <c r="N447" s="3"/>
      <c r="O447" s="3"/>
      <c r="P447" s="3"/>
      <c r="Q447" s="149"/>
      <c r="AJ447" s="14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row>
    <row r="448" spans="2:94">
      <c r="B448" s="3"/>
      <c r="C448" s="3"/>
      <c r="D448" s="3"/>
      <c r="E448" s="3"/>
      <c r="F448" s="3"/>
      <c r="G448" s="3"/>
      <c r="H448" s="3"/>
      <c r="I448" s="3"/>
      <c r="J448" s="3"/>
      <c r="K448" s="3"/>
      <c r="L448" s="3"/>
      <c r="M448" s="1711"/>
      <c r="N448" s="3"/>
      <c r="O448" s="3"/>
      <c r="P448" s="3"/>
      <c r="Q448" s="149"/>
      <c r="AJ448" s="14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row>
    <row r="449" spans="2:94">
      <c r="B449" s="3"/>
      <c r="C449" s="3"/>
      <c r="D449" s="3"/>
      <c r="E449" s="3"/>
      <c r="F449" s="3"/>
      <c r="G449" s="3"/>
      <c r="H449" s="3"/>
      <c r="I449" s="3"/>
      <c r="J449" s="3"/>
      <c r="K449" s="3"/>
      <c r="L449" s="3"/>
      <c r="M449" s="1711"/>
      <c r="N449" s="3"/>
      <c r="O449" s="3"/>
      <c r="P449" s="3"/>
      <c r="Q449" s="149"/>
      <c r="AJ449" s="14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row>
    <row r="450" spans="2:94">
      <c r="B450" s="3"/>
      <c r="C450" s="3"/>
      <c r="D450" s="3"/>
      <c r="E450" s="3"/>
      <c r="F450" s="3"/>
      <c r="G450" s="3"/>
      <c r="H450" s="3"/>
      <c r="I450" s="3"/>
      <c r="J450" s="3"/>
      <c r="K450" s="3"/>
      <c r="L450" s="3"/>
      <c r="M450" s="1711"/>
      <c r="N450" s="3"/>
      <c r="O450" s="3"/>
      <c r="P450" s="3"/>
      <c r="Q450" s="149"/>
      <c r="AJ450" s="14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row>
    <row r="451" spans="2:94">
      <c r="B451" s="3"/>
      <c r="C451" s="3"/>
      <c r="D451" s="3"/>
      <c r="E451" s="3"/>
      <c r="F451" s="3"/>
      <c r="G451" s="3"/>
      <c r="H451" s="3"/>
      <c r="I451" s="3"/>
      <c r="J451" s="3"/>
      <c r="K451" s="3"/>
      <c r="L451" s="3"/>
      <c r="M451" s="1711"/>
      <c r="N451" s="3"/>
      <c r="O451" s="3"/>
      <c r="P451" s="3"/>
      <c r="Q451" s="149"/>
      <c r="AJ451" s="14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row>
    <row r="452" spans="2:94">
      <c r="B452" s="3"/>
      <c r="C452" s="3"/>
      <c r="D452" s="3"/>
      <c r="E452" s="3"/>
      <c r="F452" s="3"/>
      <c r="G452" s="3"/>
      <c r="H452" s="3"/>
      <c r="I452" s="3"/>
      <c r="J452" s="3"/>
      <c r="K452" s="3"/>
      <c r="L452" s="3"/>
      <c r="M452" s="1711"/>
      <c r="N452" s="3"/>
      <c r="O452" s="3"/>
      <c r="P452" s="3"/>
      <c r="Q452" s="149"/>
      <c r="AJ452" s="14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row>
    <row r="453" spans="2:94">
      <c r="B453" s="3"/>
      <c r="C453" s="3"/>
      <c r="D453" s="3"/>
      <c r="E453" s="3"/>
      <c r="F453" s="3"/>
      <c r="G453" s="3"/>
      <c r="H453" s="3"/>
      <c r="I453" s="3"/>
      <c r="J453" s="3"/>
      <c r="K453" s="3"/>
      <c r="L453" s="3"/>
      <c r="M453" s="1711"/>
      <c r="N453" s="3"/>
      <c r="O453" s="3"/>
      <c r="P453" s="3"/>
      <c r="Q453" s="149"/>
      <c r="AJ453" s="14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row>
    <row r="454" spans="2:94">
      <c r="B454" s="3"/>
      <c r="C454" s="3"/>
      <c r="D454" s="3"/>
      <c r="E454" s="3"/>
      <c r="F454" s="3"/>
      <c r="G454" s="3"/>
      <c r="H454" s="3"/>
      <c r="I454" s="3"/>
      <c r="J454" s="3"/>
      <c r="K454" s="3"/>
      <c r="L454" s="3"/>
      <c r="M454" s="1711"/>
      <c r="N454" s="3"/>
      <c r="O454" s="3"/>
      <c r="P454" s="3"/>
      <c r="Q454" s="149"/>
      <c r="AJ454" s="14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row>
    <row r="455" spans="2:94">
      <c r="B455" s="3"/>
      <c r="C455" s="3"/>
      <c r="D455" s="3"/>
      <c r="E455" s="3"/>
      <c r="F455" s="3"/>
      <c r="G455" s="3"/>
      <c r="H455" s="3"/>
      <c r="I455" s="3"/>
      <c r="J455" s="3"/>
      <c r="K455" s="3"/>
      <c r="L455" s="3"/>
      <c r="M455" s="1711"/>
      <c r="N455" s="3"/>
      <c r="O455" s="3"/>
      <c r="P455" s="3"/>
      <c r="Q455" s="149"/>
      <c r="AJ455" s="14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row>
    <row r="456" spans="2:94">
      <c r="B456" s="3"/>
      <c r="C456" s="3"/>
      <c r="D456" s="3"/>
      <c r="E456" s="3"/>
      <c r="F456" s="3"/>
      <c r="G456" s="3"/>
      <c r="H456" s="3"/>
      <c r="I456" s="3"/>
      <c r="J456" s="3"/>
      <c r="K456" s="3"/>
      <c r="L456" s="3"/>
      <c r="M456" s="1711"/>
      <c r="N456" s="3"/>
      <c r="O456" s="3"/>
      <c r="P456" s="3"/>
      <c r="Q456" s="149"/>
      <c r="AJ456" s="14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row>
    <row r="457" spans="2:94">
      <c r="B457" s="3"/>
      <c r="C457" s="3"/>
      <c r="D457" s="3"/>
      <c r="E457" s="3"/>
      <c r="F457" s="3"/>
      <c r="G457" s="3"/>
      <c r="H457" s="3"/>
      <c r="I457" s="3"/>
      <c r="J457" s="3"/>
      <c r="K457" s="3"/>
      <c r="L457" s="3"/>
      <c r="M457" s="1711"/>
      <c r="N457" s="3"/>
      <c r="O457" s="3"/>
      <c r="P457" s="3"/>
      <c r="Q457" s="149"/>
      <c r="AJ457" s="14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row>
    <row r="458" spans="2:94">
      <c r="B458" s="3"/>
      <c r="C458" s="3"/>
      <c r="D458" s="3"/>
      <c r="E458" s="3"/>
      <c r="F458" s="3"/>
      <c r="G458" s="3"/>
      <c r="H458" s="3"/>
      <c r="I458" s="3"/>
      <c r="J458" s="3"/>
      <c r="K458" s="3"/>
      <c r="L458" s="3"/>
      <c r="M458" s="1711"/>
      <c r="N458" s="3"/>
      <c r="O458" s="3"/>
      <c r="P458" s="3"/>
      <c r="Q458" s="149"/>
      <c r="AJ458" s="14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row>
    <row r="459" spans="2:94">
      <c r="B459" s="3"/>
      <c r="C459" s="3"/>
      <c r="D459" s="3"/>
      <c r="E459" s="3"/>
      <c r="F459" s="3"/>
      <c r="G459" s="3"/>
      <c r="H459" s="3"/>
      <c r="I459" s="3"/>
      <c r="J459" s="3"/>
      <c r="K459" s="3"/>
      <c r="L459" s="3"/>
      <c r="M459" s="1711"/>
      <c r="N459" s="3"/>
      <c r="O459" s="3"/>
      <c r="P459" s="3"/>
      <c r="Q459" s="149"/>
      <c r="AJ459" s="14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row>
    <row r="460" spans="2:94">
      <c r="B460" s="3"/>
      <c r="C460" s="3"/>
      <c r="D460" s="3"/>
      <c r="E460" s="3"/>
      <c r="F460" s="3"/>
      <c r="G460" s="3"/>
      <c r="H460" s="3"/>
      <c r="I460" s="3"/>
      <c r="J460" s="3"/>
      <c r="K460" s="3"/>
      <c r="L460" s="3"/>
      <c r="M460" s="1711"/>
      <c r="N460" s="3"/>
      <c r="O460" s="3"/>
      <c r="P460" s="3"/>
      <c r="Q460" s="149"/>
      <c r="AJ460" s="14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row>
    <row r="461" spans="2:94">
      <c r="B461" s="3"/>
      <c r="C461" s="3"/>
      <c r="D461" s="3"/>
      <c r="E461" s="3"/>
      <c r="F461" s="3"/>
      <c r="G461" s="3"/>
      <c r="H461" s="3"/>
      <c r="I461" s="3"/>
      <c r="J461" s="3"/>
      <c r="K461" s="3"/>
      <c r="L461" s="3"/>
      <c r="M461" s="1711"/>
      <c r="N461" s="3"/>
      <c r="O461" s="3"/>
      <c r="P461" s="3"/>
      <c r="Q461" s="149"/>
      <c r="AJ461" s="14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row>
    <row r="462" spans="2:94">
      <c r="B462" s="3"/>
      <c r="C462" s="3"/>
      <c r="D462" s="3"/>
      <c r="E462" s="3"/>
      <c r="F462" s="3"/>
      <c r="G462" s="3"/>
      <c r="H462" s="3"/>
      <c r="I462" s="3"/>
      <c r="J462" s="3"/>
      <c r="K462" s="3"/>
      <c r="L462" s="3"/>
      <c r="M462" s="1711"/>
      <c r="N462" s="3"/>
      <c r="O462" s="3"/>
      <c r="P462" s="3"/>
      <c r="Q462" s="149"/>
      <c r="AJ462" s="14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row>
    <row r="463" spans="2:94">
      <c r="B463" s="3"/>
      <c r="C463" s="3"/>
      <c r="D463" s="3"/>
      <c r="E463" s="3"/>
      <c r="F463" s="3"/>
      <c r="G463" s="3"/>
      <c r="H463" s="3"/>
      <c r="I463" s="3"/>
      <c r="J463" s="3"/>
      <c r="K463" s="3"/>
      <c r="L463" s="3"/>
      <c r="M463" s="1711"/>
      <c r="N463" s="3"/>
      <c r="O463" s="3"/>
      <c r="P463" s="3"/>
      <c r="Q463" s="149"/>
      <c r="AJ463" s="14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row>
    <row r="464" spans="2:94">
      <c r="B464" s="3"/>
      <c r="C464" s="3"/>
      <c r="D464" s="3"/>
      <c r="E464" s="3"/>
      <c r="F464" s="3"/>
      <c r="G464" s="3"/>
      <c r="H464" s="3"/>
      <c r="I464" s="3"/>
      <c r="J464" s="3"/>
      <c r="K464" s="3"/>
      <c r="L464" s="3"/>
      <c r="M464" s="1711"/>
      <c r="N464" s="3"/>
      <c r="O464" s="3"/>
      <c r="P464" s="3"/>
      <c r="Q464" s="149"/>
      <c r="AJ464" s="14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row>
    <row r="465" spans="2:94">
      <c r="B465" s="3"/>
      <c r="C465" s="3"/>
      <c r="D465" s="3"/>
      <c r="E465" s="3"/>
      <c r="F465" s="3"/>
      <c r="G465" s="3"/>
      <c r="H465" s="3"/>
      <c r="I465" s="3"/>
      <c r="J465" s="3"/>
      <c r="K465" s="3"/>
      <c r="L465" s="3"/>
      <c r="M465" s="1711"/>
      <c r="N465" s="3"/>
      <c r="O465" s="3"/>
      <c r="P465" s="3"/>
      <c r="Q465" s="149"/>
      <c r="AJ465" s="14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row>
    <row r="466" spans="2:94">
      <c r="B466" s="3"/>
      <c r="C466" s="3"/>
      <c r="D466" s="3"/>
      <c r="E466" s="3"/>
      <c r="F466" s="3"/>
      <c r="G466" s="3"/>
      <c r="H466" s="3"/>
      <c r="I466" s="3"/>
      <c r="J466" s="3"/>
      <c r="K466" s="3"/>
      <c r="L466" s="3"/>
      <c r="M466" s="1711"/>
      <c r="N466" s="3"/>
      <c r="O466" s="3"/>
      <c r="P466" s="3"/>
      <c r="Q466" s="149"/>
      <c r="AJ466" s="14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row>
    <row r="467" spans="2:94">
      <c r="B467" s="3"/>
      <c r="C467" s="3"/>
      <c r="D467" s="3"/>
      <c r="E467" s="3"/>
      <c r="F467" s="3"/>
      <c r="G467" s="3"/>
      <c r="H467" s="3"/>
      <c r="I467" s="3"/>
      <c r="J467" s="3"/>
      <c r="K467" s="3"/>
      <c r="L467" s="3"/>
      <c r="M467" s="1711"/>
      <c r="N467" s="3"/>
      <c r="O467" s="3"/>
      <c r="P467" s="3"/>
      <c r="Q467" s="149"/>
      <c r="AJ467" s="14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row>
    <row r="468" spans="2:94">
      <c r="B468" s="3"/>
      <c r="C468" s="3"/>
      <c r="D468" s="3"/>
      <c r="E468" s="3"/>
      <c r="F468" s="3"/>
      <c r="G468" s="3"/>
      <c r="H468" s="3"/>
      <c r="I468" s="3"/>
      <c r="J468" s="3"/>
      <c r="K468" s="3"/>
      <c r="L468" s="3"/>
      <c r="M468" s="1711"/>
      <c r="N468" s="3"/>
      <c r="O468" s="3"/>
      <c r="P468" s="3"/>
      <c r="Q468" s="149"/>
      <c r="AJ468" s="14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row>
    <row r="469" spans="2:94">
      <c r="B469" s="3"/>
      <c r="C469" s="3"/>
      <c r="D469" s="3"/>
      <c r="E469" s="3"/>
      <c r="F469" s="3"/>
      <c r="G469" s="3"/>
      <c r="H469" s="3"/>
      <c r="I469" s="3"/>
      <c r="J469" s="3"/>
      <c r="K469" s="3"/>
      <c r="L469" s="3"/>
      <c r="M469" s="1711"/>
      <c r="N469" s="3"/>
      <c r="O469" s="3"/>
      <c r="P469" s="3"/>
      <c r="Q469" s="149"/>
      <c r="AJ469" s="14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row>
    <row r="470" spans="2:94">
      <c r="B470" s="3"/>
      <c r="C470" s="3"/>
      <c r="D470" s="3"/>
      <c r="E470" s="3"/>
      <c r="F470" s="3"/>
      <c r="G470" s="3"/>
      <c r="H470" s="3"/>
      <c r="I470" s="3"/>
      <c r="J470" s="3"/>
      <c r="K470" s="3"/>
      <c r="L470" s="3"/>
      <c r="M470" s="1711"/>
      <c r="N470" s="3"/>
      <c r="O470" s="3"/>
      <c r="P470" s="3"/>
      <c r="Q470" s="149"/>
      <c r="AJ470" s="14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row>
    <row r="471" spans="2:94">
      <c r="B471" s="3"/>
      <c r="C471" s="3"/>
      <c r="D471" s="3"/>
      <c r="E471" s="3"/>
      <c r="F471" s="3"/>
      <c r="G471" s="3"/>
      <c r="H471" s="3"/>
      <c r="I471" s="3"/>
      <c r="J471" s="3"/>
      <c r="K471" s="3"/>
      <c r="L471" s="3"/>
      <c r="M471" s="1711"/>
      <c r="N471" s="3"/>
      <c r="O471" s="3"/>
      <c r="P471" s="3"/>
      <c r="Q471" s="149"/>
      <c r="AJ471" s="14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row>
    <row r="472" spans="2:94">
      <c r="B472" s="3"/>
      <c r="C472" s="3"/>
      <c r="D472" s="3"/>
      <c r="E472" s="3"/>
      <c r="F472" s="3"/>
      <c r="G472" s="3"/>
      <c r="H472" s="3"/>
      <c r="I472" s="3"/>
      <c r="J472" s="3"/>
      <c r="K472" s="3"/>
      <c r="L472" s="3"/>
      <c r="M472" s="1711"/>
      <c r="N472" s="3"/>
      <c r="O472" s="3"/>
      <c r="P472" s="3"/>
      <c r="Q472" s="149"/>
      <c r="AJ472" s="14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row>
    <row r="473" spans="2:94">
      <c r="B473" s="3"/>
      <c r="C473" s="3"/>
      <c r="D473" s="3"/>
      <c r="E473" s="3"/>
      <c r="F473" s="3"/>
      <c r="G473" s="3"/>
      <c r="H473" s="3"/>
      <c r="I473" s="3"/>
      <c r="J473" s="3"/>
      <c r="K473" s="3"/>
      <c r="L473" s="3"/>
      <c r="M473" s="1711"/>
      <c r="N473" s="3"/>
      <c r="O473" s="3"/>
      <c r="P473" s="3"/>
      <c r="Q473" s="149"/>
      <c r="AJ473" s="14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row>
    <row r="474" spans="2:94">
      <c r="B474" s="3"/>
      <c r="C474" s="3"/>
      <c r="D474" s="3"/>
      <c r="E474" s="3"/>
      <c r="F474" s="3"/>
      <c r="G474" s="3"/>
      <c r="H474" s="3"/>
      <c r="I474" s="3"/>
      <c r="J474" s="3"/>
      <c r="K474" s="3"/>
      <c r="L474" s="3"/>
      <c r="M474" s="1711"/>
      <c r="N474" s="3"/>
      <c r="O474" s="3"/>
      <c r="P474" s="3"/>
      <c r="Q474" s="149"/>
      <c r="AJ474" s="14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row>
    <row r="475" spans="2:94">
      <c r="B475" s="3"/>
      <c r="C475" s="3"/>
      <c r="D475" s="3"/>
      <c r="E475" s="3"/>
      <c r="F475" s="3"/>
      <c r="G475" s="3"/>
      <c r="H475" s="3"/>
      <c r="I475" s="3"/>
      <c r="J475" s="3"/>
      <c r="K475" s="3"/>
      <c r="L475" s="3"/>
      <c r="M475" s="1711"/>
      <c r="N475" s="3"/>
      <c r="O475" s="3"/>
      <c r="P475" s="3"/>
      <c r="Q475" s="149"/>
      <c r="AJ475" s="14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row>
    <row r="476" spans="2:94">
      <c r="B476" s="3"/>
      <c r="C476" s="3"/>
      <c r="D476" s="3"/>
      <c r="E476" s="3"/>
      <c r="F476" s="3"/>
      <c r="G476" s="3"/>
      <c r="H476" s="3"/>
      <c r="I476" s="3"/>
      <c r="J476" s="3"/>
      <c r="K476" s="3"/>
      <c r="L476" s="3"/>
      <c r="M476" s="1711"/>
      <c r="N476" s="3"/>
      <c r="O476" s="3"/>
      <c r="P476" s="3"/>
      <c r="Q476" s="149"/>
      <c r="AJ476" s="14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row>
    <row r="477" spans="2:94">
      <c r="B477" s="3"/>
      <c r="C477" s="3"/>
      <c r="D477" s="3"/>
      <c r="E477" s="3"/>
      <c r="F477" s="3"/>
      <c r="G477" s="3"/>
      <c r="H477" s="3"/>
      <c r="I477" s="3"/>
      <c r="J477" s="3"/>
      <c r="K477" s="3"/>
      <c r="L477" s="3"/>
      <c r="M477" s="1711"/>
      <c r="N477" s="3"/>
      <c r="O477" s="3"/>
      <c r="P477" s="3"/>
      <c r="Q477" s="149"/>
      <c r="AJ477" s="14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row>
    <row r="478" spans="2:94">
      <c r="B478" s="3"/>
      <c r="C478" s="3"/>
      <c r="D478" s="3"/>
      <c r="E478" s="3"/>
      <c r="F478" s="3"/>
      <c r="G478" s="3"/>
      <c r="H478" s="3"/>
      <c r="I478" s="3"/>
      <c r="J478" s="3"/>
      <c r="K478" s="3"/>
      <c r="L478" s="3"/>
      <c r="M478" s="1711"/>
      <c r="N478" s="3"/>
      <c r="O478" s="3"/>
      <c r="P478" s="3"/>
      <c r="Q478" s="149"/>
      <c r="AJ478" s="14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row>
    <row r="479" spans="2:94">
      <c r="B479" s="3"/>
      <c r="C479" s="3"/>
      <c r="D479" s="3"/>
      <c r="E479" s="3"/>
      <c r="F479" s="3"/>
      <c r="G479" s="3"/>
      <c r="H479" s="3"/>
      <c r="I479" s="3"/>
      <c r="J479" s="3"/>
      <c r="K479" s="3"/>
      <c r="L479" s="3"/>
      <c r="M479" s="1711"/>
      <c r="N479" s="3"/>
      <c r="O479" s="3"/>
      <c r="P479" s="3"/>
      <c r="Q479" s="149"/>
      <c r="AJ479" s="14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row>
    <row r="480" spans="2:94">
      <c r="B480" s="3"/>
      <c r="C480" s="3"/>
      <c r="D480" s="3"/>
      <c r="E480" s="3"/>
      <c r="F480" s="3"/>
      <c r="G480" s="3"/>
      <c r="H480" s="3"/>
      <c r="I480" s="3"/>
      <c r="J480" s="3"/>
      <c r="K480" s="3"/>
      <c r="L480" s="3"/>
      <c r="M480" s="1711"/>
      <c r="N480" s="3"/>
      <c r="O480" s="3"/>
      <c r="P480" s="3"/>
      <c r="Q480" s="149"/>
      <c r="AJ480" s="14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row>
    <row r="481" spans="2:94">
      <c r="B481" s="3"/>
      <c r="C481" s="3"/>
      <c r="D481" s="3"/>
      <c r="E481" s="3"/>
      <c r="F481" s="3"/>
      <c r="G481" s="3"/>
      <c r="H481" s="3"/>
      <c r="I481" s="3"/>
      <c r="J481" s="3"/>
      <c r="K481" s="3"/>
      <c r="L481" s="3"/>
      <c r="M481" s="1711"/>
      <c r="N481" s="3"/>
      <c r="O481" s="3"/>
      <c r="P481" s="3"/>
      <c r="Q481" s="149"/>
      <c r="AJ481" s="14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row>
    <row r="482" spans="2:94">
      <c r="B482" s="3"/>
      <c r="C482" s="3"/>
      <c r="D482" s="3"/>
      <c r="E482" s="3"/>
      <c r="F482" s="3"/>
      <c r="G482" s="3"/>
      <c r="H482" s="3"/>
      <c r="I482" s="3"/>
      <c r="J482" s="3"/>
      <c r="K482" s="3"/>
      <c r="L482" s="3"/>
      <c r="M482" s="1711"/>
      <c r="N482" s="3"/>
      <c r="O482" s="3"/>
      <c r="P482" s="3"/>
      <c r="Q482" s="149"/>
      <c r="AJ482" s="14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row>
    <row r="483" spans="2:94">
      <c r="B483" s="3"/>
      <c r="C483" s="3"/>
      <c r="D483" s="3"/>
      <c r="E483" s="3"/>
      <c r="F483" s="3"/>
      <c r="G483" s="3"/>
      <c r="H483" s="3"/>
      <c r="I483" s="3"/>
      <c r="J483" s="3"/>
      <c r="K483" s="3"/>
      <c r="L483" s="3"/>
      <c r="M483" s="1711"/>
      <c r="N483" s="3"/>
      <c r="O483" s="3"/>
      <c r="P483" s="3"/>
      <c r="Q483" s="149"/>
      <c r="AJ483" s="14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row>
    <row r="484" spans="2:94">
      <c r="B484" s="3"/>
      <c r="C484" s="3"/>
      <c r="D484" s="3"/>
      <c r="E484" s="3"/>
      <c r="F484" s="3"/>
      <c r="G484" s="3"/>
      <c r="H484" s="3"/>
      <c r="I484" s="3"/>
      <c r="J484" s="3"/>
      <c r="K484" s="3"/>
      <c r="L484" s="3"/>
      <c r="M484" s="1711"/>
      <c r="N484" s="3"/>
      <c r="O484" s="3"/>
      <c r="P484" s="3"/>
      <c r="Q484" s="149"/>
      <c r="AJ484" s="14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row>
    <row r="485" spans="2:94">
      <c r="B485" s="3"/>
      <c r="C485" s="3"/>
      <c r="D485" s="3"/>
      <c r="E485" s="3"/>
      <c r="F485" s="3"/>
      <c r="G485" s="3"/>
      <c r="H485" s="3"/>
      <c r="I485" s="3"/>
      <c r="J485" s="3"/>
      <c r="K485" s="3"/>
      <c r="L485" s="3"/>
      <c r="M485" s="1711"/>
      <c r="N485" s="3"/>
      <c r="O485" s="3"/>
      <c r="P485" s="3"/>
      <c r="Q485" s="149"/>
      <c r="AJ485" s="14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row>
    <row r="486" spans="2:94">
      <c r="B486" s="3"/>
      <c r="C486" s="3"/>
      <c r="D486" s="3"/>
      <c r="E486" s="3"/>
      <c r="F486" s="3"/>
      <c r="G486" s="3"/>
      <c r="H486" s="3"/>
      <c r="I486" s="3"/>
      <c r="J486" s="3"/>
      <c r="K486" s="3"/>
      <c r="L486" s="3"/>
      <c r="M486" s="1711"/>
      <c r="N486" s="3"/>
      <c r="O486" s="3"/>
      <c r="P486" s="3"/>
      <c r="Q486" s="149"/>
      <c r="AJ486" s="14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row>
    <row r="487" spans="2:94">
      <c r="B487" s="3"/>
      <c r="C487" s="3"/>
      <c r="D487" s="3"/>
      <c r="E487" s="3"/>
      <c r="F487" s="3"/>
      <c r="G487" s="3"/>
      <c r="H487" s="3"/>
      <c r="I487" s="3"/>
      <c r="J487" s="3"/>
      <c r="K487" s="3"/>
      <c r="L487" s="3"/>
      <c r="M487" s="1711"/>
      <c r="N487" s="3"/>
      <c r="O487" s="3"/>
      <c r="P487" s="3"/>
      <c r="Q487" s="149"/>
      <c r="AJ487" s="14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row>
    <row r="488" spans="2:94">
      <c r="B488" s="3"/>
      <c r="C488" s="3"/>
      <c r="D488" s="3"/>
      <c r="E488" s="3"/>
      <c r="F488" s="3"/>
      <c r="G488" s="3"/>
      <c r="H488" s="3"/>
      <c r="I488" s="3"/>
      <c r="J488" s="3"/>
      <c r="K488" s="3"/>
      <c r="L488" s="3"/>
      <c r="M488" s="1711"/>
      <c r="N488" s="3"/>
      <c r="O488" s="3"/>
      <c r="P488" s="3"/>
      <c r="Q488" s="149"/>
      <c r="AJ488" s="14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row>
    <row r="489" spans="2:94">
      <c r="B489" s="3"/>
      <c r="C489" s="3"/>
      <c r="D489" s="3"/>
      <c r="E489" s="3"/>
      <c r="F489" s="3"/>
      <c r="G489" s="3"/>
      <c r="H489" s="3"/>
      <c r="I489" s="3"/>
      <c r="J489" s="3"/>
      <c r="K489" s="3"/>
      <c r="L489" s="3"/>
      <c r="M489" s="1711"/>
      <c r="N489" s="3"/>
      <c r="O489" s="3"/>
      <c r="P489" s="3"/>
      <c r="Q489" s="149"/>
      <c r="AJ489" s="14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row>
    <row r="490" spans="2:94">
      <c r="B490" s="3"/>
      <c r="C490" s="3"/>
      <c r="D490" s="3"/>
      <c r="E490" s="3"/>
      <c r="F490" s="3"/>
      <c r="G490" s="3"/>
      <c r="H490" s="3"/>
      <c r="I490" s="3"/>
      <c r="J490" s="3"/>
      <c r="K490" s="3"/>
      <c r="L490" s="3"/>
      <c r="M490" s="1711"/>
      <c r="N490" s="3"/>
      <c r="O490" s="3"/>
      <c r="P490" s="3"/>
      <c r="Q490" s="149"/>
      <c r="AJ490" s="14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row>
    <row r="491" spans="2:94">
      <c r="B491" s="3"/>
      <c r="C491" s="3"/>
      <c r="D491" s="3"/>
      <c r="E491" s="3"/>
      <c r="F491" s="3"/>
      <c r="G491" s="3"/>
      <c r="H491" s="3"/>
      <c r="I491" s="3"/>
      <c r="J491" s="3"/>
      <c r="K491" s="3"/>
      <c r="L491" s="3"/>
      <c r="M491" s="1711"/>
      <c r="N491" s="3"/>
      <c r="O491" s="3"/>
      <c r="P491" s="3"/>
      <c r="Q491" s="149"/>
      <c r="AJ491" s="14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row>
    <row r="492" spans="2:94">
      <c r="B492" s="3"/>
      <c r="C492" s="3"/>
      <c r="D492" s="3"/>
      <c r="E492" s="3"/>
      <c r="F492" s="3"/>
      <c r="G492" s="3"/>
      <c r="H492" s="3"/>
      <c r="I492" s="3"/>
      <c r="J492" s="3"/>
      <c r="K492" s="3"/>
      <c r="L492" s="3"/>
      <c r="M492" s="1711"/>
      <c r="N492" s="3"/>
      <c r="O492" s="3"/>
      <c r="P492" s="3"/>
      <c r="Q492" s="149"/>
      <c r="AJ492" s="14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row>
    <row r="493" spans="2:94">
      <c r="B493" s="3"/>
      <c r="C493" s="3"/>
      <c r="D493" s="3"/>
      <c r="E493" s="3"/>
      <c r="F493" s="3"/>
      <c r="G493" s="3"/>
      <c r="H493" s="3"/>
      <c r="I493" s="3"/>
      <c r="J493" s="3"/>
      <c r="K493" s="3"/>
      <c r="L493" s="3"/>
      <c r="M493" s="1711"/>
      <c r="N493" s="3"/>
      <c r="O493" s="3"/>
      <c r="P493" s="3"/>
      <c r="Q493" s="149"/>
      <c r="AJ493" s="14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row>
    <row r="494" spans="2:94">
      <c r="B494" s="3"/>
      <c r="C494" s="3"/>
      <c r="D494" s="3"/>
      <c r="E494" s="3"/>
      <c r="F494" s="3"/>
      <c r="G494" s="3"/>
      <c r="H494" s="3"/>
      <c r="I494" s="3"/>
      <c r="J494" s="3"/>
      <c r="K494" s="3"/>
      <c r="L494" s="3"/>
      <c r="M494" s="1711"/>
      <c r="N494" s="3"/>
      <c r="O494" s="3"/>
      <c r="P494" s="3"/>
      <c r="Q494" s="149"/>
      <c r="AJ494" s="14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row>
    <row r="495" spans="2:94">
      <c r="B495" s="3"/>
      <c r="C495" s="3"/>
      <c r="D495" s="3"/>
      <c r="E495" s="3"/>
      <c r="F495" s="3"/>
      <c r="G495" s="3"/>
      <c r="H495" s="3"/>
      <c r="I495" s="3"/>
      <c r="J495" s="3"/>
      <c r="K495" s="3"/>
      <c r="L495" s="3"/>
      <c r="M495" s="1711"/>
      <c r="N495" s="3"/>
      <c r="O495" s="3"/>
      <c r="P495" s="3"/>
      <c r="Q495" s="149"/>
      <c r="AJ495" s="14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row>
    <row r="496" spans="2:94">
      <c r="B496" s="3"/>
      <c r="C496" s="3"/>
      <c r="D496" s="3"/>
      <c r="E496" s="3"/>
      <c r="F496" s="3"/>
      <c r="G496" s="3"/>
      <c r="H496" s="3"/>
      <c r="I496" s="3"/>
      <c r="J496" s="3"/>
      <c r="K496" s="3"/>
      <c r="L496" s="3"/>
      <c r="M496" s="1711"/>
      <c r="N496" s="3"/>
      <c r="O496" s="3"/>
      <c r="P496" s="3"/>
      <c r="Q496" s="149"/>
      <c r="AJ496" s="14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row>
    <row r="497" spans="2:94">
      <c r="B497" s="3"/>
      <c r="C497" s="3"/>
      <c r="D497" s="3"/>
      <c r="E497" s="3"/>
      <c r="F497" s="3"/>
      <c r="G497" s="3"/>
      <c r="H497" s="3"/>
      <c r="I497" s="3"/>
      <c r="J497" s="3"/>
      <c r="K497" s="3"/>
      <c r="L497" s="3"/>
      <c r="M497" s="1711"/>
      <c r="N497" s="3"/>
      <c r="O497" s="3"/>
      <c r="P497" s="3"/>
      <c r="Q497" s="149"/>
      <c r="AJ497" s="14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row>
    <row r="498" spans="2:94">
      <c r="B498" s="3"/>
      <c r="C498" s="3"/>
      <c r="D498" s="3"/>
      <c r="E498" s="3"/>
      <c r="F498" s="3"/>
      <c r="G498" s="3"/>
      <c r="H498" s="3"/>
      <c r="I498" s="3"/>
      <c r="J498" s="3"/>
      <c r="K498" s="3"/>
      <c r="L498" s="3"/>
      <c r="M498" s="1711"/>
      <c r="N498" s="3"/>
      <c r="O498" s="3"/>
      <c r="P498" s="3"/>
      <c r="Q498" s="149"/>
      <c r="AJ498" s="14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row>
    <row r="499" spans="2:94">
      <c r="B499" s="3"/>
      <c r="C499" s="3"/>
      <c r="D499" s="3"/>
      <c r="E499" s="3"/>
      <c r="F499" s="3"/>
      <c r="G499" s="3"/>
      <c r="H499" s="3"/>
      <c r="I499" s="3"/>
      <c r="J499" s="3"/>
      <c r="K499" s="3"/>
      <c r="L499" s="3"/>
      <c r="M499" s="1711"/>
      <c r="N499" s="3"/>
      <c r="O499" s="3"/>
      <c r="P499" s="3"/>
      <c r="Q499" s="149"/>
      <c r="AJ499" s="14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row>
    <row r="500" spans="2:94">
      <c r="B500" s="3"/>
      <c r="C500" s="3"/>
      <c r="D500" s="3"/>
      <c r="E500" s="3"/>
      <c r="F500" s="3"/>
      <c r="G500" s="3"/>
      <c r="H500" s="3"/>
      <c r="I500" s="3"/>
      <c r="J500" s="3"/>
      <c r="K500" s="3"/>
      <c r="L500" s="3"/>
      <c r="M500" s="1711"/>
      <c r="N500" s="3"/>
      <c r="O500" s="3"/>
      <c r="P500" s="3"/>
      <c r="Q500" s="149"/>
      <c r="AJ500" s="14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row>
    <row r="501" spans="2:94">
      <c r="B501" s="3"/>
      <c r="C501" s="3"/>
      <c r="D501" s="3"/>
      <c r="E501" s="3"/>
      <c r="F501" s="3"/>
      <c r="G501" s="3"/>
      <c r="H501" s="3"/>
      <c r="I501" s="3"/>
      <c r="J501" s="3"/>
      <c r="K501" s="3"/>
      <c r="L501" s="3"/>
      <c r="M501" s="1711"/>
      <c r="N501" s="3"/>
      <c r="O501" s="3"/>
      <c r="P501" s="3"/>
      <c r="Q501" s="149"/>
      <c r="AJ501" s="14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row>
    <row r="502" spans="2:94">
      <c r="B502" s="3"/>
      <c r="C502" s="3"/>
      <c r="D502" s="3"/>
      <c r="E502" s="3"/>
      <c r="F502" s="3"/>
      <c r="G502" s="3"/>
      <c r="H502" s="3"/>
      <c r="I502" s="3"/>
      <c r="J502" s="3"/>
      <c r="K502" s="3"/>
      <c r="L502" s="3"/>
      <c r="M502" s="1711"/>
      <c r="N502" s="3"/>
      <c r="O502" s="3"/>
      <c r="P502" s="3"/>
      <c r="Q502" s="149"/>
      <c r="AJ502" s="14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row>
    <row r="503" spans="2:94">
      <c r="B503" s="3"/>
      <c r="C503" s="3"/>
      <c r="D503" s="3"/>
      <c r="E503" s="3"/>
      <c r="F503" s="3"/>
      <c r="G503" s="3"/>
      <c r="H503" s="3"/>
      <c r="I503" s="3"/>
      <c r="J503" s="3"/>
      <c r="K503" s="3"/>
      <c r="L503" s="3"/>
      <c r="M503" s="1711"/>
      <c r="N503" s="3"/>
      <c r="O503" s="3"/>
      <c r="P503" s="3"/>
      <c r="Q503" s="149"/>
      <c r="AJ503" s="14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row>
    <row r="504" spans="2:94">
      <c r="B504" s="3"/>
      <c r="C504" s="3"/>
      <c r="D504" s="3"/>
      <c r="E504" s="3"/>
      <c r="F504" s="3"/>
      <c r="G504" s="3"/>
      <c r="H504" s="3"/>
      <c r="I504" s="3"/>
      <c r="J504" s="3"/>
      <c r="K504" s="3"/>
      <c r="L504" s="3"/>
      <c r="M504" s="1711"/>
      <c r="N504" s="3"/>
      <c r="O504" s="3"/>
      <c r="P504" s="3"/>
      <c r="Q504" s="149"/>
      <c r="AJ504" s="14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row>
    <row r="505" spans="2:94">
      <c r="B505" s="3"/>
      <c r="C505" s="3"/>
      <c r="D505" s="3"/>
      <c r="E505" s="3"/>
      <c r="F505" s="3"/>
      <c r="G505" s="3"/>
      <c r="H505" s="3"/>
      <c r="I505" s="3"/>
      <c r="J505" s="3"/>
      <c r="K505" s="3"/>
      <c r="L505" s="3"/>
      <c r="M505" s="1711"/>
      <c r="N505" s="3"/>
      <c r="O505" s="3"/>
      <c r="P505" s="3"/>
      <c r="Q505" s="149"/>
      <c r="AJ505" s="14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row>
    <row r="506" spans="2:94">
      <c r="B506" s="3"/>
      <c r="C506" s="3"/>
      <c r="D506" s="3"/>
      <c r="E506" s="3"/>
      <c r="F506" s="3"/>
      <c r="G506" s="3"/>
      <c r="H506" s="3"/>
      <c r="I506" s="3"/>
      <c r="J506" s="3"/>
      <c r="K506" s="3"/>
      <c r="L506" s="3"/>
      <c r="M506" s="1711"/>
      <c r="N506" s="3"/>
      <c r="O506" s="3"/>
      <c r="P506" s="3"/>
      <c r="Q506" s="149"/>
      <c r="AJ506" s="14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row>
    <row r="507" spans="2:94">
      <c r="B507" s="3"/>
      <c r="C507" s="3"/>
      <c r="D507" s="3"/>
      <c r="E507" s="3"/>
      <c r="F507" s="3"/>
      <c r="G507" s="3"/>
      <c r="H507" s="3"/>
      <c r="I507" s="3"/>
      <c r="J507" s="3"/>
      <c r="K507" s="3"/>
      <c r="L507" s="3"/>
      <c r="M507" s="1711"/>
      <c r="N507" s="3"/>
      <c r="O507" s="3"/>
      <c r="P507" s="3"/>
      <c r="Q507" s="149"/>
      <c r="AJ507" s="14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row>
    <row r="508" spans="2:94">
      <c r="B508" s="3"/>
      <c r="C508" s="3"/>
      <c r="D508" s="3"/>
      <c r="E508" s="3"/>
      <c r="F508" s="3"/>
      <c r="G508" s="3"/>
      <c r="H508" s="3"/>
      <c r="I508" s="3"/>
      <c r="J508" s="3"/>
      <c r="K508" s="3"/>
      <c r="L508" s="3"/>
      <c r="M508" s="1711"/>
      <c r="N508" s="3"/>
      <c r="O508" s="3"/>
      <c r="P508" s="3"/>
      <c r="Q508" s="149"/>
      <c r="AJ508" s="14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row>
    <row r="509" spans="2:94">
      <c r="B509" s="3"/>
      <c r="C509" s="3"/>
      <c r="D509" s="3"/>
      <c r="E509" s="3"/>
      <c r="F509" s="3"/>
      <c r="G509" s="3"/>
      <c r="H509" s="3"/>
      <c r="I509" s="3"/>
      <c r="J509" s="3"/>
      <c r="K509" s="3"/>
      <c r="L509" s="3"/>
      <c r="M509" s="1711"/>
      <c r="N509" s="3"/>
      <c r="O509" s="3"/>
      <c r="P509" s="3"/>
      <c r="Q509" s="149"/>
      <c r="AJ509" s="14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row>
    <row r="510" spans="2:94">
      <c r="B510" s="3"/>
      <c r="C510" s="3"/>
      <c r="D510" s="3"/>
      <c r="E510" s="3"/>
      <c r="F510" s="3"/>
      <c r="G510" s="3"/>
      <c r="H510" s="3"/>
      <c r="I510" s="3"/>
      <c r="J510" s="3"/>
      <c r="K510" s="3"/>
      <c r="L510" s="3"/>
      <c r="M510" s="1711"/>
      <c r="N510" s="3"/>
      <c r="O510" s="3"/>
      <c r="P510" s="3"/>
      <c r="Q510" s="149"/>
      <c r="AJ510" s="14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row>
    <row r="511" spans="2:94">
      <c r="B511" s="3"/>
      <c r="C511" s="3"/>
      <c r="D511" s="3"/>
      <c r="E511" s="3"/>
      <c r="F511" s="3"/>
      <c r="G511" s="3"/>
      <c r="H511" s="3"/>
      <c r="I511" s="3"/>
      <c r="J511" s="3"/>
      <c r="K511" s="3"/>
      <c r="L511" s="3"/>
      <c r="M511" s="1711"/>
      <c r="N511" s="3"/>
      <c r="O511" s="3"/>
      <c r="P511" s="3"/>
      <c r="Q511" s="149"/>
      <c r="AJ511" s="14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row>
    <row r="512" spans="2:94">
      <c r="B512" s="3"/>
      <c r="C512" s="3"/>
      <c r="D512" s="3"/>
      <c r="E512" s="3"/>
      <c r="F512" s="3"/>
      <c r="G512" s="3"/>
      <c r="H512" s="3"/>
      <c r="I512" s="3"/>
      <c r="J512" s="3"/>
      <c r="K512" s="3"/>
      <c r="L512" s="3"/>
      <c r="M512" s="1711"/>
      <c r="N512" s="3"/>
      <c r="O512" s="3"/>
      <c r="P512" s="3"/>
      <c r="Q512" s="149"/>
      <c r="AJ512" s="14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row>
    <row r="513" spans="2:94">
      <c r="B513" s="3"/>
      <c r="C513" s="3"/>
      <c r="D513" s="3"/>
      <c r="E513" s="3"/>
      <c r="F513" s="3"/>
      <c r="G513" s="3"/>
      <c r="H513" s="3"/>
      <c r="I513" s="3"/>
      <c r="J513" s="3"/>
      <c r="K513" s="3"/>
      <c r="L513" s="3"/>
      <c r="M513" s="1711"/>
      <c r="N513" s="3"/>
      <c r="O513" s="3"/>
      <c r="P513" s="3"/>
      <c r="Q513" s="149"/>
      <c r="AJ513" s="14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row>
    <row r="514" spans="2:94">
      <c r="B514" s="3"/>
      <c r="C514" s="3"/>
      <c r="D514" s="3"/>
      <c r="E514" s="3"/>
      <c r="F514" s="3"/>
      <c r="G514" s="3"/>
      <c r="H514" s="3"/>
      <c r="I514" s="3"/>
      <c r="J514" s="3"/>
      <c r="K514" s="3"/>
      <c r="L514" s="3"/>
      <c r="M514" s="1711"/>
      <c r="N514" s="3"/>
      <c r="O514" s="3"/>
      <c r="P514" s="3"/>
      <c r="Q514" s="149"/>
      <c r="AJ514" s="14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row>
    <row r="515" spans="2:94">
      <c r="B515" s="3"/>
      <c r="C515" s="3"/>
      <c r="D515" s="3"/>
      <c r="E515" s="3"/>
      <c r="F515" s="3"/>
      <c r="G515" s="3"/>
      <c r="H515" s="3"/>
      <c r="I515" s="3"/>
      <c r="J515" s="3"/>
      <c r="K515" s="3"/>
      <c r="L515" s="3"/>
      <c r="M515" s="1711"/>
      <c r="N515" s="3"/>
      <c r="O515" s="3"/>
      <c r="P515" s="3"/>
      <c r="Q515" s="149"/>
      <c r="AJ515" s="14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row>
    <row r="516" spans="2:94">
      <c r="B516" s="3"/>
      <c r="C516" s="3"/>
      <c r="D516" s="3"/>
      <c r="E516" s="3"/>
      <c r="F516" s="3"/>
      <c r="G516" s="3"/>
      <c r="H516" s="3"/>
      <c r="I516" s="3"/>
      <c r="J516" s="3"/>
      <c r="K516" s="3"/>
      <c r="L516" s="3"/>
      <c r="M516" s="1711"/>
      <c r="N516" s="3"/>
      <c r="O516" s="3"/>
      <c r="P516" s="3"/>
      <c r="Q516" s="149"/>
      <c r="AJ516" s="14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row>
    <row r="517" spans="2:94">
      <c r="B517" s="3"/>
      <c r="C517" s="3"/>
      <c r="D517" s="3"/>
      <c r="E517" s="3"/>
      <c r="F517" s="3"/>
      <c r="G517" s="3"/>
      <c r="H517" s="3"/>
      <c r="I517" s="3"/>
      <c r="J517" s="3"/>
      <c r="K517" s="3"/>
      <c r="L517" s="3"/>
      <c r="M517" s="1711"/>
      <c r="N517" s="3"/>
      <c r="O517" s="3"/>
      <c r="P517" s="3"/>
      <c r="Q517" s="149"/>
      <c r="AJ517" s="14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row>
    <row r="518" spans="2:94">
      <c r="B518" s="3"/>
      <c r="C518" s="3"/>
      <c r="D518" s="3"/>
      <c r="E518" s="3"/>
      <c r="F518" s="3"/>
      <c r="G518" s="3"/>
      <c r="H518" s="3"/>
      <c r="I518" s="3"/>
      <c r="J518" s="3"/>
      <c r="K518" s="3"/>
      <c r="L518" s="3"/>
      <c r="M518" s="1711"/>
      <c r="N518" s="3"/>
      <c r="O518" s="3"/>
      <c r="P518" s="3"/>
      <c r="Q518" s="149"/>
      <c r="AJ518" s="14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row>
    <row r="519" spans="2:94">
      <c r="B519" s="3"/>
      <c r="C519" s="3"/>
      <c r="D519" s="3"/>
      <c r="E519" s="3"/>
      <c r="F519" s="3"/>
      <c r="G519" s="3"/>
      <c r="H519" s="3"/>
      <c r="I519" s="3"/>
      <c r="J519" s="3"/>
      <c r="K519" s="3"/>
      <c r="L519" s="3"/>
      <c r="M519" s="1711"/>
      <c r="N519" s="3"/>
      <c r="O519" s="3"/>
      <c r="P519" s="3"/>
      <c r="Q519" s="149"/>
      <c r="AJ519" s="14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row>
    <row r="520" spans="2:94">
      <c r="B520" s="3"/>
      <c r="C520" s="3"/>
      <c r="D520" s="3"/>
      <c r="E520" s="3"/>
      <c r="F520" s="3"/>
      <c r="G520" s="3"/>
      <c r="H520" s="3"/>
      <c r="I520" s="3"/>
      <c r="J520" s="3"/>
      <c r="K520" s="3"/>
      <c r="L520" s="3"/>
      <c r="M520" s="1711"/>
      <c r="N520" s="3"/>
      <c r="O520" s="3"/>
      <c r="P520" s="3"/>
      <c r="Q520" s="149"/>
      <c r="AJ520" s="14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row>
    <row r="521" spans="2:94">
      <c r="B521" s="3"/>
      <c r="C521" s="3"/>
      <c r="D521" s="3"/>
      <c r="E521" s="3"/>
      <c r="F521" s="3"/>
      <c r="G521" s="3"/>
      <c r="H521" s="3"/>
      <c r="I521" s="3"/>
      <c r="J521" s="3"/>
      <c r="K521" s="3"/>
      <c r="L521" s="3"/>
      <c r="M521" s="1711"/>
      <c r="N521" s="3"/>
      <c r="O521" s="3"/>
      <c r="P521" s="3"/>
      <c r="Q521" s="149"/>
      <c r="AJ521" s="14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row>
    <row r="522" spans="2:94">
      <c r="B522" s="3"/>
      <c r="C522" s="3"/>
      <c r="D522" s="3"/>
      <c r="E522" s="3"/>
      <c r="F522" s="3"/>
      <c r="G522" s="3"/>
      <c r="H522" s="3"/>
      <c r="I522" s="3"/>
      <c r="J522" s="3"/>
      <c r="K522" s="3"/>
      <c r="L522" s="3"/>
      <c r="M522" s="1711"/>
      <c r="N522" s="3"/>
      <c r="O522" s="3"/>
      <c r="P522" s="3"/>
      <c r="Q522" s="149"/>
      <c r="AJ522" s="14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row>
    <row r="523" spans="2:94">
      <c r="B523" s="3"/>
      <c r="C523" s="3"/>
      <c r="D523" s="3"/>
      <c r="E523" s="3"/>
      <c r="F523" s="3"/>
      <c r="G523" s="3"/>
      <c r="H523" s="3"/>
      <c r="I523" s="3"/>
      <c r="J523" s="3"/>
      <c r="K523" s="3"/>
      <c r="L523" s="3"/>
      <c r="M523" s="1711"/>
      <c r="N523" s="3"/>
      <c r="O523" s="3"/>
      <c r="P523" s="3"/>
      <c r="Q523" s="149"/>
      <c r="AJ523" s="14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row>
    <row r="524" spans="2:94">
      <c r="B524" s="3"/>
      <c r="C524" s="3"/>
      <c r="D524" s="3"/>
      <c r="E524" s="3"/>
      <c r="F524" s="3"/>
      <c r="G524" s="3"/>
      <c r="H524" s="3"/>
      <c r="I524" s="3"/>
      <c r="J524" s="3"/>
      <c r="K524" s="3"/>
      <c r="L524" s="3"/>
      <c r="M524" s="1711"/>
      <c r="N524" s="3"/>
      <c r="O524" s="3"/>
      <c r="P524" s="3"/>
      <c r="Q524" s="149"/>
      <c r="AJ524" s="14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row>
    <row r="525" spans="2:94">
      <c r="B525" s="3"/>
      <c r="C525" s="3"/>
      <c r="D525" s="3"/>
      <c r="E525" s="3"/>
      <c r="F525" s="3"/>
      <c r="G525" s="3"/>
      <c r="H525" s="3"/>
      <c r="I525" s="3"/>
      <c r="J525" s="3"/>
      <c r="K525" s="3"/>
      <c r="L525" s="3"/>
      <c r="M525" s="1711"/>
      <c r="N525" s="3"/>
      <c r="O525" s="3"/>
      <c r="P525" s="3"/>
      <c r="Q525" s="149"/>
      <c r="AJ525" s="14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row>
    <row r="526" spans="2:94">
      <c r="B526" s="3"/>
      <c r="C526" s="3"/>
      <c r="D526" s="3"/>
      <c r="E526" s="3"/>
      <c r="F526" s="3"/>
      <c r="G526" s="3"/>
      <c r="H526" s="3"/>
      <c r="I526" s="3"/>
      <c r="J526" s="3"/>
      <c r="K526" s="3"/>
      <c r="L526" s="3"/>
      <c r="M526" s="1711"/>
      <c r="N526" s="3"/>
      <c r="O526" s="3"/>
      <c r="P526" s="3"/>
      <c r="Q526" s="149"/>
      <c r="AJ526" s="14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row>
    <row r="527" spans="2:94">
      <c r="B527" s="3"/>
      <c r="C527" s="3"/>
      <c r="D527" s="3"/>
      <c r="E527" s="3"/>
      <c r="F527" s="3"/>
      <c r="G527" s="3"/>
      <c r="H527" s="3"/>
      <c r="I527" s="3"/>
      <c r="J527" s="3"/>
      <c r="K527" s="3"/>
      <c r="L527" s="3"/>
      <c r="M527" s="1711"/>
      <c r="N527" s="3"/>
      <c r="O527" s="3"/>
      <c r="P527" s="3"/>
      <c r="Q527" s="149"/>
      <c r="AJ527" s="14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row>
    <row r="528" spans="2:94">
      <c r="B528" s="3"/>
      <c r="C528" s="3"/>
      <c r="D528" s="3"/>
      <c r="E528" s="3"/>
      <c r="F528" s="3"/>
      <c r="G528" s="3"/>
      <c r="H528" s="3"/>
      <c r="I528" s="3"/>
      <c r="J528" s="3"/>
      <c r="K528" s="3"/>
      <c r="L528" s="3"/>
      <c r="M528" s="1711"/>
      <c r="N528" s="3"/>
      <c r="O528" s="3"/>
      <c r="P528" s="3"/>
      <c r="Q528" s="149"/>
      <c r="AJ528" s="14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row>
    <row r="529" spans="2:94">
      <c r="B529" s="3"/>
      <c r="C529" s="3"/>
      <c r="D529" s="3"/>
      <c r="E529" s="3"/>
      <c r="F529" s="3"/>
      <c r="G529" s="3"/>
      <c r="H529" s="3"/>
      <c r="I529" s="3"/>
      <c r="J529" s="3"/>
      <c r="K529" s="3"/>
      <c r="L529" s="3"/>
      <c r="M529" s="1711"/>
      <c r="N529" s="3"/>
      <c r="O529" s="3"/>
      <c r="P529" s="3"/>
      <c r="Q529" s="149"/>
      <c r="AJ529" s="14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row>
    <row r="530" spans="2:94">
      <c r="B530" s="3"/>
      <c r="C530" s="3"/>
      <c r="D530" s="3"/>
      <c r="E530" s="3"/>
      <c r="F530" s="3"/>
      <c r="G530" s="3"/>
      <c r="H530" s="3"/>
      <c r="I530" s="3"/>
      <c r="J530" s="3"/>
      <c r="K530" s="3"/>
      <c r="L530" s="3"/>
      <c r="M530" s="1711"/>
      <c r="N530" s="3"/>
      <c r="O530" s="3"/>
      <c r="P530" s="3"/>
      <c r="Q530" s="149"/>
      <c r="AJ530" s="14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row>
    <row r="531" spans="2:94">
      <c r="B531" s="3"/>
      <c r="C531" s="3"/>
      <c r="D531" s="3"/>
      <c r="E531" s="3"/>
      <c r="F531" s="3"/>
      <c r="G531" s="3"/>
      <c r="H531" s="3"/>
      <c r="I531" s="3"/>
      <c r="J531" s="3"/>
      <c r="K531" s="3"/>
      <c r="L531" s="3"/>
      <c r="M531" s="1711"/>
      <c r="N531" s="3"/>
      <c r="O531" s="3"/>
      <c r="P531" s="3"/>
      <c r="Q531" s="149"/>
      <c r="AJ531" s="14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row>
    <row r="532" spans="2:94">
      <c r="B532" s="3"/>
      <c r="C532" s="3"/>
      <c r="D532" s="3"/>
      <c r="E532" s="3"/>
      <c r="F532" s="3"/>
      <c r="G532" s="3"/>
      <c r="H532" s="3"/>
      <c r="I532" s="3"/>
      <c r="J532" s="3"/>
      <c r="K532" s="3"/>
      <c r="L532" s="3"/>
      <c r="M532" s="1711"/>
      <c r="N532" s="3"/>
      <c r="O532" s="3"/>
      <c r="P532" s="3"/>
      <c r="Q532" s="149"/>
      <c r="AJ532" s="14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row>
    <row r="533" spans="2:94">
      <c r="B533" s="3"/>
      <c r="C533" s="3"/>
      <c r="D533" s="3"/>
      <c r="E533" s="3"/>
      <c r="F533" s="3"/>
      <c r="G533" s="3"/>
      <c r="H533" s="3"/>
      <c r="I533" s="3"/>
      <c r="J533" s="3"/>
      <c r="K533" s="3"/>
      <c r="L533" s="3"/>
      <c r="M533" s="1711"/>
      <c r="N533" s="3"/>
      <c r="O533" s="3"/>
      <c r="P533" s="3"/>
      <c r="Q533" s="149"/>
      <c r="AJ533" s="14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row>
    <row r="534" spans="2:94">
      <c r="B534" s="3"/>
      <c r="C534" s="3"/>
      <c r="D534" s="3"/>
      <c r="E534" s="3"/>
      <c r="F534" s="3"/>
      <c r="G534" s="3"/>
      <c r="H534" s="3"/>
      <c r="I534" s="3"/>
      <c r="J534" s="3"/>
      <c r="K534" s="3"/>
      <c r="L534" s="3"/>
      <c r="M534" s="1711"/>
      <c r="N534" s="3"/>
      <c r="O534" s="3"/>
      <c r="P534" s="3"/>
      <c r="Q534" s="149"/>
      <c r="AJ534" s="14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row>
    <row r="535" spans="2:94">
      <c r="B535" s="3"/>
      <c r="C535" s="3"/>
      <c r="D535" s="3"/>
      <c r="E535" s="3"/>
      <c r="F535" s="3"/>
      <c r="G535" s="3"/>
      <c r="H535" s="3"/>
      <c r="I535" s="3"/>
      <c r="J535" s="3"/>
      <c r="K535" s="3"/>
      <c r="L535" s="3"/>
      <c r="M535" s="1711"/>
      <c r="N535" s="3"/>
      <c r="O535" s="3"/>
      <c r="P535" s="3"/>
      <c r="Q535" s="149"/>
      <c r="AJ535" s="14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row>
    <row r="536" spans="2:94">
      <c r="B536" s="3"/>
      <c r="C536" s="3"/>
      <c r="D536" s="3"/>
      <c r="E536" s="3"/>
      <c r="F536" s="3"/>
      <c r="G536" s="3"/>
      <c r="H536" s="3"/>
      <c r="I536" s="3"/>
      <c r="J536" s="3"/>
      <c r="K536" s="3"/>
      <c r="L536" s="3"/>
      <c r="M536" s="1711"/>
      <c r="N536" s="3"/>
      <c r="O536" s="3"/>
      <c r="P536" s="3"/>
      <c r="Q536" s="149"/>
      <c r="AJ536" s="14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row>
    <row r="537" spans="2:94">
      <c r="B537" s="3"/>
      <c r="C537" s="3"/>
      <c r="D537" s="3"/>
      <c r="E537" s="3"/>
      <c r="F537" s="3"/>
      <c r="G537" s="3"/>
      <c r="H537" s="3"/>
      <c r="I537" s="3"/>
      <c r="J537" s="3"/>
      <c r="K537" s="3"/>
      <c r="L537" s="3"/>
      <c r="M537" s="1711"/>
      <c r="N537" s="3"/>
      <c r="O537" s="3"/>
      <c r="P537" s="3"/>
      <c r="Q537" s="149"/>
      <c r="AJ537" s="14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row>
    <row r="538" spans="2:94">
      <c r="B538" s="3"/>
      <c r="C538" s="3"/>
      <c r="D538" s="3"/>
      <c r="E538" s="3"/>
      <c r="F538" s="3"/>
      <c r="G538" s="3"/>
      <c r="H538" s="3"/>
      <c r="I538" s="3"/>
      <c r="J538" s="3"/>
      <c r="K538" s="3"/>
      <c r="L538" s="3"/>
      <c r="M538" s="1711"/>
      <c r="N538" s="3"/>
      <c r="O538" s="3"/>
      <c r="P538" s="3"/>
      <c r="Q538" s="149"/>
      <c r="AJ538" s="14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row>
    <row r="539" spans="2:94">
      <c r="B539" s="3"/>
      <c r="C539" s="3"/>
      <c r="D539" s="3"/>
      <c r="E539" s="3"/>
      <c r="F539" s="3"/>
      <c r="G539" s="3"/>
      <c r="H539" s="3"/>
      <c r="I539" s="3"/>
      <c r="J539" s="3"/>
      <c r="K539" s="3"/>
      <c r="L539" s="3"/>
      <c r="M539" s="1711"/>
      <c r="N539" s="3"/>
      <c r="O539" s="3"/>
      <c r="P539" s="3"/>
      <c r="Q539" s="149"/>
      <c r="AJ539" s="14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row>
    <row r="540" spans="2:94">
      <c r="B540" s="3"/>
      <c r="C540" s="3"/>
      <c r="D540" s="3"/>
      <c r="E540" s="3"/>
      <c r="F540" s="3"/>
      <c r="G540" s="3"/>
      <c r="H540" s="3"/>
      <c r="I540" s="3"/>
      <c r="J540" s="3"/>
      <c r="K540" s="3"/>
      <c r="L540" s="3"/>
      <c r="M540" s="1711"/>
      <c r="N540" s="3"/>
      <c r="O540" s="3"/>
      <c r="P540" s="3"/>
      <c r="Q540" s="149"/>
      <c r="AJ540" s="14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row>
    <row r="541" spans="2:94">
      <c r="B541" s="3"/>
      <c r="C541" s="3"/>
      <c r="D541" s="3"/>
      <c r="E541" s="3"/>
      <c r="F541" s="3"/>
      <c r="G541" s="3"/>
      <c r="H541" s="3"/>
      <c r="I541" s="3"/>
      <c r="J541" s="3"/>
      <c r="K541" s="3"/>
      <c r="L541" s="3"/>
      <c r="M541" s="1711"/>
      <c r="N541" s="3"/>
      <c r="O541" s="3"/>
      <c r="P541" s="3"/>
      <c r="Q541" s="149"/>
      <c r="AJ541" s="14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row>
    <row r="542" spans="2:94">
      <c r="B542" s="3"/>
      <c r="C542" s="3"/>
      <c r="D542" s="3"/>
      <c r="E542" s="3"/>
      <c r="F542" s="3"/>
      <c r="G542" s="3"/>
      <c r="H542" s="3"/>
      <c r="I542" s="3"/>
      <c r="J542" s="3"/>
      <c r="K542" s="3"/>
      <c r="L542" s="3"/>
      <c r="M542" s="1711"/>
      <c r="N542" s="3"/>
      <c r="O542" s="3"/>
      <c r="P542" s="3"/>
      <c r="Q542" s="149"/>
      <c r="AJ542" s="14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row>
    <row r="543" spans="2:94">
      <c r="B543" s="3"/>
      <c r="C543" s="3"/>
      <c r="D543" s="3"/>
      <c r="E543" s="3"/>
      <c r="F543" s="3"/>
      <c r="G543" s="3"/>
      <c r="H543" s="3"/>
      <c r="I543" s="3"/>
      <c r="J543" s="3"/>
      <c r="K543" s="3"/>
      <c r="L543" s="3"/>
      <c r="M543" s="1711"/>
      <c r="N543" s="3"/>
      <c r="O543" s="3"/>
      <c r="P543" s="3"/>
      <c r="Q543" s="149"/>
      <c r="AJ543" s="14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row>
    <row r="544" spans="2:94">
      <c r="B544" s="3"/>
      <c r="C544" s="3"/>
      <c r="D544" s="3"/>
      <c r="E544" s="3"/>
      <c r="F544" s="3"/>
      <c r="G544" s="3"/>
      <c r="H544" s="3"/>
      <c r="I544" s="3"/>
      <c r="J544" s="3"/>
      <c r="K544" s="3"/>
      <c r="L544" s="3"/>
      <c r="M544" s="1711"/>
      <c r="N544" s="3"/>
      <c r="O544" s="3"/>
      <c r="P544" s="3"/>
      <c r="Q544" s="149"/>
      <c r="AJ544" s="14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row>
    <row r="545" spans="2:94">
      <c r="B545" s="3"/>
      <c r="C545" s="3"/>
      <c r="D545" s="3"/>
      <c r="E545" s="3"/>
      <c r="F545" s="3"/>
      <c r="G545" s="3"/>
      <c r="H545" s="3"/>
      <c r="I545" s="3"/>
      <c r="J545" s="3"/>
      <c r="K545" s="3"/>
      <c r="L545" s="3"/>
      <c r="M545" s="1711"/>
      <c r="N545" s="3"/>
      <c r="O545" s="3"/>
      <c r="P545" s="3"/>
      <c r="Q545" s="149"/>
      <c r="AJ545" s="14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row>
    <row r="546" spans="2:94">
      <c r="B546" s="3"/>
      <c r="C546" s="3"/>
      <c r="D546" s="3"/>
      <c r="E546" s="3"/>
      <c r="F546" s="3"/>
      <c r="G546" s="3"/>
      <c r="H546" s="3"/>
      <c r="I546" s="3"/>
      <c r="J546" s="3"/>
      <c r="K546" s="3"/>
      <c r="L546" s="3"/>
      <c r="M546" s="1711"/>
      <c r="N546" s="3"/>
      <c r="O546" s="3"/>
      <c r="P546" s="3"/>
      <c r="Q546" s="149"/>
      <c r="AJ546" s="14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row>
    <row r="547" spans="2:94">
      <c r="B547" s="3"/>
      <c r="C547" s="3"/>
      <c r="D547" s="3"/>
      <c r="E547" s="3"/>
      <c r="F547" s="3"/>
      <c r="G547" s="3"/>
      <c r="H547" s="3"/>
      <c r="I547" s="3"/>
      <c r="J547" s="3"/>
      <c r="K547" s="3"/>
      <c r="L547" s="3"/>
      <c r="M547" s="1711"/>
      <c r="N547" s="3"/>
      <c r="O547" s="3"/>
      <c r="P547" s="3"/>
      <c r="Q547" s="149"/>
      <c r="AJ547" s="14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row>
    <row r="548" spans="2:94">
      <c r="B548" s="3"/>
      <c r="C548" s="3"/>
      <c r="D548" s="3"/>
      <c r="E548" s="3"/>
      <c r="F548" s="3"/>
      <c r="G548" s="3"/>
      <c r="H548" s="3"/>
      <c r="I548" s="3"/>
      <c r="J548" s="3"/>
      <c r="K548" s="3"/>
      <c r="L548" s="3"/>
      <c r="M548" s="1711"/>
      <c r="N548" s="3"/>
      <c r="O548" s="3"/>
      <c r="P548" s="3"/>
      <c r="Q548" s="149"/>
      <c r="AJ548" s="14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row>
    <row r="549" spans="2:94">
      <c r="B549" s="3"/>
      <c r="C549" s="3"/>
      <c r="D549" s="3"/>
      <c r="E549" s="3"/>
      <c r="F549" s="3"/>
      <c r="G549" s="3"/>
      <c r="H549" s="3"/>
      <c r="I549" s="3"/>
      <c r="J549" s="3"/>
      <c r="K549" s="3"/>
      <c r="L549" s="3"/>
      <c r="M549" s="1711"/>
      <c r="N549" s="3"/>
      <c r="O549" s="3"/>
      <c r="P549" s="3"/>
      <c r="Q549" s="149"/>
      <c r="AJ549" s="14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row>
    <row r="550" spans="2:94">
      <c r="B550" s="3"/>
      <c r="C550" s="3"/>
      <c r="D550" s="3"/>
      <c r="E550" s="3"/>
      <c r="F550" s="3"/>
      <c r="G550" s="3"/>
      <c r="H550" s="3"/>
      <c r="I550" s="3"/>
      <c r="J550" s="3"/>
      <c r="K550" s="3"/>
      <c r="L550" s="3"/>
      <c r="M550" s="1711"/>
      <c r="N550" s="3"/>
      <c r="O550" s="3"/>
      <c r="P550" s="3"/>
      <c r="Q550" s="149"/>
      <c r="AJ550" s="14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row>
    <row r="551" spans="2:94">
      <c r="B551" s="3"/>
      <c r="C551" s="3"/>
      <c r="D551" s="3"/>
      <c r="E551" s="3"/>
      <c r="F551" s="3"/>
      <c r="G551" s="3"/>
      <c r="H551" s="3"/>
      <c r="I551" s="3"/>
      <c r="J551" s="3"/>
      <c r="K551" s="3"/>
      <c r="L551" s="3"/>
      <c r="M551" s="1711"/>
      <c r="N551" s="3"/>
      <c r="O551" s="3"/>
      <c r="P551" s="3"/>
      <c r="Q551" s="149"/>
      <c r="AJ551" s="14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row>
    <row r="552" spans="2:94">
      <c r="B552" s="3"/>
      <c r="C552" s="3"/>
      <c r="D552" s="3"/>
      <c r="E552" s="3"/>
      <c r="F552" s="3"/>
      <c r="G552" s="3"/>
      <c r="H552" s="3"/>
      <c r="I552" s="3"/>
      <c r="J552" s="3"/>
      <c r="K552" s="3"/>
      <c r="L552" s="3"/>
      <c r="M552" s="1711"/>
      <c r="N552" s="3"/>
      <c r="O552" s="3"/>
      <c r="P552" s="3"/>
      <c r="Q552" s="149"/>
      <c r="AJ552" s="14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row>
    <row r="553" spans="2:94">
      <c r="B553" s="3"/>
      <c r="C553" s="3"/>
      <c r="D553" s="3"/>
      <c r="E553" s="3"/>
      <c r="F553" s="3"/>
      <c r="G553" s="3"/>
      <c r="H553" s="3"/>
      <c r="I553" s="3"/>
      <c r="J553" s="3"/>
      <c r="K553" s="3"/>
      <c r="L553" s="3"/>
      <c r="M553" s="1711"/>
      <c r="N553" s="3"/>
      <c r="O553" s="3"/>
      <c r="P553" s="3"/>
      <c r="Q553" s="149"/>
      <c r="AJ553" s="14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row>
    <row r="554" spans="2:94">
      <c r="B554" s="3"/>
      <c r="C554" s="3"/>
      <c r="D554" s="3"/>
      <c r="E554" s="3"/>
      <c r="F554" s="3"/>
      <c r="G554" s="3"/>
      <c r="H554" s="3"/>
      <c r="I554" s="3"/>
      <c r="J554" s="3"/>
      <c r="K554" s="3"/>
      <c r="L554" s="3"/>
      <c r="M554" s="1711"/>
      <c r="N554" s="3"/>
      <c r="O554" s="3"/>
      <c r="P554" s="3"/>
      <c r="Q554" s="149"/>
      <c r="AJ554" s="14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row>
    <row r="555" spans="2:94">
      <c r="B555" s="3"/>
      <c r="C555" s="3"/>
      <c r="D555" s="3"/>
      <c r="E555" s="3"/>
      <c r="F555" s="3"/>
      <c r="G555" s="3"/>
      <c r="H555" s="3"/>
      <c r="I555" s="3"/>
      <c r="J555" s="3"/>
      <c r="K555" s="3"/>
      <c r="L555" s="3"/>
      <c r="M555" s="1711"/>
      <c r="N555" s="3"/>
      <c r="O555" s="3"/>
      <c r="P555" s="3"/>
      <c r="Q555" s="149"/>
      <c r="AJ555" s="14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row>
    <row r="556" spans="2:94">
      <c r="B556" s="3"/>
      <c r="C556" s="3"/>
      <c r="D556" s="3"/>
      <c r="E556" s="3"/>
      <c r="F556" s="3"/>
      <c r="G556" s="3"/>
      <c r="H556" s="3"/>
      <c r="I556" s="3"/>
      <c r="J556" s="3"/>
      <c r="K556" s="3"/>
      <c r="L556" s="3"/>
      <c r="M556" s="1711"/>
      <c r="N556" s="3"/>
      <c r="O556" s="3"/>
      <c r="P556" s="3"/>
      <c r="Q556" s="149"/>
      <c r="AJ556" s="14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row>
    <row r="557" spans="2:94">
      <c r="B557" s="3"/>
      <c r="C557" s="3"/>
      <c r="D557" s="3"/>
      <c r="E557" s="3"/>
      <c r="F557" s="3"/>
      <c r="G557" s="3"/>
      <c r="H557" s="3"/>
      <c r="I557" s="3"/>
      <c r="J557" s="3"/>
      <c r="K557" s="3"/>
      <c r="L557" s="3"/>
      <c r="M557" s="1711"/>
      <c r="N557" s="3"/>
      <c r="O557" s="3"/>
      <c r="P557" s="3"/>
      <c r="Q557" s="149"/>
      <c r="AJ557" s="14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row>
    <row r="558" spans="2:94">
      <c r="B558" s="3"/>
      <c r="C558" s="3"/>
      <c r="D558" s="3"/>
      <c r="E558" s="3"/>
      <c r="F558" s="3"/>
      <c r="G558" s="3"/>
      <c r="H558" s="3"/>
      <c r="I558" s="3"/>
      <c r="J558" s="3"/>
      <c r="K558" s="3"/>
      <c r="L558" s="3"/>
      <c r="M558" s="1711"/>
      <c r="N558" s="3"/>
      <c r="O558" s="3"/>
      <c r="P558" s="3"/>
      <c r="Q558" s="149"/>
      <c r="AJ558" s="14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row>
    <row r="559" spans="2:94">
      <c r="B559" s="3"/>
      <c r="C559" s="3"/>
      <c r="D559" s="3"/>
      <c r="E559" s="3"/>
      <c r="F559" s="3"/>
      <c r="G559" s="3"/>
      <c r="H559" s="3"/>
      <c r="I559" s="3"/>
      <c r="J559" s="3"/>
      <c r="K559" s="3"/>
      <c r="L559" s="3"/>
      <c r="M559" s="1711"/>
      <c r="N559" s="3"/>
      <c r="O559" s="3"/>
      <c r="P559" s="3"/>
      <c r="Q559" s="149"/>
      <c r="AJ559" s="14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row>
    <row r="560" spans="2:94">
      <c r="B560" s="3"/>
      <c r="C560" s="3"/>
      <c r="D560" s="3"/>
      <c r="E560" s="3"/>
      <c r="F560" s="3"/>
      <c r="G560" s="3"/>
      <c r="H560" s="3"/>
      <c r="I560" s="3"/>
      <c r="J560" s="3"/>
      <c r="K560" s="3"/>
      <c r="L560" s="3"/>
      <c r="M560" s="1711"/>
      <c r="N560" s="3"/>
      <c r="O560" s="3"/>
      <c r="P560" s="3"/>
      <c r="Q560" s="149"/>
      <c r="AJ560" s="14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row>
    <row r="561" spans="2:94">
      <c r="B561" s="3"/>
      <c r="C561" s="3"/>
      <c r="D561" s="3"/>
      <c r="E561" s="3"/>
      <c r="F561" s="3"/>
      <c r="G561" s="3"/>
      <c r="H561" s="3"/>
      <c r="I561" s="3"/>
      <c r="J561" s="3"/>
      <c r="K561" s="3"/>
      <c r="L561" s="3"/>
      <c r="M561" s="1711"/>
      <c r="N561" s="3"/>
      <c r="O561" s="3"/>
      <c r="P561" s="3"/>
      <c r="Q561" s="149"/>
      <c r="AJ561" s="14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row>
    <row r="562" spans="2:94">
      <c r="B562" s="3"/>
      <c r="C562" s="3"/>
      <c r="D562" s="3"/>
      <c r="E562" s="3"/>
      <c r="F562" s="3"/>
      <c r="G562" s="3"/>
      <c r="H562" s="3"/>
      <c r="I562" s="3"/>
      <c r="J562" s="3"/>
      <c r="K562" s="3"/>
      <c r="L562" s="3"/>
      <c r="M562" s="1711"/>
      <c r="N562" s="3"/>
      <c r="O562" s="3"/>
      <c r="P562" s="3"/>
      <c r="Q562" s="149"/>
      <c r="AJ562" s="14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row>
    <row r="563" spans="2:94">
      <c r="B563" s="3"/>
      <c r="C563" s="3"/>
      <c r="D563" s="3"/>
      <c r="E563" s="3"/>
      <c r="F563" s="3"/>
      <c r="G563" s="3"/>
      <c r="H563" s="3"/>
      <c r="I563" s="3"/>
      <c r="J563" s="3"/>
      <c r="K563" s="3"/>
      <c r="L563" s="3"/>
      <c r="M563" s="1711"/>
      <c r="N563" s="3"/>
      <c r="O563" s="3"/>
      <c r="P563" s="3"/>
      <c r="Q563" s="149"/>
      <c r="AJ563" s="14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row>
    <row r="564" spans="2:94">
      <c r="B564" s="3"/>
      <c r="C564" s="3"/>
      <c r="D564" s="3"/>
      <c r="E564" s="3"/>
      <c r="F564" s="3"/>
      <c r="G564" s="3"/>
      <c r="H564" s="3"/>
      <c r="I564" s="3"/>
      <c r="J564" s="3"/>
      <c r="K564" s="3"/>
      <c r="L564" s="3"/>
      <c r="M564" s="1711"/>
      <c r="N564" s="3"/>
      <c r="O564" s="3"/>
      <c r="P564" s="3"/>
      <c r="Q564" s="149"/>
      <c r="AJ564" s="14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row>
    <row r="565" spans="2:94">
      <c r="B565" s="3"/>
      <c r="C565" s="3"/>
      <c r="D565" s="3"/>
      <c r="E565" s="3"/>
      <c r="F565" s="3"/>
      <c r="G565" s="3"/>
      <c r="H565" s="3"/>
      <c r="I565" s="3"/>
      <c r="J565" s="3"/>
      <c r="K565" s="3"/>
      <c r="L565" s="3"/>
      <c r="M565" s="1711"/>
      <c r="N565" s="3"/>
      <c r="O565" s="3"/>
      <c r="P565" s="3"/>
      <c r="Q565" s="149"/>
      <c r="AJ565" s="14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row>
    <row r="566" spans="2:94">
      <c r="B566" s="3"/>
      <c r="C566" s="3"/>
      <c r="D566" s="3"/>
      <c r="E566" s="3"/>
      <c r="F566" s="3"/>
      <c r="G566" s="3"/>
      <c r="H566" s="3"/>
      <c r="I566" s="3"/>
      <c r="J566" s="3"/>
      <c r="K566" s="3"/>
      <c r="L566" s="3"/>
      <c r="M566" s="1711"/>
      <c r="N566" s="3"/>
      <c r="O566" s="3"/>
      <c r="P566" s="3"/>
      <c r="Q566" s="149"/>
      <c r="AJ566" s="14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row>
    <row r="567" spans="2:94">
      <c r="B567" s="3"/>
      <c r="C567" s="3"/>
      <c r="D567" s="3"/>
      <c r="E567" s="3"/>
      <c r="F567" s="3"/>
      <c r="G567" s="3"/>
      <c r="H567" s="3"/>
      <c r="I567" s="3"/>
      <c r="J567" s="3"/>
      <c r="K567" s="3"/>
      <c r="L567" s="3"/>
      <c r="M567" s="1711"/>
      <c r="N567" s="3"/>
      <c r="O567" s="3"/>
      <c r="P567" s="3"/>
      <c r="Q567" s="149"/>
      <c r="AJ567" s="14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row>
    <row r="568" spans="2:94">
      <c r="B568" s="3"/>
      <c r="C568" s="3"/>
      <c r="D568" s="3"/>
      <c r="E568" s="3"/>
      <c r="F568" s="3"/>
      <c r="G568" s="3"/>
      <c r="H568" s="3"/>
      <c r="I568" s="3"/>
      <c r="J568" s="3"/>
      <c r="K568" s="3"/>
      <c r="L568" s="3"/>
      <c r="M568" s="1711"/>
      <c r="N568" s="3"/>
      <c r="O568" s="3"/>
      <c r="P568" s="3"/>
      <c r="Q568" s="149"/>
      <c r="AJ568" s="14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row>
    <row r="569" spans="2:94">
      <c r="B569" s="3"/>
      <c r="C569" s="3"/>
      <c r="D569" s="3"/>
      <c r="E569" s="3"/>
      <c r="F569" s="3"/>
      <c r="G569" s="3"/>
      <c r="H569" s="3"/>
      <c r="I569" s="3"/>
      <c r="J569" s="3"/>
      <c r="K569" s="3"/>
      <c r="L569" s="3"/>
      <c r="M569" s="1711"/>
      <c r="N569" s="3"/>
      <c r="O569" s="3"/>
      <c r="P569" s="3"/>
      <c r="Q569" s="149"/>
      <c r="AJ569" s="14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row>
    <row r="570" spans="2:94">
      <c r="B570" s="3"/>
      <c r="C570" s="3"/>
      <c r="D570" s="3"/>
      <c r="E570" s="3"/>
      <c r="F570" s="3"/>
      <c r="G570" s="3"/>
      <c r="H570" s="3"/>
      <c r="I570" s="3"/>
      <c r="J570" s="3"/>
      <c r="K570" s="3"/>
      <c r="L570" s="3"/>
      <c r="M570" s="1711"/>
      <c r="N570" s="3"/>
      <c r="O570" s="3"/>
      <c r="P570" s="3"/>
      <c r="Q570" s="149"/>
      <c r="AJ570" s="14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row>
    <row r="571" spans="2:94">
      <c r="B571" s="3"/>
      <c r="C571" s="3"/>
      <c r="D571" s="3"/>
      <c r="E571" s="3"/>
      <c r="F571" s="3"/>
      <c r="G571" s="3"/>
      <c r="H571" s="3"/>
      <c r="I571" s="3"/>
      <c r="J571" s="3"/>
      <c r="K571" s="3"/>
      <c r="L571" s="3"/>
      <c r="M571" s="1711"/>
      <c r="N571" s="3"/>
      <c r="O571" s="3"/>
      <c r="P571" s="3"/>
      <c r="Q571" s="149"/>
      <c r="AJ571" s="14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row>
    <row r="572" spans="2:94">
      <c r="B572" s="3"/>
      <c r="C572" s="3"/>
      <c r="D572" s="3"/>
      <c r="E572" s="3"/>
      <c r="F572" s="3"/>
      <c r="G572" s="3"/>
      <c r="H572" s="3"/>
      <c r="I572" s="3"/>
      <c r="J572" s="3"/>
      <c r="K572" s="3"/>
      <c r="L572" s="3"/>
      <c r="M572" s="1711"/>
      <c r="N572" s="3"/>
      <c r="O572" s="3"/>
      <c r="P572" s="3"/>
      <c r="Q572" s="149"/>
      <c r="AJ572" s="14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row>
    <row r="573" spans="2:94">
      <c r="B573" s="3"/>
      <c r="C573" s="3"/>
      <c r="D573" s="3"/>
      <c r="E573" s="3"/>
      <c r="F573" s="3"/>
      <c r="G573" s="3"/>
      <c r="H573" s="3"/>
      <c r="I573" s="3"/>
      <c r="J573" s="3"/>
      <c r="K573" s="3"/>
      <c r="L573" s="3"/>
      <c r="M573" s="1711"/>
      <c r="N573" s="3"/>
      <c r="O573" s="3"/>
      <c r="P573" s="3"/>
      <c r="Q573" s="149"/>
      <c r="AJ573" s="14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row>
    <row r="574" spans="2:94">
      <c r="B574" s="3"/>
      <c r="C574" s="3"/>
      <c r="D574" s="3"/>
      <c r="E574" s="3"/>
      <c r="F574" s="3"/>
      <c r="G574" s="3"/>
      <c r="H574" s="3"/>
      <c r="I574" s="3"/>
      <c r="J574" s="3"/>
      <c r="K574" s="3"/>
      <c r="L574" s="3"/>
      <c r="M574" s="1711"/>
      <c r="N574" s="3"/>
      <c r="O574" s="3"/>
      <c r="P574" s="3"/>
      <c r="Q574" s="149"/>
      <c r="AJ574" s="14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row>
    <row r="575" spans="2:94">
      <c r="B575" s="3"/>
      <c r="C575" s="3"/>
      <c r="D575" s="3"/>
      <c r="E575" s="3"/>
      <c r="F575" s="3"/>
      <c r="G575" s="3"/>
      <c r="H575" s="3"/>
      <c r="I575" s="3"/>
      <c r="J575" s="3"/>
      <c r="K575" s="3"/>
      <c r="L575" s="3"/>
      <c r="M575" s="1711"/>
      <c r="N575" s="3"/>
      <c r="O575" s="3"/>
      <c r="P575" s="3"/>
      <c r="Q575" s="149"/>
      <c r="AJ575" s="14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row>
    <row r="576" spans="2:94">
      <c r="B576" s="3"/>
      <c r="C576" s="3"/>
      <c r="D576" s="3"/>
      <c r="E576" s="3"/>
      <c r="F576" s="3"/>
      <c r="G576" s="3"/>
      <c r="H576" s="3"/>
      <c r="I576" s="3"/>
      <c r="J576" s="3"/>
      <c r="K576" s="3"/>
      <c r="L576" s="3"/>
      <c r="M576" s="1711"/>
      <c r="N576" s="3"/>
      <c r="O576" s="3"/>
      <c r="P576" s="3"/>
      <c r="Q576" s="149"/>
      <c r="AJ576" s="14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row>
    <row r="577" spans="2:94">
      <c r="B577" s="3"/>
      <c r="C577" s="3"/>
      <c r="D577" s="3"/>
      <c r="E577" s="3"/>
      <c r="F577" s="3"/>
      <c r="G577" s="3"/>
      <c r="H577" s="3"/>
      <c r="I577" s="3"/>
      <c r="J577" s="3"/>
      <c r="K577" s="3"/>
      <c r="L577" s="3"/>
      <c r="M577" s="1711"/>
      <c r="N577" s="3"/>
      <c r="O577" s="3"/>
      <c r="P577" s="3"/>
      <c r="Q577" s="149"/>
      <c r="AJ577" s="14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row>
    <row r="578" spans="2:94">
      <c r="B578" s="3"/>
      <c r="C578" s="3"/>
      <c r="D578" s="3"/>
      <c r="E578" s="3"/>
      <c r="F578" s="3"/>
      <c r="G578" s="3"/>
      <c r="H578" s="3"/>
      <c r="I578" s="3"/>
      <c r="J578" s="3"/>
      <c r="K578" s="3"/>
      <c r="L578" s="3"/>
      <c r="M578" s="1711"/>
      <c r="N578" s="3"/>
      <c r="O578" s="3"/>
      <c r="P578" s="3"/>
      <c r="Q578" s="149"/>
      <c r="AJ578" s="14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row>
    <row r="579" spans="2:94">
      <c r="B579" s="3"/>
      <c r="C579" s="3"/>
      <c r="D579" s="3"/>
      <c r="E579" s="3"/>
      <c r="F579" s="3"/>
      <c r="G579" s="3"/>
      <c r="H579" s="3"/>
      <c r="I579" s="3"/>
      <c r="J579" s="3"/>
      <c r="K579" s="3"/>
      <c r="L579" s="3"/>
      <c r="M579" s="1711"/>
      <c r="N579" s="3"/>
      <c r="O579" s="3"/>
      <c r="P579" s="3"/>
      <c r="Q579" s="149"/>
      <c r="AJ579" s="14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row>
    <row r="580" spans="2:94">
      <c r="B580" s="3"/>
      <c r="C580" s="3"/>
      <c r="D580" s="3"/>
      <c r="E580" s="3"/>
      <c r="F580" s="3"/>
      <c r="G580" s="3"/>
      <c r="H580" s="3"/>
      <c r="I580" s="3"/>
      <c r="J580" s="3"/>
      <c r="K580" s="3"/>
      <c r="L580" s="3"/>
      <c r="M580" s="1711"/>
      <c r="N580" s="3"/>
      <c r="O580" s="3"/>
      <c r="P580" s="3"/>
      <c r="Q580" s="149"/>
      <c r="AJ580" s="14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row>
    <row r="581" spans="2:94">
      <c r="B581" s="3"/>
      <c r="C581" s="3"/>
      <c r="D581" s="3"/>
      <c r="E581" s="3"/>
      <c r="F581" s="3"/>
      <c r="G581" s="3"/>
      <c r="H581" s="3"/>
      <c r="I581" s="3"/>
      <c r="J581" s="3"/>
      <c r="K581" s="3"/>
      <c r="L581" s="3"/>
      <c r="M581" s="1711"/>
      <c r="N581" s="3"/>
      <c r="O581" s="3"/>
      <c r="P581" s="3"/>
      <c r="Q581" s="149"/>
      <c r="AJ581" s="14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row>
    <row r="582" spans="2:94">
      <c r="B582" s="3"/>
      <c r="C582" s="3"/>
      <c r="D582" s="3"/>
      <c r="E582" s="3"/>
      <c r="F582" s="3"/>
      <c r="G582" s="3"/>
      <c r="H582" s="3"/>
      <c r="I582" s="3"/>
      <c r="J582" s="3"/>
      <c r="K582" s="3"/>
      <c r="L582" s="3"/>
      <c r="M582" s="1711"/>
      <c r="N582" s="3"/>
      <c r="O582" s="3"/>
      <c r="P582" s="3"/>
      <c r="Q582" s="149"/>
      <c r="AJ582" s="14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row>
    <row r="583" spans="2:94">
      <c r="B583" s="3"/>
      <c r="C583" s="3"/>
      <c r="D583" s="3"/>
      <c r="E583" s="3"/>
      <c r="F583" s="3"/>
      <c r="G583" s="3"/>
      <c r="H583" s="3"/>
      <c r="I583" s="3"/>
      <c r="J583" s="3"/>
      <c r="K583" s="3"/>
      <c r="L583" s="3"/>
      <c r="M583" s="1711"/>
      <c r="N583" s="3"/>
      <c r="O583" s="3"/>
      <c r="P583" s="3"/>
      <c r="Q583" s="149"/>
      <c r="AJ583" s="14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row>
    <row r="584" spans="2:94">
      <c r="B584" s="3"/>
      <c r="C584" s="3"/>
      <c r="D584" s="3"/>
      <c r="E584" s="3"/>
      <c r="F584" s="3"/>
      <c r="G584" s="3"/>
      <c r="H584" s="3"/>
      <c r="I584" s="3"/>
      <c r="J584" s="3"/>
      <c r="K584" s="3"/>
      <c r="L584" s="3"/>
      <c r="M584" s="1711"/>
      <c r="N584" s="3"/>
      <c r="O584" s="3"/>
      <c r="P584" s="3"/>
      <c r="Q584" s="149"/>
      <c r="AJ584" s="14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row>
    <row r="585" spans="2:94">
      <c r="B585" s="3"/>
      <c r="C585" s="3"/>
      <c r="D585" s="3"/>
      <c r="E585" s="3"/>
      <c r="F585" s="3"/>
      <c r="G585" s="3"/>
      <c r="H585" s="3"/>
      <c r="I585" s="3"/>
      <c r="J585" s="3"/>
      <c r="K585" s="3"/>
      <c r="L585" s="3"/>
      <c r="M585" s="1711"/>
      <c r="N585" s="3"/>
      <c r="O585" s="3"/>
      <c r="P585" s="3"/>
      <c r="Q585" s="149"/>
      <c r="AJ585" s="14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row>
    <row r="586" spans="2:94">
      <c r="B586" s="3"/>
      <c r="C586" s="3"/>
      <c r="D586" s="3"/>
      <c r="E586" s="3"/>
      <c r="F586" s="3"/>
      <c r="G586" s="3"/>
      <c r="H586" s="3"/>
      <c r="I586" s="3"/>
      <c r="J586" s="3"/>
      <c r="K586" s="3"/>
      <c r="L586" s="3"/>
      <c r="M586" s="1711"/>
      <c r="N586" s="3"/>
      <c r="O586" s="3"/>
      <c r="P586" s="3"/>
      <c r="Q586" s="149"/>
      <c r="AJ586" s="14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row>
    <row r="587" spans="2:94">
      <c r="B587" s="3"/>
      <c r="C587" s="3"/>
      <c r="D587" s="3"/>
      <c r="E587" s="3"/>
      <c r="F587" s="3"/>
      <c r="G587" s="3"/>
      <c r="H587" s="3"/>
      <c r="I587" s="3"/>
      <c r="J587" s="3"/>
      <c r="K587" s="3"/>
      <c r="L587" s="3"/>
      <c r="M587" s="1711"/>
      <c r="N587" s="3"/>
      <c r="O587" s="3"/>
      <c r="P587" s="3"/>
      <c r="Q587" s="149"/>
      <c r="AJ587" s="14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row>
    <row r="588" spans="2:94">
      <c r="B588" s="3"/>
      <c r="C588" s="3"/>
      <c r="D588" s="3"/>
      <c r="E588" s="3"/>
      <c r="F588" s="3"/>
      <c r="G588" s="3"/>
      <c r="H588" s="3"/>
      <c r="I588" s="3"/>
      <c r="J588" s="3"/>
      <c r="K588" s="3"/>
      <c r="L588" s="3"/>
      <c r="M588" s="1711"/>
      <c r="N588" s="3"/>
      <c r="O588" s="3"/>
      <c r="P588" s="3"/>
      <c r="Q588" s="149"/>
      <c r="AJ588" s="14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row>
    <row r="589" spans="2:94">
      <c r="B589" s="3"/>
      <c r="C589" s="3"/>
      <c r="D589" s="3"/>
      <c r="E589" s="3"/>
      <c r="F589" s="3"/>
      <c r="G589" s="3"/>
      <c r="H589" s="3"/>
      <c r="I589" s="3"/>
      <c r="J589" s="3"/>
      <c r="K589" s="3"/>
      <c r="L589" s="3"/>
      <c r="M589" s="1711"/>
      <c r="N589" s="3"/>
      <c r="O589" s="3"/>
      <c r="P589" s="3"/>
      <c r="Q589" s="149"/>
      <c r="AJ589" s="14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row>
    <row r="590" spans="2:94">
      <c r="B590" s="3"/>
      <c r="C590" s="3"/>
      <c r="D590" s="3"/>
      <c r="E590" s="3"/>
      <c r="F590" s="3"/>
      <c r="G590" s="3"/>
      <c r="H590" s="3"/>
      <c r="I590" s="3"/>
      <c r="J590" s="3"/>
      <c r="K590" s="3"/>
      <c r="L590" s="3"/>
      <c r="M590" s="1711"/>
      <c r="N590" s="3"/>
      <c r="O590" s="3"/>
      <c r="P590" s="3"/>
      <c r="Q590" s="149"/>
      <c r="AJ590" s="14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row>
    <row r="591" spans="2:94">
      <c r="B591" s="3"/>
      <c r="C591" s="3"/>
      <c r="D591" s="3"/>
      <c r="E591" s="3"/>
      <c r="F591" s="3"/>
      <c r="G591" s="3"/>
      <c r="H591" s="3"/>
      <c r="I591" s="3"/>
      <c r="J591" s="3"/>
      <c r="K591" s="3"/>
      <c r="L591" s="3"/>
      <c r="M591" s="1711"/>
      <c r="N591" s="3"/>
      <c r="O591" s="3"/>
      <c r="P591" s="3"/>
      <c r="Q591" s="149"/>
      <c r="AJ591" s="14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row>
    <row r="592" spans="2:94">
      <c r="B592" s="3"/>
      <c r="C592" s="3"/>
      <c r="D592" s="3"/>
      <c r="E592" s="3"/>
      <c r="F592" s="3"/>
      <c r="G592" s="3"/>
      <c r="H592" s="3"/>
      <c r="I592" s="3"/>
      <c r="J592" s="3"/>
      <c r="K592" s="3"/>
      <c r="L592" s="3"/>
      <c r="M592" s="1711"/>
      <c r="N592" s="3"/>
      <c r="O592" s="3"/>
      <c r="P592" s="3"/>
      <c r="Q592" s="149"/>
      <c r="AJ592" s="14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row>
    <row r="593" spans="2:94">
      <c r="B593" s="3"/>
      <c r="C593" s="3"/>
      <c r="D593" s="3"/>
      <c r="E593" s="3"/>
      <c r="F593" s="3"/>
      <c r="G593" s="3"/>
      <c r="H593" s="3"/>
      <c r="I593" s="3"/>
      <c r="J593" s="3"/>
      <c r="K593" s="3"/>
      <c r="L593" s="3"/>
      <c r="M593" s="1711"/>
      <c r="N593" s="3"/>
      <c r="O593" s="3"/>
      <c r="P593" s="3"/>
      <c r="Q593" s="149"/>
      <c r="AJ593" s="14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row>
    <row r="594" spans="2:94">
      <c r="B594" s="3"/>
      <c r="C594" s="3"/>
      <c r="D594" s="3"/>
      <c r="E594" s="3"/>
      <c r="F594" s="3"/>
      <c r="G594" s="3"/>
      <c r="H594" s="3"/>
      <c r="I594" s="3"/>
      <c r="J594" s="3"/>
      <c r="K594" s="3"/>
      <c r="L594" s="3"/>
      <c r="M594" s="1711"/>
      <c r="N594" s="3"/>
      <c r="O594" s="3"/>
      <c r="P594" s="3"/>
      <c r="Q594" s="149"/>
      <c r="AJ594" s="14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row>
    <row r="595" spans="2:94">
      <c r="B595" s="3"/>
      <c r="C595" s="3"/>
      <c r="D595" s="3"/>
      <c r="E595" s="3"/>
      <c r="F595" s="3"/>
      <c r="G595" s="3"/>
      <c r="H595" s="3"/>
      <c r="I595" s="3"/>
      <c r="J595" s="3"/>
      <c r="K595" s="3"/>
      <c r="L595" s="3"/>
      <c r="M595" s="1711"/>
      <c r="N595" s="3"/>
      <c r="O595" s="3"/>
      <c r="P595" s="3"/>
      <c r="Q595" s="149"/>
      <c r="AJ595" s="14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row>
    <row r="596" spans="2:94">
      <c r="B596" s="3"/>
      <c r="C596" s="3"/>
      <c r="D596" s="3"/>
      <c r="E596" s="3"/>
      <c r="F596" s="3"/>
      <c r="G596" s="3"/>
      <c r="H596" s="3"/>
      <c r="I596" s="3"/>
      <c r="J596" s="3"/>
      <c r="K596" s="3"/>
      <c r="L596" s="3"/>
      <c r="M596" s="1711"/>
      <c r="N596" s="3"/>
      <c r="O596" s="3"/>
      <c r="P596" s="3"/>
      <c r="Q596" s="149"/>
      <c r="AJ596" s="14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row>
    <row r="597" spans="2:94">
      <c r="B597" s="3"/>
      <c r="C597" s="3"/>
      <c r="D597" s="3"/>
      <c r="E597" s="3"/>
      <c r="F597" s="3"/>
      <c r="G597" s="3"/>
      <c r="H597" s="3"/>
      <c r="I597" s="3"/>
      <c r="J597" s="3"/>
      <c r="K597" s="3"/>
      <c r="L597" s="3"/>
      <c r="M597" s="1711"/>
      <c r="N597" s="3"/>
      <c r="O597" s="3"/>
      <c r="P597" s="3"/>
      <c r="Q597" s="149"/>
      <c r="AJ597" s="14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row>
    <row r="598" spans="2:94">
      <c r="B598" s="3"/>
      <c r="C598" s="3"/>
      <c r="D598" s="3"/>
      <c r="E598" s="3"/>
      <c r="F598" s="3"/>
      <c r="G598" s="3"/>
      <c r="H598" s="3"/>
      <c r="I598" s="3"/>
      <c r="J598" s="3"/>
      <c r="K598" s="3"/>
      <c r="L598" s="3"/>
      <c r="M598" s="1711"/>
      <c r="N598" s="3"/>
      <c r="O598" s="3"/>
      <c r="P598" s="3"/>
      <c r="Q598" s="149"/>
      <c r="AJ598" s="14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row>
    <row r="599" spans="2:94">
      <c r="B599" s="3"/>
      <c r="C599" s="3"/>
      <c r="D599" s="3"/>
      <c r="E599" s="3"/>
      <c r="F599" s="3"/>
      <c r="G599" s="3"/>
      <c r="H599" s="3"/>
      <c r="I599" s="3"/>
      <c r="J599" s="3"/>
      <c r="K599" s="3"/>
      <c r="L599" s="3"/>
      <c r="M599" s="1711"/>
      <c r="N599" s="3"/>
      <c r="O599" s="3"/>
      <c r="P599" s="3"/>
      <c r="Q599" s="149"/>
      <c r="AJ599" s="14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row>
    <row r="600" spans="2:94">
      <c r="B600" s="3"/>
      <c r="C600" s="3"/>
      <c r="D600" s="3"/>
      <c r="E600" s="3"/>
      <c r="F600" s="3"/>
      <c r="G600" s="3"/>
      <c r="H600" s="3"/>
      <c r="I600" s="3"/>
      <c r="J600" s="3"/>
      <c r="K600" s="3"/>
      <c r="L600" s="3"/>
      <c r="M600" s="1711"/>
      <c r="N600" s="3"/>
      <c r="O600" s="3"/>
      <c r="P600" s="3"/>
      <c r="Q600" s="149"/>
      <c r="AJ600" s="14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row>
    <row r="601" spans="2:94">
      <c r="B601" s="3"/>
      <c r="C601" s="3"/>
      <c r="D601" s="3"/>
      <c r="E601" s="3"/>
      <c r="F601" s="3"/>
      <c r="G601" s="3"/>
      <c r="H601" s="3"/>
      <c r="I601" s="3"/>
      <c r="J601" s="3"/>
      <c r="K601" s="3"/>
      <c r="L601" s="3"/>
      <c r="M601" s="1711"/>
      <c r="N601" s="3"/>
      <c r="O601" s="3"/>
      <c r="P601" s="3"/>
      <c r="Q601" s="149"/>
      <c r="AJ601" s="14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row>
    <row r="602" spans="2:94">
      <c r="B602" s="3"/>
      <c r="C602" s="3"/>
      <c r="D602" s="3"/>
      <c r="E602" s="3"/>
      <c r="F602" s="3"/>
      <c r="G602" s="3"/>
      <c r="H602" s="3"/>
      <c r="I602" s="3"/>
      <c r="J602" s="3"/>
      <c r="K602" s="3"/>
      <c r="L602" s="3"/>
      <c r="M602" s="1711"/>
      <c r="N602" s="3"/>
      <c r="O602" s="3"/>
      <c r="P602" s="3"/>
      <c r="Q602" s="149"/>
      <c r="AJ602" s="14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row>
    <row r="603" spans="2:94">
      <c r="B603" s="3"/>
      <c r="C603" s="3"/>
      <c r="D603" s="3"/>
      <c r="E603" s="3"/>
      <c r="F603" s="3"/>
      <c r="G603" s="3"/>
      <c r="H603" s="3"/>
      <c r="I603" s="3"/>
      <c r="J603" s="3"/>
      <c r="K603" s="3"/>
      <c r="L603" s="3"/>
      <c r="M603" s="1711"/>
      <c r="N603" s="3"/>
      <c r="O603" s="3"/>
      <c r="P603" s="3"/>
      <c r="Q603" s="149"/>
      <c r="AJ603" s="14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row>
    <row r="604" spans="2:94">
      <c r="B604" s="3"/>
      <c r="C604" s="3"/>
      <c r="D604" s="3"/>
      <c r="E604" s="3"/>
      <c r="F604" s="3"/>
      <c r="G604" s="3"/>
      <c r="H604" s="3"/>
      <c r="I604" s="3"/>
      <c r="J604" s="3"/>
      <c r="K604" s="3"/>
      <c r="L604" s="3"/>
      <c r="M604" s="1711"/>
      <c r="N604" s="3"/>
      <c r="O604" s="3"/>
      <c r="P604" s="3"/>
      <c r="Q604" s="149"/>
      <c r="AJ604" s="14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row>
    <row r="605" spans="2:94">
      <c r="B605" s="3"/>
      <c r="C605" s="3"/>
      <c r="D605" s="3"/>
      <c r="E605" s="3"/>
      <c r="F605" s="3"/>
      <c r="G605" s="3"/>
      <c r="H605" s="3"/>
      <c r="I605" s="3"/>
      <c r="J605" s="3"/>
      <c r="K605" s="3"/>
      <c r="L605" s="3"/>
      <c r="M605" s="1711"/>
      <c r="N605" s="3"/>
      <c r="O605" s="3"/>
      <c r="P605" s="3"/>
      <c r="Q605" s="149"/>
      <c r="AJ605" s="14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row>
    <row r="606" spans="2:94">
      <c r="B606" s="3"/>
      <c r="C606" s="3"/>
      <c r="D606" s="3"/>
      <c r="E606" s="3"/>
      <c r="F606" s="3"/>
      <c r="G606" s="3"/>
      <c r="H606" s="3"/>
      <c r="I606" s="3"/>
      <c r="J606" s="3"/>
      <c r="K606" s="3"/>
      <c r="L606" s="3"/>
      <c r="M606" s="1711"/>
      <c r="N606" s="3"/>
      <c r="O606" s="3"/>
      <c r="P606" s="3"/>
      <c r="Q606" s="149"/>
      <c r="AJ606" s="14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row>
    <row r="607" spans="2:94">
      <c r="B607" s="3"/>
      <c r="C607" s="3"/>
      <c r="D607" s="3"/>
      <c r="E607" s="3"/>
      <c r="F607" s="3"/>
      <c r="G607" s="3"/>
      <c r="H607" s="3"/>
      <c r="I607" s="3"/>
      <c r="J607" s="3"/>
      <c r="K607" s="3"/>
      <c r="L607" s="3"/>
      <c r="M607" s="1711"/>
      <c r="N607" s="3"/>
      <c r="O607" s="3"/>
      <c r="P607" s="3"/>
      <c r="Q607" s="149"/>
      <c r="AJ607" s="14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row>
    <row r="608" spans="2:94">
      <c r="B608" s="3"/>
      <c r="C608" s="3"/>
      <c r="D608" s="3"/>
      <c r="E608" s="3"/>
      <c r="F608" s="3"/>
      <c r="G608" s="3"/>
      <c r="H608" s="3"/>
      <c r="I608" s="3"/>
      <c r="J608" s="3"/>
      <c r="K608" s="3"/>
      <c r="L608" s="3"/>
      <c r="M608" s="1711"/>
      <c r="N608" s="3"/>
      <c r="O608" s="3"/>
      <c r="P608" s="3"/>
      <c r="Q608" s="149"/>
      <c r="AJ608" s="14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row>
    <row r="609" spans="2:94">
      <c r="B609" s="3"/>
      <c r="C609" s="3"/>
      <c r="D609" s="3"/>
      <c r="E609" s="3"/>
      <c r="F609" s="3"/>
      <c r="G609" s="3"/>
      <c r="H609" s="3"/>
      <c r="I609" s="3"/>
      <c r="J609" s="3"/>
      <c r="K609" s="3"/>
      <c r="L609" s="3"/>
      <c r="M609" s="1711"/>
      <c r="N609" s="3"/>
      <c r="O609" s="3"/>
      <c r="P609" s="3"/>
      <c r="Q609" s="149"/>
      <c r="AJ609" s="14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row>
    <row r="610" spans="2:94">
      <c r="B610" s="3"/>
      <c r="C610" s="3"/>
      <c r="D610" s="3"/>
      <c r="E610" s="3"/>
      <c r="F610" s="3"/>
      <c r="G610" s="3"/>
      <c r="H610" s="3"/>
      <c r="I610" s="3"/>
      <c r="J610" s="3"/>
      <c r="K610" s="3"/>
      <c r="L610" s="3"/>
      <c r="M610" s="1711"/>
      <c r="N610" s="3"/>
      <c r="O610" s="3"/>
      <c r="P610" s="3"/>
      <c r="Q610" s="149"/>
      <c r="AJ610" s="14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row>
    <row r="611" spans="2:94">
      <c r="B611" s="3"/>
      <c r="C611" s="3"/>
      <c r="D611" s="3"/>
      <c r="E611" s="3"/>
      <c r="F611" s="3"/>
      <c r="G611" s="3"/>
      <c r="H611" s="3"/>
      <c r="I611" s="3"/>
      <c r="J611" s="3"/>
      <c r="K611" s="3"/>
      <c r="L611" s="3"/>
      <c r="M611" s="1711"/>
      <c r="N611" s="3"/>
      <c r="O611" s="3"/>
      <c r="P611" s="3"/>
      <c r="Q611" s="149"/>
      <c r="AJ611" s="14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row>
    <row r="612" spans="2:94">
      <c r="B612" s="3"/>
      <c r="C612" s="3"/>
      <c r="D612" s="3"/>
      <c r="E612" s="3"/>
      <c r="F612" s="3"/>
      <c r="G612" s="3"/>
      <c r="H612" s="3"/>
      <c r="I612" s="3"/>
      <c r="J612" s="3"/>
      <c r="K612" s="3"/>
      <c r="L612" s="3"/>
      <c r="M612" s="1711"/>
      <c r="N612" s="3"/>
      <c r="O612" s="3"/>
      <c r="P612" s="3"/>
      <c r="Q612" s="149"/>
      <c r="AJ612" s="14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row>
    <row r="613" spans="2:94">
      <c r="B613" s="3"/>
      <c r="C613" s="3"/>
      <c r="D613" s="3"/>
      <c r="E613" s="3"/>
      <c r="F613" s="3"/>
      <c r="G613" s="3"/>
      <c r="H613" s="3"/>
      <c r="I613" s="3"/>
      <c r="J613" s="3"/>
      <c r="K613" s="3"/>
      <c r="L613" s="3"/>
      <c r="M613" s="1711"/>
      <c r="N613" s="3"/>
      <c r="O613" s="3"/>
      <c r="P613" s="3"/>
      <c r="Q613" s="149"/>
      <c r="AJ613" s="14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row>
    <row r="614" spans="2:94">
      <c r="B614" s="3"/>
      <c r="C614" s="3"/>
      <c r="D614" s="3"/>
      <c r="E614" s="3"/>
      <c r="F614" s="3"/>
      <c r="G614" s="3"/>
      <c r="H614" s="3"/>
      <c r="I614" s="3"/>
      <c r="J614" s="3"/>
      <c r="K614" s="3"/>
      <c r="L614" s="3"/>
      <c r="M614" s="1711"/>
      <c r="N614" s="3"/>
      <c r="O614" s="3"/>
      <c r="P614" s="3"/>
      <c r="Q614" s="149"/>
      <c r="AJ614" s="14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row>
    <row r="615" spans="2:94">
      <c r="B615" s="3"/>
      <c r="C615" s="3"/>
      <c r="D615" s="3"/>
      <c r="E615" s="3"/>
      <c r="F615" s="3"/>
      <c r="G615" s="3"/>
      <c r="H615" s="3"/>
      <c r="I615" s="3"/>
      <c r="J615" s="3"/>
      <c r="K615" s="3"/>
      <c r="L615" s="3"/>
      <c r="M615" s="1711"/>
      <c r="N615" s="3"/>
      <c r="O615" s="3"/>
      <c r="P615" s="3"/>
      <c r="Q615" s="149"/>
      <c r="AJ615" s="14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row>
    <row r="616" spans="2:94">
      <c r="B616" s="3"/>
      <c r="C616" s="3"/>
      <c r="D616" s="3"/>
      <c r="E616" s="3"/>
      <c r="F616" s="3"/>
      <c r="G616" s="3"/>
      <c r="H616" s="3"/>
      <c r="I616" s="3"/>
      <c r="J616" s="3"/>
      <c r="K616" s="3"/>
      <c r="L616" s="3"/>
      <c r="M616" s="1711"/>
      <c r="N616" s="3"/>
      <c r="O616" s="3"/>
      <c r="P616" s="3"/>
      <c r="Q616" s="149"/>
      <c r="AJ616" s="14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row>
    <row r="617" spans="2:94">
      <c r="B617" s="3"/>
      <c r="C617" s="3"/>
      <c r="D617" s="3"/>
      <c r="E617" s="3"/>
      <c r="F617" s="3"/>
      <c r="G617" s="3"/>
      <c r="H617" s="3"/>
      <c r="I617" s="3"/>
      <c r="J617" s="3"/>
      <c r="K617" s="3"/>
      <c r="L617" s="3"/>
      <c r="M617" s="1711"/>
      <c r="N617" s="3"/>
      <c r="O617" s="3"/>
      <c r="P617" s="3"/>
      <c r="Q617" s="149"/>
      <c r="AJ617" s="14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row>
    <row r="618" spans="2:94">
      <c r="B618" s="3"/>
      <c r="C618" s="3"/>
      <c r="D618" s="3"/>
      <c r="E618" s="3"/>
      <c r="F618" s="3"/>
      <c r="G618" s="3"/>
      <c r="H618" s="3"/>
      <c r="I618" s="3"/>
      <c r="J618" s="3"/>
      <c r="K618" s="3"/>
      <c r="L618" s="3"/>
      <c r="M618" s="1711"/>
      <c r="N618" s="3"/>
      <c r="O618" s="3"/>
      <c r="P618" s="3"/>
      <c r="Q618" s="149"/>
      <c r="AJ618" s="14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row>
    <row r="619" spans="2:94">
      <c r="B619" s="3"/>
      <c r="C619" s="3"/>
      <c r="D619" s="3"/>
      <c r="E619" s="3"/>
      <c r="F619" s="3"/>
      <c r="G619" s="3"/>
      <c r="H619" s="3"/>
      <c r="I619" s="3"/>
      <c r="J619" s="3"/>
      <c r="K619" s="3"/>
      <c r="L619" s="3"/>
      <c r="M619" s="1711"/>
      <c r="N619" s="3"/>
      <c r="O619" s="3"/>
      <c r="P619" s="3"/>
      <c r="Q619" s="149"/>
      <c r="AJ619" s="14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row>
    <row r="620" spans="2:94">
      <c r="B620" s="3"/>
      <c r="C620" s="3"/>
      <c r="D620" s="3"/>
      <c r="E620" s="3"/>
      <c r="F620" s="3"/>
      <c r="G620" s="3"/>
      <c r="H620" s="3"/>
      <c r="I620" s="3"/>
      <c r="J620" s="3"/>
      <c r="K620" s="3"/>
      <c r="L620" s="3"/>
      <c r="M620" s="1711"/>
      <c r="N620" s="3"/>
      <c r="O620" s="3"/>
      <c r="P620" s="3"/>
      <c r="Q620" s="149"/>
      <c r="AJ620" s="14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row>
    <row r="621" spans="2:94">
      <c r="B621" s="3"/>
      <c r="C621" s="3"/>
      <c r="D621" s="3"/>
      <c r="E621" s="3"/>
      <c r="F621" s="3"/>
      <c r="G621" s="3"/>
      <c r="H621" s="3"/>
      <c r="I621" s="3"/>
      <c r="J621" s="3"/>
      <c r="K621" s="3"/>
      <c r="L621" s="3"/>
      <c r="M621" s="1711"/>
      <c r="N621" s="3"/>
      <c r="O621" s="3"/>
      <c r="P621" s="3"/>
      <c r="Q621" s="149"/>
      <c r="AJ621" s="14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row>
    <row r="622" spans="2:94">
      <c r="B622" s="3"/>
      <c r="C622" s="3"/>
      <c r="D622" s="3"/>
      <c r="E622" s="3"/>
      <c r="F622" s="3"/>
      <c r="G622" s="3"/>
      <c r="H622" s="3"/>
      <c r="I622" s="3"/>
      <c r="J622" s="3"/>
      <c r="K622" s="3"/>
      <c r="L622" s="3"/>
      <c r="M622" s="1711"/>
      <c r="N622" s="3"/>
      <c r="O622" s="3"/>
      <c r="P622" s="3"/>
      <c r="Q622" s="149"/>
      <c r="AJ622" s="14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row>
    <row r="623" spans="2:94">
      <c r="B623" s="3"/>
      <c r="C623" s="3"/>
      <c r="D623" s="3"/>
      <c r="E623" s="3"/>
      <c r="F623" s="3"/>
      <c r="G623" s="3"/>
      <c r="H623" s="3"/>
      <c r="I623" s="3"/>
      <c r="J623" s="3"/>
      <c r="K623" s="3"/>
      <c r="L623" s="3"/>
      <c r="M623" s="1711"/>
      <c r="N623" s="3"/>
      <c r="O623" s="3"/>
      <c r="P623" s="3"/>
      <c r="Q623" s="149"/>
      <c r="AJ623" s="14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row>
    <row r="624" spans="2:94">
      <c r="B624" s="3"/>
      <c r="C624" s="3"/>
      <c r="D624" s="3"/>
      <c r="E624" s="3"/>
      <c r="F624" s="3"/>
      <c r="G624" s="3"/>
      <c r="H624" s="3"/>
      <c r="I624" s="3"/>
      <c r="J624" s="3"/>
      <c r="K624" s="3"/>
      <c r="L624" s="3"/>
      <c r="M624" s="1711"/>
      <c r="N624" s="3"/>
      <c r="O624" s="3"/>
      <c r="P624" s="3"/>
      <c r="Q624" s="149"/>
      <c r="AJ624" s="14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row>
    <row r="625" spans="2:94">
      <c r="B625" s="3"/>
      <c r="C625" s="3"/>
      <c r="D625" s="3"/>
      <c r="E625" s="3"/>
      <c r="F625" s="3"/>
      <c r="G625" s="3"/>
      <c r="H625" s="3"/>
      <c r="I625" s="3"/>
      <c r="J625" s="3"/>
      <c r="K625" s="3"/>
      <c r="L625" s="3"/>
      <c r="M625" s="1711"/>
      <c r="N625" s="3"/>
      <c r="O625" s="3"/>
      <c r="P625" s="3"/>
      <c r="Q625" s="149"/>
      <c r="AJ625" s="14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row>
    <row r="626" spans="2:94">
      <c r="B626" s="3"/>
      <c r="C626" s="3"/>
      <c r="D626" s="3"/>
      <c r="E626" s="3"/>
      <c r="F626" s="3"/>
      <c r="G626" s="3"/>
      <c r="H626" s="3"/>
      <c r="I626" s="3"/>
      <c r="J626" s="3"/>
      <c r="K626" s="3"/>
      <c r="L626" s="3"/>
      <c r="M626" s="1711"/>
      <c r="N626" s="3"/>
      <c r="O626" s="3"/>
      <c r="P626" s="3"/>
      <c r="Q626" s="149"/>
      <c r="AJ626" s="14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row>
    <row r="627" spans="2:94">
      <c r="B627" s="3"/>
      <c r="C627" s="3"/>
      <c r="D627" s="3"/>
      <c r="E627" s="3"/>
      <c r="F627" s="3"/>
      <c r="G627" s="3"/>
      <c r="H627" s="3"/>
      <c r="I627" s="3"/>
      <c r="J627" s="3"/>
      <c r="K627" s="3"/>
      <c r="L627" s="3"/>
      <c r="M627" s="1711"/>
      <c r="N627" s="3"/>
      <c r="O627" s="3"/>
      <c r="P627" s="3"/>
      <c r="Q627" s="149"/>
      <c r="AJ627" s="14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row>
    <row r="628" spans="2:94">
      <c r="B628" s="3"/>
      <c r="C628" s="3"/>
      <c r="D628" s="3"/>
      <c r="E628" s="3"/>
      <c r="F628" s="3"/>
      <c r="G628" s="3"/>
      <c r="H628" s="3"/>
      <c r="I628" s="3"/>
      <c r="J628" s="3"/>
      <c r="K628" s="3"/>
      <c r="L628" s="3"/>
      <c r="M628" s="1711"/>
      <c r="N628" s="3"/>
      <c r="O628" s="3"/>
      <c r="P628" s="3"/>
      <c r="Q628" s="149"/>
      <c r="AJ628" s="14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row>
    <row r="629" spans="2:94">
      <c r="B629" s="3"/>
      <c r="C629" s="3"/>
      <c r="D629" s="3"/>
      <c r="E629" s="3"/>
      <c r="F629" s="3"/>
      <c r="G629" s="3"/>
      <c r="H629" s="3"/>
      <c r="I629" s="3"/>
      <c r="J629" s="3"/>
      <c r="K629" s="3"/>
      <c r="L629" s="3"/>
      <c r="M629" s="1711"/>
      <c r="N629" s="3"/>
      <c r="O629" s="3"/>
      <c r="P629" s="3"/>
      <c r="Q629" s="149"/>
      <c r="AJ629" s="14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row>
    <row r="630" spans="2:94">
      <c r="B630" s="3"/>
      <c r="C630" s="3"/>
      <c r="D630" s="3"/>
      <c r="E630" s="3"/>
      <c r="F630" s="3"/>
      <c r="G630" s="3"/>
      <c r="H630" s="3"/>
      <c r="I630" s="3"/>
      <c r="J630" s="3"/>
      <c r="K630" s="3"/>
      <c r="L630" s="3"/>
      <c r="M630" s="1711"/>
      <c r="N630" s="3"/>
      <c r="O630" s="3"/>
      <c r="P630" s="3"/>
      <c r="Q630" s="149"/>
      <c r="AJ630" s="14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row>
    <row r="631" spans="2:94">
      <c r="B631" s="3"/>
      <c r="C631" s="3"/>
      <c r="D631" s="3"/>
      <c r="E631" s="3"/>
      <c r="F631" s="3"/>
      <c r="G631" s="3"/>
      <c r="H631" s="3"/>
      <c r="I631" s="3"/>
      <c r="J631" s="3"/>
      <c r="K631" s="3"/>
      <c r="L631" s="3"/>
      <c r="M631" s="1711"/>
      <c r="N631" s="3"/>
      <c r="O631" s="3"/>
      <c r="P631" s="3"/>
      <c r="Q631" s="149"/>
      <c r="AJ631" s="14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row>
    <row r="632" spans="2:94">
      <c r="B632" s="3"/>
      <c r="C632" s="3"/>
      <c r="D632" s="3"/>
      <c r="E632" s="3"/>
      <c r="F632" s="3"/>
      <c r="G632" s="3"/>
      <c r="H632" s="3"/>
      <c r="I632" s="3"/>
      <c r="J632" s="3"/>
      <c r="K632" s="3"/>
      <c r="L632" s="3"/>
      <c r="M632" s="1711"/>
      <c r="N632" s="3"/>
      <c r="O632" s="3"/>
      <c r="P632" s="3"/>
      <c r="Q632" s="149"/>
      <c r="AJ632" s="14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row>
    <row r="633" spans="2:94">
      <c r="B633" s="3"/>
      <c r="C633" s="3"/>
      <c r="D633" s="3"/>
      <c r="E633" s="3"/>
      <c r="F633" s="3"/>
      <c r="G633" s="3"/>
      <c r="H633" s="3"/>
      <c r="I633" s="3"/>
      <c r="J633" s="3"/>
      <c r="K633" s="3"/>
      <c r="L633" s="3"/>
      <c r="M633" s="1711"/>
      <c r="N633" s="3"/>
      <c r="O633" s="3"/>
      <c r="P633" s="3"/>
      <c r="Q633" s="149"/>
      <c r="AJ633" s="14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row>
    <row r="634" spans="2:94">
      <c r="B634" s="3"/>
      <c r="C634" s="3"/>
      <c r="D634" s="3"/>
      <c r="E634" s="3"/>
      <c r="F634" s="3"/>
      <c r="G634" s="3"/>
      <c r="H634" s="3"/>
      <c r="I634" s="3"/>
      <c r="J634" s="3"/>
      <c r="K634" s="3"/>
      <c r="L634" s="3"/>
      <c r="M634" s="1711"/>
      <c r="N634" s="3"/>
      <c r="O634" s="3"/>
      <c r="P634" s="3"/>
      <c r="Q634" s="149"/>
      <c r="AJ634" s="14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row>
    <row r="635" spans="2:94">
      <c r="B635" s="3"/>
      <c r="C635" s="3"/>
      <c r="D635" s="3"/>
      <c r="E635" s="3"/>
      <c r="F635" s="3"/>
      <c r="G635" s="3"/>
      <c r="H635" s="3"/>
      <c r="I635" s="3"/>
      <c r="J635" s="3"/>
      <c r="K635" s="3"/>
      <c r="L635" s="3"/>
      <c r="M635" s="1711"/>
      <c r="N635" s="3"/>
      <c r="O635" s="3"/>
      <c r="P635" s="3"/>
      <c r="Q635" s="149"/>
      <c r="AJ635" s="14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row>
    <row r="636" spans="2:94">
      <c r="B636" s="3"/>
      <c r="C636" s="3"/>
      <c r="D636" s="3"/>
      <c r="E636" s="3"/>
      <c r="F636" s="3"/>
      <c r="G636" s="3"/>
      <c r="H636" s="3"/>
      <c r="I636" s="3"/>
      <c r="J636" s="3"/>
      <c r="K636" s="3"/>
      <c r="L636" s="3"/>
      <c r="M636" s="1711"/>
      <c r="N636" s="3"/>
      <c r="O636" s="3"/>
      <c r="P636" s="3"/>
      <c r="Q636" s="149"/>
      <c r="AJ636" s="14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row>
    <row r="637" spans="2:94">
      <c r="B637" s="3"/>
      <c r="C637" s="3"/>
      <c r="D637" s="3"/>
      <c r="E637" s="3"/>
      <c r="F637" s="3"/>
      <c r="G637" s="3"/>
      <c r="H637" s="3"/>
      <c r="I637" s="3"/>
      <c r="J637" s="3"/>
      <c r="K637" s="3"/>
      <c r="L637" s="3"/>
      <c r="M637" s="1711"/>
      <c r="N637" s="3"/>
      <c r="O637" s="3"/>
      <c r="P637" s="3"/>
      <c r="Q637" s="149"/>
      <c r="AJ637" s="14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row>
    <row r="638" spans="2:94">
      <c r="B638" s="3"/>
      <c r="C638" s="3"/>
      <c r="D638" s="3"/>
      <c r="E638" s="3"/>
      <c r="F638" s="3"/>
      <c r="G638" s="3"/>
      <c r="H638" s="3"/>
      <c r="I638" s="3"/>
      <c r="J638" s="3"/>
      <c r="K638" s="3"/>
      <c r="L638" s="3"/>
      <c r="M638" s="1711"/>
      <c r="N638" s="3"/>
      <c r="O638" s="3"/>
      <c r="P638" s="3"/>
      <c r="Q638" s="149"/>
      <c r="AJ638" s="14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row>
    <row r="639" spans="2:94">
      <c r="B639" s="3"/>
      <c r="C639" s="3"/>
      <c r="D639" s="3"/>
      <c r="E639" s="3"/>
      <c r="F639" s="3"/>
      <c r="G639" s="3"/>
      <c r="H639" s="3"/>
      <c r="I639" s="3"/>
      <c r="J639" s="3"/>
      <c r="K639" s="3"/>
      <c r="L639" s="3"/>
      <c r="M639" s="1711"/>
      <c r="N639" s="3"/>
      <c r="O639" s="3"/>
      <c r="P639" s="3"/>
      <c r="Q639" s="149"/>
      <c r="AJ639" s="14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row>
    <row r="640" spans="2:94">
      <c r="B640" s="3"/>
      <c r="C640" s="3"/>
      <c r="D640" s="3"/>
      <c r="E640" s="3"/>
      <c r="F640" s="3"/>
      <c r="G640" s="3"/>
      <c r="H640" s="3"/>
      <c r="I640" s="3"/>
      <c r="J640" s="3"/>
      <c r="K640" s="3"/>
      <c r="L640" s="3"/>
      <c r="M640" s="1711"/>
      <c r="N640" s="3"/>
      <c r="O640" s="3"/>
      <c r="P640" s="3"/>
      <c r="Q640" s="149"/>
      <c r="AJ640" s="14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row>
    <row r="641" spans="2:94">
      <c r="B641" s="3"/>
      <c r="C641" s="3"/>
      <c r="D641" s="3"/>
      <c r="E641" s="3"/>
      <c r="F641" s="3"/>
      <c r="G641" s="3"/>
      <c r="H641" s="3"/>
      <c r="I641" s="3"/>
      <c r="J641" s="3"/>
      <c r="K641" s="3"/>
      <c r="L641" s="3"/>
      <c r="M641" s="1711"/>
      <c r="N641" s="3"/>
      <c r="O641" s="3"/>
      <c r="P641" s="3"/>
      <c r="Q641" s="149"/>
      <c r="AJ641" s="14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row>
    <row r="642" spans="2:94">
      <c r="B642" s="3"/>
      <c r="C642" s="3"/>
      <c r="D642" s="3"/>
      <c r="E642" s="3"/>
      <c r="F642" s="3"/>
      <c r="G642" s="3"/>
      <c r="H642" s="3"/>
      <c r="I642" s="3"/>
      <c r="J642" s="3"/>
      <c r="K642" s="3"/>
      <c r="L642" s="3"/>
      <c r="M642" s="1711"/>
      <c r="N642" s="3"/>
      <c r="O642" s="3"/>
      <c r="P642" s="3"/>
      <c r="Q642" s="149"/>
      <c r="AJ642" s="14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row>
    <row r="643" spans="2:94">
      <c r="B643" s="3"/>
      <c r="C643" s="3"/>
      <c r="D643" s="3"/>
      <c r="E643" s="3"/>
      <c r="F643" s="3"/>
      <c r="G643" s="3"/>
      <c r="H643" s="3"/>
      <c r="I643" s="3"/>
      <c r="J643" s="3"/>
      <c r="K643" s="3"/>
      <c r="L643" s="3"/>
      <c r="M643" s="1711"/>
      <c r="N643" s="3"/>
      <c r="O643" s="3"/>
      <c r="P643" s="3"/>
      <c r="Q643" s="149"/>
      <c r="AJ643" s="14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row>
    <row r="644" spans="2:94">
      <c r="B644" s="3"/>
      <c r="C644" s="3"/>
      <c r="D644" s="3"/>
      <c r="E644" s="3"/>
      <c r="F644" s="3"/>
      <c r="G644" s="3"/>
      <c r="H644" s="3"/>
      <c r="I644" s="3"/>
      <c r="J644" s="3"/>
      <c r="K644" s="3"/>
      <c r="L644" s="3"/>
      <c r="M644" s="1711"/>
      <c r="N644" s="3"/>
      <c r="O644" s="3"/>
      <c r="P644" s="3"/>
      <c r="Q644" s="149"/>
      <c r="AJ644" s="14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row>
    <row r="645" spans="2:94">
      <c r="B645" s="3"/>
      <c r="C645" s="3"/>
      <c r="D645" s="3"/>
      <c r="E645" s="3"/>
      <c r="F645" s="3"/>
      <c r="G645" s="3"/>
      <c r="H645" s="3"/>
      <c r="I645" s="3"/>
      <c r="J645" s="3"/>
      <c r="K645" s="3"/>
      <c r="L645" s="3"/>
      <c r="M645" s="1711"/>
      <c r="N645" s="3"/>
      <c r="O645" s="3"/>
      <c r="P645" s="3"/>
      <c r="Q645" s="149"/>
      <c r="AJ645" s="14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row>
    <row r="646" spans="2:94">
      <c r="B646" s="3"/>
      <c r="C646" s="3"/>
      <c r="D646" s="3"/>
      <c r="E646" s="3"/>
      <c r="F646" s="3"/>
      <c r="G646" s="3"/>
      <c r="H646" s="3"/>
      <c r="I646" s="3"/>
      <c r="J646" s="3"/>
      <c r="K646" s="3"/>
      <c r="L646" s="3"/>
      <c r="M646" s="1711"/>
      <c r="N646" s="3"/>
      <c r="O646" s="3"/>
      <c r="P646" s="3"/>
      <c r="Q646" s="149"/>
      <c r="AJ646" s="14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row>
    <row r="647" spans="2:94">
      <c r="B647" s="3"/>
      <c r="C647" s="3"/>
      <c r="D647" s="3"/>
      <c r="E647" s="3"/>
      <c r="F647" s="3"/>
      <c r="G647" s="3"/>
      <c r="H647" s="3"/>
      <c r="I647" s="3"/>
      <c r="J647" s="3"/>
      <c r="K647" s="3"/>
      <c r="L647" s="3"/>
      <c r="M647" s="1711"/>
      <c r="N647" s="3"/>
      <c r="O647" s="3"/>
      <c r="P647" s="3"/>
      <c r="Q647" s="149"/>
      <c r="AJ647" s="14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row>
    <row r="648" spans="2:94">
      <c r="B648" s="3"/>
      <c r="C648" s="3"/>
      <c r="D648" s="3"/>
      <c r="E648" s="3"/>
      <c r="F648" s="3"/>
      <c r="G648" s="3"/>
      <c r="H648" s="3"/>
      <c r="I648" s="3"/>
      <c r="J648" s="3"/>
      <c r="K648" s="3"/>
      <c r="L648" s="3"/>
      <c r="M648" s="1711"/>
      <c r="N648" s="3"/>
      <c r="O648" s="3"/>
      <c r="P648" s="3"/>
      <c r="Q648" s="149"/>
      <c r="AJ648" s="14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row>
    <row r="649" spans="2:94">
      <c r="B649" s="3"/>
      <c r="C649" s="3"/>
      <c r="D649" s="3"/>
      <c r="E649" s="3"/>
      <c r="F649" s="3"/>
      <c r="G649" s="3"/>
      <c r="H649" s="3"/>
      <c r="I649" s="3"/>
      <c r="J649" s="3"/>
      <c r="K649" s="3"/>
      <c r="L649" s="3"/>
      <c r="M649" s="1711"/>
      <c r="N649" s="3"/>
      <c r="O649" s="3"/>
      <c r="P649" s="3"/>
      <c r="Q649" s="149"/>
      <c r="AJ649" s="14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row>
    <row r="650" spans="2:94">
      <c r="B650" s="3"/>
      <c r="C650" s="3"/>
      <c r="D650" s="3"/>
      <c r="E650" s="3"/>
      <c r="F650" s="3"/>
      <c r="G650" s="3"/>
      <c r="H650" s="3"/>
      <c r="I650" s="3"/>
      <c r="J650" s="3"/>
      <c r="K650" s="3"/>
      <c r="L650" s="3"/>
      <c r="M650" s="1711"/>
      <c r="N650" s="3"/>
      <c r="O650" s="3"/>
      <c r="P650" s="3"/>
      <c r="Q650" s="149"/>
      <c r="AJ650" s="14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row>
    <row r="651" spans="2:94">
      <c r="B651" s="3"/>
      <c r="C651" s="3"/>
      <c r="D651" s="3"/>
      <c r="E651" s="3"/>
      <c r="F651" s="3"/>
      <c r="G651" s="3"/>
      <c r="H651" s="3"/>
      <c r="I651" s="3"/>
      <c r="J651" s="3"/>
      <c r="K651" s="3"/>
      <c r="L651" s="3"/>
      <c r="M651" s="1711"/>
      <c r="N651" s="3"/>
      <c r="O651" s="3"/>
      <c r="P651" s="3"/>
      <c r="Q651" s="149"/>
      <c r="AJ651" s="14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row>
    <row r="652" spans="2:94">
      <c r="B652" s="3"/>
      <c r="C652" s="3"/>
      <c r="D652" s="3"/>
      <c r="E652" s="3"/>
      <c r="F652" s="3"/>
      <c r="G652" s="3"/>
      <c r="H652" s="3"/>
      <c r="I652" s="3"/>
      <c r="J652" s="3"/>
      <c r="K652" s="3"/>
      <c r="L652" s="3"/>
      <c r="M652" s="1711"/>
      <c r="N652" s="3"/>
      <c r="O652" s="3"/>
      <c r="P652" s="3"/>
      <c r="Q652" s="149"/>
      <c r="AJ652" s="14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row>
    <row r="653" spans="2:94">
      <c r="B653" s="3"/>
      <c r="C653" s="3"/>
      <c r="D653" s="3"/>
      <c r="E653" s="3"/>
      <c r="F653" s="3"/>
      <c r="G653" s="3"/>
      <c r="H653" s="3"/>
      <c r="I653" s="3"/>
      <c r="J653" s="3"/>
      <c r="K653" s="3"/>
      <c r="L653" s="3"/>
      <c r="M653" s="1711"/>
      <c r="N653" s="3"/>
      <c r="O653" s="3"/>
      <c r="P653" s="3"/>
      <c r="Q653" s="149"/>
      <c r="AJ653" s="14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row>
    <row r="654" spans="2:94">
      <c r="B654" s="3"/>
      <c r="C654" s="3"/>
      <c r="D654" s="3"/>
      <c r="E654" s="3"/>
      <c r="F654" s="3"/>
      <c r="G654" s="3"/>
      <c r="H654" s="3"/>
      <c r="I654" s="3"/>
      <c r="J654" s="3"/>
      <c r="K654" s="3"/>
      <c r="L654" s="3"/>
      <c r="M654" s="1711"/>
      <c r="N654" s="3"/>
      <c r="O654" s="3"/>
      <c r="P654" s="3"/>
      <c r="Q654" s="149"/>
      <c r="AJ654" s="14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row>
    <row r="655" spans="2:94">
      <c r="B655" s="3"/>
      <c r="C655" s="3"/>
      <c r="D655" s="3"/>
      <c r="E655" s="3"/>
      <c r="F655" s="3"/>
      <c r="G655" s="3"/>
      <c r="H655" s="3"/>
      <c r="I655" s="3"/>
      <c r="J655" s="3"/>
      <c r="K655" s="3"/>
      <c r="L655" s="3"/>
      <c r="M655" s="1711"/>
      <c r="N655" s="3"/>
      <c r="O655" s="3"/>
      <c r="P655" s="3"/>
      <c r="Q655" s="149"/>
      <c r="AJ655" s="14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row>
    <row r="656" spans="2:94">
      <c r="B656" s="3"/>
      <c r="C656" s="3"/>
      <c r="D656" s="3"/>
      <c r="E656" s="3"/>
      <c r="F656" s="3"/>
      <c r="G656" s="3"/>
      <c r="H656" s="3"/>
      <c r="I656" s="3"/>
      <c r="J656" s="3"/>
      <c r="K656" s="3"/>
      <c r="L656" s="3"/>
      <c r="M656" s="1711"/>
      <c r="N656" s="3"/>
      <c r="O656" s="3"/>
      <c r="P656" s="3"/>
      <c r="Q656" s="149"/>
      <c r="AJ656" s="14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row>
    <row r="657" spans="2:94">
      <c r="B657" s="3"/>
      <c r="C657" s="3"/>
      <c r="D657" s="3"/>
      <c r="E657" s="3"/>
      <c r="F657" s="3"/>
      <c r="G657" s="3"/>
      <c r="H657" s="3"/>
      <c r="I657" s="3"/>
      <c r="J657" s="3"/>
      <c r="K657" s="3"/>
      <c r="L657" s="3"/>
      <c r="M657" s="1711"/>
      <c r="N657" s="3"/>
      <c r="O657" s="3"/>
      <c r="P657" s="3"/>
      <c r="Q657" s="149"/>
      <c r="AJ657" s="14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row>
    <row r="658" spans="2:94">
      <c r="B658" s="3"/>
      <c r="C658" s="3"/>
      <c r="D658" s="3"/>
      <c r="E658" s="3"/>
      <c r="F658" s="3"/>
      <c r="G658" s="3"/>
      <c r="H658" s="3"/>
      <c r="I658" s="3"/>
      <c r="J658" s="3"/>
      <c r="K658" s="3"/>
      <c r="L658" s="3"/>
      <c r="M658" s="1711"/>
      <c r="N658" s="3"/>
      <c r="O658" s="3"/>
      <c r="P658" s="3"/>
      <c r="Q658" s="149"/>
      <c r="AJ658" s="14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row>
    <row r="659" spans="2:94">
      <c r="B659" s="3"/>
      <c r="C659" s="3"/>
      <c r="D659" s="3"/>
      <c r="E659" s="3"/>
      <c r="F659" s="3"/>
      <c r="G659" s="3"/>
      <c r="H659" s="3"/>
      <c r="I659" s="3"/>
      <c r="J659" s="3"/>
      <c r="K659" s="3"/>
      <c r="L659" s="3"/>
      <c r="M659" s="1711"/>
      <c r="N659" s="3"/>
      <c r="O659" s="3"/>
      <c r="P659" s="3"/>
      <c r="Q659" s="149"/>
      <c r="AJ659" s="14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row>
    <row r="660" spans="2:94">
      <c r="B660" s="3"/>
      <c r="C660" s="3"/>
      <c r="D660" s="3"/>
      <c r="E660" s="3"/>
      <c r="F660" s="3"/>
      <c r="G660" s="3"/>
      <c r="H660" s="3"/>
      <c r="I660" s="3"/>
      <c r="J660" s="3"/>
      <c r="K660" s="3"/>
      <c r="L660" s="3"/>
      <c r="M660" s="1711"/>
      <c r="N660" s="3"/>
      <c r="O660" s="3"/>
      <c r="P660" s="3"/>
      <c r="Q660" s="149"/>
      <c r="AJ660" s="14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row>
    <row r="661" spans="2:94">
      <c r="B661" s="3"/>
      <c r="C661" s="3"/>
      <c r="D661" s="3"/>
      <c r="E661" s="3"/>
      <c r="F661" s="3"/>
      <c r="G661" s="3"/>
      <c r="H661" s="3"/>
      <c r="I661" s="3"/>
      <c r="J661" s="3"/>
      <c r="K661" s="3"/>
      <c r="L661" s="3"/>
      <c r="M661" s="1711"/>
      <c r="N661" s="3"/>
      <c r="O661" s="3"/>
      <c r="P661" s="3"/>
      <c r="Q661" s="149"/>
      <c r="AJ661" s="14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row>
    <row r="662" spans="2:94">
      <c r="B662" s="3"/>
      <c r="C662" s="3"/>
      <c r="D662" s="3"/>
      <c r="E662" s="3"/>
      <c r="F662" s="3"/>
      <c r="G662" s="3"/>
      <c r="H662" s="3"/>
      <c r="I662" s="3"/>
      <c r="J662" s="3"/>
      <c r="K662" s="3"/>
      <c r="L662" s="3"/>
      <c r="M662" s="1711"/>
      <c r="N662" s="3"/>
      <c r="O662" s="3"/>
      <c r="P662" s="3"/>
      <c r="Q662" s="149"/>
      <c r="AJ662" s="14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row>
    <row r="663" spans="2:94">
      <c r="B663" s="3"/>
      <c r="C663" s="3"/>
      <c r="D663" s="3"/>
      <c r="E663" s="3"/>
      <c r="F663" s="3"/>
      <c r="G663" s="3"/>
      <c r="H663" s="3"/>
      <c r="I663" s="3"/>
      <c r="J663" s="3"/>
      <c r="K663" s="3"/>
      <c r="L663" s="3"/>
      <c r="M663" s="1711"/>
      <c r="N663" s="3"/>
      <c r="O663" s="3"/>
      <c r="P663" s="3"/>
      <c r="Q663" s="149"/>
      <c r="AJ663" s="14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row>
    <row r="664" spans="2:94">
      <c r="B664" s="3"/>
      <c r="C664" s="3"/>
      <c r="D664" s="3"/>
      <c r="E664" s="3"/>
      <c r="F664" s="3"/>
      <c r="G664" s="3"/>
      <c r="H664" s="3"/>
      <c r="I664" s="3"/>
      <c r="J664" s="3"/>
      <c r="K664" s="3"/>
      <c r="L664" s="3"/>
      <c r="M664" s="1711"/>
      <c r="N664" s="3"/>
      <c r="O664" s="3"/>
      <c r="P664" s="3"/>
      <c r="Q664" s="149"/>
      <c r="AJ664" s="14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row>
    <row r="665" spans="2:94">
      <c r="B665" s="3"/>
      <c r="C665" s="3"/>
      <c r="D665" s="3"/>
      <c r="E665" s="3"/>
      <c r="F665" s="3"/>
      <c r="G665" s="3"/>
      <c r="H665" s="3"/>
      <c r="I665" s="3"/>
      <c r="J665" s="3"/>
      <c r="K665" s="3"/>
      <c r="L665" s="3"/>
      <c r="M665" s="1711"/>
      <c r="N665" s="3"/>
      <c r="O665" s="3"/>
      <c r="P665" s="3"/>
      <c r="Q665" s="149"/>
      <c r="AJ665" s="14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row>
    <row r="666" spans="2:94">
      <c r="B666" s="3"/>
      <c r="C666" s="3"/>
      <c r="D666" s="3"/>
      <c r="E666" s="3"/>
      <c r="F666" s="3"/>
      <c r="G666" s="3"/>
      <c r="H666" s="3"/>
      <c r="I666" s="3"/>
      <c r="J666" s="3"/>
      <c r="K666" s="3"/>
      <c r="L666" s="3"/>
      <c r="M666" s="1711"/>
      <c r="N666" s="3"/>
      <c r="O666" s="3"/>
      <c r="P666" s="3"/>
      <c r="Q666" s="149"/>
      <c r="AJ666" s="14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row>
    <row r="667" spans="2:94">
      <c r="B667" s="3"/>
      <c r="C667" s="3"/>
      <c r="D667" s="3"/>
      <c r="E667" s="3"/>
      <c r="F667" s="3"/>
      <c r="G667" s="3"/>
      <c r="H667" s="3"/>
      <c r="I667" s="3"/>
      <c r="J667" s="3"/>
      <c r="K667" s="3"/>
      <c r="L667" s="3"/>
      <c r="M667" s="1711"/>
      <c r="N667" s="3"/>
      <c r="O667" s="3"/>
      <c r="P667" s="3"/>
      <c r="Q667" s="149"/>
      <c r="AJ667" s="14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row>
    <row r="668" spans="2:94">
      <c r="B668" s="3"/>
      <c r="C668" s="3"/>
      <c r="D668" s="3"/>
      <c r="E668" s="3"/>
      <c r="F668" s="3"/>
      <c r="G668" s="3"/>
      <c r="H668" s="3"/>
      <c r="I668" s="3"/>
      <c r="J668" s="3"/>
      <c r="K668" s="3"/>
      <c r="L668" s="3"/>
      <c r="M668" s="1711"/>
      <c r="N668" s="3"/>
      <c r="O668" s="3"/>
      <c r="P668" s="3"/>
      <c r="Q668" s="149"/>
      <c r="AJ668" s="14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row>
    <row r="669" spans="2:94">
      <c r="AJ669" s="14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row>
    <row r="670" spans="2:94">
      <c r="AJ670" s="14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row>
    <row r="671" spans="2:94">
      <c r="AJ671" s="14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row>
    <row r="672" spans="2:94">
      <c r="AJ672" s="14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row>
    <row r="673" spans="36:94">
      <c r="AJ673" s="14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row>
    <row r="674" spans="36:94">
      <c r="AJ674" s="14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row>
    <row r="675" spans="36:94">
      <c r="AJ675" s="14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row>
    <row r="676" spans="36:94">
      <c r="AJ676" s="14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row>
    <row r="677" spans="36:94">
      <c r="AJ677" s="14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row>
    <row r="678" spans="36:94">
      <c r="AJ678" s="14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row>
    <row r="679" spans="36:94">
      <c r="AJ679" s="14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row>
    <row r="680" spans="36:94">
      <c r="AJ680" s="14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row>
    <row r="681" spans="36:94">
      <c r="AJ681" s="14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row>
    <row r="682" spans="36:94">
      <c r="AJ682" s="14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row>
    <row r="683" spans="36:94">
      <c r="AJ683" s="14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row>
    <row r="684" spans="36:94">
      <c r="AJ684" s="14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row>
    <row r="685" spans="36:94">
      <c r="AJ685" s="14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row>
    <row r="686" spans="36:94">
      <c r="AJ686" s="14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row>
    <row r="687" spans="36:94">
      <c r="AJ687" s="14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row>
    <row r="688" spans="36:94">
      <c r="AJ688" s="14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row>
    <row r="689" spans="36:94">
      <c r="AJ689" s="14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row>
    <row r="690" spans="36:94">
      <c r="AJ690" s="14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row>
    <row r="691" spans="36:94">
      <c r="AJ691" s="14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row>
    <row r="692" spans="36:94">
      <c r="AJ692" s="14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row>
    <row r="693" spans="36:94">
      <c r="AJ693" s="14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row>
    <row r="694" spans="36:94">
      <c r="AJ694" s="14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row>
    <row r="695" spans="36:94">
      <c r="AJ695" s="14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row>
    <row r="696" spans="36:94">
      <c r="AJ696" s="14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row>
    <row r="697" spans="36:94">
      <c r="AJ697" s="14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row>
    <row r="698" spans="36:94">
      <c r="AJ698" s="14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row>
    <row r="699" spans="36:94">
      <c r="AJ699" s="14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row>
    <row r="700" spans="36:94">
      <c r="AJ700" s="14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row>
    <row r="701" spans="36:94">
      <c r="AJ701" s="14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row>
    <row r="702" spans="36:94">
      <c r="AJ702" s="14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row>
    <row r="703" spans="36:94">
      <c r="AJ703" s="14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row>
    <row r="704" spans="36:94">
      <c r="AJ704" s="14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row>
    <row r="705" spans="36:94">
      <c r="AJ705" s="14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row>
    <row r="706" spans="36:94">
      <c r="AJ706" s="14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row>
    <row r="707" spans="36:94">
      <c r="AJ707" s="14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row>
    <row r="708" spans="36:94">
      <c r="AJ708" s="14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row>
  </sheetData>
  <sheetProtection algorithmName="SHA-512" hashValue="B/4i3XQu03ujEZmv3DXFS/+v/7b/JAk94U23OvvB2s+wvb08WMwHAihvW/PFMz/rjJyckfEuWn8ofwX9OJm3zw==" saltValue="pkkIxtgPd0hHOONxJPy7WQ==" spinCount="100000" sheet="1" objects="1" scenarios="1" selectLockedCells="1"/>
  <mergeCells count="106">
    <mergeCell ref="D34:M34"/>
    <mergeCell ref="H250:L250"/>
    <mergeCell ref="B166:O167"/>
    <mergeCell ref="B178:O179"/>
    <mergeCell ref="C192:H202"/>
    <mergeCell ref="J192:O200"/>
    <mergeCell ref="J202:O202"/>
    <mergeCell ref="B205:O206"/>
    <mergeCell ref="B209:O211"/>
    <mergeCell ref="B215:O216"/>
    <mergeCell ref="D250:G250"/>
    <mergeCell ref="D248:G249"/>
    <mergeCell ref="H248:L248"/>
    <mergeCell ref="H249:L249"/>
    <mergeCell ref="C248:C249"/>
    <mergeCell ref="E94:O95"/>
    <mergeCell ref="D61:O63"/>
    <mergeCell ref="C61:C63"/>
    <mergeCell ref="C70:H80"/>
    <mergeCell ref="J70:O78"/>
    <mergeCell ref="J80:O80"/>
    <mergeCell ref="B84:O85"/>
    <mergeCell ref="B87:O88"/>
    <mergeCell ref="C42:O43"/>
    <mergeCell ref="E101:O101"/>
    <mergeCell ref="C54:K54"/>
    <mergeCell ref="C59:C60"/>
    <mergeCell ref="C94:C95"/>
    <mergeCell ref="E103:O103"/>
    <mergeCell ref="E117:O117"/>
    <mergeCell ref="E118:O118"/>
    <mergeCell ref="C107:C108"/>
    <mergeCell ref="D107:D108"/>
    <mergeCell ref="E107:O108"/>
    <mergeCell ref="E109:O109"/>
    <mergeCell ref="E110:O110"/>
    <mergeCell ref="E111:O111"/>
    <mergeCell ref="E112:O112"/>
    <mergeCell ref="C51:D51"/>
    <mergeCell ref="E51:G51"/>
    <mergeCell ref="H51:K51"/>
    <mergeCell ref="C50:D50"/>
    <mergeCell ref="E50:G50"/>
    <mergeCell ref="H50:K50"/>
    <mergeCell ref="C49:D49"/>
    <mergeCell ref="E49:G49"/>
    <mergeCell ref="H49:K49"/>
    <mergeCell ref="D247:G247"/>
    <mergeCell ref="H247:L247"/>
    <mergeCell ref="C123:C124"/>
    <mergeCell ref="D123:D124"/>
    <mergeCell ref="E123:O124"/>
    <mergeCell ref="E125:O125"/>
    <mergeCell ref="E126:O126"/>
    <mergeCell ref="E127:O127"/>
    <mergeCell ref="E128:O128"/>
    <mergeCell ref="E129:O129"/>
    <mergeCell ref="E130:O130"/>
    <mergeCell ref="D35:M35"/>
    <mergeCell ref="E113:O113"/>
    <mergeCell ref="C257:H267"/>
    <mergeCell ref="J257:O265"/>
    <mergeCell ref="J267:O267"/>
    <mergeCell ref="R59:S59"/>
    <mergeCell ref="D59:O60"/>
    <mergeCell ref="D94:D95"/>
    <mergeCell ref="E114:O114"/>
    <mergeCell ref="E115:O115"/>
    <mergeCell ref="E116:O116"/>
    <mergeCell ref="E131:O131"/>
    <mergeCell ref="E132:O132"/>
    <mergeCell ref="C147:H157"/>
    <mergeCell ref="J147:O155"/>
    <mergeCell ref="J157:O157"/>
    <mergeCell ref="E119:O119"/>
    <mergeCell ref="B221:O222"/>
    <mergeCell ref="C231:H241"/>
    <mergeCell ref="J231:O239"/>
    <mergeCell ref="J241:O241"/>
    <mergeCell ref="E96:O100"/>
    <mergeCell ref="C96:C100"/>
    <mergeCell ref="D96:D100"/>
    <mergeCell ref="D36:M36"/>
    <mergeCell ref="E102:O102"/>
    <mergeCell ref="C30:K30"/>
    <mergeCell ref="C48:D48"/>
    <mergeCell ref="E48:G48"/>
    <mergeCell ref="H48:K48"/>
    <mergeCell ref="H23:K23"/>
    <mergeCell ref="H24:K24"/>
    <mergeCell ref="H25:K25"/>
    <mergeCell ref="H26:K26"/>
    <mergeCell ref="H27:K27"/>
    <mergeCell ref="C23:D23"/>
    <mergeCell ref="C24:D24"/>
    <mergeCell ref="C25:D25"/>
    <mergeCell ref="C26:D26"/>
    <mergeCell ref="C27:D27"/>
    <mergeCell ref="E23:G23"/>
    <mergeCell ref="E24:G24"/>
    <mergeCell ref="E25:G25"/>
    <mergeCell ref="E26:G26"/>
    <mergeCell ref="E27:G27"/>
    <mergeCell ref="C44:O45"/>
    <mergeCell ref="C32:C33"/>
    <mergeCell ref="D32:M33"/>
  </mergeCells>
  <conditionalFormatting sqref="A4">
    <cfRule type="cellIs" dxfId="214" priority="11" operator="equal">
      <formula>"In Progress"</formula>
    </cfRule>
    <cfRule type="cellIs" dxfId="213" priority="12" operator="equal">
      <formula>"Not Started"</formula>
    </cfRule>
    <cfRule type="cellIs" dxfId="212" priority="13" operator="equal">
      <formula>"Completed"</formula>
    </cfRule>
  </conditionalFormatting>
  <conditionalFormatting sqref="B160">
    <cfRule type="expression" dxfId="211" priority="1">
      <formula>NOT(#REF!)</formula>
    </cfRule>
  </conditionalFormatting>
  <conditionalFormatting sqref="B205 C207:L207">
    <cfRule type="expression" dxfId="210" priority="3">
      <formula>NOT(AND(#REF!,#REF!))</formula>
    </cfRule>
  </conditionalFormatting>
  <conditionalFormatting sqref="C247">
    <cfRule type="expression" dxfId="209" priority="8">
      <formula>NOT(#REF!)</formula>
    </cfRule>
  </conditionalFormatting>
  <conditionalFormatting sqref="C90:D90">
    <cfRule type="expression" dxfId="208" priority="230">
      <formula>NOT(AB90)</formula>
    </cfRule>
  </conditionalFormatting>
  <conditionalFormatting sqref="E90">
    <cfRule type="expression" dxfId="207" priority="229">
      <formula>NOT(AC90)</formula>
    </cfRule>
  </conditionalFormatting>
  <conditionalFormatting sqref="F90">
    <cfRule type="expression" dxfId="206" priority="228">
      <formula>NOT(AC90)</formula>
    </cfRule>
  </conditionalFormatting>
  <conditionalFormatting sqref="G90">
    <cfRule type="expression" dxfId="205" priority="227">
      <formula>NOT(AC90)</formula>
    </cfRule>
  </conditionalFormatting>
  <conditionalFormatting sqref="H90">
    <cfRule type="expression" dxfId="204" priority="226">
      <formula>NOT(AC90)</formula>
    </cfRule>
  </conditionalFormatting>
  <conditionalFormatting sqref="I90">
    <cfRule type="expression" dxfId="203" priority="225">
      <formula>NOT(AC90)</formula>
    </cfRule>
  </conditionalFormatting>
  <conditionalFormatting sqref="J90">
    <cfRule type="expression" dxfId="202" priority="224">
      <formula>NOT(AC90)</formula>
    </cfRule>
  </conditionalFormatting>
  <conditionalFormatting sqref="K90">
    <cfRule type="expression" dxfId="201" priority="223">
      <formula>NOT(AC90)</formula>
    </cfRule>
  </conditionalFormatting>
  <conditionalFormatting sqref="L90">
    <cfRule type="expression" dxfId="200" priority="7">
      <formula>NOT(AC90)</formula>
    </cfRule>
  </conditionalFormatting>
  <dataValidations count="5">
    <dataValidation type="list" allowBlank="1" showInputMessage="1" showErrorMessage="1" sqref="AC12 F160 C61 C109:C119 C96 C101:C103 D134:K134 C125:C132 E140:K140 E136:K136 E138:K138 C34:C36" xr:uid="{5B42177E-9E1F-44EB-B606-1D3BC64112F6}">
      <formula1>YesNo</formula1>
    </dataValidation>
    <dataValidation type="custom" allowBlank="1" showInputMessage="1" showErrorMessage="1" sqref="M1" xr:uid="{F69C9D9E-A579-41BF-9E0F-0F6C19F099EF}">
      <formula1>"&lt;0&gt;0"</formula1>
    </dataValidation>
    <dataValidation allowBlank="1" showInputMessage="1" showErrorMessage="1" sqref="D130" xr:uid="{321D5F70-0F36-4827-85AC-3EDEB4906912}"/>
    <dataValidation type="list" allowBlank="1" showInputMessage="1" showErrorMessage="1" sqref="C30:K30" xr:uid="{7B480756-F923-4ED2-BDAF-D6BD1F64CE4D}">
      <formula1>$R$21:$R$28</formula1>
    </dataValidation>
    <dataValidation type="list" allowBlank="1" showInputMessage="1" showErrorMessage="1" sqref="C54:K54" xr:uid="{77C95F39-EE2E-4A3D-BFC6-4EE3DCF5172E}">
      <formula1>$R$47:$R$52</formula1>
    </dataValidation>
  </dataValidations>
  <pageMargins left="0.7" right="0.7" top="0.75" bottom="0.75" header="0.3" footer="0.3"/>
  <pageSetup scale="47" orientation="portrait" r:id="rId1"/>
  <headerFooter>
    <oddHeader>&amp;L&amp;G</oddHeader>
    <oddFooter>&amp;LVersion - 2023.0.01&amp;CWHEDA MULTIFAMILY APPLICATION&amp;R&amp;P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A68-BA6D-4F7F-A89C-4D5517100CD0}">
  <sheetPr codeName="Sheet30">
    <pageSetUpPr fitToPage="1"/>
  </sheetPr>
  <dimension ref="A1:CR582"/>
  <sheetViews>
    <sheetView workbookViewId="0">
      <selection activeCell="C55" sqref="C55:J65"/>
    </sheetView>
  </sheetViews>
  <sheetFormatPr baseColWidth="10" defaultColWidth="8.83203125" defaultRowHeight="15"/>
  <cols>
    <col min="1" max="1" width="5.83203125" customWidth="1"/>
    <col min="2" max="2" width="8.6640625" customWidth="1"/>
    <col min="3" max="5" width="8.83203125" customWidth="1"/>
    <col min="6" max="6" width="10.6640625" customWidth="1"/>
    <col min="7" max="7" width="8.83203125" customWidth="1"/>
    <col min="13" max="13" width="7.5" customWidth="1"/>
    <col min="14" max="14" width="9" customWidth="1"/>
    <col min="15" max="15" width="9.1640625" customWidth="1"/>
    <col min="16" max="16" width="9.5" customWidth="1"/>
    <col min="17" max="17" width="7.1640625" customWidth="1"/>
    <col min="18" max="18" width="7.6640625" customWidth="1"/>
    <col min="19" max="19" width="8.6640625" customWidth="1"/>
    <col min="20" max="20" width="7.6640625" customWidth="1"/>
    <col min="21" max="21" width="7.83203125" customWidth="1"/>
    <col min="22" max="22" width="8.6640625" style="640" customWidth="1"/>
    <col min="23" max="23" width="17.5" style="9" customWidth="1"/>
    <col min="24" max="24" width="16.6640625" style="9" customWidth="1"/>
    <col min="25" max="25" width="15.6640625" style="9" bestFit="1" customWidth="1"/>
    <col min="26" max="26" width="18.33203125" style="9" bestFit="1" customWidth="1"/>
    <col min="27" max="28" width="15.6640625" style="9" bestFit="1" customWidth="1"/>
    <col min="29" max="29" width="27.33203125" style="9" bestFit="1" customWidth="1"/>
    <col min="30" max="30" width="22.6640625" style="9" bestFit="1" customWidth="1"/>
    <col min="31" max="31" width="8.83203125" style="9"/>
    <col min="32" max="33" width="11.1640625" style="9" bestFit="1" customWidth="1"/>
    <col min="34" max="34" width="8.83203125" style="9"/>
    <col min="35" max="36" width="11.1640625" style="9" bestFit="1" customWidth="1"/>
    <col min="37" max="46" width="8.83203125" style="9"/>
  </cols>
  <sheetData>
    <row r="1" spans="1:94" ht="29">
      <c r="A1" s="606"/>
      <c r="B1" s="2581" t="str">
        <f>'1. TOC'!B1</f>
        <v>WHEDA 2025 Multifamily Application</v>
      </c>
      <c r="C1" s="2582"/>
      <c r="D1" s="2582"/>
      <c r="E1" s="2582"/>
      <c r="F1" s="2582"/>
      <c r="G1" s="2582"/>
      <c r="H1" s="2582"/>
      <c r="I1" s="2582"/>
      <c r="J1" s="3"/>
      <c r="K1" s="3"/>
      <c r="L1" s="149" t="str">
        <f>'1. TOC'!L1</f>
        <v>v25.1.9</v>
      </c>
      <c r="M1" s="131"/>
      <c r="N1" s="9"/>
      <c r="O1" s="9"/>
      <c r="P1" s="1087" t="str">
        <f>HYPERLINK("#Table_of_Contents", Table_of_Contents)</f>
        <v>Table of Contents</v>
      </c>
      <c r="Q1" s="9"/>
      <c r="R1" s="9"/>
      <c r="S1" s="9"/>
      <c r="T1" s="9"/>
      <c r="U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row>
    <row r="2" spans="1:94" s="74" customFormat="1" ht="21">
      <c r="A2" s="980"/>
      <c r="B2" s="1013" t="str">
        <f>_xlfn.CONCAT(IF(ISBLANK(WHEDA_Project_Number),"",_xlfn.CONCAT(WHEDA_Project_Number,"-")), Project_Name, IF(ISBLANK(Credit_percentage_applied_for),"",_xlfn.CONCAT(" (", Credit_percentage_applied_for," HTC)")))</f>
        <v/>
      </c>
      <c r="C2" s="901"/>
      <c r="D2" s="901"/>
      <c r="E2" s="901"/>
      <c r="H2" s="902"/>
      <c r="J2" s="902"/>
      <c r="M2" s="902"/>
      <c r="O2" s="872"/>
      <c r="P2" s="872"/>
      <c r="Q2" s="872"/>
      <c r="R2" s="872"/>
      <c r="S2" s="872"/>
      <c r="T2" s="872"/>
      <c r="U2" s="872"/>
      <c r="V2" s="640"/>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872"/>
      <c r="BU2" s="872"/>
      <c r="BV2" s="872"/>
      <c r="BW2" s="872"/>
      <c r="BX2" s="872"/>
    </row>
    <row r="3" spans="1:94" s="217" customFormat="1" ht="16">
      <c r="A3" s="980"/>
      <c r="B3" s="1024"/>
      <c r="C3" s="1025"/>
      <c r="D3" s="1025"/>
      <c r="E3" s="1025"/>
      <c r="H3" s="487"/>
      <c r="J3" s="487"/>
      <c r="M3" s="487"/>
      <c r="O3" s="11"/>
      <c r="P3" s="11"/>
      <c r="Q3" s="11"/>
      <c r="R3" s="11"/>
      <c r="S3" s="11"/>
      <c r="T3" s="11"/>
      <c r="U3" s="11"/>
      <c r="V3" s="1663"/>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94" s="1027" customFormat="1" ht="29">
      <c r="A4" s="1026" t="s">
        <v>5022</v>
      </c>
      <c r="B4" s="4" t="s">
        <v>5023</v>
      </c>
      <c r="C4" s="4"/>
      <c r="D4" s="4"/>
      <c r="E4" s="4"/>
      <c r="F4" s="4"/>
      <c r="H4" s="1028"/>
      <c r="I4" s="1029"/>
      <c r="J4" s="1030"/>
      <c r="K4" s="1029"/>
      <c r="L4" s="1029"/>
      <c r="M4" s="1030"/>
      <c r="N4" s="1029"/>
      <c r="O4" s="1029"/>
      <c r="P4" s="1029"/>
      <c r="V4" s="1664"/>
      <c r="W4" s="1647"/>
      <c r="X4" s="1647"/>
      <c r="Y4" s="1647"/>
      <c r="Z4" s="1647"/>
      <c r="AA4" s="1647"/>
      <c r="AB4" s="1647"/>
      <c r="AC4" s="1647"/>
      <c r="AD4" s="1647"/>
      <c r="AE4" s="1647"/>
      <c r="AF4" s="1647"/>
      <c r="AG4" s="1647"/>
      <c r="AH4" s="1647"/>
      <c r="AI4" s="1647"/>
      <c r="AJ4" s="1647"/>
      <c r="AK4" s="1647"/>
      <c r="AL4" s="1647"/>
      <c r="AM4" s="1647"/>
      <c r="AN4" s="1647"/>
      <c r="AO4" s="1647"/>
      <c r="AP4" s="1647"/>
      <c r="AQ4" s="1647"/>
      <c r="AR4" s="1647"/>
      <c r="AS4" s="1647"/>
      <c r="AT4" s="1647"/>
    </row>
    <row r="5" spans="1:94" s="3" customFormat="1" ht="21">
      <c r="A5" s="981"/>
      <c r="B5" s="977" t="s">
        <v>5024</v>
      </c>
      <c r="C5" s="1023"/>
      <c r="D5" s="1023"/>
      <c r="E5" s="1023"/>
      <c r="F5" s="1023"/>
      <c r="H5" s="17"/>
      <c r="I5" s="149"/>
      <c r="J5" s="351"/>
      <c r="K5" s="149"/>
      <c r="L5" s="149"/>
      <c r="M5" s="351"/>
      <c r="N5" s="149"/>
      <c r="O5" s="149"/>
      <c r="P5" s="149"/>
      <c r="V5" s="640"/>
      <c r="W5" s="9"/>
      <c r="X5" s="9"/>
      <c r="Y5" s="9"/>
      <c r="Z5" s="9"/>
      <c r="AA5" s="9"/>
      <c r="AB5" s="9"/>
      <c r="AC5" s="9"/>
      <c r="AD5" s="9"/>
      <c r="AE5" s="9"/>
      <c r="AF5" s="9"/>
      <c r="AG5" s="9"/>
      <c r="AH5" s="9"/>
      <c r="AI5" s="9"/>
      <c r="AJ5" s="9"/>
      <c r="AK5" s="9"/>
      <c r="AL5" s="9"/>
      <c r="AM5" s="9"/>
      <c r="AN5" s="9"/>
      <c r="AO5" s="9"/>
      <c r="AP5" s="9"/>
      <c r="AQ5" s="9"/>
      <c r="AR5" s="9"/>
      <c r="AS5" s="9"/>
      <c r="AT5" s="9"/>
    </row>
    <row r="6" spans="1:94" s="3" customFormat="1" ht="19">
      <c r="A6" s="981"/>
      <c r="B6" s="1373" t="s">
        <v>4733</v>
      </c>
      <c r="C6" s="1166"/>
      <c r="D6" s="1166"/>
      <c r="E6" s="1166"/>
      <c r="F6" s="1166"/>
      <c r="G6" s="1166"/>
      <c r="H6" s="1166"/>
      <c r="I6" s="1167"/>
      <c r="J6" s="1167"/>
      <c r="K6" s="1167"/>
      <c r="L6" s="1167"/>
      <c r="M6" s="1167"/>
      <c r="N6" s="1167"/>
      <c r="O6" s="1167"/>
      <c r="P6" s="1167"/>
      <c r="Q6" s="1167"/>
      <c r="R6" s="1167"/>
      <c r="S6" s="1167"/>
      <c r="T6" s="1167"/>
      <c r="U6" s="1167"/>
      <c r="V6" s="640"/>
      <c r="W6" s="9"/>
      <c r="X6" s="9"/>
      <c r="Y6" s="9"/>
      <c r="Z6" s="9"/>
      <c r="AA6" s="9"/>
      <c r="AB6" s="9"/>
      <c r="AC6" s="9"/>
      <c r="AD6" s="9"/>
      <c r="AE6" s="9"/>
      <c r="AF6" s="9"/>
      <c r="AG6" s="9"/>
      <c r="AH6" s="9"/>
      <c r="AI6" s="9"/>
      <c r="AJ6" s="9"/>
      <c r="AK6" s="9"/>
      <c r="AL6" s="9"/>
      <c r="AM6" s="9"/>
      <c r="AN6" s="9"/>
      <c r="AO6" s="9"/>
      <c r="AP6" s="9"/>
      <c r="AQ6" s="9"/>
      <c r="AR6" s="9"/>
      <c r="AS6" s="9"/>
      <c r="AT6" s="9"/>
    </row>
    <row r="7" spans="1:94" s="3" customFormat="1">
      <c r="A7" s="981"/>
      <c r="B7" s="1167"/>
      <c r="C7" s="1167"/>
      <c r="D7" s="1167"/>
      <c r="E7" s="1167"/>
      <c r="F7" s="1167"/>
      <c r="G7" s="1167"/>
      <c r="H7" s="1167"/>
      <c r="I7" s="1167"/>
      <c r="J7" s="1167"/>
      <c r="K7" s="1167"/>
      <c r="L7" s="1167"/>
      <c r="M7" s="1167"/>
      <c r="N7" s="1167"/>
      <c r="O7" s="1167"/>
      <c r="P7" s="1167"/>
      <c r="Q7" s="1167"/>
      <c r="R7" s="1167"/>
      <c r="S7" s="1167"/>
      <c r="T7" s="1167"/>
      <c r="U7" s="1167"/>
      <c r="V7" s="640"/>
      <c r="W7" s="9"/>
      <c r="X7" s="9"/>
      <c r="Y7" s="9"/>
      <c r="Z7" s="9"/>
      <c r="AA7" s="9"/>
      <c r="AB7" s="9"/>
      <c r="AC7" s="9"/>
      <c r="AD7" s="9"/>
      <c r="AE7" s="9"/>
      <c r="AF7" s="9"/>
      <c r="AG7" s="9"/>
      <c r="AH7" s="9"/>
      <c r="AI7" s="9"/>
      <c r="AJ7" s="9"/>
      <c r="AK7" s="9"/>
      <c r="AL7" s="9"/>
      <c r="AM7" s="9"/>
      <c r="AN7" s="9"/>
      <c r="AO7" s="9"/>
      <c r="AP7" s="9"/>
      <c r="AQ7" s="9"/>
      <c r="AR7" s="9"/>
      <c r="AS7" s="9"/>
      <c r="AT7" s="9"/>
    </row>
    <row r="8" spans="1:94" s="3" customFormat="1">
      <c r="A8" s="981"/>
      <c r="B8" s="1167"/>
      <c r="C8" s="2455" t="s">
        <v>4734</v>
      </c>
      <c r="D8" s="2455"/>
      <c r="E8" s="2455" t="s">
        <v>4708</v>
      </c>
      <c r="F8" s="2455"/>
      <c r="G8" s="2455" t="s">
        <v>1010</v>
      </c>
      <c r="H8" s="2455"/>
      <c r="I8" s="1167"/>
      <c r="J8" s="1167"/>
      <c r="K8" s="1167"/>
      <c r="L8" s="1167"/>
      <c r="M8" s="1167"/>
      <c r="N8" s="1167"/>
      <c r="O8" s="1167"/>
      <c r="P8" s="1167"/>
      <c r="Q8" s="1167"/>
      <c r="R8" s="1167"/>
      <c r="S8" s="1167"/>
      <c r="T8" s="1167"/>
      <c r="U8" s="1167"/>
      <c r="V8" s="640"/>
      <c r="W8" s="9"/>
      <c r="X8" s="9"/>
      <c r="Y8" s="9"/>
      <c r="Z8" s="9"/>
      <c r="AA8" s="9"/>
      <c r="AB8" s="9"/>
      <c r="AC8" s="9"/>
      <c r="AD8" s="9"/>
      <c r="AE8" s="9"/>
      <c r="AF8" s="9"/>
      <c r="AG8" s="9"/>
      <c r="AH8" s="9"/>
      <c r="AI8" s="9"/>
      <c r="AJ8" s="9"/>
      <c r="AK8" s="9"/>
      <c r="AL8" s="9"/>
      <c r="AM8" s="9"/>
      <c r="AN8" s="9"/>
      <c r="AO8" s="9"/>
      <c r="AP8" s="9"/>
      <c r="AQ8" s="9"/>
      <c r="AR8" s="9"/>
      <c r="AS8" s="9"/>
      <c r="AT8" s="9"/>
    </row>
    <row r="9" spans="1:94" s="3" customFormat="1" ht="16">
      <c r="A9" s="981"/>
      <c r="B9" s="1167"/>
      <c r="C9" s="2536">
        <v>44</v>
      </c>
      <c r="D9" s="2536"/>
      <c r="E9" s="2558">
        <f>SUM(E50,E122)</f>
        <v>0</v>
      </c>
      <c r="F9" s="2558"/>
      <c r="G9" s="2558">
        <f>SUM(G50:H50,O91,G122)</f>
        <v>0</v>
      </c>
      <c r="H9" s="2558"/>
      <c r="I9" s="1167"/>
      <c r="J9" s="1167"/>
      <c r="K9" s="1167"/>
      <c r="L9" s="1167"/>
      <c r="M9" s="1167"/>
      <c r="N9" s="1167"/>
      <c r="O9" s="1167"/>
      <c r="P9" s="1167"/>
      <c r="Q9" s="1167"/>
      <c r="R9" s="1167"/>
      <c r="S9" s="1167"/>
      <c r="T9" s="1167"/>
      <c r="U9" s="1167"/>
      <c r="V9" s="640"/>
      <c r="W9" s="9"/>
      <c r="X9" s="9"/>
      <c r="Y9" s="9"/>
      <c r="Z9" s="9"/>
      <c r="AA9" s="9"/>
      <c r="AB9" s="9"/>
      <c r="AC9" s="9"/>
      <c r="AD9" s="9"/>
      <c r="AE9" s="9"/>
      <c r="AF9" s="9"/>
      <c r="AG9" s="9"/>
      <c r="AH9" s="9"/>
      <c r="AI9" s="9"/>
      <c r="AJ9" s="9"/>
      <c r="AK9" s="9"/>
      <c r="AL9" s="9"/>
      <c r="AM9" s="9"/>
      <c r="AN9" s="9"/>
      <c r="AO9" s="9"/>
      <c r="AP9" s="9"/>
      <c r="AQ9" s="9"/>
      <c r="AR9" s="9"/>
      <c r="AS9" s="9"/>
      <c r="AT9" s="9"/>
    </row>
    <row r="10" spans="1:94" s="3" customFormat="1">
      <c r="A10" s="981"/>
      <c r="B10" s="1167"/>
      <c r="C10" s="1167"/>
      <c r="D10" s="1167"/>
      <c r="E10" s="1167"/>
      <c r="F10" s="1167"/>
      <c r="G10" s="1167"/>
      <c r="H10" s="1167"/>
      <c r="I10" s="1167"/>
      <c r="J10" s="1167"/>
      <c r="K10" s="1167"/>
      <c r="L10" s="1167"/>
      <c r="M10" s="1167"/>
      <c r="N10" s="1167"/>
      <c r="O10" s="1167"/>
      <c r="P10" s="1167"/>
      <c r="Q10" s="1167"/>
      <c r="R10" s="1167"/>
      <c r="S10" s="1167"/>
      <c r="T10" s="1167"/>
      <c r="U10" s="1167"/>
      <c r="V10" s="640"/>
      <c r="W10" s="9"/>
      <c r="X10" s="9"/>
      <c r="Y10" s="9"/>
      <c r="Z10" s="9"/>
      <c r="AA10" s="9"/>
      <c r="AB10" s="9"/>
      <c r="AC10" s="9"/>
      <c r="AD10" s="9"/>
      <c r="AE10" s="9"/>
      <c r="AF10" s="9"/>
      <c r="AG10" s="9"/>
      <c r="AH10" s="9"/>
      <c r="AI10" s="9"/>
      <c r="AJ10" s="9"/>
      <c r="AK10" s="9"/>
      <c r="AL10" s="9"/>
      <c r="AM10" s="9"/>
      <c r="AN10" s="9"/>
      <c r="AO10" s="9"/>
      <c r="AP10" s="9"/>
      <c r="AQ10" s="9"/>
      <c r="AR10" s="9"/>
      <c r="AS10" s="9"/>
      <c r="AT10" s="9"/>
    </row>
    <row r="11" spans="1:94" ht="23.5" customHeight="1">
      <c r="A11" s="1008"/>
      <c r="B11" s="977" t="s">
        <v>4726</v>
      </c>
      <c r="C11" s="3"/>
      <c r="D11" s="3"/>
      <c r="E11" s="3"/>
      <c r="F11" s="3"/>
      <c r="G11" s="3"/>
      <c r="H11" s="3"/>
      <c r="I11" s="3"/>
      <c r="J11" s="3"/>
      <c r="K11" s="3"/>
      <c r="L11" s="606"/>
      <c r="M11" s="606"/>
      <c r="N11" s="606"/>
      <c r="O11" s="606"/>
      <c r="P11" s="606"/>
      <c r="Q11" s="606"/>
      <c r="R11" s="606"/>
      <c r="S11" s="606"/>
      <c r="T11" s="606"/>
      <c r="U11" s="606"/>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spans="1:94" ht="15" customHeight="1">
      <c r="A12" s="606"/>
      <c r="B12" s="1414" t="s">
        <v>5025</v>
      </c>
      <c r="C12" s="1416"/>
      <c r="D12" s="1416"/>
      <c r="E12" s="1416"/>
      <c r="F12" s="1416"/>
      <c r="G12" s="1416"/>
      <c r="H12" s="1416"/>
      <c r="I12" s="1416"/>
      <c r="J12" s="1416"/>
      <c r="K12" s="1416"/>
      <c r="L12" s="1416"/>
      <c r="M12" s="1167"/>
      <c r="N12" s="1167"/>
      <c r="O12" s="1167"/>
      <c r="P12" s="1167"/>
      <c r="Q12" s="1167"/>
      <c r="R12" s="1167"/>
      <c r="S12" s="1167"/>
      <c r="T12" s="1167"/>
      <c r="U12" s="1167"/>
      <c r="W12" s="1536" t="s">
        <v>5026</v>
      </c>
      <c r="Z12" s="1536" t="s">
        <v>5027</v>
      </c>
      <c r="AC12" s="1536" t="s">
        <v>5028</v>
      </c>
      <c r="AD12" s="1536" t="s">
        <v>5029</v>
      </c>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94" ht="22.5" customHeight="1">
      <c r="A13" s="606"/>
      <c r="B13" s="1414" t="s">
        <v>5030</v>
      </c>
      <c r="C13" s="1416"/>
      <c r="D13" s="1416"/>
      <c r="E13" s="1416"/>
      <c r="F13" s="1416"/>
      <c r="G13" s="1416"/>
      <c r="H13" s="1416"/>
      <c r="I13" s="1416"/>
      <c r="J13" s="1416"/>
      <c r="K13" s="1416"/>
      <c r="L13" s="1416"/>
      <c r="M13" s="1167"/>
      <c r="N13" s="1167"/>
      <c r="O13" s="1167"/>
      <c r="P13" s="1167"/>
      <c r="Q13" s="1167"/>
      <c r="R13" s="1167"/>
      <c r="S13" s="1167"/>
      <c r="T13" s="1167"/>
      <c r="U13" s="1167"/>
      <c r="W13" s="1536" t="s">
        <v>5031</v>
      </c>
      <c r="X13" s="1651" t="s">
        <v>5032</v>
      </c>
      <c r="Y13" s="1651" t="s">
        <v>5033</v>
      </c>
      <c r="Z13" s="1536" t="s">
        <v>5031</v>
      </c>
      <c r="AA13" s="1651" t="s">
        <v>5032</v>
      </c>
      <c r="AB13" s="1651" t="s">
        <v>5033</v>
      </c>
      <c r="AC13" s="2548" t="s">
        <v>5034</v>
      </c>
      <c r="AD13" s="2548"/>
      <c r="AE13" s="9" t="s">
        <v>5035</v>
      </c>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spans="1:94" ht="15" customHeight="1">
      <c r="A14" s="606"/>
      <c r="B14" s="1689"/>
      <c r="C14" s="1167"/>
      <c r="D14" s="1167"/>
      <c r="E14" s="1167"/>
      <c r="F14" s="1417" t="s">
        <v>5036</v>
      </c>
      <c r="G14" s="2539" t="str">
        <f>IF(ISBLANK(Credit_percentage_applied_for),"Input Project Details",Credit_percentage_applied_for)</f>
        <v>Input Project Details</v>
      </c>
      <c r="H14" s="2540"/>
      <c r="I14" s="2541"/>
      <c r="J14" s="1167"/>
      <c r="K14" s="1167"/>
      <c r="L14" s="1174"/>
      <c r="M14" s="1174"/>
      <c r="N14" s="1446" t="s">
        <v>5037</v>
      </c>
      <c r="O14" s="1731" t="s">
        <v>5038</v>
      </c>
      <c r="P14" s="1731" t="s">
        <v>3682</v>
      </c>
      <c r="Q14" s="2610" t="s">
        <v>5039</v>
      </c>
      <c r="R14" s="2611"/>
      <c r="S14" s="1167"/>
      <c r="T14" s="1167"/>
      <c r="U14" s="1167"/>
      <c r="W14" s="9" t="s">
        <v>5040</v>
      </c>
      <c r="X14" s="1505"/>
      <c r="Y14" s="1505">
        <v>19600</v>
      </c>
      <c r="Z14" s="9" t="s">
        <v>5041</v>
      </c>
      <c r="AA14" s="1505"/>
      <c r="AB14" s="1505">
        <v>21200</v>
      </c>
      <c r="AC14" s="1643" t="b">
        <f>IF(AND(G14="State + Fed 4%",G15="New Construction",G22="No"),W30,IF(AND(G14="State + Fed 4%",G15="Acquisition/Rehab",G22="No"),W38,IF(AND(G14="9%",G15="New Construction",G22="No"),W14,(IF(AND(G14="4%",G15="New Construction",G22="No"),AE15,(IF(AND(G14="9%",G15="Acquisition/Rehab",G22="No"),W22,(IF(AND(G14="4%",G15="Acquisition/Rehab",G22="No"),AE23)))))))))</f>
        <v>0</v>
      </c>
      <c r="AD14" s="1643" t="b">
        <f>IF(AND(G14="State + Fed 4%",G15="New Construction",G22="Yes"),Z30,IF(AND(G14="State + Fed 4%",G15="Acquisition/Rehab",G22="Yes"),Z38,IF(AND(G14="9%",G15="New Construction",G22="Yes"),Z14,(IF(AND(G14="4%",G15="New Construction",G22="Yes"),AH15,(IF(AND(G14="9%",G15="Acquisition/Rehab",G22="Yes"),Z22,(IF(AND(G14="4%",G15="Acquisition/Rehab",G22="Yes"),AH23)))))))))</f>
        <v>0</v>
      </c>
      <c r="AE14" s="1641" t="s">
        <v>5042</v>
      </c>
      <c r="AF14" s="1641" t="s">
        <v>5043</v>
      </c>
      <c r="AG14" s="1641" t="s">
        <v>5044</v>
      </c>
      <c r="AH14" s="1641" t="s">
        <v>5042</v>
      </c>
      <c r="AI14" s="1641" t="s">
        <v>5043</v>
      </c>
      <c r="AJ14" s="1641" t="s">
        <v>5044</v>
      </c>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149"/>
      <c r="BU14" s="149"/>
      <c r="BV14" s="149"/>
      <c r="BW14" s="149"/>
      <c r="BX14" s="149"/>
      <c r="BY14" s="3"/>
      <c r="BZ14" s="3"/>
      <c r="CA14" s="3"/>
      <c r="CB14" s="3"/>
      <c r="CC14" s="3"/>
      <c r="CD14" s="3"/>
      <c r="CE14" s="3"/>
      <c r="CF14" s="9"/>
      <c r="CG14" s="9"/>
      <c r="CH14" s="9"/>
      <c r="CI14" s="9"/>
      <c r="CJ14" s="9"/>
      <c r="CK14" s="9"/>
      <c r="CL14" s="9"/>
      <c r="CM14" s="9"/>
      <c r="CN14" s="9"/>
      <c r="CO14" s="9"/>
      <c r="CP14" s="9"/>
    </row>
    <row r="15" spans="1:94">
      <c r="A15" s="606"/>
      <c r="B15" s="1167"/>
      <c r="C15" s="1167"/>
      <c r="D15" s="1389"/>
      <c r="E15" s="1167"/>
      <c r="F15" s="1417" t="s">
        <v>5045</v>
      </c>
      <c r="G15" s="2539" t="str">
        <f>IF(Credit_percentage_applied_for="4%","N/A for Fed 4% Projects",IF(OR(Project_Type="New Construction",Project_Type="Acquisition/Rehab"),Project_Type,IF(OR(Project_Type="Adaptive Reuse",Project_Type="Adaptive Reuse/New Construction"),"New Construction",IF(AND(Project_Type="Acquisition/New Construction",'4. Project Description'!D8&gt;'4. Project Description'!D9),"New Construction",IF(AND(Project_Type="Acquisition/New Construction",'4. Project Description'!D8&lt;='4. Project Description'!D9),"Acquisition/Rehab","")))))</f>
        <v/>
      </c>
      <c r="H15" s="2540"/>
      <c r="I15" s="2541"/>
      <c r="J15" s="1167"/>
      <c r="K15" s="1167"/>
      <c r="L15" s="1167"/>
      <c r="M15" s="1174"/>
      <c r="N15" s="1729" t="s">
        <v>284</v>
      </c>
      <c r="O15" s="1729">
        <f>SUMIF('11. Unit Mix'!J16:J65,"HOME",'11. Unit Mix'!H16:H65)+SUMIF('11. Unit Mix'!J16:J65,"Voucher",'11. Unit Mix'!H16:H65)</f>
        <v>0</v>
      </c>
      <c r="P15" s="1644">
        <v>1</v>
      </c>
      <c r="Q15" s="2537">
        <f>O15*P15</f>
        <v>0</v>
      </c>
      <c r="R15" s="2538"/>
      <c r="S15" s="1167"/>
      <c r="T15" s="1167"/>
      <c r="U15" s="1167"/>
      <c r="W15" s="9" t="s">
        <v>5046</v>
      </c>
      <c r="X15" s="1505">
        <v>19600</v>
      </c>
      <c r="Y15" s="1505">
        <v>20800</v>
      </c>
      <c r="Z15" s="9" t="s">
        <v>5047</v>
      </c>
      <c r="AA15" s="1505">
        <v>21200</v>
      </c>
      <c r="AB15" s="1505">
        <v>22000</v>
      </c>
      <c r="AC15" s="1643" t="b">
        <f>IF(AND(G14="State + Fed 4%",G15="New Construction",G22="No"),W31,IF(AND(G14="State + Fed 4%",G15="Acquisition/Rehab",G22="No"),W39,(IF(AND(G14="9%",G15="New Construction",G22="No"),W15,(IF(AND(G14="4%",G15="New Construction",G22="No"),AE16,(IF(AND(G14="9%",G15="Acquisition/Rehab",G22="No"),W23,(IF(AND(G14="4%",G15="Acquisition/Rehab",G22="No"),AE24))))))))))</f>
        <v>0</v>
      </c>
      <c r="AD15" s="1643" t="b">
        <f>IF(AND(G14="State + Fed 4%",G15="New Construction",G22="Yes"),Z31,IF(AND(G14="State + Fed 4%",G15="Acquisition/Rehab",G22="Yes"),Z39,IF(AND(G14="9%",G15="New Construction",G22="Yes"),Z15,(IF(AND(G14="4%",G15="New Construction",G22="Yes"),AH16,(IF(AND(G14="9%",G15="Acquisition/Rehab",G22="Yes"),Z23,(IF(AND(G14="4%",G15="Acquisition/Rehab",G22="Yes"),AH24)))))))))</f>
        <v>0</v>
      </c>
      <c r="AE15" s="9" t="s">
        <v>5048</v>
      </c>
      <c r="AG15" s="1505">
        <v>12837</v>
      </c>
      <c r="AH15" s="9" t="s">
        <v>5049</v>
      </c>
      <c r="AJ15" s="1642">
        <v>10804</v>
      </c>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149"/>
      <c r="BU15" s="149"/>
      <c r="BV15" s="149"/>
      <c r="BW15" s="3"/>
      <c r="BX15" s="3"/>
      <c r="BY15" s="3"/>
      <c r="BZ15" s="3"/>
      <c r="CA15" s="3"/>
      <c r="CB15" s="3"/>
      <c r="CC15" s="3"/>
      <c r="CD15" s="3"/>
      <c r="CE15" s="3"/>
      <c r="CF15" s="9"/>
      <c r="CG15" s="9"/>
      <c r="CH15" s="9"/>
      <c r="CI15" s="9"/>
      <c r="CJ15" s="9"/>
      <c r="CK15" s="9"/>
      <c r="CL15" s="9"/>
      <c r="CM15" s="9"/>
      <c r="CN15" s="9"/>
      <c r="CO15" s="9"/>
      <c r="CP15" s="9"/>
    </row>
    <row r="16" spans="1:94">
      <c r="A16" s="606"/>
      <c r="B16" s="1167"/>
      <c r="C16" s="1167"/>
      <c r="D16" s="1389"/>
      <c r="E16" s="1167"/>
      <c r="F16" s="1417" t="str">
        <f>IF(Credit_percentage_applied_for="4%","Annual 4% Federal Tax Credit Request",IF(Credit_percentage_applied_for="State + Fed 4%","Annual 4% State Tax Credit Request",IF(G14=9%,"Annual 9% Tax Credit Request","Annual Federal Request")))</f>
        <v>Annual Federal Request</v>
      </c>
      <c r="G16" s="2555">
        <f>IF('12. Funding Sources'!J46&gt;0,'12. Funding Sources'!J46,'12. Funding Sources'!J44)</f>
        <v>0</v>
      </c>
      <c r="H16" s="2556"/>
      <c r="I16" s="2557"/>
      <c r="J16" s="1167"/>
      <c r="K16" s="1167"/>
      <c r="L16" s="1167"/>
      <c r="M16" s="1174"/>
      <c r="N16" s="1729" t="s">
        <v>5050</v>
      </c>
      <c r="O16" s="1729">
        <f>SUMIFS('11. Unit Mix'!H16:H65,'11. Unit Mix'!I16:I65,0.3,'11. Unit Mix'!J16:J65,"Low Income")</f>
        <v>0</v>
      </c>
      <c r="P16" s="1729">
        <v>1.35</v>
      </c>
      <c r="Q16" s="2537">
        <f t="shared" ref="Q16:Q21" si="0">O16*P16</f>
        <v>0</v>
      </c>
      <c r="R16" s="2538"/>
      <c r="S16" s="1167"/>
      <c r="T16" s="1167"/>
      <c r="U16" s="1167"/>
      <c r="W16" s="9" t="s">
        <v>5051</v>
      </c>
      <c r="X16" s="1505">
        <v>20801</v>
      </c>
      <c r="Y16" s="1505">
        <v>22000</v>
      </c>
      <c r="Z16" s="9" t="s">
        <v>5052</v>
      </c>
      <c r="AA16" s="1505">
        <v>22001</v>
      </c>
      <c r="AB16" s="1505">
        <v>22800</v>
      </c>
      <c r="AC16" s="1643" t="b">
        <f>IF(AND(G14="State + Fed 4%",G15="New Construction",G22="No"),W32,IF(AND(G14="State + Fed 4%",G15="Acquisition/Rehab",G22="No"),W40,IF(AND(G14="9%",G15="New Construction",G22="No"),W16,(IF(AND(G14="4%",G15="New Construction",G22="No"),AE17,(IF(AND(G14="9%",G15="Acquisition/Rehab",G22="No"),W24,(IF(AND(G14="4%",G15="Acquisition/Rehab",G22="No"),AE25)))))))))</f>
        <v>0</v>
      </c>
      <c r="AD16" s="1643" t="b">
        <f>IF(AND(G14="State + Fed 4%",G15="New Construction",G22="Yes"),Z32,IF(AND(G14="State + Fed 4%",G15="Acquisition/Rehab",G22="Yes"),Z40,IF(AND(G14="9%",G15="New Construction",G22="Yes"),Z16,(IF(AND(G14="4%",G15="New Construction",G22="Yes"),AH17,(IF(AND(G14="9%",G15="Acquisition/Rehab",G22="Yes"),Z24,(IF(AND(G14="4%",G15="Acquisition/Rehab",G22="Yes"),AH25)))))))))</f>
        <v>0</v>
      </c>
      <c r="AE16" s="9" t="s">
        <v>5053</v>
      </c>
      <c r="AF16" s="1505">
        <v>12838</v>
      </c>
      <c r="AG16" s="1505">
        <v>13649</v>
      </c>
      <c r="AH16" s="9" t="s">
        <v>5054</v>
      </c>
      <c r="AI16" s="1642">
        <v>10805</v>
      </c>
      <c r="AJ16" s="1642">
        <v>11204</v>
      </c>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149"/>
      <c r="BU16" s="149"/>
      <c r="BV16" s="149"/>
      <c r="BW16" s="3"/>
      <c r="BX16" s="3"/>
      <c r="BY16" s="3"/>
      <c r="BZ16" s="3"/>
      <c r="CA16" s="3"/>
      <c r="CB16" s="3"/>
      <c r="CC16" s="3"/>
      <c r="CD16" s="3"/>
      <c r="CE16" s="3"/>
      <c r="CF16" s="9"/>
      <c r="CG16" s="9"/>
      <c r="CH16" s="9"/>
      <c r="CI16" s="9"/>
      <c r="CJ16" s="9"/>
      <c r="CK16" s="9"/>
      <c r="CL16" s="9"/>
      <c r="CM16" s="9"/>
      <c r="CN16" s="9"/>
      <c r="CO16" s="9"/>
      <c r="CP16" s="9"/>
    </row>
    <row r="17" spans="1:94">
      <c r="A17" s="606"/>
      <c r="B17" s="1167"/>
      <c r="C17" s="1389"/>
      <c r="D17" s="1389"/>
      <c r="E17" s="1167"/>
      <c r="F17" s="1417" t="s">
        <v>2583</v>
      </c>
      <c r="G17" s="2539">
        <f>Low_Income_Total_Units</f>
        <v>0</v>
      </c>
      <c r="H17" s="2540"/>
      <c r="I17" s="2541"/>
      <c r="J17" s="1167"/>
      <c r="K17" s="1167"/>
      <c r="L17" s="1167"/>
      <c r="M17" s="1174"/>
      <c r="N17" s="1729" t="s">
        <v>5055</v>
      </c>
      <c r="O17" s="1729">
        <f>SUMIFS('11. Unit Mix'!H16:H65,'11. Unit Mix'!I16:I65,0.4,'11. Unit Mix'!J16:J65,"Low Income")</f>
        <v>0</v>
      </c>
      <c r="P17" s="1729">
        <v>1.23</v>
      </c>
      <c r="Q17" s="2537">
        <f t="shared" si="0"/>
        <v>0</v>
      </c>
      <c r="R17" s="2538"/>
      <c r="S17" s="1167"/>
      <c r="T17" s="1167"/>
      <c r="U17" s="1167"/>
      <c r="W17" s="9" t="s">
        <v>5056</v>
      </c>
      <c r="X17" s="1505">
        <v>22001</v>
      </c>
      <c r="Y17" s="1505">
        <v>23200</v>
      </c>
      <c r="Z17" s="9" t="s">
        <v>5057</v>
      </c>
      <c r="AA17" s="1505">
        <v>22801</v>
      </c>
      <c r="AB17" s="1505">
        <v>23600</v>
      </c>
      <c r="AC17" s="1643" t="b">
        <f>IF(AND(G14="State + Fed 4%",G15="New Construction",G22="No"),W33,IF(AND(G14="State + Fed 4%",G15="Acquisition/Rehab",G22="No"),W41,IF(AND(G14="9%",G15="New Construction",G22="No"),W17,(IF(AND(G14="4%",G15="New Construction",G22="No"),AE18,(IF(AND(G14="9%",G15="Acquisition/Rehab",G22="No"),W25,(IF(AND(G14="4%",G15="Acquisition/Rehab",G22="No"),AE26)))))))))</f>
        <v>0</v>
      </c>
      <c r="AD17" s="1643" t="b">
        <f>IF(AND(G14="State + Fed 4%",G15="New Construction",G22="Yes"),Z33,IF(AND(G14="State + Fed 4%",G15="Acquisition/Rehab",G22="Yes"),Z41,IF(AND(G14="9%",G15="New Construction",G22="Yes"),Z17,(IF(AND(G14="4%",G15="New Construction",G22="Yes"),AH18,(IF(AND(G14="9%",G15="Acquisition/Rehab",G22="Yes"),Z25,(IF(AND(G14="4%",G15="Acquisition/Rehab",G22="Yes"),AH26)))))))))</f>
        <v>0</v>
      </c>
      <c r="AE17" s="9" t="s">
        <v>5058</v>
      </c>
      <c r="AF17" s="1505">
        <v>13650</v>
      </c>
      <c r="AG17" s="1505">
        <v>14460</v>
      </c>
      <c r="AH17" s="9" t="s">
        <v>5059</v>
      </c>
      <c r="AI17" s="1642">
        <v>11205</v>
      </c>
      <c r="AJ17" s="1642">
        <v>11604</v>
      </c>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149"/>
      <c r="BU17" s="149"/>
      <c r="BV17" s="149"/>
      <c r="BW17" s="3"/>
      <c r="BX17" s="3"/>
      <c r="BY17" s="3"/>
      <c r="BZ17" s="3"/>
      <c r="CA17" s="3"/>
      <c r="CB17" s="3"/>
      <c r="CC17" s="3"/>
      <c r="CD17" s="3"/>
      <c r="CE17" s="3"/>
      <c r="CF17" s="9"/>
      <c r="CG17" s="9"/>
      <c r="CH17" s="9"/>
      <c r="CI17" s="9"/>
      <c r="CJ17" s="9"/>
      <c r="CK17" s="9"/>
      <c r="CL17" s="9"/>
      <c r="CM17" s="9"/>
      <c r="CN17" s="9"/>
      <c r="CO17" s="9"/>
      <c r="CP17" s="9"/>
    </row>
    <row r="18" spans="1:94">
      <c r="A18" s="606"/>
      <c r="B18" s="1167"/>
      <c r="C18" s="1167"/>
      <c r="D18" s="1389"/>
      <c r="E18" s="1167"/>
      <c r="F18" s="1417" t="s">
        <v>5060</v>
      </c>
      <c r="G18" s="2589">
        <f>Q22</f>
        <v>0</v>
      </c>
      <c r="H18" s="2590"/>
      <c r="I18" s="2591"/>
      <c r="J18" s="1167"/>
      <c r="K18" s="1167"/>
      <c r="L18" s="1167"/>
      <c r="M18" s="1174"/>
      <c r="N18" s="1729" t="s">
        <v>5061</v>
      </c>
      <c r="O18" s="1729">
        <f>SUMIFS('11. Unit Mix'!H16:H65,'11. Unit Mix'!I16:I65,0.5,'11. Unit Mix'!J16:J65,"Low Income")</f>
        <v>0</v>
      </c>
      <c r="P18" s="1729">
        <v>1.1399999999999999</v>
      </c>
      <c r="Q18" s="2537">
        <f t="shared" si="0"/>
        <v>0</v>
      </c>
      <c r="R18" s="2538"/>
      <c r="S18" s="1167"/>
      <c r="T18" s="1167"/>
      <c r="U18" s="1167"/>
      <c r="W18" s="9" t="s">
        <v>5062</v>
      </c>
      <c r="X18" s="1505">
        <v>23201</v>
      </c>
      <c r="Y18" s="1505">
        <v>24400</v>
      </c>
      <c r="Z18" s="9" t="s">
        <v>5063</v>
      </c>
      <c r="AA18" s="1505">
        <v>23601</v>
      </c>
      <c r="AB18" s="1505">
        <v>24400</v>
      </c>
      <c r="AC18" s="1643" t="b">
        <f>IF(AND(G14="State + Fed 4%",G15="New Construction",G22="No"),W34,IF(AND(G14="State + Fed 4%",G15="Acquisition/Rehab",G22="No"),W42,IF(AND(G14="9%",G15="New Construction",G22="No"),W18,(IF(AND(G14="4%",G15="New Construction",G22="No"),AE19,(IF(AND(G14="9%",G15="Acquisition/Rehab",G22="No"),W26,(IF(AND(G14="4%",G15="Acquisition/Rehab",G22="No"),AE27)))))))))</f>
        <v>0</v>
      </c>
      <c r="AD18" s="1643" t="b">
        <f>IF(AND(G14="State + Fed 4%",G15="New Construction",G22="Yes"),Z34,IF(AND(G14="State + Fed 4%",G15="Acquisition/Rehab",G22="Yes"),Z42,IF(AND(G14="9%",G15="New Construction",G22="Yes"),Z18,(IF(AND(G14="4%",G15="New Construction",G22="Yes"),AH19,(IF(AND(G14="9%",G15="Acquisition/Rehab",G22="Yes"),Z26,(IF(AND(G14="4%",G15="Acquisition/Rehab",G22="Yes"),AH27)))))))))</f>
        <v>0</v>
      </c>
      <c r="AE18" s="9" t="s">
        <v>5064</v>
      </c>
      <c r="AF18" s="1505">
        <v>14461</v>
      </c>
      <c r="AG18" s="1505">
        <v>15272</v>
      </c>
      <c r="AH18" s="9" t="s">
        <v>5065</v>
      </c>
      <c r="AI18" s="1642">
        <v>11605</v>
      </c>
      <c r="AJ18" s="1642">
        <v>12004</v>
      </c>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149"/>
      <c r="BU18" s="149"/>
      <c r="BV18" s="149"/>
      <c r="BW18" s="3"/>
      <c r="BX18" s="3"/>
      <c r="BY18" s="3"/>
      <c r="BZ18" s="3"/>
      <c r="CA18" s="3"/>
      <c r="CB18" s="3"/>
      <c r="CC18" s="3"/>
      <c r="CD18" s="3"/>
      <c r="CE18" s="3"/>
      <c r="CF18" s="9"/>
      <c r="CG18" s="9"/>
      <c r="CH18" s="9"/>
      <c r="CI18" s="9"/>
      <c r="CJ18" s="9"/>
      <c r="CK18" s="9"/>
      <c r="CL18" s="9"/>
      <c r="CM18" s="9"/>
      <c r="CN18" s="9"/>
      <c r="CO18" s="9"/>
      <c r="CP18" s="9"/>
    </row>
    <row r="19" spans="1:94">
      <c r="A19" s="606"/>
      <c r="B19" s="1167"/>
      <c r="C19" s="1418" t="s">
        <v>5066</v>
      </c>
      <c r="D19" s="1389"/>
      <c r="E19" s="1167"/>
      <c r="F19" s="1167"/>
      <c r="G19" s="1167"/>
      <c r="H19" s="1423"/>
      <c r="I19" s="1423"/>
      <c r="J19" s="1167"/>
      <c r="K19" s="1167"/>
      <c r="L19" s="1167"/>
      <c r="M19" s="1174"/>
      <c r="N19" s="1729" t="s">
        <v>5067</v>
      </c>
      <c r="O19" s="1729">
        <f>SUMIFS('11. Unit Mix'!H16:H65,'11. Unit Mix'!I16:I65,0.6,'11. Unit Mix'!J16:J65,"Low Income")</f>
        <v>0</v>
      </c>
      <c r="P19" s="1644">
        <v>1</v>
      </c>
      <c r="Q19" s="2537">
        <f t="shared" si="0"/>
        <v>0</v>
      </c>
      <c r="R19" s="2538"/>
      <c r="S19" s="1167"/>
      <c r="T19" s="1167"/>
      <c r="U19" s="1167"/>
      <c r="W19" s="9" t="s">
        <v>5068</v>
      </c>
      <c r="X19" s="1505">
        <v>24401</v>
      </c>
      <c r="Y19" s="1505">
        <v>25600</v>
      </c>
      <c r="Z19" s="9" t="s">
        <v>5069</v>
      </c>
      <c r="AA19" s="1505">
        <v>24401</v>
      </c>
      <c r="AB19" s="1505">
        <v>25200</v>
      </c>
      <c r="AC19" s="1643" t="b">
        <f>IF(AND(G14="State + Fed 4%",G15="New Construction",G22="No"),W35,IF(AND(G14="State + Fed 4%",G15="Acquisition/Rehab",G22="No"),W43,IF(AND(G14="9%",G15="New Construction",G22="No"),W19,(IF(AND(G14="4%",G15="New Construction",G22="No"),AE20,(IF(AND(G14="9%",G15="Acquisition/Rehab",G22="No"),W27,(IF(AND(G14="4%",G15="Acquisition/Rehab",G22="No"),AE28)))))))))</f>
        <v>0</v>
      </c>
      <c r="AD19" s="1643" t="b">
        <f>IF(AND(G14="State + Fed 4%",G15="New Construction",G22="Yes"),Z35,IF(AND(G14="State + Fed 4%",G15="Acquisition/Rehab",G22="Yes"),Z43,IF(AND(G14="9%",G15="New Construction",G22="Yes"),Z19,(IF(AND(G14="4%",G15="New Construction",G22="Yes"),AH20,(IF(AND(G14="9%",G15="Acquisition/Rehab",G22="Yes"),Z27,(IF(AND(G14="4%",G15="Acquisition/Rehab",G22="Yes"),AH28)))))))))</f>
        <v>0</v>
      </c>
      <c r="AE19" s="9" t="s">
        <v>5070</v>
      </c>
      <c r="AF19" s="1505">
        <v>15273</v>
      </c>
      <c r="AG19" s="1505">
        <v>16084</v>
      </c>
      <c r="AH19" s="9" t="s">
        <v>5071</v>
      </c>
      <c r="AI19" s="1642">
        <v>12005</v>
      </c>
      <c r="AJ19" s="1642">
        <v>12404</v>
      </c>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149"/>
      <c r="BU19" s="149"/>
      <c r="BV19" s="149"/>
      <c r="BW19" s="3"/>
      <c r="BX19" s="3"/>
      <c r="BY19" s="3"/>
      <c r="BZ19" s="3"/>
      <c r="CA19" s="3"/>
      <c r="CB19" s="3"/>
      <c r="CC19" s="3"/>
      <c r="CD19" s="3"/>
      <c r="CE19" s="3"/>
      <c r="CF19" s="9"/>
      <c r="CG19" s="9"/>
      <c r="CH19" s="9"/>
      <c r="CI19" s="9"/>
      <c r="CJ19" s="9"/>
      <c r="CK19" s="9"/>
      <c r="CL19" s="9"/>
      <c r="CM19" s="9"/>
      <c r="CN19" s="9"/>
      <c r="CO19" s="9"/>
      <c r="CP19" s="9"/>
    </row>
    <row r="20" spans="1:94" ht="14.5" customHeight="1">
      <c r="A20" s="606"/>
      <c r="B20" s="1167"/>
      <c r="C20" s="1167"/>
      <c r="D20" s="1418"/>
      <c r="E20" s="1167"/>
      <c r="F20" s="1167"/>
      <c r="G20" s="1167"/>
      <c r="H20" s="1167"/>
      <c r="I20" s="1167"/>
      <c r="J20" s="1167"/>
      <c r="K20" s="1167"/>
      <c r="L20" s="1167"/>
      <c r="M20" s="1174"/>
      <c r="N20" s="1729" t="s">
        <v>5072</v>
      </c>
      <c r="O20" s="1729">
        <f>SUMIFS('11. Unit Mix'!H16:H65,'11. Unit Mix'!I16:I65,0.7,'11. Unit Mix'!J16:J65,"Low Income")</f>
        <v>0</v>
      </c>
      <c r="P20" s="1644">
        <v>0.9</v>
      </c>
      <c r="Q20" s="2537">
        <f t="shared" si="0"/>
        <v>0</v>
      </c>
      <c r="R20" s="2538"/>
      <c r="S20" s="1167"/>
      <c r="T20" s="1167"/>
      <c r="U20" s="1167"/>
      <c r="W20" s="9" t="s">
        <v>5073</v>
      </c>
      <c r="X20" s="1505">
        <v>25600</v>
      </c>
      <c r="Z20" s="9" t="s">
        <v>5074</v>
      </c>
      <c r="AA20" s="1505">
        <v>25200</v>
      </c>
      <c r="AC20" s="1643" t="b">
        <f>IF(AND(G14="State + Fed 4%",G15="New Construction",G22="No"),W36,IF(AND(G14="State + Fed 4%",G15="Acquisition/Rehab",G22="No"),W44,IF(AND(G14="9%",G15="New Construction",G22="No"),W20,(IF(AND(G14="4%",G15="New Construction",G22="No"),AE21,(IF(AND(G14="9%",G15="Acquisition/Rehab",G22="No"),W28,(IF(AND(G14="4%",G15="Acquisition/Rehab",G22="No"),#REF!)))))))))</f>
        <v>0</v>
      </c>
      <c r="AD20" s="1643" t="b">
        <f>IF(AND(G14="State + Fed 4%",G15="New Construction",G22="Yes"),Z36,IF(AND(G14="State + Fed 4%",G15="Acquisition/Rehab",G22="Yes"),Z44,IF(AND(G14="9%",G15="New Construction",G22="Yes"),Z20,(IF(AND(G14="4%",G15="New Construction",G22="Yes"),AH21,(IF(AND(G14="9%",G15="Acquisition/Rehab",G22="Yes"),Z28,(IF(AND(G14="4%",G15="Acquisition/Rehab",G22="Yes"),#REF!)))))))))</f>
        <v>0</v>
      </c>
      <c r="AE20" s="9" t="s">
        <v>5075</v>
      </c>
      <c r="AF20" s="1505">
        <v>16085</v>
      </c>
      <c r="AG20" s="1505"/>
      <c r="AH20" s="9" t="s">
        <v>5076</v>
      </c>
      <c r="AI20" s="1642">
        <v>12405</v>
      </c>
      <c r="AJ20" s="1642"/>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49"/>
      <c r="BU20" s="149"/>
      <c r="BV20" s="149"/>
      <c r="BW20" s="3"/>
      <c r="BX20" s="3"/>
      <c r="BY20" s="3"/>
      <c r="BZ20" s="3"/>
      <c r="CA20" s="3"/>
      <c r="CB20" s="3"/>
      <c r="CC20" s="3"/>
      <c r="CD20" s="3"/>
      <c r="CE20" s="3"/>
      <c r="CF20" s="9"/>
      <c r="CG20" s="9"/>
      <c r="CH20" s="9"/>
      <c r="CI20" s="9"/>
      <c r="CJ20" s="9"/>
      <c r="CK20" s="9"/>
      <c r="CL20" s="9"/>
      <c r="CM20" s="9"/>
      <c r="CN20" s="9"/>
      <c r="CO20" s="9"/>
      <c r="CP20" s="9"/>
    </row>
    <row r="21" spans="1:94" ht="16">
      <c r="A21" s="606"/>
      <c r="B21" s="1167"/>
      <c r="C21" s="1167"/>
      <c r="D21" s="1419"/>
      <c r="E21" s="1167"/>
      <c r="F21" s="1420" t="s">
        <v>5077</v>
      </c>
      <c r="G21" s="2555">
        <f>IFERROR(ROUND(G16/G18,0),0)</f>
        <v>0</v>
      </c>
      <c r="H21" s="2556"/>
      <c r="I21" s="2557"/>
      <c r="J21" s="1167"/>
      <c r="K21" s="1167"/>
      <c r="L21" s="1167"/>
      <c r="M21" s="1174"/>
      <c r="N21" s="1729" t="s">
        <v>5078</v>
      </c>
      <c r="O21" s="1729">
        <f>SUMIFS('11. Unit Mix'!H16:H65,'11. Unit Mix'!I16:I65,0.8,'11. Unit Mix'!J16:J65,"Low Income")</f>
        <v>0</v>
      </c>
      <c r="P21" s="1729">
        <v>0.85</v>
      </c>
      <c r="Q21" s="2537">
        <f t="shared" si="0"/>
        <v>0</v>
      </c>
      <c r="R21" s="2538"/>
      <c r="S21" s="1167"/>
      <c r="T21" s="1167"/>
      <c r="U21" s="1167"/>
      <c r="W21" s="1641" t="s">
        <v>5079</v>
      </c>
      <c r="X21" s="1641" t="s">
        <v>5080</v>
      </c>
      <c r="Y21" s="1641" t="s">
        <v>5081</v>
      </c>
      <c r="Z21" s="1641" t="s">
        <v>5079</v>
      </c>
      <c r="AA21" s="1641" t="s">
        <v>5080</v>
      </c>
      <c r="AB21" s="1641" t="s">
        <v>5081</v>
      </c>
      <c r="AE21" s="9" t="s">
        <v>5082</v>
      </c>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149"/>
      <c r="BU21" s="149"/>
      <c r="BV21" s="149"/>
      <c r="BW21" s="3"/>
      <c r="BX21" s="3"/>
      <c r="BY21" s="3"/>
      <c r="BZ21" s="3"/>
      <c r="CA21" s="3"/>
      <c r="CB21" s="3"/>
      <c r="CC21" s="3"/>
      <c r="CD21" s="3"/>
      <c r="CE21" s="3"/>
      <c r="CF21" s="9"/>
      <c r="CG21" s="9"/>
      <c r="CH21" s="9"/>
      <c r="CI21" s="9"/>
      <c r="CJ21" s="9"/>
      <c r="CK21" s="9"/>
      <c r="CL21" s="9"/>
      <c r="CM21" s="9"/>
      <c r="CN21" s="9"/>
      <c r="CO21" s="9"/>
      <c r="CP21" s="9"/>
    </row>
    <row r="22" spans="1:94" ht="14.5" customHeight="1">
      <c r="A22" s="606"/>
      <c r="B22" s="1167"/>
      <c r="C22" s="1167"/>
      <c r="D22" s="1419"/>
      <c r="E22" s="1167"/>
      <c r="F22" s="1420" t="s">
        <v>5083</v>
      </c>
      <c r="G22" s="2592" t="str">
        <f>IF(Set_Aside="Rural Set-Aside","Yes","No")</f>
        <v>No</v>
      </c>
      <c r="H22" s="2593"/>
      <c r="I22" s="2594"/>
      <c r="J22" s="1167"/>
      <c r="K22" s="1167"/>
      <c r="L22" s="1167"/>
      <c r="M22" s="1174"/>
      <c r="N22" s="2537" t="s">
        <v>5084</v>
      </c>
      <c r="O22" s="2562"/>
      <c r="P22" s="2538"/>
      <c r="Q22" s="2537">
        <f>SUM(Q15:R21)</f>
        <v>0</v>
      </c>
      <c r="R22" s="2538"/>
      <c r="S22" s="1167"/>
      <c r="T22" s="1167"/>
      <c r="U22" s="1167"/>
      <c r="W22" s="9" t="s">
        <v>5085</v>
      </c>
      <c r="Y22" s="1505">
        <v>14600</v>
      </c>
      <c r="Z22" s="9" t="s">
        <v>5086</v>
      </c>
      <c r="AB22" s="1505">
        <v>15800</v>
      </c>
      <c r="AE22" s="1641" t="s">
        <v>5087</v>
      </c>
      <c r="AF22" s="1641" t="s">
        <v>5088</v>
      </c>
      <c r="AG22" s="1641" t="s">
        <v>5089</v>
      </c>
      <c r="AH22" s="1641" t="s">
        <v>5087</v>
      </c>
      <c r="AI22" s="1641" t="s">
        <v>5088</v>
      </c>
      <c r="AJ22" s="1641" t="s">
        <v>5089</v>
      </c>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149"/>
      <c r="BU22" s="149"/>
      <c r="BV22" s="149"/>
      <c r="BW22" s="3"/>
      <c r="BX22" s="3"/>
      <c r="BY22" s="3"/>
      <c r="BZ22" s="3"/>
      <c r="CA22" s="3"/>
      <c r="CB22" s="3"/>
      <c r="CC22" s="3"/>
      <c r="CD22" s="3"/>
      <c r="CE22" s="3"/>
      <c r="CF22" s="9"/>
      <c r="CG22" s="9"/>
      <c r="CH22" s="9"/>
      <c r="CI22" s="9"/>
      <c r="CJ22" s="9"/>
      <c r="CK22" s="9"/>
      <c r="CL22" s="9"/>
      <c r="CM22" s="9"/>
      <c r="CN22" s="9"/>
      <c r="CO22" s="9"/>
      <c r="CP22" s="9"/>
    </row>
    <row r="23" spans="1:94">
      <c r="A23" s="606"/>
      <c r="B23" s="1167"/>
      <c r="C23" s="1167"/>
      <c r="D23" s="1167"/>
      <c r="E23" s="1167"/>
      <c r="F23" s="1167"/>
      <c r="G23" s="1422"/>
      <c r="H23" s="1422"/>
      <c r="I23" s="1422"/>
      <c r="J23" s="1422"/>
      <c r="K23" s="1422"/>
      <c r="L23" s="1174"/>
      <c r="M23" s="1174"/>
      <c r="N23" s="1174"/>
      <c r="O23" s="1174"/>
      <c r="P23" s="1174"/>
      <c r="Q23" s="1167"/>
      <c r="R23" s="1167"/>
      <c r="S23" s="1167"/>
      <c r="T23" s="1167"/>
      <c r="U23" s="1167"/>
      <c r="W23" s="9" t="s">
        <v>5090</v>
      </c>
      <c r="X23" s="1505">
        <v>14600</v>
      </c>
      <c r="Y23" s="1505">
        <v>15500</v>
      </c>
      <c r="Z23" s="9" t="s">
        <v>5091</v>
      </c>
      <c r="AA23" s="1505">
        <v>15801</v>
      </c>
      <c r="AB23" s="1505">
        <v>16400</v>
      </c>
      <c r="AE23" s="9" t="s">
        <v>5092</v>
      </c>
      <c r="AG23" s="1505">
        <v>9627</v>
      </c>
      <c r="AH23" s="9" t="s">
        <v>5093</v>
      </c>
      <c r="AJ23" s="1642">
        <v>8103</v>
      </c>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149"/>
      <c r="BU23" s="149"/>
      <c r="BV23" s="149"/>
      <c r="BW23" s="3"/>
      <c r="BX23" s="3"/>
      <c r="BY23" s="3"/>
      <c r="BZ23" s="3"/>
      <c r="CA23" s="3"/>
      <c r="CB23" s="3"/>
      <c r="CC23" s="3"/>
      <c r="CD23" s="3"/>
      <c r="CE23" s="3"/>
      <c r="CF23" s="9"/>
      <c r="CG23" s="9"/>
      <c r="CH23" s="9"/>
      <c r="CI23" s="9"/>
      <c r="CJ23" s="9"/>
      <c r="CK23" s="9"/>
      <c r="CL23" s="9"/>
      <c r="CM23" s="9"/>
      <c r="CN23" s="9"/>
      <c r="CO23" s="9"/>
      <c r="CP23" s="9"/>
    </row>
    <row r="24" spans="1:94">
      <c r="A24" s="606"/>
      <c r="B24" s="1167"/>
      <c r="C24" s="1167"/>
      <c r="D24" s="1167"/>
      <c r="E24" s="1170" t="str">
        <f>IF(G22="Yes", "Rural Set-Aside", "Non-Rural Set-Aside")</f>
        <v>Non-Rural Set-Aside</v>
      </c>
      <c r="F24" s="1170"/>
      <c r="G24" s="1170"/>
      <c r="H24" s="1170"/>
      <c r="I24" s="1421"/>
      <c r="J24" s="1167"/>
      <c r="K24" s="1167"/>
      <c r="L24" s="1167"/>
      <c r="M24" s="1167"/>
      <c r="N24" s="1167"/>
      <c r="O24" s="1174"/>
      <c r="P24" s="1174"/>
      <c r="Q24" s="1174"/>
      <c r="R24" s="1174"/>
      <c r="S24" s="1167"/>
      <c r="T24" s="1167"/>
      <c r="U24" s="1167"/>
      <c r="W24" s="9" t="s">
        <v>5094</v>
      </c>
      <c r="X24" s="1505">
        <v>15501</v>
      </c>
      <c r="Y24" s="1505">
        <v>16400</v>
      </c>
      <c r="Z24" s="9" t="s">
        <v>5095</v>
      </c>
      <c r="AA24" s="1505">
        <v>16401</v>
      </c>
      <c r="AB24" s="1505">
        <v>17000</v>
      </c>
      <c r="AE24" s="9" t="s">
        <v>5096</v>
      </c>
      <c r="AF24" s="1505">
        <v>9628</v>
      </c>
      <c r="AG24" s="1505">
        <v>10236</v>
      </c>
      <c r="AH24" s="9" t="s">
        <v>5097</v>
      </c>
      <c r="AI24" s="1642">
        <v>8104</v>
      </c>
      <c r="AJ24" s="1642">
        <v>8403</v>
      </c>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149"/>
      <c r="BU24" s="149"/>
      <c r="BV24" s="149"/>
      <c r="BW24" s="3"/>
      <c r="BX24" s="3"/>
      <c r="BY24" s="3"/>
      <c r="BZ24" s="3"/>
      <c r="CA24" s="3"/>
      <c r="CB24" s="3"/>
      <c r="CC24" s="3"/>
      <c r="CD24" s="3"/>
      <c r="CE24" s="3"/>
      <c r="CF24" s="9"/>
      <c r="CG24" s="9"/>
      <c r="CH24" s="9"/>
      <c r="CI24" s="9"/>
      <c r="CJ24" s="9"/>
      <c r="CK24" s="9"/>
      <c r="CL24" s="9"/>
      <c r="CM24" s="9"/>
      <c r="CN24" s="9"/>
      <c r="CO24" s="9"/>
      <c r="CP24" s="9"/>
    </row>
    <row r="25" spans="1:94" ht="18.5" customHeight="1">
      <c r="A25" s="606"/>
      <c r="B25" s="1167"/>
      <c r="C25" s="1167"/>
      <c r="D25" s="1167"/>
      <c r="E25" s="2467" t="s">
        <v>5098</v>
      </c>
      <c r="F25" s="2612"/>
      <c r="G25" s="2467" t="s">
        <v>4739</v>
      </c>
      <c r="H25" s="2612"/>
      <c r="I25" s="1421"/>
      <c r="J25" s="1167"/>
      <c r="K25" s="1167"/>
      <c r="L25" s="1167"/>
      <c r="M25" s="1167"/>
      <c r="N25" s="1167"/>
      <c r="O25" s="1167"/>
      <c r="P25" s="1167"/>
      <c r="Q25" s="1167"/>
      <c r="R25" s="1167"/>
      <c r="S25" s="1174"/>
      <c r="T25" s="1174"/>
      <c r="U25" s="1174"/>
      <c r="W25" s="9" t="s">
        <v>5099</v>
      </c>
      <c r="X25" s="1505">
        <v>16401</v>
      </c>
      <c r="Y25" s="1505">
        <v>17300</v>
      </c>
      <c r="Z25" s="9" t="s">
        <v>5100</v>
      </c>
      <c r="AA25" s="1505">
        <v>17001</v>
      </c>
      <c r="AB25" s="1505">
        <v>17600</v>
      </c>
      <c r="AE25" s="9" t="s">
        <v>5101</v>
      </c>
      <c r="AF25" s="1505">
        <v>10237</v>
      </c>
      <c r="AG25" s="1505">
        <v>10845</v>
      </c>
      <c r="AH25" s="9" t="s">
        <v>5102</v>
      </c>
      <c r="AI25" s="1642">
        <v>8404</v>
      </c>
      <c r="AJ25" s="1642">
        <v>8703</v>
      </c>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149"/>
      <c r="BU25" s="149"/>
      <c r="BV25" s="149"/>
      <c r="BW25" s="3"/>
      <c r="BX25" s="3"/>
      <c r="BY25" s="3"/>
      <c r="BZ25" s="3"/>
      <c r="CA25" s="3"/>
      <c r="CB25" s="3"/>
      <c r="CC25" s="3"/>
      <c r="CD25" s="3"/>
      <c r="CE25" s="3"/>
      <c r="CF25" s="9"/>
      <c r="CG25" s="9"/>
      <c r="CH25" s="9"/>
      <c r="CI25" s="9"/>
      <c r="CJ25" s="9"/>
      <c r="CK25" s="9"/>
      <c r="CL25" s="9"/>
      <c r="CM25" s="9"/>
      <c r="CN25" s="9"/>
      <c r="CO25" s="9"/>
      <c r="CP25" s="9"/>
    </row>
    <row r="26" spans="1:94" ht="15" customHeight="1">
      <c r="A26" s="606"/>
      <c r="B26" s="1167"/>
      <c r="C26" s="1167"/>
      <c r="D26" s="1167"/>
      <c r="E26" s="2537" t="b">
        <f>IF(Credit_percentage_applied_for="4%","All Projects",IF(AND($G$22="Yes",AC14=FALSE),AD14,IF(AND($G$22="No",AD14=FALSE),AC14,"Input Project Details")))</f>
        <v>0</v>
      </c>
      <c r="F26" s="2538"/>
      <c r="G26" s="2537">
        <v>36</v>
      </c>
      <c r="H26" s="2538"/>
      <c r="I26" s="1421"/>
      <c r="J26" s="1167"/>
      <c r="K26" s="1167"/>
      <c r="L26" s="1167"/>
      <c r="M26" s="1167"/>
      <c r="N26" s="1174"/>
      <c r="O26" s="1167"/>
      <c r="P26" s="1167"/>
      <c r="Q26" s="1167"/>
      <c r="R26" s="1167"/>
      <c r="S26" s="1167"/>
      <c r="T26" s="1167"/>
      <c r="U26" s="1167"/>
      <c r="W26" s="9" t="s">
        <v>5103</v>
      </c>
      <c r="X26" s="1505">
        <v>17301</v>
      </c>
      <c r="Y26" s="1505">
        <v>18200</v>
      </c>
      <c r="Z26" s="9" t="s">
        <v>5104</v>
      </c>
      <c r="AA26" s="1505">
        <v>17601</v>
      </c>
      <c r="AB26" s="1505">
        <v>18200</v>
      </c>
      <c r="AE26" s="9" t="s">
        <v>5105</v>
      </c>
      <c r="AF26" s="1505">
        <v>10846</v>
      </c>
      <c r="AG26" s="1505">
        <v>11454</v>
      </c>
      <c r="AH26" s="9" t="s">
        <v>5106</v>
      </c>
      <c r="AI26" s="1642">
        <v>8704</v>
      </c>
      <c r="AJ26" s="1642">
        <v>9003</v>
      </c>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row>
    <row r="27" spans="1:94" ht="15" customHeight="1">
      <c r="A27" s="606"/>
      <c r="B27" s="1167"/>
      <c r="C27" s="1167"/>
      <c r="D27" s="1167"/>
      <c r="E27" s="2537" t="b">
        <f t="shared" ref="E27:E32" si="1">IF(Credit_percentage_applied_for="4%","N/A",IF(AND($G$22="Yes",AC15=FALSE),AD15,IF(AND($G$22="No",AD15=FALSE),AC15,"Input Project Details")))</f>
        <v>0</v>
      </c>
      <c r="F27" s="2538"/>
      <c r="G27" s="2537">
        <v>34</v>
      </c>
      <c r="H27" s="2538"/>
      <c r="I27" s="1421"/>
      <c r="J27" s="1167"/>
      <c r="K27" s="1167"/>
      <c r="L27" s="1167"/>
      <c r="M27" s="1167"/>
      <c r="N27" s="1174"/>
      <c r="O27" s="1167"/>
      <c r="P27" s="1167"/>
      <c r="Q27" s="1167"/>
      <c r="R27" s="1167"/>
      <c r="S27" s="1167"/>
      <c r="T27" s="1167"/>
      <c r="U27" s="1167"/>
      <c r="W27" s="9" t="s">
        <v>5107</v>
      </c>
      <c r="X27" s="1505">
        <v>18201</v>
      </c>
      <c r="Y27" s="1505">
        <v>19100</v>
      </c>
      <c r="Z27" s="9" t="s">
        <v>5108</v>
      </c>
      <c r="AA27" s="1505">
        <v>18201</v>
      </c>
      <c r="AB27" s="1505">
        <v>18800</v>
      </c>
      <c r="AE27" s="9" t="s">
        <v>5109</v>
      </c>
      <c r="AF27" s="1505">
        <v>11455</v>
      </c>
      <c r="AG27" s="1505">
        <v>12063</v>
      </c>
      <c r="AH27" s="9" t="s">
        <v>5110</v>
      </c>
      <c r="AI27" s="1642">
        <v>9004</v>
      </c>
      <c r="AJ27" s="1642">
        <v>9303</v>
      </c>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row>
    <row r="28" spans="1:94" ht="15" customHeight="1">
      <c r="A28" s="606"/>
      <c r="B28" s="1167"/>
      <c r="C28" s="1167"/>
      <c r="D28" s="1167"/>
      <c r="E28" s="2537" t="b">
        <f t="shared" si="1"/>
        <v>0</v>
      </c>
      <c r="F28" s="2538"/>
      <c r="G28" s="2537">
        <v>32</v>
      </c>
      <c r="H28" s="2538"/>
      <c r="I28" s="1421"/>
      <c r="J28" s="1167"/>
      <c r="K28" s="1167"/>
      <c r="L28" s="1167"/>
      <c r="M28" s="1167"/>
      <c r="N28" s="1174"/>
      <c r="O28" s="1167"/>
      <c r="P28" s="1167"/>
      <c r="Q28" s="1167"/>
      <c r="R28" s="1167"/>
      <c r="S28" s="1167"/>
      <c r="T28" s="1167"/>
      <c r="U28" s="1167"/>
      <c r="W28" s="9" t="s">
        <v>5111</v>
      </c>
      <c r="X28" s="1505">
        <v>19100</v>
      </c>
      <c r="Y28" s="1505"/>
      <c r="Z28" s="9" t="s">
        <v>5112</v>
      </c>
      <c r="AA28" s="1505">
        <v>18800</v>
      </c>
      <c r="AB28" s="1505"/>
      <c r="AE28" s="9" t="s">
        <v>5113</v>
      </c>
      <c r="AF28" s="1505">
        <v>12064</v>
      </c>
      <c r="AG28" s="1505"/>
      <c r="AH28" s="9" t="s">
        <v>5114</v>
      </c>
      <c r="AI28" s="1642">
        <v>9304</v>
      </c>
      <c r="AJ28" s="1642"/>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row>
    <row r="29" spans="1:94" ht="15" customHeight="1">
      <c r="A29" s="606"/>
      <c r="B29" s="1167"/>
      <c r="C29" s="1167"/>
      <c r="D29" s="1167"/>
      <c r="E29" s="2537" t="b">
        <f t="shared" si="1"/>
        <v>0</v>
      </c>
      <c r="F29" s="2538"/>
      <c r="G29" s="2537">
        <v>30</v>
      </c>
      <c r="H29" s="2538"/>
      <c r="I29" s="1421"/>
      <c r="J29" s="1167"/>
      <c r="K29" s="1167"/>
      <c r="L29" s="1167"/>
      <c r="M29" s="1167"/>
      <c r="N29" s="1174"/>
      <c r="O29" s="1167"/>
      <c r="P29" s="1167"/>
      <c r="Q29" s="1167"/>
      <c r="R29" s="1167"/>
      <c r="S29" s="1167"/>
      <c r="T29" s="1167"/>
      <c r="U29" s="1167"/>
      <c r="W29" s="1641" t="s">
        <v>5115</v>
      </c>
      <c r="X29" s="1641" t="s">
        <v>5116</v>
      </c>
      <c r="Y29" s="1641" t="s">
        <v>5117</v>
      </c>
      <c r="Z29" s="1641" t="s">
        <v>5115</v>
      </c>
      <c r="AA29" s="1641" t="s">
        <v>5116</v>
      </c>
      <c r="AB29" s="1641" t="s">
        <v>5117</v>
      </c>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row>
    <row r="30" spans="1:94" ht="15" customHeight="1">
      <c r="A30" s="606"/>
      <c r="B30" s="1167"/>
      <c r="C30" s="1167"/>
      <c r="D30" s="1167"/>
      <c r="E30" s="2537" t="b">
        <f t="shared" si="1"/>
        <v>0</v>
      </c>
      <c r="F30" s="2538"/>
      <c r="G30" s="2537">
        <v>28</v>
      </c>
      <c r="H30" s="2538"/>
      <c r="I30" s="1421"/>
      <c r="J30" s="1167"/>
      <c r="K30" s="1167"/>
      <c r="L30" s="1167"/>
      <c r="M30" s="1167"/>
      <c r="N30" s="1174"/>
      <c r="O30" s="1167"/>
      <c r="P30" s="1167"/>
      <c r="Q30" s="1167"/>
      <c r="R30" s="1167"/>
      <c r="S30" s="1167"/>
      <c r="T30" s="1167"/>
      <c r="U30" s="1167"/>
      <c r="W30" s="9" t="s">
        <v>5118</v>
      </c>
      <c r="Y30" s="1505">
        <v>8500</v>
      </c>
      <c r="Z30" s="9" t="s">
        <v>5119</v>
      </c>
      <c r="AB30" s="1505">
        <v>15500</v>
      </c>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row>
    <row r="31" spans="1:94" ht="15" customHeight="1">
      <c r="A31" s="606"/>
      <c r="B31" s="1167"/>
      <c r="C31" s="1167"/>
      <c r="D31" s="1167"/>
      <c r="E31" s="2537" t="b">
        <f t="shared" si="1"/>
        <v>0</v>
      </c>
      <c r="F31" s="2538"/>
      <c r="G31" s="2537">
        <v>26</v>
      </c>
      <c r="H31" s="2538"/>
      <c r="I31" s="1421"/>
      <c r="J31" s="1167"/>
      <c r="K31" s="1167"/>
      <c r="L31" s="1167"/>
      <c r="M31" s="1167"/>
      <c r="N31" s="1174"/>
      <c r="O31" s="1167"/>
      <c r="P31" s="1167"/>
      <c r="Q31" s="1167"/>
      <c r="R31" s="1167"/>
      <c r="S31" s="1167"/>
      <c r="T31" s="1167"/>
      <c r="U31" s="1167"/>
      <c r="W31" s="9" t="s">
        <v>5120</v>
      </c>
      <c r="X31" s="1505">
        <v>8500</v>
      </c>
      <c r="Y31" s="1505">
        <v>9200</v>
      </c>
      <c r="Z31" s="9" t="s">
        <v>5121</v>
      </c>
      <c r="AA31" s="1505">
        <v>15500</v>
      </c>
      <c r="AB31" s="1505">
        <v>16400</v>
      </c>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row>
    <row r="32" spans="1:94">
      <c r="A32" s="1009"/>
      <c r="B32" s="1167"/>
      <c r="C32" s="1421"/>
      <c r="D32" s="1421"/>
      <c r="E32" s="2537" t="b">
        <f t="shared" si="1"/>
        <v>0</v>
      </c>
      <c r="F32" s="2538"/>
      <c r="G32" s="2579">
        <v>0</v>
      </c>
      <c r="H32" s="2580"/>
      <c r="I32" s="1167"/>
      <c r="J32" s="1167"/>
      <c r="K32" s="1167"/>
      <c r="L32" s="1167"/>
      <c r="M32" s="1167"/>
      <c r="N32" s="1167"/>
      <c r="O32" s="1167"/>
      <c r="P32" s="1167"/>
      <c r="Q32" s="1167"/>
      <c r="R32" s="1167"/>
      <c r="S32" s="1167"/>
      <c r="T32" s="1167"/>
      <c r="U32" s="1167"/>
      <c r="W32" s="9" t="s">
        <v>5122</v>
      </c>
      <c r="X32" s="1505">
        <v>9201</v>
      </c>
      <c r="Y32" s="1505">
        <v>9900</v>
      </c>
      <c r="Z32" s="9" t="s">
        <v>5099</v>
      </c>
      <c r="AA32" s="1505">
        <v>16401</v>
      </c>
      <c r="AB32" s="1505">
        <v>17300</v>
      </c>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row>
    <row r="33" spans="1:84" ht="14.5" hidden="1" customHeight="1">
      <c r="A33" s="1010"/>
      <c r="B33" s="1167"/>
      <c r="C33" s="1421"/>
      <c r="D33" s="1421"/>
      <c r="E33" s="1421"/>
      <c r="F33" s="1167"/>
      <c r="G33" s="1167"/>
      <c r="H33" s="1167"/>
      <c r="I33" s="1167"/>
      <c r="J33" s="1167"/>
      <c r="K33" s="1167"/>
      <c r="L33" s="1167"/>
      <c r="M33" s="1167"/>
      <c r="N33" s="1167"/>
      <c r="O33" s="1167"/>
      <c r="P33" s="1167"/>
      <c r="Q33" s="1167"/>
      <c r="R33" s="1167"/>
      <c r="S33" s="1167"/>
      <c r="T33" s="1167"/>
      <c r="U33" s="1167"/>
      <c r="W33" s="9" t="s">
        <v>5123</v>
      </c>
      <c r="X33" s="1505">
        <v>9901</v>
      </c>
      <c r="Y33" s="1505">
        <v>10600</v>
      </c>
      <c r="Z33" s="9" t="s">
        <v>5103</v>
      </c>
      <c r="AA33" s="1505">
        <v>17301</v>
      </c>
      <c r="AB33" s="1505">
        <v>18200</v>
      </c>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row>
    <row r="34" spans="1:84" ht="14.5" hidden="1" customHeight="1">
      <c r="A34" s="1011" t="s">
        <v>5124</v>
      </c>
      <c r="B34" s="1424"/>
      <c r="C34" s="1424"/>
      <c r="D34" s="1424"/>
      <c r="E34" s="1424"/>
      <c r="F34" s="1424"/>
      <c r="G34" s="1424"/>
      <c r="H34" s="1424"/>
      <c r="I34" s="1167"/>
      <c r="J34" s="1167"/>
      <c r="K34" s="1167"/>
      <c r="L34" s="1167"/>
      <c r="M34" s="1167"/>
      <c r="N34" s="1167"/>
      <c r="O34" s="1167"/>
      <c r="P34" s="1167"/>
      <c r="Q34" s="1167"/>
      <c r="R34" s="1167"/>
      <c r="S34" s="1167"/>
      <c r="T34" s="1167"/>
      <c r="U34" s="1167"/>
      <c r="W34" s="9" t="s">
        <v>5125</v>
      </c>
      <c r="X34" s="1505">
        <v>10601</v>
      </c>
      <c r="Y34" s="1505">
        <v>11300</v>
      </c>
      <c r="Z34" s="9" t="s">
        <v>5107</v>
      </c>
      <c r="AA34" s="1505">
        <v>18201</v>
      </c>
      <c r="AB34" s="1505">
        <v>19100</v>
      </c>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row>
    <row r="35" spans="1:84" ht="14.5" hidden="1" customHeight="1" thickBot="1">
      <c r="A35" s="1010"/>
      <c r="B35" s="1425"/>
      <c r="C35" s="1425"/>
      <c r="D35" s="1425"/>
      <c r="E35" s="1425"/>
      <c r="F35" s="1425"/>
      <c r="G35" s="1425"/>
      <c r="H35" s="1425"/>
      <c r="I35" s="1425"/>
      <c r="J35" s="1425"/>
      <c r="K35" s="1425"/>
      <c r="L35" s="1167"/>
      <c r="M35" s="1167"/>
      <c r="N35" s="1167"/>
      <c r="O35" s="1167"/>
      <c r="P35" s="1167"/>
      <c r="Q35" s="1167"/>
      <c r="R35" s="1167"/>
      <c r="S35" s="1167"/>
      <c r="T35" s="1167"/>
      <c r="U35" s="1167"/>
      <c r="W35" s="9" t="s">
        <v>5126</v>
      </c>
      <c r="X35" s="1505">
        <v>11301</v>
      </c>
      <c r="Y35" s="1505">
        <v>12000</v>
      </c>
      <c r="Z35" s="9" t="s">
        <v>5127</v>
      </c>
      <c r="AA35" s="1505">
        <v>19101</v>
      </c>
      <c r="AB35" s="1505">
        <v>20000</v>
      </c>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row>
    <row r="36" spans="1:84" ht="14.5" hidden="1" customHeight="1" thickTop="1">
      <c r="A36" s="1010"/>
      <c r="B36" s="1426"/>
      <c r="C36" s="1426"/>
      <c r="D36" s="1426"/>
      <c r="E36" s="1426"/>
      <c r="F36" s="1426"/>
      <c r="G36" s="1426"/>
      <c r="H36" s="1426"/>
      <c r="I36" s="1426"/>
      <c r="J36" s="1426"/>
      <c r="K36" s="1167"/>
      <c r="L36" s="1167"/>
      <c r="M36" s="1167"/>
      <c r="N36" s="1167"/>
      <c r="O36" s="1167"/>
      <c r="P36" s="1167"/>
      <c r="Q36" s="1167"/>
      <c r="R36" s="1167"/>
      <c r="S36" s="1167"/>
      <c r="T36" s="1167"/>
      <c r="U36" s="1167"/>
      <c r="W36" s="9" t="s">
        <v>5128</v>
      </c>
      <c r="X36" s="1505">
        <v>12000</v>
      </c>
      <c r="Z36" s="9" t="s">
        <v>5129</v>
      </c>
      <c r="AA36" s="1505">
        <v>20000</v>
      </c>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row>
    <row r="37" spans="1:84" ht="14.5" hidden="1" customHeight="1">
      <c r="A37" s="1010"/>
      <c r="B37" s="1167"/>
      <c r="C37" s="1420" t="s">
        <v>5130</v>
      </c>
      <c r="D37" s="1420"/>
      <c r="E37" s="1420"/>
      <c r="F37" s="1432">
        <v>100</v>
      </c>
      <c r="G37" s="1424"/>
      <c r="H37" s="1424"/>
      <c r="I37" s="1167"/>
      <c r="J37" s="1167"/>
      <c r="K37" s="1167"/>
      <c r="L37" s="1167"/>
      <c r="M37" s="1167"/>
      <c r="N37" s="1167"/>
      <c r="O37" s="1167"/>
      <c r="P37" s="1167"/>
      <c r="Q37" s="1167"/>
      <c r="R37" s="1167"/>
      <c r="S37" s="1167"/>
      <c r="T37" s="1167"/>
      <c r="U37" s="1167"/>
      <c r="W37" s="1641" t="s">
        <v>5131</v>
      </c>
      <c r="X37" s="1641" t="s">
        <v>5132</v>
      </c>
      <c r="Y37" s="1641" t="s">
        <v>5133</v>
      </c>
      <c r="Z37" s="1641" t="s">
        <v>5131</v>
      </c>
      <c r="AA37" s="1641" t="s">
        <v>5132</v>
      </c>
      <c r="AB37" s="1641" t="s">
        <v>5133</v>
      </c>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row>
    <row r="38" spans="1:84" ht="14.5" hidden="1" customHeight="1">
      <c r="A38" s="1010"/>
      <c r="B38" s="1167"/>
      <c r="C38" s="1427" t="s">
        <v>5134</v>
      </c>
      <c r="D38" s="1427"/>
      <c r="E38" s="1427"/>
      <c r="F38" s="1432">
        <v>10</v>
      </c>
      <c r="G38" s="1424"/>
      <c r="H38" s="1424"/>
      <c r="I38" s="1167"/>
      <c r="J38" s="1167"/>
      <c r="K38" s="1167"/>
      <c r="L38" s="1174"/>
      <c r="M38" s="1174"/>
      <c r="N38" s="1174"/>
      <c r="O38" s="1174"/>
      <c r="P38" s="1174"/>
      <c r="Q38" s="1167"/>
      <c r="R38" s="1167"/>
      <c r="S38" s="1167"/>
      <c r="T38" s="1167"/>
      <c r="U38" s="1167"/>
      <c r="W38" s="9" t="s">
        <v>5135</v>
      </c>
      <c r="Y38" s="1505">
        <v>6400</v>
      </c>
      <c r="Z38" s="9" t="s">
        <v>5136</v>
      </c>
      <c r="AB38" s="1505">
        <v>11600</v>
      </c>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row>
    <row r="39" spans="1:84" ht="14.5" hidden="1" customHeight="1">
      <c r="A39" s="1010"/>
      <c r="B39" s="1167"/>
      <c r="C39" s="1427" t="s">
        <v>5137</v>
      </c>
      <c r="D39" s="1427"/>
      <c r="E39" s="1427"/>
      <c r="F39" s="1433">
        <f>IFERROR(F38/F37,0)</f>
        <v>0.1</v>
      </c>
      <c r="G39" s="1424"/>
      <c r="H39" s="1424"/>
      <c r="I39" s="1167"/>
      <c r="J39" s="1167"/>
      <c r="K39" s="1167"/>
      <c r="L39" s="1174"/>
      <c r="M39" s="1174"/>
      <c r="N39" s="1174"/>
      <c r="O39" s="1174"/>
      <c r="P39" s="1174"/>
      <c r="Q39" s="1167"/>
      <c r="R39" s="1167"/>
      <c r="S39" s="1167"/>
      <c r="T39" s="1167"/>
      <c r="U39" s="1167"/>
      <c r="W39" s="9" t="s">
        <v>5138</v>
      </c>
      <c r="X39" s="1505">
        <v>6400</v>
      </c>
      <c r="Y39" s="1505">
        <v>6900</v>
      </c>
      <c r="Z39" s="9" t="s">
        <v>5139</v>
      </c>
      <c r="AA39" s="1505">
        <v>11601</v>
      </c>
      <c r="AB39" s="1505">
        <v>12300</v>
      </c>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row>
    <row r="40" spans="1:84" ht="14.5" hidden="1" customHeight="1">
      <c r="A40" s="1010"/>
      <c r="B40" s="1424"/>
      <c r="C40" s="1424"/>
      <c r="D40" s="1424"/>
      <c r="E40" s="1424"/>
      <c r="F40" s="1424"/>
      <c r="G40" s="1424"/>
      <c r="H40" s="1424"/>
      <c r="I40" s="1167"/>
      <c r="J40" s="1167"/>
      <c r="K40" s="1167"/>
      <c r="L40" s="1174"/>
      <c r="M40" s="1174"/>
      <c r="N40" s="1174"/>
      <c r="O40" s="1174"/>
      <c r="P40" s="1174"/>
      <c r="Q40" s="1167"/>
      <c r="R40" s="1167"/>
      <c r="S40" s="1167"/>
      <c r="T40" s="1167"/>
      <c r="U40" s="1167"/>
      <c r="W40" s="9" t="s">
        <v>5140</v>
      </c>
      <c r="X40" s="1505">
        <v>6901</v>
      </c>
      <c r="Y40" s="1505">
        <v>7400</v>
      </c>
      <c r="Z40" s="9" t="s">
        <v>5141</v>
      </c>
      <c r="AA40" s="1505">
        <v>12301</v>
      </c>
      <c r="AB40" s="1505">
        <v>12900</v>
      </c>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row>
    <row r="41" spans="1:84" ht="14.5" hidden="1" customHeight="1">
      <c r="A41" s="1010"/>
      <c r="B41" s="1424"/>
      <c r="C41" s="1428" t="s">
        <v>5142</v>
      </c>
      <c r="D41" s="1429"/>
      <c r="E41" s="1429"/>
      <c r="F41" s="1434" t="s">
        <v>4739</v>
      </c>
      <c r="G41" s="1424"/>
      <c r="H41" s="1424"/>
      <c r="I41" s="1167"/>
      <c r="J41" s="1167"/>
      <c r="K41" s="1167"/>
      <c r="L41" s="1174"/>
      <c r="M41" s="1174"/>
      <c r="N41" s="1174"/>
      <c r="O41" s="1174"/>
      <c r="P41" s="1174"/>
      <c r="Q41" s="1167"/>
      <c r="R41" s="1167"/>
      <c r="S41" s="1167"/>
      <c r="T41" s="1167"/>
      <c r="U41" s="1167"/>
      <c r="W41" s="9" t="s">
        <v>5143</v>
      </c>
      <c r="X41" s="1505">
        <v>7401</v>
      </c>
      <c r="Y41" s="1505">
        <v>7900</v>
      </c>
      <c r="Z41" s="9" t="s">
        <v>5144</v>
      </c>
      <c r="AA41" s="1505">
        <v>12901</v>
      </c>
      <c r="AB41" s="1505">
        <v>13600</v>
      </c>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row>
    <row r="42" spans="1:84" ht="14.5" hidden="1" customHeight="1">
      <c r="A42" s="1010"/>
      <c r="B42" s="1424"/>
      <c r="C42" s="1430" t="s">
        <v>5145</v>
      </c>
      <c r="D42" s="1431"/>
      <c r="E42" s="1431"/>
      <c r="F42" s="1435">
        <v>5</v>
      </c>
      <c r="G42" s="1424"/>
      <c r="H42" s="1424"/>
      <c r="I42" s="1167"/>
      <c r="J42" s="1167"/>
      <c r="K42" s="1167"/>
      <c r="L42" s="1174"/>
      <c r="M42" s="1174"/>
      <c r="N42" s="1174"/>
      <c r="O42" s="1174"/>
      <c r="P42" s="1174"/>
      <c r="Q42" s="1167"/>
      <c r="R42" s="1167"/>
      <c r="S42" s="1167"/>
      <c r="T42" s="1167"/>
      <c r="U42" s="1167"/>
      <c r="W42" s="9" t="s">
        <v>5146</v>
      </c>
      <c r="X42" s="1505">
        <v>7901</v>
      </c>
      <c r="Y42" s="1505">
        <v>8400</v>
      </c>
      <c r="Z42" s="9" t="s">
        <v>5147</v>
      </c>
      <c r="AA42" s="1505">
        <v>13601</v>
      </c>
      <c r="AB42" s="1505">
        <v>14300</v>
      </c>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row>
    <row r="43" spans="1:84" ht="14.5" hidden="1" customHeight="1">
      <c r="A43" s="1010"/>
      <c r="B43" s="1424"/>
      <c r="C43" s="1430" t="s">
        <v>5148</v>
      </c>
      <c r="D43" s="1431"/>
      <c r="E43" s="1431"/>
      <c r="F43" s="1435">
        <v>0</v>
      </c>
      <c r="G43" s="1424"/>
      <c r="H43" s="1424"/>
      <c r="I43" s="1167"/>
      <c r="J43" s="1167"/>
      <c r="K43" s="1167"/>
      <c r="L43" s="1174"/>
      <c r="M43" s="1174"/>
      <c r="N43" s="1174"/>
      <c r="O43" s="1174"/>
      <c r="P43" s="1174"/>
      <c r="Q43" s="1167"/>
      <c r="R43" s="1167"/>
      <c r="S43" s="1167"/>
      <c r="T43" s="1167"/>
      <c r="U43" s="1167"/>
      <c r="W43" s="9" t="s">
        <v>5149</v>
      </c>
      <c r="X43" s="1505">
        <v>8401</v>
      </c>
      <c r="Y43" s="1505">
        <v>9000</v>
      </c>
      <c r="Z43" s="9" t="s">
        <v>5150</v>
      </c>
      <c r="AA43" s="1505">
        <v>14301</v>
      </c>
      <c r="AB43" s="1505">
        <v>14900</v>
      </c>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row>
    <row r="44" spans="1:84" ht="14.5" hidden="1" customHeight="1">
      <c r="A44" s="1010"/>
      <c r="B44" s="1424"/>
      <c r="C44" s="1424"/>
      <c r="D44" s="1424"/>
      <c r="E44" s="1424"/>
      <c r="F44" s="1424"/>
      <c r="G44" s="1424"/>
      <c r="H44" s="1424"/>
      <c r="I44" s="1167"/>
      <c r="J44" s="1167"/>
      <c r="K44" s="1167"/>
      <c r="L44" s="1174"/>
      <c r="M44" s="1174"/>
      <c r="N44" s="1174"/>
      <c r="O44" s="1174"/>
      <c r="P44" s="1174"/>
      <c r="Q44" s="1167"/>
      <c r="R44" s="1167"/>
      <c r="S44" s="1167"/>
      <c r="T44" s="1167"/>
      <c r="U44" s="1167"/>
      <c r="W44" s="9" t="s">
        <v>5151</v>
      </c>
      <c r="X44" s="1505">
        <v>9000</v>
      </c>
      <c r="Z44" s="9" t="s">
        <v>5152</v>
      </c>
      <c r="AA44" s="1505">
        <v>14900</v>
      </c>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row>
    <row r="45" spans="1:84" ht="14.5" hidden="1" customHeight="1">
      <c r="A45" s="1010"/>
      <c r="B45" s="1424"/>
      <c r="C45" s="1170"/>
      <c r="D45" s="1170"/>
      <c r="E45" s="1170"/>
      <c r="F45" s="1717" t="s">
        <v>5153</v>
      </c>
      <c r="G45" s="1424"/>
      <c r="H45" s="1424"/>
      <c r="I45" s="1167"/>
      <c r="J45" s="1167"/>
      <c r="K45" s="1167"/>
      <c r="L45" s="1174"/>
      <c r="M45" s="1174"/>
      <c r="N45" s="1174"/>
      <c r="O45" s="1174"/>
      <c r="P45" s="1174"/>
      <c r="Q45" s="1167"/>
      <c r="R45" s="1167"/>
      <c r="S45" s="1167"/>
      <c r="T45" s="1167"/>
      <c r="U45" s="1167"/>
      <c r="W45" s="9" t="s">
        <v>5154</v>
      </c>
      <c r="Z45" s="9" t="s">
        <v>5155</v>
      </c>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row>
    <row r="46" spans="1:84" ht="14" hidden="1" customHeight="1">
      <c r="A46" s="1010"/>
      <c r="B46" s="1424"/>
      <c r="C46" s="1170" t="s">
        <v>5156</v>
      </c>
      <c r="D46" s="1170"/>
      <c r="E46" s="1170"/>
      <c r="F46" s="1655">
        <f>IF(F39&gt;10%,5,IF(AND(F39&lt;=10%,F39&gt;=0%),0,0))</f>
        <v>0</v>
      </c>
      <c r="G46" s="1424"/>
      <c r="H46" s="1424"/>
      <c r="I46" s="1167"/>
      <c r="J46" s="1167"/>
      <c r="K46" s="1167"/>
      <c r="L46" s="1174"/>
      <c r="M46" s="1174"/>
      <c r="N46" s="1174"/>
      <c r="O46" s="1174"/>
      <c r="P46" s="1174"/>
      <c r="Q46" s="1167"/>
      <c r="R46" s="1167"/>
      <c r="S46" s="1167"/>
      <c r="T46" s="1167"/>
      <c r="U46" s="1167"/>
      <c r="W46" s="9">
        <f>IF(AND(G14="State + Fed 4%",G15="Acquisition/Rehab",G22="No"),IF(G21&gt;X44,0,IF(AND(G21&gt;=X43,G21&lt;=Y43),G31,IF(AND(G21&gt;=X42,G21&lt;=Y42),G30,IF(AND(G21&gt;=X41,G21&lt;=Y41),G29,IF(AND(G21&gt;=X40,G21&lt;=Y40),G28,IF(AND(G21&gt;=X39,G21&lt;=Y39),G27,IF(G21&lt;Y38,G26))))))),IF(AND(G14="State + Fed 4%",G15="New Construction",G22="No"),IF(G21&gt;X36,0,IF(AND(G21&gt;=X35,G21&lt;=Y35),G31,IF(AND(G21&gt;=X34,G21&lt;=Y34),G30,IF(AND(G21&gt;=X33,G21&lt;=Y33),G29,IF(AND(G21&gt;=X32,G21&lt;=Y32),G28,IF(AND(G21&gt;=X31,G21&lt;=Y31),G27,IF(G21&lt;Y30,G26))))))),IF(AND(G14="4%",G15="New Construction",G22="No"),(IF(G21&gt;AF20,0,IF(AND(G21&gt;=AF19,G21&lt;=AG19),G30,IF(AND(G21&gt;=AF18,G21&lt;=AG18),G29,IF(AND(G21&gt;=AF17,G21&lt;=AG17),G28,IF(AND(G21&gt;=AF16,G21&lt;=AG16),G27,IF(G21&lt;AG15,G26))))))),IF(AND(G14="9%",G15="New Construction",G22="No"),IF(G21&gt;X20,0,IF(AND(G21&gt;=X19,G21&lt;=Y19),G31,IF(AND(G21&gt;=X18,G21&lt;=Y18),G30,IF(AND(G21&gt;=X17,G21&lt;=Y17),G29,IF(AND(G21&gt;=X16,G21&lt;=Y16),G28,IF(AND(G21&gt;=X15,G21&lt;=Y15),G27,IF(G21&lt;Y14,G26))))))),IF(AND(G14="4%",G15="Acquisition/Rehab",G22="No"),(IF(G21&gt;AF28,0,IF(AND(G21&gt;AF27,G21&lt;AG27),G30,IF(AND(G21&gt;AF26,G21&lt;AG26),G29,IF(AND(G21&gt;AF25,G21&lt;AG25),G28,IF(AND(G21&gt;AF24,G21&lt;AG24),G27,IF(G21&lt;AG23,G26))))))),IF(AND(G14="9%",G15="Acquisition/Rehab",G22="No"),IF(G21&gt;X28,0,IF(AND(G21&gt;=X27,G21&lt;=Y27),G31,IF(AND(G21&gt;=X26,G21&lt;=Y26),G30,IF(AND(G21&gt;=X25,G21&lt;=Y25),G29,IF(AND(G21&gt;=X24,G21&lt;=Y24),G28,IF(AND(G21&gt;=X23,G21&lt;=Y23),G27,IF(G21&lt;Y22,G26))))))),G26))))))</f>
        <v>36</v>
      </c>
      <c r="Z46" s="928">
        <f>IF(AND(G14="State + Fed 4%",G15="Acquisition/Rehab",G22="Yes"),IF(G21&gt;AA44,0,IF(AND(G21&gt;=AA43,G21&lt;=AB43),G31,IF(AND(G21&gt;=AA42,G21&lt;=AB42),G30,IF(AND(G21&gt;=AA41,G21&lt;=AB41),G29,IF(AND(G21&gt;=AA40,G21&lt;=AB40),G28,IF(AND(G21&gt;=AA39,G21&lt;=AB39),G27,IF(G21&lt;AB38,G26))))))),IF(AND(G14="State + Fed 4%",G15="New Construction",G22="Yes"),IF(G21&gt;AA36,0,IF(AND(G21&gt;=AA35,G21&lt;=AB35),G31,IF(AND(G21&gt;=AA34,G21&lt;=AB34),G30,IF(AND(G21&gt;=AA33,G21&lt;=AB33),G29,IF(AND(G21&gt;=AA32,G21&lt;=AB32),G28,IF(AND(G21&gt;=AA31,G21&lt;=AB31),G27,IF(G21&lt;AB30,G26))))))),IF(AND(G14="4%",G15="New Construction",G22="Yes"),(IF(G21&gt;AI20,0,IF(AND(G21&gt;AI19,G21&lt;AJ19),G30,IF(AND(G21&gt;AI18,G21&lt;AJ18),G29,IF(AND(G21&gt;AI17,G21&lt;AJ17),G28,IF(AND(G21&gt;AI16,G21&lt;AJ16),G27,IF(G21&lt;=AJ15,G26))))))),IF(AND(G14="9%",G15="New Construction",G22="Yes"),IF(G21&gt;AA20,0,IF(AND(G21&gt;=AA19,G21&lt;=AB19),G31,IF(AND(G21&gt;=AA18,G21&lt;=AB18),G30,IF(AND(G21&gt;=AA17,G21&lt;=AB17),G29,IF(AND(G21&gt;=AA16,G21&lt;=AB16),G28,IF(AND(G21&gt;=AA15,G21&lt;=AB15),G27,IF(G21&lt;AB14,G26))))))),IF(AND(G14="4%",G15="Acquisition/Rehab",G22="Yes"),(IF(G21&gt;AI28,0,IF(AND(G21&gt;AI27,G21&lt;AJ27),G30,IF(AND(G21&gt;AI26,G21&lt;AJ26),G29,IF(AND(G21&gt;AI25,G21&lt;AJ25),G28,IF(AND(G21&gt;AI24,G21&lt;AJ24),G27,IF(G21&lt;=AJ23,G26))))))),IF(AND(G14="9%",G15="Acquisition/Rehab",G22="Yes"),IF(G21&gt;AA28,0,IF(AND(G21&gt;=AA27,G21&lt;=AB27),G31,IF(AND(G21&gt;=AA26,G21&lt;=AB26),G30,IF(AND(G21&gt;=AA25,G21&lt;=AB25),G29,IF(AND(G21&gt;=AA24,G21&lt;=AB24),G28,IF(AND(G21&gt;=AA23,G21&lt;=AB23),G27,IF(G21&lt;AB22,G26))))))),G26))))))</f>
        <v>36</v>
      </c>
      <c r="AA46" s="98"/>
      <c r="AB46" s="98"/>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row>
    <row r="47" spans="1:84" s="466" customFormat="1" ht="14.5" hidden="1" customHeight="1">
      <c r="A47" s="1658"/>
      <c r="B47" s="1659"/>
      <c r="C47" s="1174"/>
      <c r="D47" s="1174"/>
      <c r="E47" s="1174"/>
      <c r="F47" s="1174"/>
      <c r="G47" s="1659"/>
      <c r="H47" s="1659"/>
      <c r="I47" s="1174"/>
      <c r="J47" s="1174"/>
      <c r="K47" s="1174"/>
      <c r="L47" s="1174"/>
      <c r="M47" s="1174"/>
      <c r="N47" s="1174"/>
      <c r="O47" s="1174"/>
      <c r="P47" s="1174"/>
      <c r="Q47" s="1174"/>
      <c r="R47" s="1174"/>
      <c r="S47" s="1174"/>
      <c r="T47" s="1174"/>
      <c r="U47" s="1174"/>
      <c r="V47" s="640"/>
      <c r="W47" s="9"/>
      <c r="X47" s="9"/>
      <c r="Y47" s="9"/>
      <c r="Z47" s="9"/>
      <c r="AA47" s="9"/>
      <c r="AB47" s="9"/>
      <c r="AC47" s="9"/>
      <c r="AD47" s="9"/>
      <c r="AE47" s="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row>
    <row r="48" spans="1:84" s="466" customFormat="1">
      <c r="A48" s="1656"/>
      <c r="B48" s="1174"/>
      <c r="C48" s="1172"/>
      <c r="D48" s="1172"/>
      <c r="E48" s="1172"/>
      <c r="F48" s="1657"/>
      <c r="G48" s="1174"/>
      <c r="H48" s="1174"/>
      <c r="I48" s="1174"/>
      <c r="J48" s="1174"/>
      <c r="K48" s="1174"/>
      <c r="L48" s="1174"/>
      <c r="M48" s="1174"/>
      <c r="N48" s="1174"/>
      <c r="O48" s="1174"/>
      <c r="P48" s="1174"/>
      <c r="Q48" s="1174"/>
      <c r="R48" s="1174"/>
      <c r="S48" s="1174"/>
      <c r="T48" s="1174"/>
      <c r="U48" s="1174"/>
      <c r="V48" s="640"/>
      <c r="W48" s="9"/>
      <c r="X48" s="9"/>
      <c r="Y48" s="9"/>
      <c r="Z48" s="9"/>
      <c r="AA48" s="9"/>
      <c r="AB48" s="9"/>
      <c r="AC48" s="9"/>
      <c r="AD48" s="9"/>
      <c r="AE48" s="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row>
    <row r="49" spans="1:84" ht="16.25" customHeight="1">
      <c r="A49" s="606"/>
      <c r="B49" s="1167"/>
      <c r="C49" s="2455" t="s">
        <v>4734</v>
      </c>
      <c r="D49" s="2455"/>
      <c r="E49" s="2455" t="s">
        <v>4708</v>
      </c>
      <c r="F49" s="2455"/>
      <c r="G49" s="2455" t="s">
        <v>1010</v>
      </c>
      <c r="H49" s="2455"/>
      <c r="I49" s="1174"/>
      <c r="J49" s="1174"/>
      <c r="K49" s="1174"/>
      <c r="L49" s="1174"/>
      <c r="M49" s="1174"/>
      <c r="N49" s="1174"/>
      <c r="O49" s="1174"/>
      <c r="P49" s="1174"/>
      <c r="Q49" s="1167"/>
      <c r="R49" s="1167"/>
      <c r="S49" s="1167"/>
      <c r="T49" s="1167"/>
      <c r="U49" s="1167"/>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row>
    <row r="50" spans="1:84" ht="17.5" customHeight="1">
      <c r="A50" s="606"/>
      <c r="B50" s="1167"/>
      <c r="C50" s="2535">
        <v>36</v>
      </c>
      <c r="D50" s="2535"/>
      <c r="E50" s="2554">
        <f>IF(Credit_percentage_applied_for="4%",36,IF(G21&gt;0,IF(G22="Yes",Z46,IF(G22="No",W46,0)),0))</f>
        <v>0</v>
      </c>
      <c r="F50" s="2554"/>
      <c r="G50" s="2536"/>
      <c r="H50" s="2536"/>
      <c r="I50" s="1174"/>
      <c r="J50" s="1174"/>
      <c r="K50" s="1174"/>
      <c r="L50" s="1174"/>
      <c r="M50" s="1174"/>
      <c r="N50" s="1174"/>
      <c r="O50" s="1174"/>
      <c r="P50" s="1174"/>
      <c r="Q50" s="1167"/>
      <c r="R50" s="1167"/>
      <c r="S50" s="1167"/>
      <c r="T50" s="1167"/>
      <c r="U50" s="1167"/>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row>
    <row r="51" spans="1:84" s="46" customFormat="1" ht="19" hidden="1">
      <c r="A51" s="990"/>
      <c r="B51" s="1175"/>
      <c r="C51" s="1175"/>
      <c r="D51" s="1660"/>
      <c r="E51" s="1175"/>
      <c r="F51" s="1175"/>
      <c r="G51" s="1175"/>
      <c r="H51" s="1175"/>
      <c r="I51" s="1175"/>
      <c r="J51" s="1175"/>
      <c r="K51" s="1175"/>
      <c r="L51" s="1175"/>
      <c r="M51" s="1175"/>
      <c r="N51" s="1175"/>
      <c r="O51" s="1175"/>
      <c r="P51" s="1175"/>
      <c r="Q51" s="1175"/>
      <c r="R51" s="1175"/>
      <c r="S51" s="1175"/>
      <c r="T51" s="1175"/>
      <c r="U51" s="1175"/>
      <c r="V51" s="640"/>
      <c r="W51" s="9"/>
      <c r="X51" s="9"/>
      <c r="Y51" s="9"/>
      <c r="Z51" s="9"/>
      <c r="AA51" s="9"/>
      <c r="AB51" s="9"/>
      <c r="AC51" s="9"/>
      <c r="AD51" s="9"/>
      <c r="AE51" s="9"/>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s="46" customFormat="1">
      <c r="A52" s="990"/>
      <c r="B52" s="1175"/>
      <c r="C52" s="1175"/>
      <c r="D52" s="1175"/>
      <c r="E52" s="1175"/>
      <c r="F52" s="1175"/>
      <c r="G52" s="1175"/>
      <c r="H52" s="1175"/>
      <c r="I52" s="1175"/>
      <c r="J52" s="1175"/>
      <c r="K52" s="1175"/>
      <c r="L52" s="1175"/>
      <c r="M52" s="1175"/>
      <c r="N52" s="1175"/>
      <c r="O52" s="1175"/>
      <c r="P52" s="1175"/>
      <c r="Q52" s="1175"/>
      <c r="R52" s="1175"/>
      <c r="S52" s="1175"/>
      <c r="T52" s="1175"/>
      <c r="U52" s="1175"/>
      <c r="V52" s="640"/>
      <c r="W52" s="9"/>
      <c r="X52" s="9"/>
      <c r="Y52" s="9"/>
      <c r="Z52" s="9"/>
      <c r="AA52" s="9"/>
      <c r="AB52" s="9"/>
      <c r="AC52" s="9"/>
      <c r="AD52" s="9"/>
      <c r="AE52" s="9"/>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s="606" customFormat="1" ht="19">
      <c r="B53" s="2549" t="s">
        <v>4849</v>
      </c>
      <c r="C53" s="2549"/>
      <c r="D53" s="2549"/>
      <c r="F53" s="985"/>
      <c r="G53" s="985"/>
      <c r="J53" s="3"/>
      <c r="K53" s="3"/>
      <c r="L53" s="8" t="s">
        <v>4850</v>
      </c>
      <c r="M53" s="8"/>
      <c r="N53" s="3"/>
      <c r="O53" s="3"/>
      <c r="P53" s="3"/>
      <c r="Q53" s="3"/>
      <c r="V53" s="640"/>
      <c r="W53" s="9"/>
      <c r="X53" s="9"/>
      <c r="Y53" s="9"/>
      <c r="Z53" s="9"/>
      <c r="AA53" s="9"/>
      <c r="AB53" s="9"/>
      <c r="AC53" s="9"/>
      <c r="AD53" s="9"/>
      <c r="AE53" s="9"/>
      <c r="AF53" s="9"/>
      <c r="AG53" s="9"/>
      <c r="AH53" s="9"/>
      <c r="AI53" s="9"/>
      <c r="AJ53" s="9"/>
      <c r="AK53" s="9"/>
      <c r="AL53" s="9"/>
      <c r="AM53" s="9"/>
      <c r="AN53" s="9"/>
      <c r="AO53" s="9"/>
      <c r="AP53" s="9"/>
      <c r="AQ53" s="9"/>
      <c r="AR53" s="9"/>
      <c r="AS53" s="9"/>
      <c r="AT53" s="9"/>
    </row>
    <row r="54" spans="1:84">
      <c r="A54" s="606"/>
      <c r="B54" s="1170" t="s">
        <v>4538</v>
      </c>
      <c r="C54" s="1436"/>
      <c r="D54" s="1436"/>
      <c r="E54" s="1167"/>
      <c r="F54" s="1167"/>
      <c r="G54" s="1167"/>
      <c r="H54" s="1167"/>
      <c r="I54" s="1167"/>
      <c r="J54" s="1167"/>
      <c r="K54" s="1167"/>
      <c r="L54" s="1172" t="s">
        <v>3371</v>
      </c>
      <c r="M54" s="1167"/>
      <c r="N54" s="1172"/>
      <c r="O54" s="1167"/>
      <c r="P54" s="1167"/>
      <c r="Q54" s="1167"/>
      <c r="R54" s="1167"/>
      <c r="S54" s="1167"/>
      <c r="T54" s="1167"/>
      <c r="U54" s="1167"/>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row>
    <row r="55" spans="1:84" ht="15.75" customHeight="1">
      <c r="A55" s="606"/>
      <c r="B55" s="1167"/>
      <c r="C55" s="1957"/>
      <c r="D55" s="1958"/>
      <c r="E55" s="1958"/>
      <c r="F55" s="1958"/>
      <c r="G55" s="1958"/>
      <c r="H55" s="1958"/>
      <c r="I55" s="1958"/>
      <c r="J55" s="1959"/>
      <c r="K55" s="1167"/>
      <c r="L55" s="1957"/>
      <c r="M55" s="1958"/>
      <c r="N55" s="1958"/>
      <c r="O55" s="1958"/>
      <c r="P55" s="1958"/>
      <c r="Q55" s="1958"/>
      <c r="R55" s="1958"/>
      <c r="S55" s="1958"/>
      <c r="T55" s="1959"/>
      <c r="U55" s="1167"/>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row>
    <row r="56" spans="1:84">
      <c r="A56" s="606"/>
      <c r="B56" s="1167"/>
      <c r="C56" s="1960"/>
      <c r="D56" s="1961"/>
      <c r="E56" s="1961"/>
      <c r="F56" s="1961"/>
      <c r="G56" s="1961"/>
      <c r="H56" s="1961"/>
      <c r="I56" s="1961"/>
      <c r="J56" s="1962"/>
      <c r="K56" s="1167"/>
      <c r="L56" s="1960"/>
      <c r="M56" s="1961"/>
      <c r="N56" s="1961"/>
      <c r="O56" s="1961"/>
      <c r="P56" s="1961"/>
      <c r="Q56" s="1961"/>
      <c r="R56" s="1961"/>
      <c r="S56" s="1961"/>
      <c r="T56" s="1962"/>
      <c r="U56" s="1167"/>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row>
    <row r="57" spans="1:84">
      <c r="A57" s="606"/>
      <c r="B57" s="1167"/>
      <c r="C57" s="1960"/>
      <c r="D57" s="1961"/>
      <c r="E57" s="1961"/>
      <c r="F57" s="1961"/>
      <c r="G57" s="1961"/>
      <c r="H57" s="1961"/>
      <c r="I57" s="1961"/>
      <c r="J57" s="1962"/>
      <c r="K57" s="1167"/>
      <c r="L57" s="1960"/>
      <c r="M57" s="1961"/>
      <c r="N57" s="1961"/>
      <c r="O57" s="1961"/>
      <c r="P57" s="1961"/>
      <c r="Q57" s="1961"/>
      <c r="R57" s="1961"/>
      <c r="S57" s="1961"/>
      <c r="T57" s="1962"/>
      <c r="U57" s="1167"/>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row>
    <row r="58" spans="1:84">
      <c r="A58" s="606"/>
      <c r="B58" s="1167"/>
      <c r="C58" s="1960"/>
      <c r="D58" s="1961"/>
      <c r="E58" s="1961"/>
      <c r="F58" s="1961"/>
      <c r="G58" s="1961"/>
      <c r="H58" s="1961"/>
      <c r="I58" s="1961"/>
      <c r="J58" s="1962"/>
      <c r="K58" s="1167"/>
      <c r="L58" s="1960"/>
      <c r="M58" s="1961"/>
      <c r="N58" s="1961"/>
      <c r="O58" s="1961"/>
      <c r="P58" s="1961"/>
      <c r="Q58" s="1961"/>
      <c r="R58" s="1961"/>
      <c r="S58" s="1961"/>
      <c r="T58" s="1962"/>
      <c r="U58" s="1167"/>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row>
    <row r="59" spans="1:84">
      <c r="A59" s="606"/>
      <c r="B59" s="1167"/>
      <c r="C59" s="1960"/>
      <c r="D59" s="1961"/>
      <c r="E59" s="1961"/>
      <c r="F59" s="1961"/>
      <c r="G59" s="1961"/>
      <c r="H59" s="1961"/>
      <c r="I59" s="1961"/>
      <c r="J59" s="1962"/>
      <c r="K59" s="1167"/>
      <c r="L59" s="1960"/>
      <c r="M59" s="1961"/>
      <c r="N59" s="1961"/>
      <c r="O59" s="1961"/>
      <c r="P59" s="1961"/>
      <c r="Q59" s="1961"/>
      <c r="R59" s="1961"/>
      <c r="S59" s="1961"/>
      <c r="T59" s="1962"/>
      <c r="U59" s="1167"/>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4">
      <c r="A60" s="606"/>
      <c r="B60" s="1167"/>
      <c r="C60" s="1960"/>
      <c r="D60" s="1961"/>
      <c r="E60" s="1961"/>
      <c r="F60" s="1961"/>
      <c r="G60" s="1961"/>
      <c r="H60" s="1961"/>
      <c r="I60" s="1961"/>
      <c r="J60" s="1962"/>
      <c r="K60" s="1167"/>
      <c r="L60" s="1960"/>
      <c r="M60" s="1961"/>
      <c r="N60" s="1961"/>
      <c r="O60" s="1961"/>
      <c r="P60" s="1961"/>
      <c r="Q60" s="1961"/>
      <c r="R60" s="1961"/>
      <c r="S60" s="1961"/>
      <c r="T60" s="1962"/>
      <c r="U60" s="1167"/>
      <c r="AC60" s="1650"/>
      <c r="AD60" s="1650"/>
      <c r="AE60" s="1650"/>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row>
    <row r="61" spans="1:84">
      <c r="A61" s="606"/>
      <c r="B61" s="1167"/>
      <c r="C61" s="1960"/>
      <c r="D61" s="1961"/>
      <c r="E61" s="1961"/>
      <c r="F61" s="1961"/>
      <c r="G61" s="1961"/>
      <c r="H61" s="1961"/>
      <c r="I61" s="1961"/>
      <c r="J61" s="1962"/>
      <c r="K61" s="1167"/>
      <c r="L61" s="1960"/>
      <c r="M61" s="1961"/>
      <c r="N61" s="1961"/>
      <c r="O61" s="1961"/>
      <c r="P61" s="1961"/>
      <c r="Q61" s="1961"/>
      <c r="R61" s="1961"/>
      <c r="S61" s="1961"/>
      <c r="T61" s="1962"/>
      <c r="U61" s="1167"/>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row>
    <row r="62" spans="1:84">
      <c r="A62" s="606"/>
      <c r="B62" s="1167"/>
      <c r="C62" s="1960"/>
      <c r="D62" s="1961"/>
      <c r="E62" s="1961"/>
      <c r="F62" s="1961"/>
      <c r="G62" s="1961"/>
      <c r="H62" s="1961"/>
      <c r="I62" s="1961"/>
      <c r="J62" s="1962"/>
      <c r="K62" s="1167"/>
      <c r="L62" s="1960"/>
      <c r="M62" s="1961"/>
      <c r="N62" s="1961"/>
      <c r="O62" s="1961"/>
      <c r="P62" s="1961"/>
      <c r="Q62" s="1961"/>
      <c r="R62" s="1961"/>
      <c r="S62" s="1961"/>
      <c r="T62" s="1962"/>
      <c r="U62" s="1167"/>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row>
    <row r="63" spans="1:84">
      <c r="A63" s="606"/>
      <c r="B63" s="1167"/>
      <c r="C63" s="1960"/>
      <c r="D63" s="1961"/>
      <c r="E63" s="1961"/>
      <c r="F63" s="1961"/>
      <c r="G63" s="1961"/>
      <c r="H63" s="1961"/>
      <c r="I63" s="1961"/>
      <c r="J63" s="1962"/>
      <c r="K63" s="1167"/>
      <c r="L63" s="1963"/>
      <c r="M63" s="1964"/>
      <c r="N63" s="1964"/>
      <c r="O63" s="1964"/>
      <c r="P63" s="1964"/>
      <c r="Q63" s="1964"/>
      <c r="R63" s="1964"/>
      <c r="S63" s="1964"/>
      <c r="T63" s="1965"/>
      <c r="U63" s="1167"/>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row>
    <row r="64" spans="1:84">
      <c r="A64" s="606"/>
      <c r="B64" s="1167"/>
      <c r="C64" s="1960"/>
      <c r="D64" s="1961"/>
      <c r="E64" s="1961"/>
      <c r="F64" s="1961"/>
      <c r="G64" s="1961"/>
      <c r="H64" s="1961"/>
      <c r="I64" s="1961"/>
      <c r="J64" s="1962"/>
      <c r="K64" s="1167"/>
      <c r="L64" s="2550" t="s">
        <v>4766</v>
      </c>
      <c r="M64" s="2550"/>
      <c r="N64" s="2550"/>
      <c r="O64" s="1167"/>
      <c r="P64" s="1167"/>
      <c r="Q64" s="1167"/>
      <c r="R64" s="1167"/>
      <c r="S64" s="1167"/>
      <c r="T64" s="1167"/>
      <c r="U64" s="1167"/>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row>
    <row r="65" spans="1:84">
      <c r="A65" s="606"/>
      <c r="B65" s="1167"/>
      <c r="C65" s="1963"/>
      <c r="D65" s="1964"/>
      <c r="E65" s="1964"/>
      <c r="F65" s="1964"/>
      <c r="G65" s="1964"/>
      <c r="H65" s="1964"/>
      <c r="I65" s="1964"/>
      <c r="J65" s="1965"/>
      <c r="K65" s="1167"/>
      <c r="L65" s="2551"/>
      <c r="M65" s="2552"/>
      <c r="N65" s="2552"/>
      <c r="O65" s="2552"/>
      <c r="P65" s="2552"/>
      <c r="Q65" s="2552"/>
      <c r="R65" s="2552"/>
      <c r="S65" s="2552"/>
      <c r="T65" s="2553"/>
      <c r="U65" s="1167"/>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row>
    <row r="66" spans="1:84" s="531" customFormat="1">
      <c r="A66" s="606"/>
      <c r="B66" s="1167"/>
      <c r="C66" s="1437"/>
      <c r="D66" s="1167"/>
      <c r="E66" s="1167"/>
      <c r="F66" s="1167"/>
      <c r="G66" s="1167"/>
      <c r="H66" s="1167"/>
      <c r="I66" s="1167"/>
      <c r="J66" s="1174"/>
      <c r="K66" s="1174"/>
      <c r="L66" s="1174"/>
      <c r="M66" s="1174"/>
      <c r="N66" s="1174"/>
      <c r="O66" s="1174"/>
      <c r="P66" s="1174"/>
      <c r="Q66" s="1167"/>
      <c r="R66" s="1167"/>
      <c r="S66" s="1167"/>
      <c r="T66" s="1167"/>
      <c r="U66" s="1167"/>
      <c r="V66" s="640"/>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872"/>
      <c r="BG66" s="872"/>
      <c r="BH66" s="872"/>
      <c r="BI66" s="872"/>
      <c r="BJ66" s="872"/>
      <c r="BK66" s="872"/>
      <c r="BL66" s="872"/>
      <c r="BM66" s="872"/>
      <c r="BN66" s="872"/>
      <c r="BO66" s="872"/>
      <c r="BP66" s="872"/>
      <c r="BQ66" s="872"/>
      <c r="BR66" s="872"/>
      <c r="BS66" s="872"/>
      <c r="BT66" s="872"/>
      <c r="BU66" s="872"/>
      <c r="BV66" s="872"/>
      <c r="BW66" s="872"/>
      <c r="BX66" s="872"/>
    </row>
    <row r="67" spans="1:84" ht="17.25" customHeight="1">
      <c r="A67" s="1008"/>
      <c r="B67" s="1104" t="s">
        <v>4727</v>
      </c>
      <c r="C67" s="1104"/>
      <c r="D67" s="1104"/>
      <c r="E67" s="1104"/>
      <c r="F67" s="1104"/>
      <c r="G67" s="1104"/>
      <c r="H67" s="1104"/>
      <c r="I67" s="1104"/>
      <c r="J67" s="1104"/>
      <c r="K67" s="1104"/>
      <c r="L67" s="1104"/>
      <c r="M67" s="1104"/>
      <c r="N67" s="1104"/>
      <c r="O67" s="1104"/>
      <c r="P67" s="1104"/>
      <c r="Q67" s="1104"/>
      <c r="R67" s="1104"/>
      <c r="S67" s="1104"/>
      <c r="T67" s="1104"/>
      <c r="U67" s="1104"/>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row>
    <row r="68" spans="1:84" ht="16.5" customHeight="1">
      <c r="A68" s="606"/>
      <c r="B68" s="2423" t="s">
        <v>5157</v>
      </c>
      <c r="C68" s="2423"/>
      <c r="D68" s="2423"/>
      <c r="E68" s="2423"/>
      <c r="F68" s="2423"/>
      <c r="G68" s="2423"/>
      <c r="H68" s="2423"/>
      <c r="I68" s="2423"/>
      <c r="J68" s="2423"/>
      <c r="K68" s="2423"/>
      <c r="L68" s="2423"/>
      <c r="M68" s="2423"/>
      <c r="N68" s="2423"/>
      <c r="O68" s="2423"/>
      <c r="P68" s="2423"/>
      <c r="Q68" s="2423"/>
      <c r="R68" s="2423"/>
      <c r="S68" s="2423"/>
      <c r="T68" s="2423"/>
      <c r="U68" s="1167"/>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row>
    <row r="69" spans="1:84" ht="17.5" customHeight="1">
      <c r="A69" s="982"/>
      <c r="B69" s="2423"/>
      <c r="C69" s="2423"/>
      <c r="D69" s="2423"/>
      <c r="E69" s="2423"/>
      <c r="F69" s="2423"/>
      <c r="G69" s="2423"/>
      <c r="H69" s="2423"/>
      <c r="I69" s="2423"/>
      <c r="J69" s="2423"/>
      <c r="K69" s="2423"/>
      <c r="L69" s="2423"/>
      <c r="M69" s="2423"/>
      <c r="N69" s="2423"/>
      <c r="O69" s="2423"/>
      <c r="P69" s="2423"/>
      <c r="Q69" s="2423"/>
      <c r="R69" s="2423"/>
      <c r="S69" s="2423"/>
      <c r="T69" s="2423"/>
      <c r="U69" s="1167"/>
      <c r="V69" s="158"/>
      <c r="AC69" s="98"/>
      <c r="AD69" s="98"/>
      <c r="AF69" s="98"/>
      <c r="AG69" s="98"/>
      <c r="AH69" s="98"/>
      <c r="AI69" s="98"/>
      <c r="AJ69" s="98"/>
      <c r="AK69" s="98"/>
      <c r="AL69" s="98"/>
      <c r="AM69" s="98"/>
      <c r="AN69" s="98"/>
      <c r="AO69" s="98"/>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row>
    <row r="70" spans="1:84">
      <c r="A70" s="982"/>
      <c r="B70" s="1438" t="s">
        <v>5158</v>
      </c>
      <c r="C70" s="1439"/>
      <c r="D70" s="1439"/>
      <c r="E70" s="1439"/>
      <c r="F70" s="1439"/>
      <c r="G70" s="1439"/>
      <c r="H70" s="1439"/>
      <c r="I70" s="1439"/>
      <c r="J70" s="1440"/>
      <c r="K70" s="1440"/>
      <c r="L70" s="1440"/>
      <c r="M70" s="1440"/>
      <c r="N70" s="1440"/>
      <c r="O70" s="1440"/>
      <c r="P70" s="1440"/>
      <c r="Q70" s="1167"/>
      <c r="R70" s="1167"/>
      <c r="S70" s="1167"/>
      <c r="T70" s="1167"/>
      <c r="U70" s="1167"/>
      <c r="V70" s="158"/>
      <c r="AC70" s="98"/>
      <c r="AD70" s="98"/>
      <c r="AF70" s="98"/>
      <c r="AG70" s="98"/>
      <c r="AH70" s="98"/>
      <c r="AI70" s="98"/>
      <c r="AJ70" s="98"/>
      <c r="AK70" s="98"/>
      <c r="AL70" s="98"/>
      <c r="AM70" s="98"/>
      <c r="AN70" s="98"/>
      <c r="AO70" s="98"/>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row>
    <row r="71" spans="1:84" ht="20" customHeight="1">
      <c r="A71" s="982"/>
      <c r="B71" s="1440"/>
      <c r="C71" s="1440"/>
      <c r="D71" s="1440"/>
      <c r="E71" s="1440"/>
      <c r="F71" s="1440"/>
      <c r="G71" s="1440"/>
      <c r="H71" s="1440"/>
      <c r="I71" s="1440"/>
      <c r="J71" s="1440"/>
      <c r="K71" s="1440"/>
      <c r="L71" s="1440"/>
      <c r="M71" s="1440"/>
      <c r="N71" s="1440"/>
      <c r="O71" s="1440"/>
      <c r="P71" s="1440"/>
      <c r="Q71" s="1167"/>
      <c r="R71" s="1167"/>
      <c r="S71" s="1167"/>
      <c r="T71" s="1167"/>
      <c r="U71" s="1167"/>
      <c r="V71" s="158"/>
      <c r="AC71" s="98"/>
      <c r="AD71" s="98"/>
      <c r="AF71" s="98"/>
      <c r="AG71" s="98"/>
      <c r="AH71" s="98"/>
      <c r="AI71" s="98"/>
      <c r="AJ71" s="98"/>
      <c r="AK71" s="98"/>
      <c r="AL71" s="98"/>
      <c r="AM71" s="98"/>
      <c r="AN71" s="98"/>
      <c r="AO71" s="98"/>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row>
    <row r="72" spans="1:84" ht="18" customHeight="1">
      <c r="A72" s="982"/>
      <c r="B72" s="2423" t="s">
        <v>5159</v>
      </c>
      <c r="C72" s="2423"/>
      <c r="D72" s="2423"/>
      <c r="E72" s="2423"/>
      <c r="F72" s="2423"/>
      <c r="G72" s="2423"/>
      <c r="H72" s="2423"/>
      <c r="I72" s="2423"/>
      <c r="J72" s="2423"/>
      <c r="K72" s="2423"/>
      <c r="L72" s="2423"/>
      <c r="M72" s="2423"/>
      <c r="N72" s="2423"/>
      <c r="O72" s="2423"/>
      <c r="P72" s="2423"/>
      <c r="Q72" s="2423"/>
      <c r="R72" s="1379"/>
      <c r="S72" s="1167"/>
      <c r="T72" s="1167"/>
      <c r="U72" s="1167"/>
      <c r="V72" s="158"/>
      <c r="W72" s="98"/>
      <c r="X72" s="98"/>
      <c r="Y72" s="98"/>
      <c r="Z72" s="98"/>
      <c r="AA72" s="98"/>
      <c r="AB72" s="98"/>
      <c r="AC72" s="98"/>
      <c r="AD72" s="98"/>
      <c r="AF72" s="98"/>
      <c r="AG72" s="98"/>
      <c r="AH72" s="98"/>
      <c r="AI72" s="98"/>
      <c r="AJ72" s="98"/>
      <c r="AK72" s="98"/>
      <c r="AL72" s="98"/>
      <c r="AM72" s="98"/>
      <c r="AN72" s="98"/>
      <c r="AO72" s="98"/>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row>
    <row r="73" spans="1:84" ht="17" customHeight="1">
      <c r="A73" s="982"/>
      <c r="B73" s="2583" t="s">
        <v>5160</v>
      </c>
      <c r="C73" s="2584"/>
      <c r="D73" s="2584"/>
      <c r="E73" s="2584"/>
      <c r="F73" s="2584"/>
      <c r="G73" s="2584"/>
      <c r="H73" s="2584"/>
      <c r="I73" s="2584"/>
      <c r="J73" s="2584"/>
      <c r="K73" s="2584"/>
      <c r="L73" s="2584"/>
      <c r="M73" s="2584"/>
      <c r="N73" s="1379"/>
      <c r="O73" s="1379"/>
      <c r="P73" s="1379"/>
      <c r="Q73" s="1167"/>
      <c r="R73" s="1167"/>
      <c r="S73" s="1167"/>
      <c r="T73" s="1167"/>
      <c r="U73" s="1167"/>
      <c r="V73" s="158"/>
      <c r="W73" s="98"/>
      <c r="X73" s="98"/>
      <c r="Y73" s="98"/>
      <c r="Z73" s="98"/>
      <c r="AA73" s="98"/>
      <c r="AB73" s="98"/>
      <c r="AC73" s="98"/>
      <c r="AD73" s="98"/>
      <c r="AF73" s="98"/>
      <c r="AG73" s="98"/>
      <c r="AH73" s="98"/>
      <c r="AI73" s="98"/>
      <c r="AJ73" s="98"/>
      <c r="AK73" s="98"/>
      <c r="AL73" s="98"/>
      <c r="AM73" s="98"/>
      <c r="AN73" s="98"/>
      <c r="AO73" s="98"/>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row>
    <row r="74" spans="1:84" ht="21.5" customHeight="1">
      <c r="A74" s="982"/>
      <c r="B74" s="2585" t="s">
        <v>5161</v>
      </c>
      <c r="C74" s="2586"/>
      <c r="D74" s="2586"/>
      <c r="E74" s="2586"/>
      <c r="F74" s="2586"/>
      <c r="G74" s="2586"/>
      <c r="H74" s="2586"/>
      <c r="I74" s="2586"/>
      <c r="J74" s="2586"/>
      <c r="K74" s="2586"/>
      <c r="L74" s="2586"/>
      <c r="M74" s="2586"/>
      <c r="N74" s="1246"/>
      <c r="O74" s="1689"/>
      <c r="P74" s="1689"/>
      <c r="Q74" s="1167"/>
      <c r="R74" s="1167"/>
      <c r="S74" s="1167"/>
      <c r="T74" s="1167"/>
      <c r="U74" s="1167"/>
      <c r="V74" s="158"/>
      <c r="W74" s="98"/>
      <c r="X74" s="98"/>
      <c r="Y74" s="98"/>
      <c r="Z74" s="98"/>
      <c r="AA74" s="98"/>
      <c r="AB74" s="98"/>
      <c r="AC74" s="98"/>
      <c r="AD74" s="98"/>
      <c r="AF74" s="98"/>
      <c r="AG74" s="98"/>
      <c r="AH74" s="98"/>
      <c r="AI74" s="98"/>
      <c r="AJ74" s="98"/>
      <c r="AK74" s="98"/>
      <c r="AL74" s="98"/>
      <c r="AM74" s="98"/>
      <c r="AN74" s="98"/>
      <c r="AO74" s="98"/>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row>
    <row r="75" spans="1:84">
      <c r="A75" s="982"/>
      <c r="B75" s="1441"/>
      <c r="C75" s="2566" t="s">
        <v>3226</v>
      </c>
      <c r="D75" s="2567"/>
      <c r="E75" s="2567"/>
      <c r="F75" s="2567"/>
      <c r="G75" s="2567"/>
      <c r="H75" s="2567"/>
      <c r="I75" s="2567"/>
      <c r="J75" s="2567"/>
      <c r="K75" s="2567"/>
      <c r="L75" s="2568"/>
      <c r="M75" s="2161" t="s">
        <v>5162</v>
      </c>
      <c r="N75" s="2162"/>
      <c r="O75" s="2468" t="s">
        <v>5163</v>
      </c>
      <c r="P75" s="2468"/>
      <c r="Q75" s="2468" t="s">
        <v>3227</v>
      </c>
      <c r="R75" s="2468"/>
      <c r="S75" s="2468" t="s">
        <v>5164</v>
      </c>
      <c r="T75" s="2468"/>
      <c r="U75" s="1167"/>
      <c r="V75" s="158"/>
      <c r="W75" s="98"/>
      <c r="X75" s="98"/>
      <c r="Y75" s="98"/>
      <c r="Z75" s="98"/>
      <c r="AA75" s="98"/>
      <c r="AB75" s="98"/>
      <c r="AC75" s="98"/>
      <c r="AD75" s="98"/>
      <c r="AF75" s="98"/>
      <c r="AG75" s="98"/>
      <c r="AH75" s="98"/>
      <c r="AI75" s="98"/>
      <c r="AJ75" s="98"/>
      <c r="AK75" s="98"/>
      <c r="AL75" s="98"/>
      <c r="AM75" s="98"/>
      <c r="AN75" s="98"/>
      <c r="AO75" s="98"/>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row>
    <row r="76" spans="1:84">
      <c r="A76" s="982"/>
      <c r="B76" s="1379"/>
      <c r="C76" s="2569" t="s">
        <v>5165</v>
      </c>
      <c r="D76" s="2570"/>
      <c r="E76" s="2570"/>
      <c r="F76" s="2570"/>
      <c r="G76" s="2570"/>
      <c r="H76" s="2570"/>
      <c r="I76" s="2570"/>
      <c r="J76" s="2570"/>
      <c r="K76" s="2570"/>
      <c r="L76" s="2571"/>
      <c r="M76" s="2564"/>
      <c r="N76" s="2565"/>
      <c r="O76" s="2542"/>
      <c r="P76" s="2542"/>
      <c r="Q76" s="2542"/>
      <c r="R76" s="2542"/>
      <c r="S76" s="2542"/>
      <c r="T76" s="2587"/>
      <c r="U76" s="1167"/>
      <c r="V76" s="158"/>
      <c r="W76" s="98"/>
      <c r="X76" s="98"/>
      <c r="Y76" s="98"/>
      <c r="Z76" s="98"/>
      <c r="AA76" s="98"/>
      <c r="AB76" s="98"/>
      <c r="AC76" s="98"/>
      <c r="AD76" s="98"/>
      <c r="AF76" s="98"/>
      <c r="AG76" s="98"/>
      <c r="AH76" s="98"/>
      <c r="AI76" s="98"/>
      <c r="AJ76" s="98"/>
      <c r="AK76" s="98"/>
      <c r="AL76" s="98"/>
      <c r="AM76" s="98"/>
      <c r="AN76" s="98"/>
      <c r="AO76" s="98"/>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1:84" ht="28.5" customHeight="1">
      <c r="A77" s="982"/>
      <c r="B77" s="1379"/>
      <c r="C77" s="2522" t="s">
        <v>5166</v>
      </c>
      <c r="D77" s="2522"/>
      <c r="E77" s="2522"/>
      <c r="F77" s="2522"/>
      <c r="G77" s="2522"/>
      <c r="H77" s="2522"/>
      <c r="I77" s="2522"/>
      <c r="J77" s="2522"/>
      <c r="K77" s="2522"/>
      <c r="L77" s="2522"/>
      <c r="M77" s="2544">
        <v>2</v>
      </c>
      <c r="N77" s="2545"/>
      <c r="O77" s="2561"/>
      <c r="P77" s="2561"/>
      <c r="Q77" s="2561"/>
      <c r="R77" s="2561"/>
      <c r="S77" s="2561"/>
      <c r="T77" s="2561"/>
      <c r="U77" s="1167"/>
      <c r="W77" s="98"/>
      <c r="X77" s="98" t="s">
        <v>5167</v>
      </c>
      <c r="Y77" s="1649"/>
      <c r="Z77" s="1652" t="s">
        <v>5168</v>
      </c>
      <c r="AA77" s="1652"/>
      <c r="AB77" s="1653"/>
      <c r="AC77" s="1649" t="s">
        <v>5169</v>
      </c>
      <c r="AD77" s="98"/>
      <c r="AF77" s="98"/>
      <c r="AG77" s="98"/>
      <c r="AH77" s="98"/>
      <c r="AI77" s="98"/>
      <c r="AJ77" s="98"/>
      <c r="AK77" s="98"/>
      <c r="AL77" s="98"/>
      <c r="AM77" s="98"/>
      <c r="AN77" s="98"/>
      <c r="AO77" s="98"/>
      <c r="AP77" s="98"/>
      <c r="AQ77" s="98"/>
      <c r="AR77" s="98"/>
      <c r="AS77" s="98"/>
      <c r="AT77" s="98"/>
      <c r="AU77" s="462"/>
      <c r="AV77" s="462"/>
      <c r="AW77" s="462"/>
      <c r="AX77" s="462"/>
      <c r="AY77" s="462"/>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1:84" ht="18" customHeight="1">
      <c r="A78" s="606"/>
      <c r="B78" s="1379"/>
      <c r="C78" s="2522"/>
      <c r="D78" s="2522"/>
      <c r="E78" s="2522"/>
      <c r="F78" s="2522"/>
      <c r="G78" s="2522"/>
      <c r="H78" s="2522"/>
      <c r="I78" s="2522"/>
      <c r="J78" s="2522"/>
      <c r="K78" s="2522"/>
      <c r="L78" s="2522"/>
      <c r="M78" s="2546"/>
      <c r="N78" s="2547"/>
      <c r="O78" s="2561"/>
      <c r="P78" s="2561"/>
      <c r="Q78" s="2561"/>
      <c r="R78" s="2561"/>
      <c r="S78" s="2561"/>
      <c r="T78" s="2561"/>
      <c r="U78" s="1167"/>
      <c r="W78" s="98" t="b">
        <f>OR(AND(X79,X80), X80=X79)</f>
        <v>1</v>
      </c>
      <c r="X78" s="98">
        <f>IF(W78,0,IF(X79, 2,1))</f>
        <v>0</v>
      </c>
      <c r="Y78" s="1648" t="b">
        <f>OR(AND(Z79,Z80), Z80=Z79)</f>
        <v>1</v>
      </c>
      <c r="Z78" s="1648">
        <f>IF(Y78,0,IF(Z79, 2,1))</f>
        <v>0</v>
      </c>
      <c r="AA78" s="1648"/>
      <c r="AB78" s="1648" t="b">
        <f>OR(AND(AC79,AC80), AC80=AC79)</f>
        <v>1</v>
      </c>
      <c r="AC78" s="1648">
        <f>IF(AB78,0,IF(AC79, 2,1))</f>
        <v>0</v>
      </c>
      <c r="AF78" s="98"/>
      <c r="AG78" s="98"/>
      <c r="AH78" s="98"/>
      <c r="AI78" s="98"/>
      <c r="AJ78" s="98"/>
      <c r="AK78" s="98"/>
      <c r="AL78" s="98"/>
      <c r="AM78" s="98"/>
      <c r="AN78" s="98"/>
      <c r="AO78" s="98"/>
      <c r="AP78" s="98"/>
      <c r="AQ78" s="98"/>
      <c r="AR78" s="98"/>
      <c r="AS78" s="98"/>
      <c r="AT78" s="98"/>
      <c r="AU78" s="462"/>
      <c r="AV78" s="462"/>
      <c r="AW78" s="462"/>
      <c r="AX78" s="462"/>
      <c r="AY78" s="462"/>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1:84" ht="30" customHeight="1">
      <c r="A79" s="606"/>
      <c r="B79" s="1379"/>
      <c r="C79" s="2588" t="s">
        <v>5170</v>
      </c>
      <c r="D79" s="2588"/>
      <c r="E79" s="2588"/>
      <c r="F79" s="2588"/>
      <c r="G79" s="2588"/>
      <c r="H79" s="2588"/>
      <c r="I79" s="2588"/>
      <c r="J79" s="2588"/>
      <c r="K79" s="2588"/>
      <c r="L79" s="2588"/>
      <c r="M79" s="2544">
        <v>1</v>
      </c>
      <c r="N79" s="2545"/>
      <c r="O79" s="2561"/>
      <c r="P79" s="2561"/>
      <c r="Q79" s="2561"/>
      <c r="R79" s="2561"/>
      <c r="S79" s="2561"/>
      <c r="T79" s="2561"/>
      <c r="U79" s="1167"/>
      <c r="W79" s="98"/>
      <c r="X79" s="98" t="b">
        <f>Q77="Yes"</f>
        <v>0</v>
      </c>
      <c r="Y79" s="1648"/>
      <c r="Z79" s="1648" t="b">
        <f>O77="Yes"</f>
        <v>0</v>
      </c>
      <c r="AA79" s="1648"/>
      <c r="AC79" s="1648" t="b">
        <f>S77="Yes"</f>
        <v>0</v>
      </c>
      <c r="AF79" s="98"/>
      <c r="AG79" s="98"/>
      <c r="AH79" s="98"/>
      <c r="AI79" s="98"/>
      <c r="AJ79" s="98"/>
      <c r="AK79" s="98"/>
      <c r="AL79" s="98"/>
      <c r="AM79" s="98"/>
      <c r="AN79" s="98"/>
      <c r="AO79" s="98"/>
      <c r="AP79" s="98"/>
      <c r="AQ79" s="98"/>
      <c r="AR79" s="98"/>
      <c r="AS79" s="98"/>
      <c r="AT79" s="98"/>
      <c r="AU79" s="462"/>
      <c r="AV79" s="462"/>
      <c r="AW79" s="462"/>
      <c r="AX79" s="462"/>
      <c r="AY79" s="462"/>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1:84" ht="14.25" customHeight="1">
      <c r="A80" s="606"/>
      <c r="B80" s="1379"/>
      <c r="C80" s="2588"/>
      <c r="D80" s="2588"/>
      <c r="E80" s="2588"/>
      <c r="F80" s="2588"/>
      <c r="G80" s="2588"/>
      <c r="H80" s="2588"/>
      <c r="I80" s="2588"/>
      <c r="J80" s="2588"/>
      <c r="K80" s="2588"/>
      <c r="L80" s="2588"/>
      <c r="M80" s="2546"/>
      <c r="N80" s="2547"/>
      <c r="O80" s="2561"/>
      <c r="P80" s="2561"/>
      <c r="Q80" s="2561"/>
      <c r="R80" s="2561"/>
      <c r="S80" s="2561"/>
      <c r="T80" s="2561"/>
      <c r="U80" s="1167"/>
      <c r="W80" s="98"/>
      <c r="X80" s="98" t="b">
        <f>Q79="Yes"</f>
        <v>0</v>
      </c>
      <c r="Y80" s="1649"/>
      <c r="Z80" s="1648" t="b">
        <f>O79="Yes"</f>
        <v>0</v>
      </c>
      <c r="AA80" s="1648"/>
      <c r="AC80" s="1648" t="b">
        <f>S79="Yes"</f>
        <v>0</v>
      </c>
      <c r="AF80" s="98"/>
      <c r="AG80" s="98"/>
      <c r="AH80" s="98"/>
      <c r="AI80" s="98"/>
      <c r="AJ80" s="98"/>
      <c r="AK80" s="98"/>
      <c r="AL80" s="98"/>
      <c r="AM80" s="98"/>
      <c r="AN80" s="98"/>
      <c r="AO80" s="98"/>
      <c r="AP80" s="98"/>
      <c r="AQ80" s="98"/>
      <c r="AR80" s="98"/>
      <c r="AS80" s="98"/>
      <c r="AT80" s="98"/>
      <c r="AU80" s="462"/>
      <c r="AV80" s="462"/>
      <c r="AW80" s="462"/>
      <c r="AX80" s="462"/>
      <c r="AY80" s="462"/>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1:96">
      <c r="A81" s="606"/>
      <c r="B81" s="1379"/>
      <c r="C81" s="2572" t="s">
        <v>5171</v>
      </c>
      <c r="D81" s="2573"/>
      <c r="E81" s="2573"/>
      <c r="F81" s="2573"/>
      <c r="G81" s="2573"/>
      <c r="H81" s="2573"/>
      <c r="I81" s="2573"/>
      <c r="J81" s="2573"/>
      <c r="K81" s="2573"/>
      <c r="L81" s="2574"/>
      <c r="M81" s="2544"/>
      <c r="N81" s="2545"/>
      <c r="O81" s="2544"/>
      <c r="P81" s="2545"/>
      <c r="Q81" s="2544"/>
      <c r="R81" s="2545"/>
      <c r="S81" s="2544"/>
      <c r="T81" s="2545"/>
      <c r="U81" s="1167"/>
      <c r="W81" s="98"/>
      <c r="X81" s="98"/>
      <c r="Y81" s="1649"/>
      <c r="Z81" s="1652"/>
      <c r="AA81" s="1652"/>
      <c r="AB81" s="1653"/>
      <c r="AC81" s="1649"/>
      <c r="AF81" s="98"/>
      <c r="AG81" s="98"/>
      <c r="AH81" s="98"/>
      <c r="AI81" s="98"/>
      <c r="AJ81" s="98"/>
      <c r="AK81" s="98"/>
      <c r="AL81" s="98"/>
      <c r="AM81" s="98"/>
      <c r="AN81" s="98"/>
      <c r="AO81" s="98"/>
      <c r="AP81" s="98"/>
      <c r="AQ81" s="98"/>
      <c r="AR81" s="98"/>
      <c r="AS81" s="98"/>
      <c r="AT81" s="98"/>
      <c r="AU81" s="462"/>
      <c r="AV81" s="462"/>
      <c r="AW81" s="462"/>
      <c r="AX81" s="462"/>
      <c r="AY81" s="462"/>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1:96" ht="18" customHeight="1">
      <c r="A82" s="606"/>
      <c r="B82" s="1379"/>
      <c r="C82" s="2575"/>
      <c r="D82" s="2576"/>
      <c r="E82" s="2576"/>
      <c r="F82" s="2576"/>
      <c r="G82" s="2576"/>
      <c r="H82" s="2576"/>
      <c r="I82" s="2576"/>
      <c r="J82" s="2576"/>
      <c r="K82" s="2576"/>
      <c r="L82" s="2577"/>
      <c r="M82" s="2546"/>
      <c r="N82" s="2547"/>
      <c r="O82" s="2546"/>
      <c r="P82" s="2547"/>
      <c r="Q82" s="2546"/>
      <c r="R82" s="2547"/>
      <c r="S82" s="2546"/>
      <c r="T82" s="2547"/>
      <c r="U82" s="1167"/>
      <c r="W82" s="98"/>
      <c r="X82" s="98"/>
      <c r="Y82" s="1649"/>
      <c r="Z82" s="1652"/>
      <c r="AA82" s="1652"/>
      <c r="AB82" s="1653"/>
      <c r="AC82" s="1649"/>
      <c r="AF82" s="98"/>
      <c r="AG82" s="98"/>
      <c r="AH82" s="98"/>
      <c r="AI82" s="98"/>
      <c r="AJ82" s="98"/>
      <c r="AK82" s="98"/>
      <c r="AL82" s="98"/>
      <c r="AM82" s="98"/>
      <c r="AN82" s="98"/>
      <c r="AO82" s="98"/>
      <c r="AP82" s="98"/>
      <c r="AQ82" s="98"/>
      <c r="AR82" s="98"/>
      <c r="AS82" s="98"/>
      <c r="AT82" s="98"/>
      <c r="AU82" s="462"/>
      <c r="AV82" s="462"/>
      <c r="AW82" s="462"/>
      <c r="AX82" s="462"/>
      <c r="AY82" s="462"/>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1:96" ht="18" customHeight="1">
      <c r="A83" s="606"/>
      <c r="B83" s="1379"/>
      <c r="C83" s="2597"/>
      <c r="D83" s="2598"/>
      <c r="E83" s="2598"/>
      <c r="F83" s="2598"/>
      <c r="G83" s="2598"/>
      <c r="H83" s="2598"/>
      <c r="I83" s="2598"/>
      <c r="J83" s="2598"/>
      <c r="K83" s="2598"/>
      <c r="L83" s="2599"/>
      <c r="M83" s="2562">
        <v>2</v>
      </c>
      <c r="N83" s="2538"/>
      <c r="O83" s="2560"/>
      <c r="P83" s="2560"/>
      <c r="Q83" s="2560"/>
      <c r="R83" s="2560"/>
      <c r="S83" s="2560"/>
      <c r="T83" s="2560"/>
      <c r="U83" s="1167"/>
      <c r="W83" s="98"/>
      <c r="X83" s="98"/>
      <c r="Y83" s="1649"/>
      <c r="Z83" s="1652"/>
      <c r="AA83" s="1652"/>
      <c r="AB83" s="1653"/>
      <c r="AC83" s="1649"/>
      <c r="AF83" s="98"/>
      <c r="AG83" s="98"/>
      <c r="AH83" s="98"/>
      <c r="AI83" s="98"/>
      <c r="AJ83" s="98"/>
      <c r="AK83" s="98"/>
      <c r="AL83" s="98"/>
      <c r="AM83" s="98"/>
      <c r="AN83" s="98"/>
      <c r="AO83" s="98"/>
      <c r="AP83" s="98"/>
      <c r="AQ83" s="98"/>
      <c r="AR83" s="98"/>
      <c r="AS83" s="98"/>
      <c r="AT83" s="98"/>
      <c r="AU83" s="462"/>
      <c r="AV83" s="462"/>
      <c r="AW83" s="462"/>
      <c r="AX83" s="462"/>
      <c r="AY83" s="462"/>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1:96" ht="16.25" customHeight="1">
      <c r="A84" s="606"/>
      <c r="B84" s="1379"/>
      <c r="C84" s="2600"/>
      <c r="D84" s="2601"/>
      <c r="E84" s="2601"/>
      <c r="F84" s="2601"/>
      <c r="G84" s="2601"/>
      <c r="H84" s="2601"/>
      <c r="I84" s="2601"/>
      <c r="J84" s="2601"/>
      <c r="K84" s="2601"/>
      <c r="L84" s="2602"/>
      <c r="M84" s="2562">
        <v>1</v>
      </c>
      <c r="N84" s="2538"/>
      <c r="O84" s="2563"/>
      <c r="P84" s="2563"/>
      <c r="Q84" s="2563"/>
      <c r="R84" s="2563"/>
      <c r="S84" s="2560"/>
      <c r="T84" s="2560"/>
      <c r="U84" s="1167"/>
      <c r="W84" s="98"/>
      <c r="X84" s="98"/>
      <c r="Y84" s="1649"/>
      <c r="Z84" s="1652" t="s">
        <v>5168</v>
      </c>
      <c r="AA84" s="1652"/>
      <c r="AB84" s="1653"/>
      <c r="AC84" s="1649" t="s">
        <v>5167</v>
      </c>
      <c r="AF84" s="98"/>
      <c r="AG84" s="98"/>
      <c r="AH84" s="98"/>
      <c r="AI84" s="98"/>
      <c r="AJ84" s="98"/>
      <c r="AK84" s="98"/>
      <c r="AL84" s="98"/>
      <c r="AM84" s="98"/>
      <c r="AN84" s="98"/>
      <c r="AO84" s="98"/>
      <c r="AP84" s="98"/>
      <c r="AQ84" s="98"/>
      <c r="AR84" s="98"/>
      <c r="AS84" s="98"/>
      <c r="AT84" s="98"/>
      <c r="AU84" s="462"/>
      <c r="AV84" s="462"/>
      <c r="AW84" s="462"/>
      <c r="AX84" s="462"/>
      <c r="AY84" s="462"/>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1:96" ht="18.5" customHeight="1">
      <c r="A85" s="606"/>
      <c r="B85" s="1379"/>
      <c r="C85" s="2569" t="s">
        <v>5172</v>
      </c>
      <c r="D85" s="2570"/>
      <c r="E85" s="2570"/>
      <c r="F85" s="2570"/>
      <c r="G85" s="2570"/>
      <c r="H85" s="2570"/>
      <c r="I85" s="2570"/>
      <c r="J85" s="2570"/>
      <c r="K85" s="2570"/>
      <c r="L85" s="2571"/>
      <c r="M85" s="2537"/>
      <c r="N85" s="2538"/>
      <c r="O85" s="2496"/>
      <c r="P85" s="2496"/>
      <c r="Q85" s="2496"/>
      <c r="R85" s="2496"/>
      <c r="S85" s="2496"/>
      <c r="T85" s="2496"/>
      <c r="U85" s="1167"/>
      <c r="W85" s="98"/>
      <c r="X85" s="98"/>
      <c r="Y85" s="1649"/>
      <c r="Z85" s="1652"/>
      <c r="AA85" s="1652"/>
      <c r="AB85" s="1653"/>
      <c r="AC85" s="1649"/>
      <c r="AF85" s="98"/>
      <c r="AG85" s="98"/>
      <c r="AH85" s="98"/>
      <c r="AI85" s="98"/>
      <c r="AJ85" s="98"/>
      <c r="AK85" s="98"/>
      <c r="AL85" s="98"/>
      <c r="AM85" s="98"/>
      <c r="AN85" s="98"/>
      <c r="AO85" s="98"/>
      <c r="AP85" s="98"/>
      <c r="AQ85" s="98"/>
      <c r="AR85" s="98"/>
      <c r="AS85" s="98"/>
      <c r="AT85" s="98"/>
      <c r="AU85" s="462"/>
      <c r="AV85" s="462"/>
      <c r="AW85" s="462"/>
      <c r="AX85" s="462"/>
      <c r="AY85" s="462"/>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1:96" ht="18" customHeight="1">
      <c r="A86" s="606"/>
      <c r="B86" s="1379"/>
      <c r="C86" s="2532" t="s">
        <v>5173</v>
      </c>
      <c r="D86" s="2532"/>
      <c r="E86" s="2532"/>
      <c r="F86" s="2532"/>
      <c r="G86" s="2532"/>
      <c r="H86" s="2532"/>
      <c r="I86" s="2532"/>
      <c r="J86" s="2532"/>
      <c r="K86" s="2532"/>
      <c r="L86" s="2532"/>
      <c r="M86" s="2544">
        <v>2</v>
      </c>
      <c r="N86" s="2545"/>
      <c r="O86" s="2560"/>
      <c r="P86" s="2560"/>
      <c r="Q86" s="2560"/>
      <c r="R86" s="2560"/>
      <c r="S86" s="2560"/>
      <c r="T86" s="2560"/>
      <c r="U86" s="1167"/>
      <c r="W86" s="98" t="b">
        <f>COUNTIF(Q83:R84, "Yes")&gt;1</f>
        <v>0</v>
      </c>
      <c r="X86" s="98">
        <f>IF(W86,0,IF(X87, 2, IF(X88,1,0)))</f>
        <v>0</v>
      </c>
      <c r="Y86" s="1648" t="b">
        <f>COUNTIF(O83:P84, "Yes")&gt;1</f>
        <v>0</v>
      </c>
      <c r="Z86" s="1648">
        <f>IF(Y86,0,IF(Z87, 2, IF(Z88,1,0)))</f>
        <v>0</v>
      </c>
      <c r="AA86" s="1648"/>
      <c r="AB86" s="1648" t="b">
        <f>COUNTIF(S83:T84, "Yes")&gt;1</f>
        <v>0</v>
      </c>
      <c r="AC86" s="1648">
        <f>IF(AB86,0,IF(AC87, 2, IF(AC88,1,0)))</f>
        <v>0</v>
      </c>
      <c r="AF86" s="98"/>
      <c r="AG86" s="98"/>
      <c r="AH86" s="98"/>
      <c r="AI86" s="98"/>
      <c r="AJ86" s="98"/>
      <c r="AK86" s="98"/>
      <c r="AL86" s="98"/>
      <c r="AM86" s="98"/>
      <c r="AN86" s="98"/>
      <c r="AO86" s="98"/>
      <c r="AP86" s="98"/>
      <c r="AQ86" s="98"/>
      <c r="AR86" s="98"/>
      <c r="AS86" s="98"/>
      <c r="AT86" s="98"/>
      <c r="AU86" s="462"/>
      <c r="AV86" s="462"/>
      <c r="AW86" s="462"/>
      <c r="AX86" s="462"/>
      <c r="AY86" s="462"/>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1:96" ht="28.5" customHeight="1">
      <c r="A87" s="606"/>
      <c r="B87" s="1379"/>
      <c r="C87" s="2532"/>
      <c r="D87" s="2532"/>
      <c r="E87" s="2532"/>
      <c r="F87" s="2532"/>
      <c r="G87" s="2532"/>
      <c r="H87" s="2532"/>
      <c r="I87" s="2532"/>
      <c r="J87" s="2532"/>
      <c r="K87" s="2532"/>
      <c r="L87" s="2532"/>
      <c r="M87" s="2546"/>
      <c r="N87" s="2547"/>
      <c r="O87" s="2560"/>
      <c r="P87" s="2560"/>
      <c r="Q87" s="2560"/>
      <c r="R87" s="2560"/>
      <c r="S87" s="2560"/>
      <c r="T87" s="2560"/>
      <c r="U87" s="1167"/>
      <c r="W87" s="98"/>
      <c r="X87" s="98" t="b">
        <f>Q83="Yes"</f>
        <v>0</v>
      </c>
      <c r="Y87" s="1649"/>
      <c r="Z87" s="1648" t="b">
        <f>O83="Yes"</f>
        <v>0</v>
      </c>
      <c r="AA87" s="1648"/>
      <c r="AC87" s="1648" t="b">
        <f>S83="Yes"</f>
        <v>0</v>
      </c>
      <c r="AF87" s="98"/>
      <c r="AG87" s="98"/>
      <c r="AH87" s="98"/>
      <c r="AI87" s="98"/>
      <c r="AJ87" s="98"/>
      <c r="AK87" s="98"/>
      <c r="AL87" s="98"/>
      <c r="AM87" s="98"/>
      <c r="AN87" s="98"/>
      <c r="AO87" s="98"/>
      <c r="AP87" s="98"/>
      <c r="AQ87" s="98"/>
      <c r="AR87" s="98"/>
      <c r="AS87" s="98"/>
      <c r="AT87" s="98"/>
      <c r="AU87" s="462"/>
      <c r="AV87" s="462"/>
      <c r="AW87" s="462"/>
      <c r="AX87" s="462"/>
      <c r="AY87" s="462"/>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1:96">
      <c r="A88" s="606"/>
      <c r="B88" s="1379"/>
      <c r="C88" s="2559" t="s">
        <v>5174</v>
      </c>
      <c r="D88" s="2559"/>
      <c r="E88" s="2559"/>
      <c r="F88" s="2559"/>
      <c r="G88" s="2559"/>
      <c r="H88" s="2559"/>
      <c r="I88" s="2559"/>
      <c r="J88" s="2559"/>
      <c r="K88" s="2559"/>
      <c r="L88" s="2559"/>
      <c r="M88" s="2544"/>
      <c r="N88" s="2545"/>
      <c r="O88" s="2544"/>
      <c r="P88" s="2545"/>
      <c r="Q88" s="2544"/>
      <c r="R88" s="2545"/>
      <c r="S88" s="2544"/>
      <c r="T88" s="2545"/>
      <c r="U88" s="1167"/>
      <c r="W88" s="98"/>
      <c r="X88" s="98" t="b">
        <f>Q84="Yes"</f>
        <v>0</v>
      </c>
      <c r="Y88" s="1649"/>
      <c r="Z88" s="1648" t="b">
        <f>O84="Yes"</f>
        <v>0</v>
      </c>
      <c r="AA88" s="1648"/>
      <c r="AC88" s="1648" t="b">
        <f>S84="Yes"</f>
        <v>0</v>
      </c>
      <c r="AF88" s="98"/>
      <c r="AG88" s="98"/>
      <c r="AH88" s="98"/>
      <c r="AI88" s="98"/>
      <c r="AJ88" s="98"/>
      <c r="AK88" s="98"/>
      <c r="AL88" s="98"/>
      <c r="AM88" s="98"/>
      <c r="AN88" s="98"/>
      <c r="AO88" s="98"/>
      <c r="AP88" s="98"/>
      <c r="AQ88" s="98"/>
      <c r="AR88" s="98"/>
      <c r="AS88" s="98"/>
      <c r="AT88" s="98"/>
      <c r="AU88" s="462"/>
      <c r="AV88" s="462"/>
      <c r="AW88" s="462"/>
      <c r="AX88" s="462"/>
      <c r="AY88" s="462"/>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1:96" ht="15" customHeight="1">
      <c r="A89" s="606"/>
      <c r="B89" s="1379"/>
      <c r="C89" s="2559"/>
      <c r="D89" s="2559"/>
      <c r="E89" s="2559"/>
      <c r="F89" s="2559"/>
      <c r="G89" s="2559"/>
      <c r="H89" s="2559"/>
      <c r="I89" s="2559"/>
      <c r="J89" s="2559"/>
      <c r="K89" s="2559"/>
      <c r="L89" s="2559"/>
      <c r="M89" s="2546"/>
      <c r="N89" s="2547"/>
      <c r="O89" s="2546"/>
      <c r="P89" s="2547"/>
      <c r="Q89" s="2546"/>
      <c r="R89" s="2547"/>
      <c r="S89" s="2546"/>
      <c r="T89" s="2547"/>
      <c r="U89" s="1167"/>
      <c r="W89" s="98"/>
      <c r="X89" s="98"/>
      <c r="Y89" s="1649"/>
      <c r="Z89" s="1648"/>
      <c r="AA89" s="1648"/>
      <c r="AC89" s="1648"/>
      <c r="AF89" s="98"/>
      <c r="AG89" s="98"/>
      <c r="AH89" s="98"/>
      <c r="AI89" s="98"/>
      <c r="AJ89" s="98"/>
      <c r="AK89" s="98"/>
      <c r="AL89" s="98"/>
      <c r="AM89" s="98"/>
      <c r="AN89" s="98"/>
      <c r="AO89" s="98"/>
      <c r="AP89" s="98"/>
      <c r="AQ89" s="98"/>
      <c r="AR89" s="98"/>
      <c r="AS89" s="98"/>
      <c r="AT89" s="98"/>
      <c r="AU89" s="462"/>
      <c r="AV89" s="462"/>
      <c r="AW89" s="462"/>
      <c r="AX89" s="462"/>
      <c r="AY89" s="462"/>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1:96" ht="15" customHeight="1">
      <c r="A90" s="606"/>
      <c r="B90" s="1379"/>
      <c r="C90" s="2588" t="s">
        <v>5175</v>
      </c>
      <c r="D90" s="2603"/>
      <c r="E90" s="2603"/>
      <c r="F90" s="2603"/>
      <c r="G90" s="2603"/>
      <c r="H90" s="2603"/>
      <c r="I90" s="2603"/>
      <c r="J90" s="2603"/>
      <c r="K90" s="2603"/>
      <c r="L90" s="2604"/>
      <c r="M90" s="2537" t="s">
        <v>5176</v>
      </c>
      <c r="N90" s="2538"/>
      <c r="O90" s="2459">
        <f>SUM(Z78,Z86,AA90)</f>
        <v>0</v>
      </c>
      <c r="P90" s="2459"/>
      <c r="Q90" s="2459">
        <f>X78+X86+Y90</f>
        <v>0</v>
      </c>
      <c r="R90" s="2459"/>
      <c r="S90" s="2459">
        <f>AC78+AC86+AD90</f>
        <v>0</v>
      </c>
      <c r="T90" s="2459"/>
      <c r="U90" s="1167"/>
      <c r="W90" s="98"/>
      <c r="X90" s="98" t="b">
        <f>Q86="Yes"</f>
        <v>0</v>
      </c>
      <c r="Y90" s="1649">
        <f>IF(X90, 2, 0)</f>
        <v>0</v>
      </c>
      <c r="Z90" s="1648" t="b">
        <f>O86="Yes"</f>
        <v>0</v>
      </c>
      <c r="AA90" s="1649">
        <f>IF(Z90, 2, 0)</f>
        <v>0</v>
      </c>
      <c r="AB90" s="1648"/>
      <c r="AC90" s="1648" t="b">
        <f>S86="Yes"</f>
        <v>0</v>
      </c>
      <c r="AD90" s="1649">
        <f>IF(AC90, 2, 0)</f>
        <v>0</v>
      </c>
      <c r="AF90" s="98"/>
      <c r="AG90" s="98"/>
      <c r="AH90" s="98"/>
      <c r="AI90" s="98"/>
      <c r="AJ90" s="98"/>
      <c r="AK90" s="98"/>
      <c r="AL90" s="98"/>
      <c r="AM90" s="98"/>
      <c r="AN90" s="98"/>
      <c r="AO90" s="98"/>
      <c r="AP90" s="98"/>
      <c r="AQ90" s="98"/>
      <c r="AR90" s="98"/>
      <c r="AS90" s="98"/>
      <c r="AT90" s="98"/>
      <c r="AU90" s="462"/>
      <c r="AV90" s="462"/>
      <c r="AW90" s="462"/>
      <c r="AX90" s="462"/>
      <c r="AY90" s="462"/>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1:96" ht="30" customHeight="1">
      <c r="A91" s="606"/>
      <c r="B91" s="1379"/>
      <c r="C91" s="2605"/>
      <c r="D91" s="2606"/>
      <c r="E91" s="2606"/>
      <c r="F91" s="2606"/>
      <c r="G91" s="2606"/>
      <c r="H91" s="2606"/>
      <c r="I91" s="2606"/>
      <c r="J91" s="2606"/>
      <c r="K91" s="2606"/>
      <c r="L91" s="2607"/>
      <c r="M91" s="2595" t="s">
        <v>3241</v>
      </c>
      <c r="N91" s="2596"/>
      <c r="O91" s="2543">
        <f>ROUND(IF(Z93,MAX(O90,SUM(O90:T90)/3),MAX(O90,SUM(O90:R90)/2)),0)</f>
        <v>0</v>
      </c>
      <c r="P91" s="2543"/>
      <c r="Q91" s="1379"/>
      <c r="R91" s="1379"/>
      <c r="S91" s="1379"/>
      <c r="T91" s="1379"/>
      <c r="U91" s="1167"/>
      <c r="W91" s="98"/>
      <c r="X91" s="98"/>
      <c r="AB91" s="1653"/>
      <c r="AC91" s="1046"/>
      <c r="AF91" s="98"/>
      <c r="AG91" s="98"/>
      <c r="AH91" s="98"/>
      <c r="AI91" s="98"/>
      <c r="AJ91" s="98"/>
      <c r="AK91" s="98"/>
      <c r="AL91" s="98"/>
      <c r="AM91" s="98"/>
      <c r="AN91" s="98"/>
      <c r="AO91" s="98"/>
      <c r="AP91" s="98"/>
      <c r="AQ91" s="98"/>
      <c r="AR91" s="98"/>
      <c r="AS91" s="98"/>
      <c r="AT91" s="98"/>
      <c r="AU91" s="462"/>
      <c r="AV91" s="462"/>
      <c r="AW91" s="462"/>
      <c r="AX91" s="462"/>
      <c r="AY91" s="462"/>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1:96">
      <c r="A92" s="606"/>
      <c r="B92" s="1379"/>
      <c r="C92" s="1379"/>
      <c r="D92" s="1379"/>
      <c r="E92" s="1379"/>
      <c r="F92" s="1379"/>
      <c r="G92" s="1379"/>
      <c r="H92" s="1379"/>
      <c r="I92" s="1379"/>
      <c r="J92" s="1379"/>
      <c r="K92" s="1379"/>
      <c r="L92" s="1379"/>
      <c r="M92" s="1379"/>
      <c r="N92" s="1379"/>
      <c r="O92" s="1379"/>
      <c r="P92" s="1379"/>
      <c r="Q92" s="1379"/>
      <c r="R92" s="1379"/>
      <c r="S92" s="1379"/>
      <c r="T92" s="1379"/>
      <c r="U92" s="1167"/>
      <c r="W92" s="98"/>
      <c r="X92" s="98"/>
      <c r="Y92" s="1648" t="s">
        <v>5177</v>
      </c>
      <c r="Z92" s="1648" t="s">
        <v>5178</v>
      </c>
      <c r="AA92" s="1648"/>
      <c r="AB92" s="1654"/>
      <c r="AC92" s="1648"/>
      <c r="AF92" s="98"/>
      <c r="AG92" s="98"/>
      <c r="AH92" s="98"/>
      <c r="AI92" s="98"/>
      <c r="AJ92" s="98"/>
      <c r="AK92" s="98"/>
      <c r="AL92" s="98"/>
      <c r="AM92" s="98"/>
      <c r="AN92" s="98"/>
      <c r="AO92" s="98"/>
      <c r="AP92" s="98"/>
      <c r="AQ92" s="98"/>
      <c r="AR92" s="98"/>
      <c r="AS92" s="98"/>
      <c r="AT92" s="98"/>
      <c r="AU92" s="462"/>
      <c r="AV92" s="462"/>
      <c r="AW92" s="462"/>
      <c r="AX92" s="462"/>
      <c r="AY92" s="462"/>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1:96" ht="15" customHeight="1">
      <c r="A93" s="606"/>
      <c r="B93" s="1379"/>
      <c r="C93" s="1379"/>
      <c r="D93" s="1379"/>
      <c r="E93" s="1379"/>
      <c r="F93" s="1379"/>
      <c r="G93" s="1379"/>
      <c r="H93" s="1379"/>
      <c r="I93" s="1379"/>
      <c r="J93" s="1379"/>
      <c r="K93" s="1379"/>
      <c r="L93" s="1379"/>
      <c r="M93" s="1379"/>
      <c r="N93" s="1379"/>
      <c r="O93" s="1379"/>
      <c r="P93" s="1379"/>
      <c r="Q93" s="1379"/>
      <c r="R93" s="1379"/>
      <c r="S93" s="1379"/>
      <c r="T93" s="1379"/>
      <c r="U93" s="1167"/>
      <c r="W93" s="98"/>
      <c r="X93" s="98"/>
      <c r="Y93" s="1648" t="b">
        <f>IF(COUNTA(Q77:R80)+COUNTA(Q83:R84)&gt;=1,TRUE,FALSE)</f>
        <v>0</v>
      </c>
      <c r="Z93" s="1648" t="b">
        <f>IF(COUNTA(S77:T80)+COUNTA(S83:T84)&gt;=1,TRUE,FALSE)</f>
        <v>0</v>
      </c>
      <c r="AA93" s="1649"/>
      <c r="AF93" s="98"/>
      <c r="AG93" s="98"/>
      <c r="AH93" s="98"/>
      <c r="AI93" s="98"/>
      <c r="AJ93" s="98"/>
      <c r="AK93" s="98"/>
      <c r="AL93" s="98"/>
      <c r="AM93" s="98"/>
      <c r="AN93" s="98"/>
      <c r="AO93" s="98"/>
      <c r="AP93" s="98"/>
      <c r="AQ93" s="98"/>
      <c r="AR93" s="98"/>
      <c r="AS93" s="98"/>
      <c r="AT93" s="98"/>
      <c r="AU93" s="462"/>
      <c r="AV93" s="462"/>
      <c r="AW93" s="462"/>
      <c r="AX93" s="462"/>
      <c r="AY93" s="462"/>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1:96" ht="19">
      <c r="A94" s="606"/>
      <c r="B94" s="1007" t="s">
        <v>3364</v>
      </c>
      <c r="C94" s="1012"/>
      <c r="D94" s="606"/>
      <c r="E94" s="606"/>
      <c r="F94" s="985"/>
      <c r="G94" s="985"/>
      <c r="H94" s="606"/>
      <c r="I94" s="3"/>
      <c r="J94" s="3"/>
      <c r="K94" s="3"/>
      <c r="L94" s="8" t="s">
        <v>3372</v>
      </c>
      <c r="M94" s="3"/>
      <c r="N94" s="3"/>
      <c r="O94" s="8"/>
      <c r="P94" s="8"/>
      <c r="Q94" s="3"/>
      <c r="R94" s="3"/>
      <c r="S94" s="3"/>
      <c r="T94" s="3"/>
      <c r="U94" s="3"/>
      <c r="W94" s="98"/>
      <c r="AF94" s="98"/>
      <c r="AG94" s="98"/>
      <c r="AH94" s="98"/>
      <c r="AI94" s="98"/>
      <c r="AJ94" s="98"/>
      <c r="AK94" s="98"/>
      <c r="AL94" s="98"/>
      <c r="AM94" s="98"/>
      <c r="AN94" s="98"/>
      <c r="AO94" s="98"/>
      <c r="AP94" s="98"/>
      <c r="AQ94" s="98"/>
      <c r="AR94" s="98"/>
      <c r="AS94" s="98"/>
      <c r="AT94" s="98"/>
      <c r="AU94" s="462"/>
      <c r="AV94" s="462"/>
      <c r="AW94" s="462"/>
      <c r="AX94" s="462"/>
      <c r="AY94" s="462"/>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1:96">
      <c r="A95" s="606"/>
      <c r="B95" s="1442" t="s">
        <v>3852</v>
      </c>
      <c r="C95" s="1443"/>
      <c r="D95" s="1443"/>
      <c r="E95" s="1167"/>
      <c r="F95" s="1167"/>
      <c r="G95" s="1167"/>
      <c r="H95" s="1167"/>
      <c r="I95" s="1167"/>
      <c r="J95" s="1167"/>
      <c r="K95" s="1167"/>
      <c r="L95" s="2578" t="s">
        <v>3371</v>
      </c>
      <c r="M95" s="2578"/>
      <c r="N95" s="1167"/>
      <c r="O95" s="1167"/>
      <c r="P95" s="1167"/>
      <c r="Q95" s="1167"/>
      <c r="R95" s="1167"/>
      <c r="S95" s="1167"/>
      <c r="T95" s="1167"/>
      <c r="U95" s="1167"/>
      <c r="AG95" s="98"/>
      <c r="AH95" s="98"/>
      <c r="AI95" s="98"/>
      <c r="AJ95" s="98"/>
      <c r="AK95" s="98"/>
      <c r="AL95" s="98"/>
      <c r="AM95" s="98"/>
      <c r="AN95" s="98"/>
      <c r="AO95" s="98"/>
      <c r="AP95" s="98"/>
      <c r="AQ95" s="98"/>
      <c r="AR95" s="98"/>
      <c r="AS95" s="98"/>
      <c r="AT95" s="98"/>
      <c r="AU95" s="462"/>
      <c r="AV95" s="462"/>
      <c r="AW95" s="462"/>
      <c r="AX95" s="462"/>
      <c r="AY95" s="462"/>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1:96">
      <c r="A96" s="606"/>
      <c r="B96" s="1167"/>
      <c r="C96" s="1957"/>
      <c r="D96" s="1958"/>
      <c r="E96" s="1958"/>
      <c r="F96" s="1958"/>
      <c r="G96" s="1958"/>
      <c r="H96" s="1958"/>
      <c r="I96" s="1958"/>
      <c r="J96" s="1959"/>
      <c r="K96" s="1167"/>
      <c r="L96" s="1957"/>
      <c r="M96" s="1958"/>
      <c r="N96" s="1958"/>
      <c r="O96" s="1958"/>
      <c r="P96" s="1958"/>
      <c r="Q96" s="1958"/>
      <c r="R96" s="1958"/>
      <c r="S96" s="1958"/>
      <c r="T96" s="1959"/>
      <c r="U96" s="1167"/>
      <c r="AG96" s="98"/>
      <c r="AH96" s="98"/>
      <c r="AI96" s="98"/>
      <c r="AJ96" s="98"/>
      <c r="AK96" s="98"/>
      <c r="AL96" s="98"/>
      <c r="AM96" s="98"/>
      <c r="AN96" s="98"/>
      <c r="AO96" s="98"/>
      <c r="AP96" s="98"/>
      <c r="AQ96" s="98"/>
      <c r="AR96" s="98"/>
      <c r="AS96" s="98"/>
      <c r="AT96" s="98"/>
      <c r="AU96" s="462"/>
      <c r="AV96" s="462"/>
      <c r="AW96" s="462"/>
      <c r="AX96" s="462"/>
      <c r="AY96" s="462"/>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1:96">
      <c r="A97" s="606"/>
      <c r="B97" s="1167"/>
      <c r="C97" s="1960"/>
      <c r="D97" s="1961"/>
      <c r="E97" s="1961"/>
      <c r="F97" s="1961"/>
      <c r="G97" s="1961"/>
      <c r="H97" s="1961"/>
      <c r="I97" s="1961"/>
      <c r="J97" s="1962"/>
      <c r="K97" s="1167"/>
      <c r="L97" s="1960"/>
      <c r="M97" s="1961"/>
      <c r="N97" s="1961"/>
      <c r="O97" s="1961"/>
      <c r="P97" s="1961"/>
      <c r="Q97" s="1961"/>
      <c r="R97" s="1961"/>
      <c r="S97" s="1961"/>
      <c r="T97" s="1962"/>
      <c r="U97" s="1167"/>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1:96">
      <c r="A98" s="606"/>
      <c r="B98" s="1167"/>
      <c r="C98" s="1960"/>
      <c r="D98" s="1961"/>
      <c r="E98" s="1961"/>
      <c r="F98" s="1961"/>
      <c r="G98" s="1961"/>
      <c r="H98" s="1961"/>
      <c r="I98" s="1961"/>
      <c r="J98" s="1962"/>
      <c r="K98" s="1167"/>
      <c r="L98" s="1960"/>
      <c r="M98" s="1961"/>
      <c r="N98" s="1961"/>
      <c r="O98" s="1961"/>
      <c r="P98" s="1961"/>
      <c r="Q98" s="1961"/>
      <c r="R98" s="1961"/>
      <c r="S98" s="1961"/>
      <c r="T98" s="1962"/>
      <c r="U98" s="1167"/>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1:96">
      <c r="A99" s="606"/>
      <c r="B99" s="1167"/>
      <c r="C99" s="1960"/>
      <c r="D99" s="1961"/>
      <c r="E99" s="1961"/>
      <c r="F99" s="1961"/>
      <c r="G99" s="1961"/>
      <c r="H99" s="1961"/>
      <c r="I99" s="1961"/>
      <c r="J99" s="1962"/>
      <c r="K99" s="1167"/>
      <c r="L99" s="1960"/>
      <c r="M99" s="1961"/>
      <c r="N99" s="1961"/>
      <c r="O99" s="1961"/>
      <c r="P99" s="1961"/>
      <c r="Q99" s="1961"/>
      <c r="R99" s="1961"/>
      <c r="S99" s="1961"/>
      <c r="T99" s="1962"/>
      <c r="U99" s="1167"/>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1:96">
      <c r="A100" s="606"/>
      <c r="B100" s="1167"/>
      <c r="C100" s="1960"/>
      <c r="D100" s="1961"/>
      <c r="E100" s="1961"/>
      <c r="F100" s="1961"/>
      <c r="G100" s="1961"/>
      <c r="H100" s="1961"/>
      <c r="I100" s="1961"/>
      <c r="J100" s="1962"/>
      <c r="K100" s="1167"/>
      <c r="L100" s="1960"/>
      <c r="M100" s="1961"/>
      <c r="N100" s="1961"/>
      <c r="O100" s="1961"/>
      <c r="P100" s="1961"/>
      <c r="Q100" s="1961"/>
      <c r="R100" s="1961"/>
      <c r="S100" s="1961"/>
      <c r="T100" s="1962"/>
      <c r="U100" s="1167"/>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1:96">
      <c r="A101" s="606"/>
      <c r="B101" s="1167"/>
      <c r="C101" s="1960"/>
      <c r="D101" s="1961"/>
      <c r="E101" s="1961"/>
      <c r="F101" s="1961"/>
      <c r="G101" s="1961"/>
      <c r="H101" s="1961"/>
      <c r="I101" s="1961"/>
      <c r="J101" s="1962"/>
      <c r="K101" s="1167"/>
      <c r="L101" s="1960"/>
      <c r="M101" s="1961"/>
      <c r="N101" s="1961"/>
      <c r="O101" s="1961"/>
      <c r="P101" s="1961"/>
      <c r="Q101" s="1961"/>
      <c r="R101" s="1961"/>
      <c r="S101" s="1961"/>
      <c r="T101" s="1962"/>
      <c r="U101" s="1167"/>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1:96">
      <c r="A102" s="606"/>
      <c r="B102" s="1167"/>
      <c r="C102" s="1960"/>
      <c r="D102" s="1961"/>
      <c r="E102" s="1961"/>
      <c r="F102" s="1961"/>
      <c r="G102" s="1961"/>
      <c r="H102" s="1961"/>
      <c r="I102" s="1961"/>
      <c r="J102" s="1962"/>
      <c r="K102" s="1167"/>
      <c r="L102" s="1960"/>
      <c r="M102" s="1961"/>
      <c r="N102" s="1961"/>
      <c r="O102" s="1961"/>
      <c r="P102" s="1961"/>
      <c r="Q102" s="1961"/>
      <c r="R102" s="1961"/>
      <c r="S102" s="1961"/>
      <c r="T102" s="1962"/>
      <c r="U102" s="1167"/>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1:96">
      <c r="A103" s="606"/>
      <c r="B103" s="1167"/>
      <c r="C103" s="1960"/>
      <c r="D103" s="1961"/>
      <c r="E103" s="1961"/>
      <c r="F103" s="1961"/>
      <c r="G103" s="1961"/>
      <c r="H103" s="1961"/>
      <c r="I103" s="1961"/>
      <c r="J103" s="1962"/>
      <c r="K103" s="1167"/>
      <c r="L103" s="1960"/>
      <c r="M103" s="1961"/>
      <c r="N103" s="1961"/>
      <c r="O103" s="1961"/>
      <c r="P103" s="1961"/>
      <c r="Q103" s="1961"/>
      <c r="R103" s="1961"/>
      <c r="S103" s="1961"/>
      <c r="T103" s="1962"/>
      <c r="U103" s="1167"/>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1:96">
      <c r="A104" s="606"/>
      <c r="B104" s="1167"/>
      <c r="C104" s="1960"/>
      <c r="D104" s="1961"/>
      <c r="E104" s="1961"/>
      <c r="F104" s="1961"/>
      <c r="G104" s="1961"/>
      <c r="H104" s="1961"/>
      <c r="I104" s="1961"/>
      <c r="J104" s="1962"/>
      <c r="K104" s="1167"/>
      <c r="L104" s="1963"/>
      <c r="M104" s="1964"/>
      <c r="N104" s="1964"/>
      <c r="O104" s="1964"/>
      <c r="P104" s="1964"/>
      <c r="Q104" s="1964"/>
      <c r="R104" s="1964"/>
      <c r="S104" s="1964"/>
      <c r="T104" s="1965"/>
      <c r="U104" s="1167"/>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1:96">
      <c r="A105" s="606"/>
      <c r="B105" s="1167"/>
      <c r="C105" s="1960"/>
      <c r="D105" s="1961"/>
      <c r="E105" s="1961"/>
      <c r="F105" s="1961"/>
      <c r="G105" s="1961"/>
      <c r="H105" s="1961"/>
      <c r="I105" s="1961"/>
      <c r="J105" s="1962"/>
      <c r="K105" s="1167"/>
      <c r="L105" s="2550" t="s">
        <v>4766</v>
      </c>
      <c r="M105" s="2550"/>
      <c r="N105" s="2550"/>
      <c r="O105" s="1167"/>
      <c r="P105" s="1167"/>
      <c r="Q105" s="1167"/>
      <c r="R105" s="1167"/>
      <c r="S105" s="1167"/>
      <c r="T105" s="1167"/>
      <c r="U105" s="1167"/>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1:96">
      <c r="A106" s="606"/>
      <c r="B106" s="1167"/>
      <c r="C106" s="1963"/>
      <c r="D106" s="1964"/>
      <c r="E106" s="1964"/>
      <c r="F106" s="1964"/>
      <c r="G106" s="1964"/>
      <c r="H106" s="1964"/>
      <c r="I106" s="1964"/>
      <c r="J106" s="1965"/>
      <c r="K106" s="1167"/>
      <c r="L106" s="2551"/>
      <c r="M106" s="2552"/>
      <c r="N106" s="2552"/>
      <c r="O106" s="2552"/>
      <c r="P106" s="2552"/>
      <c r="Q106" s="2552"/>
      <c r="R106" s="2552"/>
      <c r="S106" s="2552"/>
      <c r="T106" s="2553"/>
      <c r="U106" s="1167"/>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1:96">
      <c r="A107" s="606"/>
      <c r="B107" s="1167"/>
      <c r="C107" s="1167"/>
      <c r="D107" s="1167"/>
      <c r="E107" s="1167"/>
      <c r="F107" s="1167"/>
      <c r="G107" s="1167"/>
      <c r="H107" s="1167"/>
      <c r="I107" s="1167"/>
      <c r="J107" s="1167"/>
      <c r="K107" s="1167"/>
      <c r="L107" s="1167"/>
      <c r="M107" s="1167"/>
      <c r="N107" s="1167"/>
      <c r="O107" s="1167"/>
      <c r="P107" s="1167"/>
      <c r="Q107" s="1167"/>
      <c r="R107" s="1167"/>
      <c r="S107" s="1167"/>
      <c r="T107" s="1167"/>
      <c r="U107" s="1167"/>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1:96" s="531" customFormat="1" ht="19.25" customHeight="1">
      <c r="A108" s="606"/>
      <c r="B108" s="2608" t="s">
        <v>4728</v>
      </c>
      <c r="C108" s="2609"/>
      <c r="D108" s="2609"/>
      <c r="E108" s="2609"/>
      <c r="F108" s="2609"/>
      <c r="G108" s="3"/>
      <c r="H108" s="3"/>
      <c r="I108" s="3"/>
      <c r="J108" s="149"/>
      <c r="K108" s="149"/>
      <c r="L108" s="149"/>
      <c r="M108" s="149"/>
      <c r="N108" s="149"/>
      <c r="O108" s="149"/>
      <c r="P108" s="149"/>
      <c r="Q108" s="3"/>
      <c r="R108" s="3"/>
      <c r="S108" s="3"/>
      <c r="T108" s="3"/>
      <c r="U108" s="3"/>
      <c r="V108" s="640"/>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872"/>
      <c r="BO108" s="872"/>
      <c r="BP108" s="872"/>
      <c r="BQ108" s="872"/>
      <c r="BR108" s="872"/>
      <c r="BS108" s="872"/>
      <c r="BT108" s="872"/>
      <c r="BU108" s="872"/>
      <c r="BV108" s="872"/>
      <c r="BW108" s="872"/>
      <c r="BX108" s="872"/>
    </row>
    <row r="109" spans="1:96" ht="21" hidden="1">
      <c r="A109" s="606"/>
      <c r="B109" s="2608"/>
      <c r="C109" s="2609"/>
      <c r="D109" s="2609"/>
      <c r="E109" s="2609"/>
      <c r="F109" s="2609"/>
      <c r="G109" s="987"/>
      <c r="H109" s="987"/>
      <c r="I109" s="999"/>
      <c r="J109" s="999"/>
      <c r="K109" s="999"/>
      <c r="L109" s="999"/>
      <c r="M109" s="999"/>
      <c r="N109" s="999"/>
      <c r="O109" s="999"/>
      <c r="P109" s="999"/>
      <c r="Q109" s="987"/>
      <c r="R109" s="987"/>
      <c r="S109" s="987"/>
      <c r="T109" s="987"/>
      <c r="U109" s="987"/>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row>
    <row r="110" spans="1:96">
      <c r="A110" s="1131"/>
      <c r="B110" s="1167"/>
      <c r="C110" s="1167"/>
      <c r="D110" s="1167"/>
      <c r="E110" s="1167"/>
      <c r="F110" s="1167"/>
      <c r="G110" s="1167"/>
      <c r="H110" s="1167"/>
      <c r="I110" s="1167"/>
      <c r="J110" s="1167"/>
      <c r="K110" s="1167"/>
      <c r="L110" s="1167"/>
      <c r="M110" s="1167"/>
      <c r="N110" s="1167"/>
      <c r="O110" s="1167"/>
      <c r="P110" s="1167"/>
      <c r="Q110" s="1167"/>
      <c r="R110" s="1167"/>
      <c r="S110" s="1167"/>
      <c r="T110" s="1167"/>
      <c r="U110" s="1167"/>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row>
    <row r="111" spans="1:96">
      <c r="A111" s="606"/>
      <c r="B111" s="1733" t="s">
        <v>4795</v>
      </c>
      <c r="C111" s="1167"/>
      <c r="D111" s="1167"/>
      <c r="E111" s="1167"/>
      <c r="F111" s="1167"/>
      <c r="G111" s="1167"/>
      <c r="H111" s="1040"/>
      <c r="I111" s="1444"/>
      <c r="J111" s="1167"/>
      <c r="K111" s="1167"/>
      <c r="L111" s="1167"/>
      <c r="M111" s="1167"/>
      <c r="N111" s="1167"/>
      <c r="O111" s="1167"/>
      <c r="P111" s="1167"/>
      <c r="Q111" s="1167"/>
      <c r="R111" s="1167"/>
      <c r="S111" s="1167"/>
      <c r="T111" s="1167"/>
      <c r="U111" s="1167"/>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row>
    <row r="112" spans="1:96">
      <c r="A112" s="606"/>
      <c r="B112" s="1167"/>
      <c r="C112" s="1167"/>
      <c r="D112" s="1167"/>
      <c r="E112" s="1167"/>
      <c r="F112" s="1167"/>
      <c r="G112" s="1167"/>
      <c r="H112" s="1167"/>
      <c r="I112" s="1167"/>
      <c r="J112" s="1167"/>
      <c r="K112" s="1167"/>
      <c r="L112" s="1167"/>
      <c r="M112" s="1167"/>
      <c r="N112" s="1167"/>
      <c r="O112" s="1167"/>
      <c r="P112" s="1167"/>
      <c r="Q112" s="1167"/>
      <c r="R112" s="1167"/>
      <c r="S112" s="1167"/>
      <c r="T112" s="1167"/>
      <c r="U112" s="1167"/>
      <c r="W112" s="9" t="b">
        <f>H111="Yes"</f>
        <v>0</v>
      </c>
      <c r="X112" s="9">
        <f>IF(W112, 2, 0)</f>
        <v>0</v>
      </c>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row>
    <row r="113" spans="1:84">
      <c r="A113" s="606"/>
      <c r="B113" s="1170" t="s">
        <v>3736</v>
      </c>
      <c r="C113" s="1167"/>
      <c r="D113" s="1167"/>
      <c r="E113" s="1167"/>
      <c r="F113" s="1167"/>
      <c r="G113" s="1167"/>
      <c r="H113" s="1167"/>
      <c r="I113" s="1167"/>
      <c r="J113" s="1167"/>
      <c r="K113" s="1167"/>
      <c r="L113" s="1167"/>
      <c r="M113" s="1167"/>
      <c r="N113" s="1167"/>
      <c r="O113" s="1167"/>
      <c r="P113" s="1167"/>
      <c r="Q113" s="1167"/>
      <c r="R113" s="1167"/>
      <c r="S113" s="1167"/>
      <c r="T113" s="1167"/>
      <c r="U113" s="1167"/>
      <c r="W113" s="98"/>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row>
    <row r="114" spans="1:84">
      <c r="A114" s="606"/>
      <c r="B114" s="1167" t="s">
        <v>5179</v>
      </c>
      <c r="C114" s="1167"/>
      <c r="D114" s="1167"/>
      <c r="E114" s="1167"/>
      <c r="F114" s="1167"/>
      <c r="G114" s="1167"/>
      <c r="H114" s="1444"/>
      <c r="I114" s="1444"/>
      <c r="J114" s="1167"/>
      <c r="K114" s="1167"/>
      <c r="L114" s="1167"/>
      <c r="M114" s="1167"/>
      <c r="N114" s="1167"/>
      <c r="O114" s="1167"/>
      <c r="P114" s="1167"/>
      <c r="Q114" s="1167"/>
      <c r="R114" s="1167"/>
      <c r="S114" s="1167"/>
      <c r="T114" s="1167"/>
      <c r="U114" s="1167"/>
      <c r="W114" s="98"/>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row>
    <row r="115" spans="1:84">
      <c r="A115" s="606"/>
      <c r="B115" s="1167" t="s">
        <v>5180</v>
      </c>
      <c r="C115" s="1167"/>
      <c r="D115" s="1167"/>
      <c r="E115" s="1167"/>
      <c r="F115" s="1167"/>
      <c r="G115" s="1167"/>
      <c r="H115" s="1444"/>
      <c r="I115" s="1444"/>
      <c r="J115" s="1167"/>
      <c r="K115" s="1167"/>
      <c r="L115" s="1167"/>
      <c r="M115" s="1167"/>
      <c r="N115" s="1167"/>
      <c r="O115" s="1167"/>
      <c r="P115" s="1167"/>
      <c r="Q115" s="1167"/>
      <c r="R115" s="1167"/>
      <c r="S115" s="1167"/>
      <c r="T115" s="1167"/>
      <c r="U115" s="1167"/>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row>
    <row r="116" spans="1:84">
      <c r="A116" s="606"/>
      <c r="B116" s="1167" t="s">
        <v>5181</v>
      </c>
      <c r="C116" s="1167"/>
      <c r="D116" s="1167"/>
      <c r="E116" s="1167"/>
      <c r="F116" s="1167"/>
      <c r="G116" s="1167"/>
      <c r="H116" s="1167"/>
      <c r="I116" s="1167"/>
      <c r="J116" s="1167"/>
      <c r="K116" s="1167"/>
      <c r="L116" s="1167"/>
      <c r="M116" s="1167"/>
      <c r="N116" s="1167"/>
      <c r="O116" s="1167"/>
      <c r="P116" s="1167"/>
      <c r="Q116" s="1167"/>
      <c r="R116" s="1167"/>
      <c r="S116" s="1167"/>
      <c r="T116" s="1167"/>
      <c r="U116" s="1167"/>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row>
    <row r="117" spans="1:84">
      <c r="A117" s="606"/>
      <c r="B117" s="1167"/>
      <c r="C117" s="1167"/>
      <c r="D117" s="1167"/>
      <c r="E117" s="1167"/>
      <c r="F117" s="1167"/>
      <c r="G117" s="1167"/>
      <c r="H117" s="1167"/>
      <c r="I117" s="1167"/>
      <c r="J117" s="1167"/>
      <c r="K117" s="1167"/>
      <c r="L117" s="1167"/>
      <c r="M117" s="1167"/>
      <c r="N117" s="1167"/>
      <c r="O117" s="1167"/>
      <c r="P117" s="1167"/>
      <c r="Q117" s="1167"/>
      <c r="R117" s="1167"/>
      <c r="S117" s="1167"/>
      <c r="T117" s="1167"/>
      <c r="U117" s="1167"/>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row>
    <row r="118" spans="1:84">
      <c r="A118" s="606"/>
      <c r="B118" s="1231" t="s">
        <v>5182</v>
      </c>
      <c r="C118" s="1167"/>
      <c r="D118" s="1167"/>
      <c r="E118" s="1167"/>
      <c r="F118" s="1167"/>
      <c r="G118" s="1167"/>
      <c r="H118" s="1167"/>
      <c r="I118" s="1167"/>
      <c r="J118" s="1167"/>
      <c r="K118" s="1167"/>
      <c r="L118" s="1167"/>
      <c r="M118" s="1167"/>
      <c r="N118" s="1167"/>
      <c r="O118" s="1167"/>
      <c r="P118" s="1167"/>
      <c r="Q118" s="1167"/>
      <c r="R118" s="1167"/>
      <c r="S118" s="1167"/>
      <c r="T118" s="1167"/>
      <c r="U118" s="1167"/>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row>
    <row r="119" spans="1:84" ht="17" customHeight="1">
      <c r="A119" s="606"/>
      <c r="B119" s="1231"/>
      <c r="C119" s="1167"/>
      <c r="D119" s="1167"/>
      <c r="E119" s="1167"/>
      <c r="F119" s="1167"/>
      <c r="G119" s="1167"/>
      <c r="H119" s="1167"/>
      <c r="I119" s="1167"/>
      <c r="J119" s="1167"/>
      <c r="K119" s="1167"/>
      <c r="L119" s="1167"/>
      <c r="M119" s="1167"/>
      <c r="N119" s="1167"/>
      <c r="O119" s="1167"/>
      <c r="P119" s="1167"/>
      <c r="Q119" s="1167"/>
      <c r="R119" s="1167"/>
      <c r="S119" s="1167"/>
      <c r="T119" s="1167"/>
      <c r="U119" s="1167"/>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row>
    <row r="120" spans="1:84">
      <c r="A120" s="606"/>
      <c r="B120" s="1167"/>
      <c r="C120" s="1167"/>
      <c r="D120" s="1167"/>
      <c r="E120" s="1167"/>
      <c r="F120" s="1167"/>
      <c r="G120" s="1167"/>
      <c r="H120" s="1167"/>
      <c r="I120" s="1167"/>
      <c r="J120" s="1167"/>
      <c r="K120" s="1167"/>
      <c r="L120" s="1167"/>
      <c r="M120" s="1167"/>
      <c r="N120" s="1167"/>
      <c r="O120" s="1167"/>
      <c r="P120" s="1167"/>
      <c r="Q120" s="1167"/>
      <c r="R120" s="1167"/>
      <c r="S120" s="1167"/>
      <c r="T120" s="1167"/>
      <c r="U120" s="1167"/>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row>
    <row r="121" spans="1:84" s="3" customFormat="1">
      <c r="A121" s="606"/>
      <c r="B121" s="1167"/>
      <c r="C121" s="2455" t="s">
        <v>4734</v>
      </c>
      <c r="D121" s="2455"/>
      <c r="E121" s="2455" t="s">
        <v>4708</v>
      </c>
      <c r="F121" s="2455"/>
      <c r="G121" s="2455" t="s">
        <v>1010</v>
      </c>
      <c r="H121" s="2455"/>
      <c r="I121" s="1167"/>
      <c r="J121" s="1167"/>
      <c r="K121" s="1167"/>
      <c r="L121" s="1167"/>
      <c r="M121" s="1167"/>
      <c r="N121" s="1167"/>
      <c r="O121" s="1167"/>
      <c r="P121" s="1167"/>
      <c r="Q121" s="1167"/>
      <c r="R121" s="1167"/>
      <c r="S121" s="1167"/>
      <c r="T121" s="1167"/>
      <c r="U121" s="1167"/>
      <c r="V121" s="640"/>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row>
    <row r="122" spans="1:84" s="3" customFormat="1" ht="16">
      <c r="A122" s="606"/>
      <c r="B122" s="1167"/>
      <c r="C122" s="2535">
        <v>2</v>
      </c>
      <c r="D122" s="2535"/>
      <c r="E122" s="2554">
        <f>X112</f>
        <v>0</v>
      </c>
      <c r="F122" s="2554"/>
      <c r="G122" s="2536"/>
      <c r="H122" s="2536"/>
      <c r="I122" s="1167"/>
      <c r="J122" s="1167"/>
      <c r="K122" s="1167"/>
      <c r="L122" s="1167"/>
      <c r="M122" s="1167"/>
      <c r="N122" s="1167"/>
      <c r="O122" s="1167"/>
      <c r="P122" s="1167"/>
      <c r="Q122" s="1167"/>
      <c r="R122" s="1167"/>
      <c r="S122" s="1167"/>
      <c r="T122" s="1167"/>
      <c r="U122" s="1167"/>
      <c r="V122" s="640"/>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row>
    <row r="123" spans="1:84" s="3" customFormat="1">
      <c r="A123" s="606"/>
      <c r="B123" s="1167"/>
      <c r="C123" s="1167"/>
      <c r="D123" s="1167"/>
      <c r="E123" s="1167"/>
      <c r="F123" s="1167"/>
      <c r="G123" s="1167"/>
      <c r="H123" s="1167"/>
      <c r="I123" s="1167"/>
      <c r="J123" s="1167"/>
      <c r="K123" s="1167"/>
      <c r="L123" s="1167"/>
      <c r="M123" s="1167"/>
      <c r="N123" s="1167"/>
      <c r="O123" s="1167"/>
      <c r="P123" s="1167"/>
      <c r="Q123" s="1167"/>
      <c r="R123" s="1167"/>
      <c r="S123" s="1167"/>
      <c r="T123" s="1167"/>
      <c r="U123" s="1167"/>
      <c r="V123" s="640"/>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row>
    <row r="124" spans="1:84" s="3" customFormat="1" ht="19">
      <c r="A124" s="606"/>
      <c r="B124" s="1101" t="s">
        <v>3364</v>
      </c>
      <c r="C124" s="1102"/>
      <c r="D124" s="1103"/>
      <c r="E124" s="606"/>
      <c r="F124" s="985"/>
      <c r="G124" s="985"/>
      <c r="H124" s="606"/>
      <c r="I124" s="606"/>
      <c r="J124" s="606"/>
      <c r="L124" s="1007" t="s">
        <v>3372</v>
      </c>
      <c r="M124" s="1007"/>
      <c r="N124" s="606"/>
      <c r="O124" s="606"/>
      <c r="P124" s="606"/>
      <c r="Q124" s="606"/>
      <c r="R124" s="606"/>
      <c r="S124" s="606"/>
      <c r="T124" s="606"/>
      <c r="U124" s="606"/>
      <c r="V124" s="640"/>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row>
    <row r="125" spans="1:84" s="3" customFormat="1">
      <c r="A125" s="606"/>
      <c r="B125" s="1167"/>
      <c r="C125" s="1887" t="s">
        <v>4538</v>
      </c>
      <c r="D125" s="1886"/>
      <c r="E125" s="1886"/>
      <c r="F125" s="1167"/>
      <c r="G125" s="1167"/>
      <c r="H125" s="1167"/>
      <c r="I125" s="1167"/>
      <c r="J125" s="1167"/>
      <c r="K125" s="1167"/>
      <c r="L125" s="2578" t="s">
        <v>3371</v>
      </c>
      <c r="M125" s="2578"/>
      <c r="N125" s="1167"/>
      <c r="O125" s="1167"/>
      <c r="P125" s="1167"/>
      <c r="Q125" s="1167"/>
      <c r="R125" s="1167"/>
      <c r="S125" s="1167"/>
      <c r="T125" s="1167"/>
      <c r="U125" s="1167"/>
      <c r="V125" s="640"/>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row>
    <row r="126" spans="1:84" s="3" customFormat="1">
      <c r="A126" s="606"/>
      <c r="B126" s="1167"/>
      <c r="C126" s="1957"/>
      <c r="D126" s="1958"/>
      <c r="E126" s="1958"/>
      <c r="F126" s="1958"/>
      <c r="G126" s="1958"/>
      <c r="H126" s="1958"/>
      <c r="I126" s="1958"/>
      <c r="J126" s="1959"/>
      <c r="K126" s="1167"/>
      <c r="L126" s="1957"/>
      <c r="M126" s="1958"/>
      <c r="N126" s="1958"/>
      <c r="O126" s="1958"/>
      <c r="P126" s="1958"/>
      <c r="Q126" s="1958"/>
      <c r="R126" s="1958"/>
      <c r="S126" s="1958"/>
      <c r="T126" s="1959"/>
      <c r="U126" s="1167"/>
      <c r="V126" s="640"/>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row>
    <row r="127" spans="1:84" s="3" customFormat="1">
      <c r="A127" s="606"/>
      <c r="B127" s="1167"/>
      <c r="C127" s="1960"/>
      <c r="D127" s="1961"/>
      <c r="E127" s="1961"/>
      <c r="F127" s="1961"/>
      <c r="G127" s="1961"/>
      <c r="H127" s="1961"/>
      <c r="I127" s="1961"/>
      <c r="J127" s="1962"/>
      <c r="K127" s="1167"/>
      <c r="L127" s="1960"/>
      <c r="M127" s="1961"/>
      <c r="N127" s="1961"/>
      <c r="O127" s="1961"/>
      <c r="P127" s="1961"/>
      <c r="Q127" s="1961"/>
      <c r="R127" s="1961"/>
      <c r="S127" s="1961"/>
      <c r="T127" s="1962"/>
      <c r="U127" s="1167"/>
      <c r="V127" s="640"/>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84" s="3" customFormat="1">
      <c r="A128" s="606"/>
      <c r="B128" s="1167"/>
      <c r="C128" s="1960"/>
      <c r="D128" s="1961"/>
      <c r="E128" s="1961"/>
      <c r="F128" s="1961"/>
      <c r="G128" s="1961"/>
      <c r="H128" s="1961"/>
      <c r="I128" s="1961"/>
      <c r="J128" s="1962"/>
      <c r="K128" s="1167"/>
      <c r="L128" s="1960"/>
      <c r="M128" s="1961"/>
      <c r="N128" s="1961"/>
      <c r="O128" s="1961"/>
      <c r="P128" s="1961"/>
      <c r="Q128" s="1961"/>
      <c r="R128" s="1961"/>
      <c r="S128" s="1961"/>
      <c r="T128" s="1962"/>
      <c r="U128" s="1167"/>
      <c r="V128" s="640"/>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76" s="3" customFormat="1">
      <c r="A129" s="606"/>
      <c r="B129" s="1167"/>
      <c r="C129" s="1960"/>
      <c r="D129" s="1961"/>
      <c r="E129" s="1961"/>
      <c r="F129" s="1961"/>
      <c r="G129" s="1961"/>
      <c r="H129" s="1961"/>
      <c r="I129" s="1961"/>
      <c r="J129" s="1962"/>
      <c r="K129" s="1167"/>
      <c r="L129" s="1960"/>
      <c r="M129" s="1961"/>
      <c r="N129" s="1961"/>
      <c r="O129" s="1961"/>
      <c r="P129" s="1961"/>
      <c r="Q129" s="1961"/>
      <c r="R129" s="1961"/>
      <c r="S129" s="1961"/>
      <c r="T129" s="1962"/>
      <c r="U129" s="1167"/>
      <c r="V129" s="640"/>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76" s="3" customFormat="1">
      <c r="A130" s="606"/>
      <c r="B130" s="1167"/>
      <c r="C130" s="1960"/>
      <c r="D130" s="1961"/>
      <c r="E130" s="1961"/>
      <c r="F130" s="1961"/>
      <c r="G130" s="1961"/>
      <c r="H130" s="1961"/>
      <c r="I130" s="1961"/>
      <c r="J130" s="1962"/>
      <c r="K130" s="1167"/>
      <c r="L130" s="1960"/>
      <c r="M130" s="1961"/>
      <c r="N130" s="1961"/>
      <c r="O130" s="1961"/>
      <c r="P130" s="1961"/>
      <c r="Q130" s="1961"/>
      <c r="R130" s="1961"/>
      <c r="S130" s="1961"/>
      <c r="T130" s="1962"/>
      <c r="U130" s="1167"/>
      <c r="V130" s="640"/>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76" s="3" customFormat="1">
      <c r="A131" s="606"/>
      <c r="B131" s="1167"/>
      <c r="C131" s="1960"/>
      <c r="D131" s="1961"/>
      <c r="E131" s="1961"/>
      <c r="F131" s="1961"/>
      <c r="G131" s="1961"/>
      <c r="H131" s="1961"/>
      <c r="I131" s="1961"/>
      <c r="J131" s="1962"/>
      <c r="K131" s="1167"/>
      <c r="L131" s="1960"/>
      <c r="M131" s="1961"/>
      <c r="N131" s="1961"/>
      <c r="O131" s="1961"/>
      <c r="P131" s="1961"/>
      <c r="Q131" s="1961"/>
      <c r="R131" s="1961"/>
      <c r="S131" s="1961"/>
      <c r="T131" s="1962"/>
      <c r="U131" s="1167"/>
      <c r="V131" s="640"/>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row>
    <row r="132" spans="1:76" s="3" customFormat="1">
      <c r="A132" s="606"/>
      <c r="B132" s="1167"/>
      <c r="C132" s="1960"/>
      <c r="D132" s="1961"/>
      <c r="E132" s="1961"/>
      <c r="F132" s="1961"/>
      <c r="G132" s="1961"/>
      <c r="H132" s="1961"/>
      <c r="I132" s="1961"/>
      <c r="J132" s="1962"/>
      <c r="K132" s="1167"/>
      <c r="L132" s="1960"/>
      <c r="M132" s="1961"/>
      <c r="N132" s="1961"/>
      <c r="O132" s="1961"/>
      <c r="P132" s="1961"/>
      <c r="Q132" s="1961"/>
      <c r="R132" s="1961"/>
      <c r="S132" s="1961"/>
      <c r="T132" s="1962"/>
      <c r="U132" s="1167"/>
      <c r="V132" s="640"/>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76" s="3" customFormat="1">
      <c r="A133" s="606"/>
      <c r="B133" s="1167"/>
      <c r="C133" s="1960"/>
      <c r="D133" s="1961"/>
      <c r="E133" s="1961"/>
      <c r="F133" s="1961"/>
      <c r="G133" s="1961"/>
      <c r="H133" s="1961"/>
      <c r="I133" s="1961"/>
      <c r="J133" s="1962"/>
      <c r="K133" s="1167"/>
      <c r="L133" s="1960"/>
      <c r="M133" s="1961"/>
      <c r="N133" s="1961"/>
      <c r="O133" s="1961"/>
      <c r="P133" s="1961"/>
      <c r="Q133" s="1961"/>
      <c r="R133" s="1961"/>
      <c r="S133" s="1961"/>
      <c r="T133" s="1962"/>
      <c r="U133" s="1167"/>
      <c r="V133" s="640"/>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row>
    <row r="134" spans="1:76" s="3" customFormat="1">
      <c r="A134" s="606"/>
      <c r="B134" s="1445"/>
      <c r="C134" s="1960"/>
      <c r="D134" s="1961"/>
      <c r="E134" s="1961"/>
      <c r="F134" s="1961"/>
      <c r="G134" s="1961"/>
      <c r="H134" s="1961"/>
      <c r="I134" s="1961"/>
      <c r="J134" s="1962"/>
      <c r="K134" s="1167"/>
      <c r="L134" s="1963"/>
      <c r="M134" s="1964"/>
      <c r="N134" s="1964"/>
      <c r="O134" s="1964"/>
      <c r="P134" s="1964"/>
      <c r="Q134" s="1964"/>
      <c r="R134" s="1964"/>
      <c r="S134" s="1964"/>
      <c r="T134" s="1965"/>
      <c r="U134" s="1167"/>
      <c r="V134" s="640"/>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row>
    <row r="135" spans="1:76" s="3" customFormat="1">
      <c r="A135" s="606"/>
      <c r="B135" s="1167"/>
      <c r="C135" s="1960"/>
      <c r="D135" s="1961"/>
      <c r="E135" s="1961"/>
      <c r="F135" s="1961"/>
      <c r="G135" s="1961"/>
      <c r="H135" s="1961"/>
      <c r="I135" s="1961"/>
      <c r="J135" s="1962"/>
      <c r="K135" s="1167"/>
      <c r="L135" s="2550" t="s">
        <v>4766</v>
      </c>
      <c r="M135" s="2550"/>
      <c r="N135" s="2550"/>
      <c r="O135" s="1167"/>
      <c r="P135" s="1167"/>
      <c r="Q135" s="1167"/>
      <c r="R135" s="1167"/>
      <c r="S135" s="1167"/>
      <c r="T135" s="1167"/>
      <c r="U135" s="1167"/>
      <c r="V135" s="640"/>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row>
    <row r="136" spans="1:76" s="3" customFormat="1">
      <c r="A136" s="606"/>
      <c r="B136" s="1167"/>
      <c r="C136" s="1963"/>
      <c r="D136" s="1964"/>
      <c r="E136" s="1964"/>
      <c r="F136" s="1964"/>
      <c r="G136" s="1964"/>
      <c r="H136" s="1964"/>
      <c r="I136" s="1964"/>
      <c r="J136" s="1965"/>
      <c r="K136" s="1167"/>
      <c r="L136" s="2551"/>
      <c r="M136" s="2552"/>
      <c r="N136" s="2552"/>
      <c r="O136" s="2552"/>
      <c r="P136" s="2552"/>
      <c r="Q136" s="2552"/>
      <c r="R136" s="2552"/>
      <c r="S136" s="2552"/>
      <c r="T136" s="2553"/>
      <c r="U136" s="1167"/>
      <c r="V136" s="640"/>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row>
    <row r="137" spans="1:76" s="3" customFormat="1">
      <c r="A137" s="606"/>
      <c r="B137" s="1167"/>
      <c r="C137" s="1167"/>
      <c r="D137" s="1167"/>
      <c r="E137" s="1167"/>
      <c r="F137" s="1167"/>
      <c r="G137" s="1167"/>
      <c r="H137" s="1167"/>
      <c r="I137" s="1167"/>
      <c r="J137" s="1167"/>
      <c r="K137" s="1167"/>
      <c r="L137" s="1167"/>
      <c r="M137" s="1167"/>
      <c r="N137" s="1167"/>
      <c r="O137" s="1167"/>
      <c r="P137" s="1167"/>
      <c r="Q137" s="1167"/>
      <c r="R137" s="1167"/>
      <c r="S137" s="1167"/>
      <c r="T137" s="1167"/>
      <c r="U137" s="1167"/>
      <c r="V137" s="640"/>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row>
    <row r="138" spans="1:76" s="3" customFormat="1">
      <c r="A138" s="606"/>
      <c r="V138" s="640"/>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row>
    <row r="139" spans="1:76" s="3" customFormat="1">
      <c r="V139" s="640"/>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row>
    <row r="140" spans="1:76" s="3" customFormat="1">
      <c r="V140" s="640"/>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row>
    <row r="141" spans="1:76" s="3" customFormat="1">
      <c r="V141" s="640"/>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row>
    <row r="142" spans="1:76" s="3" customFormat="1">
      <c r="V142" s="640"/>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row>
    <row r="143" spans="1:76" s="3" customFormat="1">
      <c r="V143" s="640"/>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row>
    <row r="144" spans="1:76" s="3" customFormat="1">
      <c r="V144" s="640"/>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row>
    <row r="145" spans="22:76" s="3" customFormat="1">
      <c r="V145" s="640"/>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row>
    <row r="146" spans="22:76" s="3" customFormat="1">
      <c r="V146" s="640"/>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row>
    <row r="147" spans="22:76" s="3" customFormat="1">
      <c r="V147" s="640"/>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row>
    <row r="148" spans="22:76" s="3" customFormat="1">
      <c r="V148" s="640"/>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row>
    <row r="149" spans="22:76" s="3" customFormat="1">
      <c r="V149" s="640"/>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row>
    <row r="150" spans="22:76" s="3" customFormat="1">
      <c r="V150" s="640"/>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row>
    <row r="151" spans="22:76" s="3" customFormat="1">
      <c r="V151" s="640"/>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row>
    <row r="152" spans="22:76" s="3" customFormat="1">
      <c r="V152" s="640"/>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row>
    <row r="153" spans="22:76" s="3" customFormat="1">
      <c r="V153" s="640"/>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row>
    <row r="154" spans="22:76" s="3" customFormat="1">
      <c r="V154" s="640"/>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row>
    <row r="155" spans="22:76" s="3" customFormat="1">
      <c r="V155" s="640"/>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row>
    <row r="156" spans="22:76" s="3" customFormat="1">
      <c r="V156" s="640"/>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row>
    <row r="157" spans="22:76" s="3" customFormat="1">
      <c r="V157" s="640"/>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row>
    <row r="158" spans="22:76" s="3" customFormat="1">
      <c r="V158" s="640"/>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row>
    <row r="159" spans="22:76" s="3" customFormat="1">
      <c r="V159" s="640"/>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row>
    <row r="160" spans="22:76" s="3" customFormat="1">
      <c r="V160" s="640"/>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row>
    <row r="161" spans="22:76" s="3" customFormat="1">
      <c r="V161" s="640"/>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row>
    <row r="162" spans="22:76" s="3" customFormat="1">
      <c r="V162" s="640"/>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row>
    <row r="163" spans="22:76" s="3" customFormat="1">
      <c r="V163" s="640"/>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row>
    <row r="164" spans="22:76" s="3" customFormat="1">
      <c r="V164" s="640"/>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row>
    <row r="165" spans="22:76" s="3" customFormat="1">
      <c r="V165" s="640"/>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row>
    <row r="166" spans="22:76" s="3" customFormat="1">
      <c r="V166" s="64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row>
    <row r="167" spans="22:76" s="3" customFormat="1">
      <c r="V167" s="64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row>
    <row r="168" spans="22:76" s="3" customFormat="1">
      <c r="V168" s="640"/>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row>
    <row r="169" spans="22:76" s="3" customFormat="1">
      <c r="V169" s="640"/>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row>
    <row r="170" spans="22:76" s="3" customFormat="1">
      <c r="V170" s="640"/>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row>
    <row r="171" spans="22:76" s="3" customFormat="1">
      <c r="V171" s="640"/>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row>
    <row r="172" spans="22:76" s="3" customFormat="1">
      <c r="V172" s="640"/>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row>
    <row r="173" spans="22:76" s="3" customFormat="1">
      <c r="V173" s="640"/>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row>
    <row r="174" spans="22:76" s="3" customFormat="1">
      <c r="V174" s="640"/>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row>
    <row r="175" spans="22:76" s="3" customFormat="1">
      <c r="V175" s="640"/>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row>
    <row r="176" spans="22:76" s="3" customFormat="1">
      <c r="V176" s="640"/>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row>
    <row r="177" spans="22:76" s="3" customFormat="1">
      <c r="V177" s="640"/>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row>
    <row r="178" spans="22:76" s="3" customFormat="1">
      <c r="V178" s="640"/>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row>
    <row r="179" spans="22:76" s="3" customFormat="1">
      <c r="V179" s="640"/>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row>
    <row r="180" spans="22:76" s="3" customFormat="1">
      <c r="V180" s="640"/>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row>
    <row r="181" spans="22:76" s="3" customFormat="1">
      <c r="V181" s="640"/>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row>
    <row r="182" spans="22:76" s="3" customFormat="1">
      <c r="V182" s="640"/>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row>
    <row r="183" spans="22:76" s="3" customFormat="1">
      <c r="V183" s="640"/>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row>
    <row r="184" spans="22:76" s="3" customFormat="1">
      <c r="V184" s="640"/>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row>
    <row r="185" spans="22:76" s="3" customFormat="1">
      <c r="V185" s="640"/>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row>
    <row r="186" spans="22:76" s="3" customFormat="1">
      <c r="V186" s="640"/>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row>
    <row r="187" spans="22:76" s="3" customFormat="1">
      <c r="V187" s="640"/>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row>
    <row r="188" spans="22:76" s="3" customFormat="1">
      <c r="V188" s="640"/>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row>
    <row r="189" spans="22:76" s="3" customFormat="1">
      <c r="V189" s="640"/>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row>
    <row r="190" spans="22:76" s="3" customFormat="1">
      <c r="V190" s="640"/>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row>
    <row r="191" spans="22:76" s="3" customFormat="1">
      <c r="V191" s="640"/>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row>
    <row r="192" spans="22:76" s="3" customFormat="1">
      <c r="V192" s="640"/>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row>
    <row r="193" spans="22:76" s="3" customFormat="1">
      <c r="V193" s="640"/>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row>
    <row r="194" spans="22:76" s="3" customFormat="1">
      <c r="V194" s="640"/>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row>
    <row r="195" spans="22:76" s="3" customFormat="1">
      <c r="V195" s="640"/>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row>
    <row r="196" spans="22:76" s="3" customFormat="1">
      <c r="V196" s="640"/>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row>
    <row r="197" spans="22:76" s="3" customFormat="1">
      <c r="V197" s="640"/>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row>
    <row r="198" spans="22:76" s="3" customFormat="1">
      <c r="V198" s="640"/>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row>
    <row r="199" spans="22:76" s="3" customFormat="1">
      <c r="V199" s="640"/>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row>
    <row r="200" spans="22:76" s="3" customFormat="1">
      <c r="V200" s="640"/>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row>
    <row r="201" spans="22:76" s="3" customFormat="1">
      <c r="V201" s="640"/>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row>
    <row r="202" spans="22:76" s="3" customFormat="1">
      <c r="V202" s="640"/>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row>
    <row r="203" spans="22:76" s="3" customFormat="1">
      <c r="V203" s="640"/>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row>
    <row r="204" spans="22:76" s="3" customFormat="1">
      <c r="V204" s="640"/>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row>
    <row r="205" spans="22:76" s="3" customFormat="1">
      <c r="V205" s="640"/>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row>
    <row r="206" spans="22:76" s="3" customFormat="1">
      <c r="V206" s="640"/>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row>
    <row r="207" spans="22:76" s="3" customFormat="1">
      <c r="V207" s="640"/>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row>
    <row r="208" spans="22:76" s="3" customFormat="1">
      <c r="V208" s="640"/>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row>
    <row r="209" spans="22:76" s="3" customFormat="1">
      <c r="V209" s="640"/>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row>
    <row r="210" spans="22:76" s="3" customFormat="1">
      <c r="V210" s="640"/>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row>
    <row r="211" spans="22:76" s="3" customFormat="1">
      <c r="V211" s="640"/>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row>
    <row r="212" spans="22:76" s="3" customFormat="1">
      <c r="V212" s="640"/>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row>
    <row r="213" spans="22:76" s="3" customFormat="1">
      <c r="V213" s="640"/>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row>
    <row r="214" spans="22:76" s="3" customFormat="1">
      <c r="V214" s="640"/>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row>
    <row r="215" spans="22:76" s="3" customFormat="1">
      <c r="V215" s="640"/>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row>
    <row r="216" spans="22:76" s="3" customFormat="1">
      <c r="V216" s="640"/>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row>
    <row r="217" spans="22:76" s="3" customFormat="1">
      <c r="V217" s="640"/>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row>
    <row r="218" spans="22:76" s="3" customFormat="1">
      <c r="V218" s="640"/>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row>
    <row r="219" spans="22:76" s="3" customFormat="1">
      <c r="V219" s="640"/>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row>
    <row r="220" spans="22:76" s="3" customFormat="1">
      <c r="V220" s="640"/>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row>
    <row r="221" spans="22:76" s="3" customFormat="1">
      <c r="V221" s="640"/>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row>
    <row r="222" spans="22:76" s="3" customFormat="1">
      <c r="V222" s="640"/>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row>
    <row r="223" spans="22:76" s="3" customFormat="1">
      <c r="V223" s="640"/>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row>
    <row r="224" spans="22:76" s="3" customFormat="1">
      <c r="V224" s="640"/>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row>
    <row r="225" spans="22:76" s="3" customFormat="1">
      <c r="V225" s="640"/>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row>
    <row r="226" spans="22:76" s="3" customFormat="1">
      <c r="V226" s="640"/>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row>
    <row r="227" spans="22:76" s="3" customFormat="1">
      <c r="V227" s="640"/>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row>
    <row r="228" spans="22:76" s="3" customFormat="1">
      <c r="V228" s="640"/>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row>
    <row r="229" spans="22:76" s="3" customFormat="1">
      <c r="V229" s="640"/>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row>
    <row r="230" spans="22:76" s="3" customFormat="1">
      <c r="V230" s="640"/>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row>
    <row r="231" spans="22:76" s="3" customFormat="1">
      <c r="V231" s="640"/>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row>
    <row r="232" spans="22:76" s="3" customFormat="1">
      <c r="V232" s="640"/>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row>
    <row r="233" spans="22:76" s="3" customFormat="1">
      <c r="V233" s="640"/>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row>
    <row r="234" spans="22:76" s="3" customFormat="1">
      <c r="V234" s="640"/>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row>
    <row r="235" spans="22:76" s="3" customFormat="1">
      <c r="V235" s="640"/>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row>
    <row r="236" spans="22:76" s="3" customFormat="1">
      <c r="V236" s="640"/>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row>
    <row r="237" spans="22:76" s="3" customFormat="1">
      <c r="V237" s="640"/>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row>
    <row r="238" spans="22:76" s="3" customFormat="1">
      <c r="V238" s="640"/>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row>
    <row r="239" spans="22:76" s="3" customFormat="1">
      <c r="V239" s="640"/>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row>
    <row r="240" spans="22:76" s="3" customFormat="1">
      <c r="V240" s="640"/>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row>
    <row r="241" spans="22:76" s="3" customFormat="1">
      <c r="V241" s="640"/>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row>
    <row r="242" spans="22:76" s="3" customFormat="1">
      <c r="V242" s="640"/>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row>
    <row r="243" spans="22:76" s="3" customFormat="1">
      <c r="V243" s="640"/>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row>
    <row r="244" spans="22:76" s="3" customFormat="1">
      <c r="V244" s="640"/>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row>
    <row r="245" spans="22:76" s="3" customFormat="1">
      <c r="V245" s="640"/>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row>
    <row r="246" spans="22:76" s="3" customFormat="1">
      <c r="V246" s="640"/>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row>
    <row r="247" spans="22:76" s="3" customFormat="1">
      <c r="V247" s="640"/>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row>
    <row r="248" spans="22:76" s="3" customFormat="1">
      <c r="V248" s="640"/>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row>
    <row r="249" spans="22:76" s="3" customFormat="1">
      <c r="V249" s="640"/>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row>
    <row r="250" spans="22:76" s="3" customFormat="1">
      <c r="V250" s="640"/>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row>
    <row r="251" spans="22:76" s="3" customFormat="1">
      <c r="V251" s="640"/>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row>
    <row r="252" spans="22:76" s="3" customFormat="1">
      <c r="V252" s="640"/>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row>
    <row r="253" spans="22:76" s="3" customFormat="1">
      <c r="V253" s="640"/>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row>
    <row r="254" spans="22:76" s="3" customFormat="1">
      <c r="V254" s="640"/>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row>
    <row r="255" spans="22:76" s="3" customFormat="1">
      <c r="V255" s="640"/>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row>
    <row r="256" spans="22:76" s="3" customFormat="1">
      <c r="V256" s="640"/>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row>
    <row r="257" spans="22:76" s="3" customFormat="1">
      <c r="V257" s="640"/>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row>
    <row r="258" spans="22:76" s="3" customFormat="1">
      <c r="V258" s="640"/>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row>
    <row r="259" spans="22:76" s="3" customFormat="1">
      <c r="V259" s="640"/>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row>
    <row r="260" spans="22:76" s="3" customFormat="1">
      <c r="V260" s="640"/>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row>
    <row r="261" spans="22:76" s="3" customFormat="1">
      <c r="V261" s="640"/>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row>
    <row r="262" spans="22:76" s="3" customFormat="1">
      <c r="V262" s="640"/>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row>
    <row r="263" spans="22:76" s="3" customFormat="1">
      <c r="V263" s="640"/>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row>
    <row r="264" spans="22:76" s="3" customFormat="1">
      <c r="V264" s="640"/>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row>
    <row r="265" spans="22:76" s="3" customFormat="1">
      <c r="V265" s="640"/>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row>
    <row r="266" spans="22:76" s="3" customFormat="1">
      <c r="V266" s="640"/>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row>
    <row r="267" spans="22:76" s="3" customFormat="1">
      <c r="V267" s="640"/>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row>
    <row r="268" spans="22:76" s="3" customFormat="1">
      <c r="V268" s="640"/>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row>
    <row r="269" spans="22:76" s="3" customFormat="1">
      <c r="V269" s="640"/>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row>
    <row r="270" spans="22:76" s="3" customFormat="1">
      <c r="V270" s="640"/>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row>
    <row r="271" spans="22:76" s="3" customFormat="1">
      <c r="V271" s="640"/>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row>
    <row r="272" spans="22:76" s="3" customFormat="1">
      <c r="V272" s="640"/>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row>
    <row r="273" spans="22:76" s="3" customFormat="1">
      <c r="V273" s="640"/>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row>
    <row r="274" spans="22:76" s="3" customFormat="1">
      <c r="V274" s="640"/>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row>
    <row r="275" spans="22:76" s="3" customFormat="1">
      <c r="V275" s="640"/>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row>
    <row r="276" spans="22:76" s="3" customFormat="1">
      <c r="V276" s="640"/>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row>
    <row r="277" spans="22:76" s="3" customFormat="1">
      <c r="V277" s="640"/>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row>
    <row r="278" spans="22:76" s="3" customFormat="1">
      <c r="V278" s="640"/>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row>
    <row r="279" spans="22:76" s="3" customFormat="1">
      <c r="V279" s="640"/>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row>
    <row r="280" spans="22:76" s="3" customFormat="1">
      <c r="V280" s="640"/>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row>
    <row r="281" spans="22:76" s="3" customFormat="1">
      <c r="V281" s="640"/>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row>
    <row r="282" spans="22:76" s="3" customFormat="1">
      <c r="V282" s="640"/>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row>
    <row r="283" spans="22:76" s="3" customFormat="1">
      <c r="V283" s="640"/>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row>
    <row r="284" spans="22:76" s="3" customFormat="1">
      <c r="V284" s="640"/>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row>
    <row r="285" spans="22:76" s="3" customFormat="1">
      <c r="V285" s="640"/>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row>
    <row r="286" spans="22:76" s="3" customFormat="1">
      <c r="V286" s="640"/>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row>
    <row r="287" spans="22:76" s="3" customFormat="1">
      <c r="V287" s="640"/>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row>
    <row r="288" spans="22:76" s="3" customFormat="1">
      <c r="V288" s="640"/>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row>
    <row r="289" spans="2:76" s="3" customFormat="1">
      <c r="B289"/>
      <c r="C289"/>
      <c r="D289"/>
      <c r="E289"/>
      <c r="F289"/>
      <c r="G289"/>
      <c r="H289"/>
      <c r="I289"/>
      <c r="J289"/>
      <c r="K289"/>
      <c r="L289"/>
      <c r="M289"/>
      <c r="N289"/>
      <c r="O289"/>
      <c r="P289"/>
      <c r="V289" s="640"/>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row>
    <row r="290" spans="2:76">
      <c r="Q290" s="3"/>
      <c r="R290" s="3"/>
      <c r="S290" s="3"/>
      <c r="T290" s="3"/>
      <c r="U290" s="3"/>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row>
    <row r="291" spans="2:76">
      <c r="Q291" s="3"/>
      <c r="R291" s="3"/>
      <c r="S291" s="3"/>
      <c r="T291" s="3"/>
      <c r="U291" s="3"/>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row>
    <row r="292" spans="2:76">
      <c r="Q292" s="3"/>
      <c r="R292" s="3"/>
      <c r="S292" s="3"/>
      <c r="T292" s="3"/>
      <c r="U292" s="3"/>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row>
    <row r="293" spans="2:76">
      <c r="Q293" s="3"/>
      <c r="R293" s="3"/>
      <c r="S293" s="3"/>
      <c r="T293" s="3"/>
      <c r="U293" s="3"/>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row>
    <row r="294" spans="2:76">
      <c r="Q294" s="3"/>
      <c r="R294" s="3"/>
      <c r="S294" s="3"/>
      <c r="T294" s="3"/>
      <c r="U294" s="3"/>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row>
    <row r="295" spans="2:76">
      <c r="Q295" s="3"/>
      <c r="R295" s="3"/>
      <c r="S295" s="3"/>
      <c r="T295" s="3"/>
      <c r="U295" s="3"/>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row>
    <row r="296" spans="2:76">
      <c r="Q296" s="3"/>
      <c r="R296" s="3"/>
      <c r="S296" s="3"/>
      <c r="T296" s="3"/>
      <c r="U296" s="3"/>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row>
    <row r="297" spans="2:76">
      <c r="Q297" s="3"/>
      <c r="R297" s="3"/>
      <c r="S297" s="3"/>
      <c r="T297" s="3"/>
      <c r="U297" s="3"/>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row>
    <row r="298" spans="2:76">
      <c r="Q298" s="3"/>
      <c r="R298" s="3"/>
      <c r="S298" s="3"/>
      <c r="T298" s="3"/>
      <c r="U298" s="3"/>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row>
    <row r="299" spans="2:76">
      <c r="Q299" s="3"/>
      <c r="R299" s="3"/>
      <c r="S299" s="3"/>
      <c r="T299" s="3"/>
      <c r="U299" s="3"/>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row>
    <row r="300" spans="2:76">
      <c r="Q300" s="3"/>
      <c r="R300" s="3"/>
      <c r="S300" s="3"/>
      <c r="T300" s="3"/>
      <c r="U300" s="3"/>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row>
    <row r="301" spans="2:76">
      <c r="Q301" s="3"/>
      <c r="R301" s="3"/>
      <c r="S301" s="3"/>
      <c r="T301" s="3"/>
      <c r="U301" s="3"/>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row>
    <row r="302" spans="2:76">
      <c r="Q302" s="3"/>
      <c r="R302" s="3"/>
      <c r="S302" s="3"/>
      <c r="T302" s="3"/>
      <c r="U302" s="3"/>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row>
    <row r="303" spans="2:76">
      <c r="Q303" s="3"/>
      <c r="R303" s="3"/>
      <c r="S303" s="3"/>
      <c r="T303" s="3"/>
      <c r="U303" s="3"/>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row>
    <row r="304" spans="2:76">
      <c r="Q304" s="3"/>
      <c r="R304" s="3"/>
      <c r="S304" s="3"/>
      <c r="T304" s="3"/>
      <c r="U304" s="3"/>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row>
    <row r="305" spans="17:76">
      <c r="Q305" s="3"/>
      <c r="R305" s="3"/>
      <c r="S305" s="3"/>
      <c r="T305" s="3"/>
      <c r="U305" s="3"/>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row>
    <row r="306" spans="17:76">
      <c r="Q306" s="3"/>
      <c r="R306" s="3"/>
      <c r="S306" s="3"/>
      <c r="T306" s="3"/>
      <c r="U306" s="3"/>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row>
    <row r="307" spans="17:76">
      <c r="Q307" s="3"/>
      <c r="R307" s="3"/>
      <c r="S307" s="3"/>
      <c r="T307" s="3"/>
      <c r="U307" s="3"/>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row>
    <row r="308" spans="17:76">
      <c r="Q308" s="3"/>
      <c r="R308" s="3"/>
      <c r="S308" s="3"/>
      <c r="T308" s="3"/>
      <c r="U308" s="3"/>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row>
    <row r="309" spans="17:76">
      <c r="Q309" s="3"/>
      <c r="R309" s="3"/>
      <c r="S309" s="3"/>
      <c r="T309" s="3"/>
      <c r="U309" s="3"/>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row>
    <row r="310" spans="17:76">
      <c r="Q310" s="3"/>
      <c r="R310" s="3"/>
      <c r="S310" s="3"/>
      <c r="T310" s="3"/>
      <c r="U310" s="3"/>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row>
    <row r="311" spans="17:76">
      <c r="Q311" s="3"/>
      <c r="R311" s="3"/>
      <c r="S311" s="3"/>
      <c r="T311" s="3"/>
      <c r="U311" s="3"/>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row>
    <row r="312" spans="17:76">
      <c r="Q312" s="3"/>
      <c r="R312" s="3"/>
      <c r="S312" s="3"/>
      <c r="T312" s="3"/>
      <c r="U312" s="3"/>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row>
    <row r="313" spans="17:76">
      <c r="Q313" s="3"/>
      <c r="R313" s="3"/>
      <c r="S313" s="3"/>
      <c r="T313" s="3"/>
      <c r="U313" s="3"/>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row>
    <row r="314" spans="17:76">
      <c r="Q314" s="3"/>
      <c r="R314" s="3"/>
      <c r="S314" s="3"/>
      <c r="T314" s="3"/>
      <c r="U314" s="3"/>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row>
    <row r="315" spans="17:76">
      <c r="Q315" s="3"/>
      <c r="R315" s="3"/>
      <c r="S315" s="3"/>
      <c r="T315" s="3"/>
      <c r="U315" s="3"/>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row>
    <row r="316" spans="17:76">
      <c r="Q316" s="3"/>
      <c r="R316" s="3"/>
      <c r="S316" s="3"/>
      <c r="T316" s="3"/>
      <c r="U316" s="3"/>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row>
    <row r="317" spans="17:76">
      <c r="Q317" s="3"/>
      <c r="R317" s="3"/>
      <c r="S317" s="3"/>
      <c r="T317" s="3"/>
      <c r="U317" s="3"/>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row>
    <row r="318" spans="17:76">
      <c r="Q318" s="3"/>
      <c r="R318" s="3"/>
      <c r="S318" s="3"/>
      <c r="T318" s="3"/>
      <c r="U318" s="3"/>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row>
    <row r="319" spans="17:76">
      <c r="Q319" s="3"/>
      <c r="R319" s="3"/>
      <c r="S319" s="3"/>
      <c r="T319" s="3"/>
      <c r="U319" s="3"/>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row>
    <row r="320" spans="17:76">
      <c r="Q320" s="3"/>
      <c r="R320" s="3"/>
      <c r="S320" s="3"/>
      <c r="T320" s="3"/>
      <c r="U320" s="3"/>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row>
    <row r="321" spans="17:76">
      <c r="Q321" s="3"/>
      <c r="R321" s="3"/>
      <c r="S321" s="3"/>
      <c r="T321" s="3"/>
      <c r="U321" s="3"/>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row>
    <row r="322" spans="17:76">
      <c r="Q322" s="3"/>
      <c r="R322" s="3"/>
      <c r="S322" s="3"/>
      <c r="T322" s="3"/>
      <c r="U322" s="3"/>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row>
    <row r="323" spans="17:76">
      <c r="Q323" s="3"/>
      <c r="R323" s="3"/>
      <c r="S323" s="3"/>
      <c r="T323" s="3"/>
      <c r="U323" s="3"/>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row>
    <row r="324" spans="17:76">
      <c r="Q324" s="3"/>
      <c r="R324" s="3"/>
      <c r="S324" s="3"/>
      <c r="T324" s="3"/>
      <c r="U324" s="3"/>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row>
    <row r="325" spans="17:76">
      <c r="Q325" s="3"/>
      <c r="R325" s="3"/>
      <c r="S325" s="3"/>
      <c r="T325" s="3"/>
      <c r="U325" s="3"/>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row>
    <row r="326" spans="17:76">
      <c r="Q326" s="3"/>
      <c r="R326" s="3"/>
      <c r="S326" s="3"/>
      <c r="T326" s="3"/>
      <c r="U326" s="3"/>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row>
    <row r="327" spans="17:76">
      <c r="Q327" s="3"/>
      <c r="R327" s="3"/>
      <c r="S327" s="3"/>
      <c r="T327" s="3"/>
      <c r="U327" s="3"/>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row>
    <row r="328" spans="17:76">
      <c r="Q328" s="3"/>
      <c r="R328" s="3"/>
      <c r="S328" s="3"/>
      <c r="T328" s="3"/>
      <c r="U328" s="3"/>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row>
    <row r="329" spans="17:76">
      <c r="Q329" s="3"/>
      <c r="R329" s="3"/>
      <c r="S329" s="3"/>
      <c r="T329" s="3"/>
      <c r="U329" s="3"/>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row>
    <row r="330" spans="17:76">
      <c r="Q330" s="3"/>
      <c r="R330" s="3"/>
      <c r="S330" s="3"/>
      <c r="T330" s="3"/>
      <c r="U330" s="3"/>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row>
    <row r="331" spans="17:76">
      <c r="Q331" s="3"/>
      <c r="R331" s="3"/>
      <c r="S331" s="3"/>
      <c r="T331" s="3"/>
      <c r="U331" s="3"/>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row>
    <row r="332" spans="17:76">
      <c r="Q332" s="3"/>
      <c r="R332" s="3"/>
      <c r="S332" s="3"/>
      <c r="T332" s="3"/>
      <c r="U332" s="3"/>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row>
    <row r="333" spans="17:76">
      <c r="Q333" s="3"/>
      <c r="R333" s="3"/>
      <c r="S333" s="3"/>
      <c r="T333" s="3"/>
      <c r="U333" s="3"/>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row>
    <row r="334" spans="17:76">
      <c r="Q334" s="3"/>
      <c r="R334" s="3"/>
      <c r="S334" s="3"/>
      <c r="T334" s="3"/>
      <c r="U334" s="3"/>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row>
    <row r="335" spans="17:76">
      <c r="Q335" s="3"/>
      <c r="R335" s="3"/>
      <c r="S335" s="3"/>
      <c r="T335" s="3"/>
      <c r="U335" s="3"/>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row>
    <row r="336" spans="17:76">
      <c r="Q336" s="3"/>
      <c r="R336" s="3"/>
      <c r="S336" s="3"/>
      <c r="T336" s="3"/>
      <c r="U336" s="3"/>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row>
    <row r="337" spans="17:76">
      <c r="Q337" s="3"/>
      <c r="R337" s="3"/>
      <c r="S337" s="3"/>
      <c r="T337" s="3"/>
      <c r="U337" s="3"/>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row>
    <row r="338" spans="17:76">
      <c r="Q338" s="3"/>
      <c r="R338" s="3"/>
      <c r="S338" s="3"/>
      <c r="T338" s="3"/>
      <c r="U338" s="3"/>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row>
    <row r="339" spans="17:76">
      <c r="Q339" s="3"/>
      <c r="R339" s="3"/>
      <c r="S339" s="3"/>
      <c r="T339" s="3"/>
      <c r="U339" s="3"/>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row>
    <row r="340" spans="17:76">
      <c r="Q340" s="3"/>
      <c r="R340" s="3"/>
      <c r="S340" s="3"/>
      <c r="T340" s="3"/>
      <c r="U340" s="3"/>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row>
    <row r="341" spans="17:76">
      <c r="Q341" s="3"/>
      <c r="R341" s="3"/>
      <c r="S341" s="3"/>
      <c r="T341" s="3"/>
      <c r="U341" s="3"/>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row>
    <row r="342" spans="17:76">
      <c r="Q342" s="3"/>
      <c r="R342" s="3"/>
      <c r="S342" s="3"/>
      <c r="T342" s="3"/>
      <c r="U342" s="3"/>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row>
    <row r="343" spans="17:76">
      <c r="Q343" s="3"/>
      <c r="R343" s="3"/>
      <c r="S343" s="3"/>
      <c r="T343" s="3"/>
      <c r="U343" s="3"/>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row>
    <row r="344" spans="17:76">
      <c r="Q344" s="3"/>
      <c r="R344" s="3"/>
      <c r="S344" s="3"/>
      <c r="T344" s="3"/>
      <c r="U344" s="3"/>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row>
    <row r="345" spans="17:76">
      <c r="Q345" s="3"/>
      <c r="R345" s="3"/>
      <c r="S345" s="3"/>
      <c r="T345" s="3"/>
      <c r="U345" s="3"/>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row>
    <row r="346" spans="17:76">
      <c r="Q346" s="3"/>
      <c r="R346" s="3"/>
      <c r="S346" s="3"/>
      <c r="T346" s="3"/>
      <c r="U346" s="3"/>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row>
    <row r="347" spans="17:76">
      <c r="Q347" s="3"/>
      <c r="R347" s="3"/>
      <c r="S347" s="3"/>
      <c r="T347" s="3"/>
      <c r="U347" s="3"/>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row>
    <row r="348" spans="17:76">
      <c r="Q348" s="3"/>
      <c r="R348" s="3"/>
      <c r="S348" s="3"/>
      <c r="T348" s="3"/>
      <c r="U348" s="3"/>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row>
    <row r="349" spans="17:76">
      <c r="Q349" s="3"/>
      <c r="R349" s="3"/>
      <c r="S349" s="3"/>
      <c r="T349" s="3"/>
      <c r="U349" s="3"/>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row>
    <row r="350" spans="17:76">
      <c r="Q350" s="3"/>
      <c r="R350" s="3"/>
      <c r="S350" s="3"/>
      <c r="T350" s="3"/>
      <c r="U350" s="3"/>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row>
    <row r="351" spans="17:76">
      <c r="Q351" s="3"/>
      <c r="R351" s="3"/>
      <c r="S351" s="3"/>
      <c r="T351" s="3"/>
      <c r="U351" s="3"/>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row>
    <row r="352" spans="17:76">
      <c r="Q352" s="3"/>
      <c r="R352" s="3"/>
      <c r="S352" s="3"/>
      <c r="T352" s="3"/>
      <c r="U352" s="3"/>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row>
    <row r="353" spans="17:76">
      <c r="Q353" s="3"/>
      <c r="R353" s="3"/>
      <c r="S353" s="3"/>
      <c r="T353" s="3"/>
      <c r="U353" s="3"/>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row>
    <row r="354" spans="17:76">
      <c r="Q354" s="3"/>
      <c r="R354" s="3"/>
      <c r="S354" s="3"/>
      <c r="T354" s="3"/>
      <c r="U354" s="3"/>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row>
    <row r="355" spans="17:76">
      <c r="Q355" s="3"/>
      <c r="R355" s="3"/>
      <c r="S355" s="3"/>
      <c r="T355" s="3"/>
      <c r="U355" s="3"/>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row>
    <row r="356" spans="17:76">
      <c r="Q356" s="3"/>
      <c r="R356" s="3"/>
      <c r="S356" s="3"/>
      <c r="T356" s="3"/>
      <c r="U356" s="3"/>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row>
    <row r="357" spans="17:76">
      <c r="Q357" s="3"/>
      <c r="R357" s="3"/>
      <c r="S357" s="3"/>
      <c r="T357" s="3"/>
      <c r="U357" s="3"/>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row>
    <row r="358" spans="17:76">
      <c r="Q358" s="3"/>
      <c r="R358" s="3"/>
      <c r="S358" s="3"/>
      <c r="T358" s="3"/>
      <c r="U358" s="3"/>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row>
    <row r="359" spans="17:76">
      <c r="Q359" s="3"/>
      <c r="R359" s="3"/>
      <c r="S359" s="3"/>
      <c r="T359" s="3"/>
      <c r="U359" s="3"/>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row>
    <row r="360" spans="17:76">
      <c r="Q360" s="3"/>
      <c r="R360" s="3"/>
      <c r="S360" s="3"/>
      <c r="T360" s="3"/>
      <c r="U360" s="3"/>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row>
    <row r="361" spans="17:76">
      <c r="Q361" s="3"/>
      <c r="R361" s="3"/>
      <c r="S361" s="3"/>
      <c r="T361" s="3"/>
      <c r="U361" s="3"/>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row>
    <row r="362" spans="17:76">
      <c r="Q362" s="3"/>
      <c r="R362" s="3"/>
      <c r="S362" s="3"/>
      <c r="T362" s="3"/>
      <c r="U362" s="3"/>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row>
    <row r="363" spans="17:76">
      <c r="Q363" s="3"/>
      <c r="R363" s="3"/>
      <c r="S363" s="3"/>
      <c r="T363" s="3"/>
      <c r="U363" s="3"/>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row>
    <row r="364" spans="17:76">
      <c r="Q364" s="3"/>
      <c r="R364" s="3"/>
      <c r="S364" s="3"/>
      <c r="T364" s="3"/>
      <c r="U364" s="3"/>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row>
    <row r="365" spans="17:76">
      <c r="Q365" s="3"/>
      <c r="R365" s="3"/>
      <c r="S365" s="3"/>
      <c r="T365" s="3"/>
      <c r="U365" s="3"/>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row>
    <row r="366" spans="17:76">
      <c r="Q366" s="3"/>
      <c r="R366" s="3"/>
      <c r="S366" s="3"/>
      <c r="T366" s="3"/>
      <c r="U366" s="3"/>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row>
    <row r="367" spans="17:76">
      <c r="Q367" s="3"/>
      <c r="R367" s="3"/>
      <c r="S367" s="3"/>
      <c r="T367" s="3"/>
      <c r="U367" s="3"/>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row>
    <row r="368" spans="17:76">
      <c r="Q368" s="3"/>
      <c r="R368" s="3"/>
      <c r="S368" s="3"/>
      <c r="T368" s="3"/>
      <c r="U368" s="3"/>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row>
    <row r="369" spans="17:76">
      <c r="Q369" s="3"/>
      <c r="R369" s="3"/>
      <c r="S369" s="3"/>
      <c r="T369" s="3"/>
      <c r="U369" s="3"/>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row>
    <row r="370" spans="17:76">
      <c r="Q370" s="3"/>
      <c r="R370" s="3"/>
      <c r="S370" s="3"/>
      <c r="T370" s="3"/>
      <c r="U370" s="3"/>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row>
    <row r="371" spans="17:76">
      <c r="Q371" s="3"/>
      <c r="R371" s="3"/>
      <c r="S371" s="3"/>
      <c r="T371" s="3"/>
      <c r="U371" s="3"/>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row>
    <row r="372" spans="17:76">
      <c r="Q372" s="3"/>
      <c r="R372" s="3"/>
      <c r="S372" s="3"/>
      <c r="T372" s="3"/>
      <c r="U372" s="3"/>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row>
    <row r="373" spans="17:76">
      <c r="Q373" s="3"/>
      <c r="R373" s="3"/>
      <c r="S373" s="3"/>
      <c r="T373" s="3"/>
      <c r="U373" s="3"/>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row>
    <row r="374" spans="17:76">
      <c r="Q374" s="3"/>
      <c r="R374" s="3"/>
      <c r="S374" s="3"/>
      <c r="T374" s="3"/>
      <c r="U374" s="3"/>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row>
    <row r="375" spans="17:76">
      <c r="Q375" s="3"/>
      <c r="R375" s="3"/>
      <c r="S375" s="3"/>
      <c r="T375" s="3"/>
      <c r="U375" s="3"/>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row>
    <row r="376" spans="17:76">
      <c r="Q376" s="3"/>
      <c r="R376" s="3"/>
      <c r="S376" s="3"/>
      <c r="T376" s="3"/>
      <c r="U376" s="3"/>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row>
    <row r="377" spans="17:76">
      <c r="Q377" s="3"/>
      <c r="R377" s="3"/>
      <c r="S377" s="3"/>
      <c r="T377" s="3"/>
      <c r="U377" s="3"/>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row>
    <row r="378" spans="17:76">
      <c r="Q378" s="3"/>
      <c r="R378" s="3"/>
      <c r="S378" s="3"/>
      <c r="T378" s="3"/>
      <c r="U378" s="3"/>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row>
    <row r="379" spans="17:76">
      <c r="Q379" s="3"/>
      <c r="R379" s="3"/>
      <c r="S379" s="3"/>
      <c r="T379" s="3"/>
      <c r="U379" s="3"/>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row>
    <row r="380" spans="17:76">
      <c r="Q380" s="3"/>
      <c r="R380" s="3"/>
      <c r="S380" s="3"/>
      <c r="T380" s="3"/>
      <c r="U380" s="3"/>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row>
    <row r="381" spans="17:76">
      <c r="Q381" s="3"/>
      <c r="R381" s="3"/>
      <c r="S381" s="3"/>
      <c r="T381" s="3"/>
      <c r="U381" s="3"/>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row>
    <row r="382" spans="17:76">
      <c r="Q382" s="3"/>
      <c r="R382" s="3"/>
      <c r="S382" s="3"/>
      <c r="T382" s="3"/>
      <c r="U382" s="3"/>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row>
    <row r="383" spans="17:76">
      <c r="Q383" s="3"/>
      <c r="R383" s="3"/>
      <c r="S383" s="3"/>
      <c r="T383" s="3"/>
      <c r="U383" s="3"/>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row>
    <row r="384" spans="17:76">
      <c r="Q384" s="3"/>
      <c r="R384" s="3"/>
      <c r="S384" s="3"/>
      <c r="T384" s="3"/>
      <c r="U384" s="3"/>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row>
    <row r="385" spans="17:76">
      <c r="Q385" s="3"/>
      <c r="R385" s="3"/>
      <c r="S385" s="3"/>
      <c r="T385" s="3"/>
      <c r="U385" s="3"/>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row>
    <row r="386" spans="17:76">
      <c r="Q386" s="3"/>
      <c r="R386" s="3"/>
      <c r="S386" s="3"/>
      <c r="T386" s="3"/>
      <c r="U386" s="3"/>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row>
    <row r="387" spans="17:76">
      <c r="Q387" s="3"/>
      <c r="R387" s="3"/>
      <c r="S387" s="3"/>
      <c r="T387" s="3"/>
      <c r="U387" s="3"/>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row>
    <row r="388" spans="17:76">
      <c r="Q388" s="3"/>
      <c r="R388" s="3"/>
      <c r="S388" s="3"/>
      <c r="T388" s="3"/>
      <c r="U388" s="3"/>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row>
    <row r="389" spans="17:76">
      <c r="Q389" s="3"/>
      <c r="R389" s="3"/>
      <c r="S389" s="3"/>
      <c r="T389" s="3"/>
      <c r="U389" s="3"/>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row>
    <row r="390" spans="17:76">
      <c r="Q390" s="3"/>
      <c r="R390" s="3"/>
      <c r="S390" s="3"/>
      <c r="T390" s="3"/>
      <c r="U390" s="3"/>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row>
    <row r="391" spans="17:76">
      <c r="Q391" s="3"/>
      <c r="R391" s="3"/>
      <c r="S391" s="3"/>
      <c r="T391" s="3"/>
      <c r="U391" s="3"/>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row>
    <row r="392" spans="17:76">
      <c r="Q392" s="3"/>
      <c r="R392" s="3"/>
      <c r="S392" s="3"/>
      <c r="T392" s="3"/>
      <c r="U392" s="3"/>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row>
    <row r="393" spans="17:76">
      <c r="Q393" s="3"/>
      <c r="R393" s="3"/>
      <c r="S393" s="3"/>
      <c r="T393" s="3"/>
      <c r="U393" s="3"/>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row>
    <row r="394" spans="17:76">
      <c r="Q394" s="3"/>
      <c r="R394" s="3"/>
      <c r="S394" s="3"/>
      <c r="T394" s="3"/>
      <c r="U394" s="3"/>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row>
    <row r="395" spans="17:76">
      <c r="Q395" s="3"/>
      <c r="R395" s="3"/>
      <c r="S395" s="3"/>
      <c r="T395" s="3"/>
      <c r="U395" s="3"/>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row>
    <row r="396" spans="17:76">
      <c r="Q396" s="3"/>
      <c r="R396" s="3"/>
      <c r="S396" s="3"/>
      <c r="T396" s="3"/>
      <c r="U396" s="3"/>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row>
    <row r="397" spans="17:76">
      <c r="Q397" s="3"/>
      <c r="R397" s="3"/>
      <c r="S397" s="3"/>
      <c r="T397" s="3"/>
      <c r="U397" s="3"/>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row>
    <row r="398" spans="17:76">
      <c r="Q398" s="3"/>
      <c r="R398" s="3"/>
      <c r="S398" s="3"/>
      <c r="T398" s="3"/>
      <c r="U398" s="3"/>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row>
    <row r="399" spans="17:76">
      <c r="Q399" s="3"/>
      <c r="R399" s="3"/>
      <c r="S399" s="3"/>
      <c r="T399" s="3"/>
      <c r="U399" s="3"/>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row>
    <row r="400" spans="17:76">
      <c r="Q400" s="3"/>
      <c r="R400" s="3"/>
      <c r="S400" s="3"/>
      <c r="T400" s="3"/>
      <c r="U400" s="3"/>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row>
    <row r="401" spans="17:76">
      <c r="Q401" s="3"/>
      <c r="R401" s="3"/>
      <c r="S401" s="3"/>
      <c r="T401" s="3"/>
      <c r="U401" s="3"/>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row>
    <row r="402" spans="17:76">
      <c r="Q402" s="3"/>
      <c r="R402" s="3"/>
      <c r="S402" s="3"/>
      <c r="T402" s="3"/>
      <c r="U402" s="3"/>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row>
    <row r="403" spans="17:76">
      <c r="Q403" s="3"/>
      <c r="R403" s="3"/>
      <c r="S403" s="3"/>
      <c r="T403" s="3"/>
      <c r="U403" s="3"/>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row>
    <row r="404" spans="17:76">
      <c r="Q404" s="3"/>
      <c r="R404" s="3"/>
      <c r="S404" s="3"/>
      <c r="T404" s="3"/>
      <c r="U404" s="3"/>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row>
    <row r="405" spans="17:76">
      <c r="Q405" s="3"/>
      <c r="R405" s="3"/>
      <c r="S405" s="3"/>
      <c r="T405" s="3"/>
      <c r="U405" s="3"/>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row>
    <row r="406" spans="17:76">
      <c r="Q406" s="3"/>
      <c r="R406" s="3"/>
      <c r="S406" s="3"/>
      <c r="T406" s="3"/>
      <c r="U406" s="3"/>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row>
    <row r="407" spans="17:76">
      <c r="Q407" s="3"/>
      <c r="R407" s="3"/>
      <c r="S407" s="3"/>
      <c r="T407" s="3"/>
      <c r="U407" s="3"/>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row>
    <row r="408" spans="17:76">
      <c r="Q408" s="3"/>
      <c r="R408" s="3"/>
      <c r="S408" s="3"/>
      <c r="T408" s="3"/>
      <c r="U408" s="3"/>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row>
    <row r="409" spans="17:76">
      <c r="Q409" s="3"/>
      <c r="R409" s="3"/>
      <c r="S409" s="3"/>
      <c r="T409" s="3"/>
      <c r="U409" s="3"/>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row>
    <row r="410" spans="17:76">
      <c r="Q410" s="3"/>
      <c r="R410" s="3"/>
      <c r="S410" s="3"/>
      <c r="T410" s="3"/>
      <c r="U410" s="3"/>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row>
    <row r="411" spans="17:76">
      <c r="Q411" s="3"/>
      <c r="R411" s="3"/>
      <c r="S411" s="3"/>
      <c r="T411" s="3"/>
      <c r="U411" s="3"/>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row>
    <row r="412" spans="17:76">
      <c r="Q412" s="3"/>
      <c r="R412" s="3"/>
      <c r="S412" s="3"/>
      <c r="T412" s="3"/>
      <c r="U412" s="3"/>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row>
    <row r="413" spans="17:76">
      <c r="Q413" s="3"/>
      <c r="R413" s="3"/>
      <c r="S413" s="3"/>
      <c r="T413" s="3"/>
      <c r="U413" s="3"/>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row>
    <row r="414" spans="17:76">
      <c r="Q414" s="3"/>
      <c r="R414" s="3"/>
      <c r="S414" s="3"/>
      <c r="T414" s="3"/>
      <c r="U414" s="3"/>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row>
    <row r="415" spans="17:76">
      <c r="Q415" s="3"/>
      <c r="R415" s="3"/>
      <c r="S415" s="3"/>
      <c r="T415" s="3"/>
      <c r="U415" s="3"/>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row>
    <row r="416" spans="17:76">
      <c r="Q416" s="3"/>
      <c r="R416" s="3"/>
      <c r="S416" s="3"/>
      <c r="T416" s="3"/>
      <c r="U416" s="3"/>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row>
    <row r="417" spans="17:76">
      <c r="Q417" s="3"/>
      <c r="R417" s="3"/>
      <c r="S417" s="3"/>
      <c r="T417" s="3"/>
      <c r="U417" s="3"/>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row>
    <row r="418" spans="17:76">
      <c r="Q418" s="3"/>
      <c r="R418" s="3"/>
      <c r="S418" s="3"/>
      <c r="T418" s="3"/>
      <c r="U418" s="3"/>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row>
    <row r="419" spans="17:76">
      <c r="Q419" s="3"/>
      <c r="R419" s="3"/>
      <c r="S419" s="3"/>
      <c r="T419" s="3"/>
      <c r="U419" s="3"/>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row>
    <row r="420" spans="17:76">
      <c r="Q420" s="3"/>
      <c r="R420" s="3"/>
      <c r="S420" s="3"/>
      <c r="T420" s="3"/>
      <c r="U420" s="3"/>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row>
    <row r="421" spans="17:76">
      <c r="Q421" s="3"/>
      <c r="R421" s="3"/>
      <c r="S421" s="3"/>
      <c r="T421" s="3"/>
      <c r="U421" s="3"/>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row>
    <row r="422" spans="17:76">
      <c r="Q422" s="3"/>
      <c r="R422" s="3"/>
      <c r="S422" s="3"/>
      <c r="T422" s="3"/>
      <c r="U422" s="3"/>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row>
    <row r="423" spans="17:76">
      <c r="Q423" s="3"/>
      <c r="R423" s="3"/>
      <c r="S423" s="3"/>
      <c r="T423" s="3"/>
      <c r="U423" s="3"/>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row>
    <row r="424" spans="17:76">
      <c r="Q424" s="3"/>
      <c r="R424" s="3"/>
      <c r="S424" s="3"/>
      <c r="T424" s="3"/>
      <c r="U424" s="3"/>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row>
    <row r="425" spans="17:76">
      <c r="Q425" s="3"/>
      <c r="R425" s="3"/>
      <c r="S425" s="3"/>
      <c r="T425" s="3"/>
      <c r="U425" s="3"/>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row>
    <row r="426" spans="17:76">
      <c r="Q426" s="3"/>
      <c r="R426" s="3"/>
      <c r="S426" s="3"/>
      <c r="T426" s="3"/>
      <c r="U426" s="3"/>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row>
    <row r="427" spans="17:76">
      <c r="Q427" s="3"/>
      <c r="R427" s="3"/>
      <c r="S427" s="3"/>
      <c r="T427" s="3"/>
      <c r="U427" s="3"/>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row>
    <row r="428" spans="17:76">
      <c r="Q428" s="3"/>
      <c r="R428" s="3"/>
      <c r="S428" s="3"/>
      <c r="T428" s="3"/>
      <c r="U428" s="3"/>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row>
    <row r="429" spans="17:76">
      <c r="Q429" s="3"/>
      <c r="R429" s="3"/>
      <c r="S429" s="3"/>
      <c r="T429" s="3"/>
      <c r="U429" s="3"/>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row>
    <row r="430" spans="17:76">
      <c r="Q430" s="3"/>
      <c r="R430" s="3"/>
      <c r="S430" s="3"/>
      <c r="T430" s="3"/>
      <c r="U430" s="3"/>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row>
    <row r="431" spans="17:76">
      <c r="Q431" s="3"/>
      <c r="R431" s="3"/>
      <c r="S431" s="3"/>
      <c r="T431" s="3"/>
      <c r="U431" s="3"/>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row>
    <row r="432" spans="17:76">
      <c r="Q432" s="3"/>
      <c r="R432" s="3"/>
      <c r="S432" s="3"/>
      <c r="T432" s="3"/>
      <c r="U432" s="3"/>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row>
    <row r="433" spans="17:76">
      <c r="Q433" s="3"/>
      <c r="R433" s="3"/>
      <c r="S433" s="3"/>
      <c r="T433" s="3"/>
      <c r="U433" s="3"/>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row>
    <row r="434" spans="17:76">
      <c r="Q434" s="3"/>
      <c r="R434" s="3"/>
      <c r="S434" s="3"/>
      <c r="T434" s="3"/>
      <c r="U434" s="3"/>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row>
    <row r="435" spans="17:76">
      <c r="Q435" s="3"/>
      <c r="R435" s="3"/>
      <c r="S435" s="3"/>
      <c r="T435" s="3"/>
      <c r="U435" s="3"/>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row>
    <row r="436" spans="17:76">
      <c r="Q436" s="3"/>
      <c r="R436" s="3"/>
      <c r="S436" s="3"/>
      <c r="T436" s="3"/>
      <c r="U436" s="3"/>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row>
    <row r="437" spans="17:76">
      <c r="Q437" s="3"/>
      <c r="R437" s="3"/>
      <c r="S437" s="3"/>
      <c r="T437" s="3"/>
      <c r="U437" s="3"/>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row>
    <row r="438" spans="17:76">
      <c r="Q438" s="3"/>
      <c r="R438" s="3"/>
      <c r="S438" s="3"/>
      <c r="T438" s="3"/>
      <c r="U438" s="3"/>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row>
    <row r="439" spans="17:76">
      <c r="Q439" s="3"/>
      <c r="R439" s="3"/>
      <c r="S439" s="3"/>
      <c r="T439" s="3"/>
      <c r="U439" s="3"/>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row>
    <row r="440" spans="17:76">
      <c r="Q440" s="3"/>
      <c r="R440" s="3"/>
      <c r="S440" s="3"/>
      <c r="T440" s="3"/>
      <c r="U440" s="3"/>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row>
    <row r="441" spans="17:76">
      <c r="Q441" s="3"/>
      <c r="R441" s="3"/>
      <c r="S441" s="3"/>
      <c r="T441" s="3"/>
      <c r="U441" s="3"/>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row>
    <row r="442" spans="17:76">
      <c r="Q442" s="3"/>
      <c r="R442" s="3"/>
      <c r="S442" s="3"/>
      <c r="T442" s="3"/>
      <c r="U442" s="3"/>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row>
    <row r="443" spans="17:76">
      <c r="Q443" s="3"/>
      <c r="R443" s="3"/>
      <c r="S443" s="3"/>
      <c r="T443" s="3"/>
      <c r="U443" s="3"/>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row>
    <row r="444" spans="17:76">
      <c r="Q444" s="3"/>
      <c r="R444" s="3"/>
      <c r="S444" s="3"/>
      <c r="T444" s="3"/>
      <c r="U444" s="3"/>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row>
    <row r="445" spans="17:76">
      <c r="Q445" s="3"/>
      <c r="R445" s="3"/>
      <c r="S445" s="3"/>
      <c r="T445" s="3"/>
      <c r="U445" s="3"/>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row>
    <row r="446" spans="17:76">
      <c r="Q446" s="3"/>
      <c r="R446" s="3"/>
      <c r="S446" s="3"/>
      <c r="T446" s="3"/>
      <c r="U446" s="3"/>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row>
    <row r="447" spans="17:76">
      <c r="Q447" s="3"/>
      <c r="R447" s="3"/>
      <c r="S447" s="3"/>
      <c r="T447" s="3"/>
      <c r="U447" s="3"/>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row>
    <row r="448" spans="17:76">
      <c r="Q448" s="3"/>
      <c r="R448" s="3"/>
      <c r="S448" s="3"/>
      <c r="T448" s="3"/>
      <c r="U448" s="3"/>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row>
    <row r="449" spans="17:76">
      <c r="Q449" s="3"/>
      <c r="R449" s="3"/>
      <c r="S449" s="3"/>
      <c r="T449" s="3"/>
      <c r="U449" s="3"/>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row>
    <row r="450" spans="17:76">
      <c r="Q450" s="3"/>
      <c r="R450" s="3"/>
      <c r="S450" s="3"/>
      <c r="T450" s="3"/>
      <c r="U450" s="3"/>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row>
    <row r="451" spans="17:76">
      <c r="Q451" s="3"/>
      <c r="R451" s="3"/>
      <c r="S451" s="3"/>
      <c r="T451" s="3"/>
      <c r="U451" s="3"/>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row>
    <row r="452" spans="17:76">
      <c r="Q452" s="3"/>
      <c r="R452" s="3"/>
      <c r="S452" s="3"/>
      <c r="T452" s="3"/>
      <c r="U452" s="3"/>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row>
    <row r="453" spans="17:76">
      <c r="Q453" s="3"/>
      <c r="R453" s="3"/>
      <c r="S453" s="3"/>
      <c r="T453" s="3"/>
      <c r="U453" s="3"/>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row>
    <row r="454" spans="17:76">
      <c r="Q454" s="3"/>
      <c r="R454" s="3"/>
      <c r="S454" s="3"/>
      <c r="T454" s="3"/>
      <c r="U454" s="3"/>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row>
    <row r="455" spans="17:76">
      <c r="Q455" s="3"/>
      <c r="R455" s="3"/>
      <c r="S455" s="3"/>
      <c r="T455" s="3"/>
      <c r="U455" s="3"/>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row>
    <row r="456" spans="17:76">
      <c r="Q456" s="3"/>
      <c r="R456" s="3"/>
      <c r="S456" s="3"/>
      <c r="T456" s="3"/>
      <c r="U456" s="3"/>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row>
    <row r="457" spans="17:76">
      <c r="Q457" s="3"/>
      <c r="R457" s="3"/>
      <c r="S457" s="3"/>
      <c r="T457" s="3"/>
      <c r="U457" s="3"/>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row>
    <row r="458" spans="17:76">
      <c r="Q458" s="3"/>
      <c r="R458" s="3"/>
      <c r="S458" s="3"/>
      <c r="T458" s="3"/>
      <c r="U458" s="3"/>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row>
    <row r="459" spans="17:76">
      <c r="Q459" s="3"/>
      <c r="R459" s="3"/>
      <c r="S459" s="3"/>
      <c r="T459" s="3"/>
      <c r="U459" s="3"/>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row>
    <row r="460" spans="17:76">
      <c r="Q460" s="3"/>
      <c r="R460" s="3"/>
      <c r="S460" s="3"/>
      <c r="T460" s="3"/>
      <c r="U460" s="3"/>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row>
    <row r="461" spans="17:76">
      <c r="Q461" s="3"/>
      <c r="R461" s="3"/>
      <c r="S461" s="3"/>
      <c r="T461" s="3"/>
      <c r="U461" s="3"/>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row>
    <row r="462" spans="17:76">
      <c r="Q462" s="3"/>
      <c r="R462" s="3"/>
      <c r="S462" s="3"/>
      <c r="T462" s="3"/>
      <c r="U462" s="3"/>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row>
    <row r="463" spans="17:76">
      <c r="Q463" s="3"/>
      <c r="R463" s="3"/>
      <c r="S463" s="3"/>
      <c r="T463" s="3"/>
      <c r="U463" s="3"/>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row>
    <row r="464" spans="17:76">
      <c r="Q464" s="3"/>
      <c r="R464" s="3"/>
      <c r="S464" s="3"/>
      <c r="T464" s="3"/>
      <c r="U464" s="3"/>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row>
    <row r="465" spans="17:76">
      <c r="Q465" s="3"/>
      <c r="R465" s="3"/>
      <c r="S465" s="3"/>
      <c r="T465" s="3"/>
      <c r="U465" s="3"/>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row>
    <row r="466" spans="17:76">
      <c r="Q466" s="3"/>
      <c r="R466" s="3"/>
      <c r="S466" s="3"/>
      <c r="T466" s="3"/>
      <c r="U466" s="3"/>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row>
    <row r="467" spans="17:76">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row>
    <row r="468" spans="17:76">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row>
    <row r="469" spans="17:76">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row>
    <row r="470" spans="17:76">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row>
    <row r="471" spans="17:76">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row>
    <row r="472" spans="17:76">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row>
    <row r="473" spans="17:76">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row>
    <row r="474" spans="17:76">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row>
    <row r="475" spans="17:76">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row>
    <row r="476" spans="17:76">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row>
    <row r="477" spans="17:76">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row>
    <row r="478" spans="17:76">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row>
    <row r="479" spans="17:76">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row>
    <row r="480" spans="17:76">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row>
    <row r="481" spans="47:76">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row>
    <row r="482" spans="47:76">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row>
    <row r="483" spans="47:76">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row>
    <row r="484" spans="47:76">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row>
    <row r="485" spans="47:76">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row>
    <row r="486" spans="47:76">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row>
    <row r="487" spans="47:76">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row>
    <row r="488" spans="47:76">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row>
    <row r="489" spans="47:76">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row>
    <row r="490" spans="47:76">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row>
    <row r="491" spans="47:76">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row>
    <row r="492" spans="47:76">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row>
    <row r="493" spans="47:76">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row>
    <row r="494" spans="47:76">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row>
    <row r="495" spans="47:76">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row>
    <row r="496" spans="47:76">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row>
    <row r="497" spans="47:76">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row>
    <row r="498" spans="47:76">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row>
    <row r="499" spans="47:76">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row>
    <row r="500" spans="47:76">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row>
    <row r="501" spans="47:76">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row>
    <row r="502" spans="47:76">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row>
    <row r="503" spans="47:76">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row>
    <row r="504" spans="47:76">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row>
    <row r="505" spans="47:76">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row>
    <row r="506" spans="47:76">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row>
    <row r="507" spans="47:76">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row>
    <row r="508" spans="47:76">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row>
    <row r="509" spans="47:76">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row>
    <row r="510" spans="47:76">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row>
    <row r="511" spans="47:76">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row>
    <row r="512" spans="47:76">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row>
    <row r="513" spans="47:76">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row>
    <row r="514" spans="47:76">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row>
    <row r="515" spans="47:76">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row>
    <row r="516" spans="47:76">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row>
    <row r="517" spans="47:76">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row>
    <row r="518" spans="47:76">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row>
    <row r="519" spans="47:76">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row>
    <row r="520" spans="47:76">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row>
    <row r="521" spans="47:76">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row>
    <row r="522" spans="47:76">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row>
    <row r="523" spans="47:76">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row>
    <row r="524" spans="47:76">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row>
    <row r="525" spans="47:76">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row>
    <row r="526" spans="47:76">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row>
    <row r="527" spans="47:76">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row>
    <row r="528" spans="47:76">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row>
    <row r="529" spans="47:76">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row>
    <row r="530" spans="47:76">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row>
    <row r="531" spans="47:76">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row>
    <row r="532" spans="47:76">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row>
    <row r="533" spans="47:76">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row>
    <row r="534" spans="47:76">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row>
    <row r="535" spans="47:76">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row>
    <row r="536" spans="47:76">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row>
    <row r="537" spans="47:76">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row>
    <row r="538" spans="47:76">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row>
    <row r="539" spans="47:76">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row>
    <row r="540" spans="47:76">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row>
    <row r="541" spans="47:76">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row>
    <row r="542" spans="47:76">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row>
    <row r="543" spans="47:76">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row>
    <row r="544" spans="47:76">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row>
    <row r="545" spans="47:76">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row>
    <row r="546" spans="47:76">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row>
    <row r="547" spans="47:76">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row>
    <row r="548" spans="47:76">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row>
    <row r="549" spans="47:76">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row>
    <row r="550" spans="47:76">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row>
    <row r="551" spans="47:76">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row>
    <row r="552" spans="47:76">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row>
    <row r="553" spans="47:76">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row>
    <row r="554" spans="47:76">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row>
    <row r="555" spans="47:76">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row>
    <row r="556" spans="47:76">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row>
    <row r="557" spans="47:76">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row>
    <row r="558" spans="47:76">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row>
    <row r="559" spans="47:76">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row>
    <row r="560" spans="47:76">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row>
    <row r="561" spans="47:76">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row>
    <row r="562" spans="47:76">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row>
    <row r="563" spans="47:76">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row>
    <row r="564" spans="47:76">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row>
    <row r="565" spans="47:76">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row>
    <row r="566" spans="47:76">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row>
    <row r="567" spans="47:76">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row>
    <row r="568" spans="47:76">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row>
    <row r="569" spans="47:76">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row>
    <row r="570" spans="47:76">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row>
    <row r="571" spans="47:76">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row>
    <row r="572" spans="47:76">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row>
    <row r="573" spans="47:76">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row>
    <row r="574" spans="47:76">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row>
    <row r="575" spans="47:76">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row>
    <row r="576" spans="47:76">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row>
    <row r="577" spans="47:76">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row>
    <row r="578" spans="47:76">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row>
    <row r="579" spans="47:76">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row>
    <row r="580" spans="47:76">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row>
    <row r="581" spans="47:76">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row>
    <row r="582" spans="47:76">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row>
  </sheetData>
  <sheetProtection algorithmName="SHA-512" hashValue="7TjmeCmGUg30WczGdApxGsu8SWaTUNKNDS2v/7QajE7oEPyv5VwnWU7130QETexLNVWlpX7lR1swA3ItVBpb+Q==" saltValue="vis/6j9GcpZGqn57BMqArg==" spinCount="100000" sheet="1" objects="1" scenarios="1" selectLockedCells="1"/>
  <mergeCells count="130">
    <mergeCell ref="N22:P22"/>
    <mergeCell ref="Q14:R14"/>
    <mergeCell ref="E25:F25"/>
    <mergeCell ref="G25:H25"/>
    <mergeCell ref="Q79:R80"/>
    <mergeCell ref="O79:P80"/>
    <mergeCell ref="O81:P82"/>
    <mergeCell ref="Q81:R82"/>
    <mergeCell ref="M77:N78"/>
    <mergeCell ref="Q77:R78"/>
    <mergeCell ref="S79:T80"/>
    <mergeCell ref="Q83:R83"/>
    <mergeCell ref="Q85:R85"/>
    <mergeCell ref="L106:T106"/>
    <mergeCell ref="C96:J106"/>
    <mergeCell ref="L126:T134"/>
    <mergeCell ref="L136:T136"/>
    <mergeCell ref="C126:J136"/>
    <mergeCell ref="M84:N84"/>
    <mergeCell ref="M88:N89"/>
    <mergeCell ref="M86:N87"/>
    <mergeCell ref="M91:N91"/>
    <mergeCell ref="C83:L84"/>
    <mergeCell ref="C85:L85"/>
    <mergeCell ref="C90:L91"/>
    <mergeCell ref="L135:N135"/>
    <mergeCell ref="C125:E125"/>
    <mergeCell ref="L125:M125"/>
    <mergeCell ref="E121:F121"/>
    <mergeCell ref="E122:F122"/>
    <mergeCell ref="G121:H121"/>
    <mergeCell ref="G122:H122"/>
    <mergeCell ref="L105:N105"/>
    <mergeCell ref="B108:F109"/>
    <mergeCell ref="L96:T104"/>
    <mergeCell ref="M90:N90"/>
    <mergeCell ref="Q84:R84"/>
    <mergeCell ref="L95:M95"/>
    <mergeCell ref="G32:H32"/>
    <mergeCell ref="B1:I1"/>
    <mergeCell ref="B73:M73"/>
    <mergeCell ref="B74:M74"/>
    <mergeCell ref="S76:T76"/>
    <mergeCell ref="C79:L80"/>
    <mergeCell ref="S77:T78"/>
    <mergeCell ref="S83:T83"/>
    <mergeCell ref="S84:T84"/>
    <mergeCell ref="S85:T85"/>
    <mergeCell ref="S86:T87"/>
    <mergeCell ref="S88:T89"/>
    <mergeCell ref="S90:T90"/>
    <mergeCell ref="G16:I16"/>
    <mergeCell ref="G17:I17"/>
    <mergeCell ref="G18:I18"/>
    <mergeCell ref="G22:I22"/>
    <mergeCell ref="S75:T75"/>
    <mergeCell ref="M75:N75"/>
    <mergeCell ref="O75:P75"/>
    <mergeCell ref="S81:T82"/>
    <mergeCell ref="Q75:R75"/>
    <mergeCell ref="G9:H9"/>
    <mergeCell ref="E9:F9"/>
    <mergeCell ref="C86:L87"/>
    <mergeCell ref="C88:L89"/>
    <mergeCell ref="M85:N85"/>
    <mergeCell ref="O85:P85"/>
    <mergeCell ref="O86:P87"/>
    <mergeCell ref="O88:P89"/>
    <mergeCell ref="C77:L78"/>
    <mergeCell ref="O77:P78"/>
    <mergeCell ref="M79:N80"/>
    <mergeCell ref="M83:N83"/>
    <mergeCell ref="O83:P83"/>
    <mergeCell ref="O84:P84"/>
    <mergeCell ref="C55:J65"/>
    <mergeCell ref="M76:N76"/>
    <mergeCell ref="C75:L75"/>
    <mergeCell ref="C76:L76"/>
    <mergeCell ref="C81:L82"/>
    <mergeCell ref="M81:N82"/>
    <mergeCell ref="B68:T69"/>
    <mergeCell ref="Q86:R87"/>
    <mergeCell ref="AC13:AD13"/>
    <mergeCell ref="B72:Q72"/>
    <mergeCell ref="B53:D53"/>
    <mergeCell ref="E26:F26"/>
    <mergeCell ref="E27:F27"/>
    <mergeCell ref="E28:F28"/>
    <mergeCell ref="E29:F29"/>
    <mergeCell ref="E30:F30"/>
    <mergeCell ref="E31:F31"/>
    <mergeCell ref="E32:F32"/>
    <mergeCell ref="L64:N64"/>
    <mergeCell ref="L55:T63"/>
    <mergeCell ref="L65:T65"/>
    <mergeCell ref="C49:D49"/>
    <mergeCell ref="C50:D50"/>
    <mergeCell ref="E49:F49"/>
    <mergeCell ref="E50:F50"/>
    <mergeCell ref="G49:H49"/>
    <mergeCell ref="G50:H50"/>
    <mergeCell ref="G26:H26"/>
    <mergeCell ref="G27:H27"/>
    <mergeCell ref="G28:H28"/>
    <mergeCell ref="G21:I21"/>
    <mergeCell ref="G14:I14"/>
    <mergeCell ref="C121:D121"/>
    <mergeCell ref="C122:D122"/>
    <mergeCell ref="C8:D8"/>
    <mergeCell ref="C9:D9"/>
    <mergeCell ref="E8:F8"/>
    <mergeCell ref="G8:H8"/>
    <mergeCell ref="Q15:R15"/>
    <mergeCell ref="Q16:R16"/>
    <mergeCell ref="Q17:R17"/>
    <mergeCell ref="Q18:R18"/>
    <mergeCell ref="Q19:R19"/>
    <mergeCell ref="Q20:R20"/>
    <mergeCell ref="Q21:R21"/>
    <mergeCell ref="Q22:R22"/>
    <mergeCell ref="G29:H29"/>
    <mergeCell ref="G30:H30"/>
    <mergeCell ref="G31:H31"/>
    <mergeCell ref="G15:I15"/>
    <mergeCell ref="O76:P76"/>
    <mergeCell ref="Q76:R76"/>
    <mergeCell ref="O90:P90"/>
    <mergeCell ref="O91:P91"/>
    <mergeCell ref="Q90:R90"/>
    <mergeCell ref="Q88:R89"/>
  </mergeCells>
  <conditionalFormatting sqref="A2:A3">
    <cfRule type="cellIs" dxfId="199" priority="12" operator="equal">
      <formula>"In Progress"</formula>
    </cfRule>
    <cfRule type="cellIs" dxfId="198" priority="13" operator="equal">
      <formula>"Not Started"</formula>
    </cfRule>
    <cfRule type="cellIs" dxfId="197" priority="14" operator="equal">
      <formula>"Completed"</formula>
    </cfRule>
  </conditionalFormatting>
  <dataValidations count="2">
    <dataValidation type="list" allowBlank="1" showInputMessage="1" showErrorMessage="1" sqref="O83:T84 O86:T87 H111 O77:T80" xr:uid="{77C2C48B-4A8D-47D5-8BEF-D3D2514AC4A7}">
      <formula1>YesNo</formula1>
    </dataValidation>
    <dataValidation type="custom" allowBlank="1" showInputMessage="1" showErrorMessage="1" sqref="P1" xr:uid="{BF0D3A3C-3111-4AF5-870F-D3B92270E6A8}">
      <formula1>"&lt;0&gt;0"</formula1>
    </dataValidation>
  </dataValidations>
  <pageMargins left="0.7" right="0.7" top="0.75" bottom="0.75" header="0.3" footer="0.3"/>
  <pageSetup orientation="portrait" r:id="rId1"/>
  <headerFooter>
    <oddHeader>&amp;L&amp;G</oddHeader>
    <oddFooter>&amp;LVersion - 2023.0.01&amp;CWHEDA MULTIFAMILY APPLICATION&amp;R&amp;P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908BFA69-BFB4-462E-8AE8-C3A9298BB758}">
            <xm:f>NOT('21. Location Score'!#REF!)</xm:f>
            <x14:dxf>
              <font>
                <b/>
                <i val="0"/>
                <strike val="0"/>
                <color rgb="FFC00000"/>
              </font>
            </x14:dxf>
          </x14:cfRule>
          <xm:sqref>B111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2D4D-84BB-40D7-A66C-89DAB83B9C0D}">
  <sheetPr codeName="Sheet50">
    <pageSetUpPr fitToPage="1"/>
  </sheetPr>
  <dimension ref="A1:P68"/>
  <sheetViews>
    <sheetView workbookViewId="0">
      <selection activeCell="A27" sqref="A27"/>
    </sheetView>
  </sheetViews>
  <sheetFormatPr baseColWidth="10" defaultColWidth="8.83203125" defaultRowHeight="15"/>
  <cols>
    <col min="1" max="1" width="6.83203125" style="3" customWidth="1"/>
    <col min="2" max="2" width="16.6640625" style="3" customWidth="1"/>
    <col min="3" max="3" width="10.1640625" style="3" customWidth="1"/>
    <col min="4" max="4" width="28.1640625" style="3" customWidth="1"/>
    <col min="5" max="5" width="25.33203125" style="3" bestFit="1" customWidth="1"/>
    <col min="6" max="10" width="8.83203125" style="3"/>
    <col min="11" max="11" width="51.5" style="3" customWidth="1"/>
    <col min="12" max="15" width="8.83203125" style="3"/>
    <col min="16" max="16" width="9.1640625" style="3" customWidth="1"/>
    <col min="17" max="16384" width="8.83203125" style="3"/>
  </cols>
  <sheetData>
    <row r="1" spans="1:16" ht="29">
      <c r="B1" s="4" t="str">
        <f>'1. TOC'!B1</f>
        <v>WHEDA 2025 Multifamily Application</v>
      </c>
      <c r="G1" s="149" t="str">
        <f>'1. TOC'!L1</f>
        <v>v25.1.9</v>
      </c>
      <c r="J1" s="1086" t="str">
        <f>HYPERLINK("#Table_of_Contents", Table_of_Contents)</f>
        <v>Table of Contents</v>
      </c>
      <c r="K1"/>
      <c r="M1"/>
    </row>
    <row r="2" spans="1:16" s="987" customFormat="1" ht="21">
      <c r="B2" s="1013" t="str">
        <f>_xlfn.CONCAT(IF(ISBLANK(WHEDA_Project_Number),"",_xlfn.CONCAT(WHEDA_Project_Number,"-")), Project_Name, IF(ISBLANK(Credit_percentage_applied_for),"",_xlfn.CONCAT(" (", Credit_percentage_applied_for," HTC)")))</f>
        <v/>
      </c>
      <c r="C2" s="966"/>
      <c r="D2" s="966"/>
      <c r="E2" s="966"/>
      <c r="F2" s="966"/>
      <c r="G2" s="966"/>
      <c r="H2" s="966"/>
      <c r="I2" s="966"/>
      <c r="J2" s="966"/>
      <c r="K2" s="966"/>
      <c r="L2" s="966"/>
      <c r="M2" s="966"/>
      <c r="N2" s="966"/>
    </row>
    <row r="3" spans="1:16">
      <c r="C3" s="1023"/>
      <c r="D3" s="1023"/>
      <c r="E3" s="1023"/>
      <c r="F3" s="1023"/>
      <c r="G3" s="1023"/>
      <c r="H3" s="1023"/>
      <c r="I3" s="1023"/>
      <c r="J3" s="1023"/>
      <c r="K3" s="1023"/>
      <c r="L3" s="1023"/>
      <c r="M3" s="1023"/>
      <c r="N3" s="1023"/>
    </row>
    <row r="4" spans="1:16" ht="29">
      <c r="B4" s="4" t="s">
        <v>3215</v>
      </c>
      <c r="C4" s="892"/>
      <c r="D4" s="892"/>
      <c r="E4" s="892"/>
      <c r="F4" s="892"/>
      <c r="G4" s="892"/>
      <c r="H4" s="892"/>
      <c r="I4" s="892"/>
      <c r="J4" s="892"/>
      <c r="K4" s="892"/>
      <c r="L4" s="892"/>
      <c r="M4" s="893"/>
      <c r="P4" s="17"/>
    </row>
    <row r="5" spans="1:16" ht="16" thickBot="1"/>
    <row r="6" spans="1:16" ht="19">
      <c r="A6" s="132"/>
      <c r="B6" s="2625" t="s">
        <v>5183</v>
      </c>
      <c r="C6" s="2625" t="s">
        <v>5184</v>
      </c>
      <c r="D6" s="2630" t="s">
        <v>5185</v>
      </c>
      <c r="E6" s="2625" t="s">
        <v>4740</v>
      </c>
      <c r="F6" s="2634"/>
      <c r="G6" s="2634"/>
      <c r="H6" s="2634"/>
      <c r="I6" s="2634"/>
      <c r="J6" s="2634"/>
      <c r="K6" s="2634"/>
      <c r="L6" s="2634"/>
      <c r="M6" s="2634"/>
      <c r="N6" s="2635"/>
    </row>
    <row r="7" spans="1:16" ht="17" thickBot="1">
      <c r="A7" s="308"/>
      <c r="B7" s="2626"/>
      <c r="C7" s="2626"/>
      <c r="D7" s="2631"/>
      <c r="E7" s="2626"/>
      <c r="F7" s="2636"/>
      <c r="G7" s="2636"/>
      <c r="H7" s="2636"/>
      <c r="I7" s="2636"/>
      <c r="J7" s="2636"/>
      <c r="K7" s="2636"/>
      <c r="L7" s="2636"/>
      <c r="M7" s="2636"/>
      <c r="N7" s="2637"/>
    </row>
    <row r="8" spans="1:16" ht="30" customHeight="1">
      <c r="A8" s="308"/>
      <c r="B8" s="703">
        <f>+IF(Total_Units&gt;24,2000,1000)</f>
        <v>1000</v>
      </c>
      <c r="C8" s="704">
        <v>1</v>
      </c>
      <c r="D8" s="705" t="s">
        <v>5186</v>
      </c>
      <c r="E8" s="2638" t="s">
        <v>5187</v>
      </c>
      <c r="F8" s="2638"/>
      <c r="G8" s="2638"/>
      <c r="H8" s="2638"/>
      <c r="I8" s="2638"/>
      <c r="J8" s="2638"/>
      <c r="K8" s="2638"/>
      <c r="L8" s="2638"/>
      <c r="M8" s="2638"/>
      <c r="N8" s="2639"/>
    </row>
    <row r="9" spans="1:16" ht="16">
      <c r="A9" s="308"/>
      <c r="B9" s="714"/>
      <c r="C9" s="700">
        <f>C8+1</f>
        <v>2</v>
      </c>
      <c r="D9" s="701" t="s">
        <v>5188</v>
      </c>
      <c r="E9" s="2613" t="s">
        <v>5189</v>
      </c>
      <c r="F9" s="2613"/>
      <c r="G9" s="2613"/>
      <c r="H9" s="2613"/>
      <c r="I9" s="2613"/>
      <c r="J9" s="2613"/>
      <c r="K9" s="2613"/>
      <c r="L9" s="2613"/>
      <c r="M9" s="2613"/>
      <c r="N9" s="2614"/>
    </row>
    <row r="10" spans="1:16" ht="30" customHeight="1">
      <c r="A10" s="309"/>
      <c r="B10" s="714"/>
      <c r="C10" s="700">
        <f t="shared" ref="C10:C23" si="0">C9+1</f>
        <v>3</v>
      </c>
      <c r="D10" s="702" t="s">
        <v>5190</v>
      </c>
      <c r="E10" s="2613" t="s">
        <v>5191</v>
      </c>
      <c r="F10" s="2613"/>
      <c r="G10" s="2613"/>
      <c r="H10" s="2613"/>
      <c r="I10" s="2613"/>
      <c r="J10" s="2613"/>
      <c r="K10" s="2613"/>
      <c r="L10" s="2613"/>
      <c r="M10" s="2613"/>
      <c r="N10" s="2614"/>
    </row>
    <row r="11" spans="1:16" ht="60" customHeight="1">
      <c r="A11" s="309"/>
      <c r="B11" s="714"/>
      <c r="C11" s="700">
        <f t="shared" si="0"/>
        <v>4</v>
      </c>
      <c r="D11" s="702" t="s">
        <v>754</v>
      </c>
      <c r="E11" s="2613" t="s">
        <v>5192</v>
      </c>
      <c r="F11" s="2613"/>
      <c r="G11" s="2613"/>
      <c r="H11" s="2613"/>
      <c r="I11" s="2613"/>
      <c r="J11" s="2613"/>
      <c r="K11" s="2613"/>
      <c r="L11" s="2613"/>
      <c r="M11" s="2613"/>
      <c r="N11" s="2614"/>
    </row>
    <row r="12" spans="1:16" ht="30" customHeight="1">
      <c r="A12" s="309"/>
      <c r="B12" s="714"/>
      <c r="C12" s="700">
        <f t="shared" si="0"/>
        <v>5</v>
      </c>
      <c r="D12" s="702" t="s">
        <v>756</v>
      </c>
      <c r="E12" s="2613" t="s">
        <v>5193</v>
      </c>
      <c r="F12" s="2613"/>
      <c r="G12" s="2613"/>
      <c r="H12" s="2613"/>
      <c r="I12" s="2613"/>
      <c r="J12" s="2613"/>
      <c r="K12" s="2613"/>
      <c r="L12" s="2613"/>
      <c r="M12" s="2613"/>
      <c r="N12" s="2614"/>
    </row>
    <row r="13" spans="1:16" ht="30" customHeight="1">
      <c r="A13" s="309"/>
      <c r="B13" s="714"/>
      <c r="C13" s="700">
        <f t="shared" si="0"/>
        <v>6</v>
      </c>
      <c r="D13" s="702" t="s">
        <v>5194</v>
      </c>
      <c r="E13" s="2613" t="s">
        <v>5195</v>
      </c>
      <c r="F13" s="2613"/>
      <c r="G13" s="2613"/>
      <c r="H13" s="2613"/>
      <c r="I13" s="2613"/>
      <c r="J13" s="2613"/>
      <c r="K13" s="2613"/>
      <c r="L13" s="2613"/>
      <c r="M13" s="2613"/>
      <c r="N13" s="2614"/>
    </row>
    <row r="14" spans="1:16" ht="31.5" customHeight="1">
      <c r="A14" s="309"/>
      <c r="B14" s="714"/>
      <c r="C14" s="700">
        <f t="shared" si="0"/>
        <v>7</v>
      </c>
      <c r="D14" s="702" t="s">
        <v>5196</v>
      </c>
      <c r="E14" s="2613" t="s">
        <v>5197</v>
      </c>
      <c r="F14" s="2613"/>
      <c r="G14" s="2613"/>
      <c r="H14" s="2613"/>
      <c r="I14" s="2613"/>
      <c r="J14" s="2613"/>
      <c r="K14" s="2613"/>
      <c r="L14" s="2613"/>
      <c r="M14" s="2613"/>
      <c r="N14" s="2614"/>
    </row>
    <row r="15" spans="1:16" ht="44.5" customHeight="1">
      <c r="A15" s="309"/>
      <c r="B15" s="714"/>
      <c r="C15" s="700">
        <f t="shared" si="0"/>
        <v>8</v>
      </c>
      <c r="D15" s="702" t="s">
        <v>5198</v>
      </c>
      <c r="E15" s="2613" t="s">
        <v>5199</v>
      </c>
      <c r="F15" s="2613"/>
      <c r="G15" s="2613"/>
      <c r="H15" s="2613"/>
      <c r="I15" s="2613"/>
      <c r="J15" s="2613"/>
      <c r="K15" s="2613"/>
      <c r="L15" s="2613"/>
      <c r="M15" s="2613"/>
      <c r="N15" s="2614"/>
    </row>
    <row r="16" spans="1:16" ht="44.5" customHeight="1">
      <c r="A16" s="309"/>
      <c r="B16" s="714"/>
      <c r="C16" s="700">
        <f t="shared" si="0"/>
        <v>9</v>
      </c>
      <c r="D16" s="702" t="s">
        <v>5200</v>
      </c>
      <c r="E16" s="2613" t="s">
        <v>5201</v>
      </c>
      <c r="F16" s="2613"/>
      <c r="G16" s="2613"/>
      <c r="H16" s="2613"/>
      <c r="I16" s="2613"/>
      <c r="J16" s="2613"/>
      <c r="K16" s="2613"/>
      <c r="L16" s="2613"/>
      <c r="M16" s="2613"/>
      <c r="N16" s="2614"/>
    </row>
    <row r="17" spans="1:14">
      <c r="A17" s="309"/>
      <c r="B17" s="714"/>
      <c r="C17" s="700">
        <f t="shared" si="0"/>
        <v>10</v>
      </c>
      <c r="D17" s="702" t="s">
        <v>3229</v>
      </c>
      <c r="E17" s="2613" t="str">
        <f>CONCATENATE("Evidence that the proposed Management Agent has been approved through WHEDA's Management Agent Certification process for the ", Tax_Credit_Year, " Cycle.")</f>
        <v>Evidence that the proposed Management Agent has been approved through WHEDA's Management Agent Certification process for the 2025 Cycle.</v>
      </c>
      <c r="F17" s="2613"/>
      <c r="G17" s="2613"/>
      <c r="H17" s="2613"/>
      <c r="I17" s="2613"/>
      <c r="J17" s="2613"/>
      <c r="K17" s="2613"/>
      <c r="L17" s="2613"/>
      <c r="M17" s="2613"/>
      <c r="N17" s="2614"/>
    </row>
    <row r="18" spans="1:14">
      <c r="A18" s="309"/>
      <c r="B18" s="714"/>
      <c r="C18" s="700">
        <f t="shared" si="0"/>
        <v>11</v>
      </c>
      <c r="D18" s="702" t="s">
        <v>5202</v>
      </c>
      <c r="E18" s="2613" t="s">
        <v>5203</v>
      </c>
      <c r="F18" s="2613"/>
      <c r="G18" s="2613"/>
      <c r="H18" s="2613"/>
      <c r="I18" s="2613"/>
      <c r="J18" s="2613"/>
      <c r="K18" s="2613"/>
      <c r="L18" s="2613"/>
      <c r="M18" s="2613"/>
      <c r="N18" s="2614"/>
    </row>
    <row r="19" spans="1:14" ht="30" customHeight="1">
      <c r="A19" s="309"/>
      <c r="B19" s="714"/>
      <c r="C19" s="700">
        <f t="shared" si="0"/>
        <v>12</v>
      </c>
      <c r="D19" s="702" t="s">
        <v>5204</v>
      </c>
      <c r="E19" s="2613" t="s">
        <v>5205</v>
      </c>
      <c r="F19" s="2613"/>
      <c r="G19" s="2613"/>
      <c r="H19" s="2613"/>
      <c r="I19" s="2613"/>
      <c r="J19" s="2613"/>
      <c r="K19" s="2613"/>
      <c r="L19" s="2613"/>
      <c r="M19" s="2613"/>
      <c r="N19" s="2614"/>
    </row>
    <row r="20" spans="1:14" ht="46.25" customHeight="1">
      <c r="A20" s="309"/>
      <c r="B20" s="714"/>
      <c r="C20" s="700">
        <f t="shared" si="0"/>
        <v>13</v>
      </c>
      <c r="D20" s="702" t="s">
        <v>3003</v>
      </c>
      <c r="E20" s="2613" t="s">
        <v>5206</v>
      </c>
      <c r="F20" s="2613"/>
      <c r="G20" s="2613"/>
      <c r="H20" s="2613"/>
      <c r="I20" s="2613"/>
      <c r="J20" s="2613"/>
      <c r="K20" s="2613"/>
      <c r="L20" s="2613"/>
      <c r="M20" s="2613"/>
      <c r="N20" s="2614"/>
    </row>
    <row r="21" spans="1:14" ht="197.25" customHeight="1">
      <c r="A21" s="309"/>
      <c r="B21" s="714"/>
      <c r="C21" s="700">
        <f>C20+1</f>
        <v>14</v>
      </c>
      <c r="D21" s="702" t="s">
        <v>5124</v>
      </c>
      <c r="E21" s="2632" t="s">
        <v>5207</v>
      </c>
      <c r="F21" s="2632"/>
      <c r="G21" s="2632"/>
      <c r="H21" s="2632"/>
      <c r="I21" s="2632"/>
      <c r="J21" s="2632"/>
      <c r="K21" s="2632"/>
      <c r="L21" s="2632"/>
      <c r="M21" s="2632"/>
      <c r="N21" s="2633"/>
    </row>
    <row r="22" spans="1:14" ht="77" customHeight="1">
      <c r="A22" s="309"/>
      <c r="B22" s="714"/>
      <c r="C22" s="700">
        <f t="shared" si="0"/>
        <v>15</v>
      </c>
      <c r="D22" s="702" t="s">
        <v>5208</v>
      </c>
      <c r="E22" s="2627" t="s">
        <v>5209</v>
      </c>
      <c r="F22" s="2628"/>
      <c r="G22" s="2628"/>
      <c r="H22" s="2628"/>
      <c r="I22" s="2628"/>
      <c r="J22" s="2628"/>
      <c r="K22" s="2628"/>
      <c r="L22" s="2628"/>
      <c r="M22" s="2628"/>
      <c r="N22" s="2629"/>
    </row>
    <row r="23" spans="1:14">
      <c r="A23" s="309"/>
      <c r="B23" s="714"/>
      <c r="C23" s="700">
        <f t="shared" si="0"/>
        <v>16</v>
      </c>
      <c r="D23" s="702" t="s">
        <v>5210</v>
      </c>
      <c r="E23" s="2613" t="s">
        <v>5211</v>
      </c>
      <c r="F23" s="2613"/>
      <c r="G23" s="2613"/>
      <c r="H23" s="2613"/>
      <c r="I23" s="2613"/>
      <c r="J23" s="2613"/>
      <c r="K23" s="2613"/>
      <c r="L23" s="2613"/>
      <c r="M23" s="2613"/>
      <c r="N23" s="2614"/>
    </row>
    <row r="24" spans="1:14">
      <c r="A24" s="309"/>
      <c r="B24" s="2615" t="s">
        <v>5212</v>
      </c>
      <c r="C24" s="2616"/>
      <c r="D24" s="2616"/>
      <c r="E24" s="2616"/>
      <c r="F24" s="2616"/>
      <c r="G24" s="2616"/>
      <c r="H24" s="2616"/>
      <c r="I24" s="2616"/>
      <c r="J24" s="2616"/>
      <c r="K24" s="2616"/>
      <c r="L24" s="2616"/>
      <c r="M24" s="2616"/>
      <c r="N24" s="2617"/>
    </row>
    <row r="25" spans="1:14" ht="30.75" customHeight="1">
      <c r="A25" s="309"/>
      <c r="B25" s="714"/>
      <c r="C25" s="700">
        <f>C23+1</f>
        <v>17</v>
      </c>
      <c r="D25" s="702" t="s">
        <v>5213</v>
      </c>
      <c r="E25" s="2613" t="s">
        <v>5214</v>
      </c>
      <c r="F25" s="2613"/>
      <c r="G25" s="2613"/>
      <c r="H25" s="2613"/>
      <c r="I25" s="2613"/>
      <c r="J25" s="2613"/>
      <c r="K25" s="2613"/>
      <c r="L25" s="2613"/>
      <c r="M25" s="2613"/>
      <c r="N25" s="2614"/>
    </row>
    <row r="26" spans="1:14" ht="32.25" customHeight="1">
      <c r="A26" s="309"/>
      <c r="B26" s="714"/>
      <c r="C26" s="700">
        <f>C25+1</f>
        <v>18</v>
      </c>
      <c r="D26" s="702" t="s">
        <v>5215</v>
      </c>
      <c r="E26" s="2613" t="s">
        <v>5216</v>
      </c>
      <c r="F26" s="2613"/>
      <c r="G26" s="2613"/>
      <c r="H26" s="2613"/>
      <c r="I26" s="2613"/>
      <c r="J26" s="2613"/>
      <c r="K26" s="2613"/>
      <c r="L26" s="2613"/>
      <c r="M26" s="2613"/>
      <c r="N26" s="2614"/>
    </row>
    <row r="27" spans="1:14" ht="31.5" customHeight="1">
      <c r="A27" s="309"/>
      <c r="B27" s="714"/>
      <c r="C27" s="700">
        <f t="shared" ref="C27:C30" si="1">C26+1</f>
        <v>19</v>
      </c>
      <c r="D27" s="702" t="s">
        <v>5217</v>
      </c>
      <c r="E27" s="2613" t="s">
        <v>5218</v>
      </c>
      <c r="F27" s="2613"/>
      <c r="G27" s="2613"/>
      <c r="H27" s="2613"/>
      <c r="I27" s="2613"/>
      <c r="J27" s="2613"/>
      <c r="K27" s="2613"/>
      <c r="L27" s="2613"/>
      <c r="M27" s="2613"/>
      <c r="N27" s="2614"/>
    </row>
    <row r="28" spans="1:14" ht="63.75" customHeight="1">
      <c r="A28" s="309"/>
      <c r="B28" s="714"/>
      <c r="C28" s="700">
        <f t="shared" si="1"/>
        <v>20</v>
      </c>
      <c r="D28" s="702" t="s">
        <v>5219</v>
      </c>
      <c r="E28" s="2613" t="s">
        <v>5220</v>
      </c>
      <c r="F28" s="2613"/>
      <c r="G28" s="2613"/>
      <c r="H28" s="2613"/>
      <c r="I28" s="2613"/>
      <c r="J28" s="2613"/>
      <c r="K28" s="2613"/>
      <c r="L28" s="2613"/>
      <c r="M28" s="2613"/>
      <c r="N28" s="2614"/>
    </row>
    <row r="29" spans="1:14">
      <c r="A29" s="309"/>
      <c r="B29" s="714"/>
      <c r="C29" s="700">
        <f t="shared" si="1"/>
        <v>21</v>
      </c>
      <c r="D29" s="702" t="s">
        <v>5221</v>
      </c>
      <c r="E29" s="2620" t="s">
        <v>5222</v>
      </c>
      <c r="F29" s="2620"/>
      <c r="G29" s="2620"/>
      <c r="H29" s="2620"/>
      <c r="I29" s="2620"/>
      <c r="J29" s="2620"/>
      <c r="K29" s="2620"/>
      <c r="L29" s="2620"/>
      <c r="M29" s="2620"/>
      <c r="N29" s="2621"/>
    </row>
    <row r="30" spans="1:14">
      <c r="A30" s="309"/>
      <c r="B30" s="716"/>
      <c r="C30" s="700">
        <f t="shared" si="1"/>
        <v>22</v>
      </c>
      <c r="D30" s="707" t="s">
        <v>1335</v>
      </c>
      <c r="E30" s="2620" t="s">
        <v>5223</v>
      </c>
      <c r="F30" s="2620"/>
      <c r="G30" s="2620"/>
      <c r="H30" s="2620"/>
      <c r="I30" s="2620"/>
      <c r="J30" s="2620"/>
      <c r="K30" s="2620"/>
      <c r="L30" s="2620"/>
      <c r="M30" s="2620"/>
      <c r="N30" s="2621"/>
    </row>
    <row r="31" spans="1:14">
      <c r="A31" s="309"/>
      <c r="B31" s="2622" t="s">
        <v>5224</v>
      </c>
      <c r="C31" s="2623"/>
      <c r="D31" s="2623"/>
      <c r="E31" s="2623"/>
      <c r="F31" s="2623"/>
      <c r="G31" s="2623"/>
      <c r="H31" s="2623"/>
      <c r="I31" s="2623"/>
      <c r="J31" s="2623"/>
      <c r="K31" s="2623"/>
      <c r="L31" s="2623"/>
      <c r="M31" s="2623"/>
      <c r="N31" s="2624"/>
    </row>
    <row r="32" spans="1:14" ht="45.75" customHeight="1">
      <c r="A32" s="309"/>
      <c r="B32" s="714"/>
      <c r="C32" s="700">
        <f>C30+1</f>
        <v>23</v>
      </c>
      <c r="D32" s="702" t="s">
        <v>5225</v>
      </c>
      <c r="E32" s="2613" t="s">
        <v>5226</v>
      </c>
      <c r="F32" s="2613"/>
      <c r="G32" s="2613"/>
      <c r="H32" s="2613"/>
      <c r="I32" s="2613"/>
      <c r="J32" s="2613"/>
      <c r="K32" s="2613"/>
      <c r="L32" s="2613"/>
      <c r="M32" s="2613"/>
      <c r="N32" s="2614"/>
    </row>
    <row r="33" spans="1:14" ht="31.5" customHeight="1">
      <c r="A33" s="309"/>
      <c r="B33" s="714"/>
      <c r="C33" s="700">
        <f>C32+1</f>
        <v>24</v>
      </c>
      <c r="D33" s="702" t="s">
        <v>5227</v>
      </c>
      <c r="E33" s="2613" t="s">
        <v>5228</v>
      </c>
      <c r="F33" s="2613"/>
      <c r="G33" s="2613"/>
      <c r="H33" s="2613"/>
      <c r="I33" s="2613"/>
      <c r="J33" s="2613"/>
      <c r="K33" s="2613"/>
      <c r="L33" s="2613"/>
      <c r="M33" s="2613"/>
      <c r="N33" s="2614"/>
    </row>
    <row r="34" spans="1:14">
      <c r="A34" s="309"/>
      <c r="B34" s="2622" t="s">
        <v>5229</v>
      </c>
      <c r="C34" s="2623"/>
      <c r="D34" s="2623"/>
      <c r="E34" s="2623"/>
      <c r="F34" s="2623"/>
      <c r="G34" s="2623"/>
      <c r="H34" s="2623"/>
      <c r="I34" s="2623"/>
      <c r="J34" s="2623"/>
      <c r="K34" s="2623"/>
      <c r="L34" s="2623"/>
      <c r="M34" s="2623"/>
      <c r="N34" s="2624"/>
    </row>
    <row r="35" spans="1:14" ht="36.75" customHeight="1">
      <c r="A35" s="309"/>
      <c r="B35" s="715"/>
      <c r="C35" s="730">
        <f>C33+1</f>
        <v>25</v>
      </c>
      <c r="D35" s="706" t="s">
        <v>5230</v>
      </c>
      <c r="E35" s="2613" t="s">
        <v>5231</v>
      </c>
      <c r="F35" s="2613"/>
      <c r="G35" s="2613"/>
      <c r="H35" s="2613"/>
      <c r="I35" s="2613"/>
      <c r="J35" s="2613"/>
      <c r="K35" s="2613"/>
      <c r="L35" s="2613"/>
      <c r="M35" s="2613"/>
      <c r="N35" s="2614"/>
    </row>
    <row r="36" spans="1:14">
      <c r="A36" s="309"/>
      <c r="B36" s="2622" t="s">
        <v>5232</v>
      </c>
      <c r="C36" s="2623"/>
      <c r="D36" s="2623"/>
      <c r="E36" s="2623"/>
      <c r="F36" s="2623"/>
      <c r="G36" s="2623"/>
      <c r="H36" s="2623"/>
      <c r="I36" s="2623"/>
      <c r="J36" s="2623"/>
      <c r="K36" s="2623"/>
      <c r="L36" s="2623"/>
      <c r="M36" s="2623"/>
      <c r="N36" s="2624"/>
    </row>
    <row r="37" spans="1:14" ht="29" customHeight="1">
      <c r="A37" s="309"/>
      <c r="B37" s="714"/>
      <c r="C37" s="700">
        <f>C35+1</f>
        <v>26</v>
      </c>
      <c r="D37" s="702" t="s">
        <v>5208</v>
      </c>
      <c r="E37" s="2613" t="s">
        <v>5233</v>
      </c>
      <c r="F37" s="2613"/>
      <c r="G37" s="2613"/>
      <c r="H37" s="2613"/>
      <c r="I37" s="2613"/>
      <c r="J37" s="2613"/>
      <c r="K37" s="2613"/>
      <c r="L37" s="2613"/>
      <c r="M37" s="2613"/>
      <c r="N37" s="2614"/>
    </row>
    <row r="38" spans="1:14">
      <c r="A38" s="309"/>
      <c r="B38" s="714"/>
      <c r="C38" s="700">
        <f>C37+1</f>
        <v>27</v>
      </c>
      <c r="D38" s="702" t="s">
        <v>5234</v>
      </c>
      <c r="E38" s="2613" t="s">
        <v>5235</v>
      </c>
      <c r="F38" s="2613"/>
      <c r="G38" s="2613"/>
      <c r="H38" s="2613"/>
      <c r="I38" s="2613"/>
      <c r="J38" s="2613"/>
      <c r="K38" s="2613"/>
      <c r="L38" s="2613"/>
      <c r="M38" s="2613"/>
      <c r="N38" s="2614"/>
    </row>
    <row r="39" spans="1:14">
      <c r="A39" s="309"/>
      <c r="B39" s="2622" t="s">
        <v>5236</v>
      </c>
      <c r="C39" s="2623"/>
      <c r="D39" s="2623"/>
      <c r="E39" s="2623"/>
      <c r="F39" s="2623"/>
      <c r="G39" s="2623"/>
      <c r="H39" s="2623"/>
      <c r="I39" s="2623"/>
      <c r="J39" s="2623"/>
      <c r="K39" s="2623"/>
      <c r="L39" s="2623"/>
      <c r="M39" s="2623"/>
      <c r="N39" s="2624"/>
    </row>
    <row r="40" spans="1:14">
      <c r="A40" s="309"/>
      <c r="B40" s="716"/>
      <c r="C40" s="1737">
        <f>C38+1</f>
        <v>28</v>
      </c>
      <c r="D40" s="707" t="s">
        <v>5237</v>
      </c>
      <c r="E40" s="2620" t="s">
        <v>5238</v>
      </c>
      <c r="F40" s="2620"/>
      <c r="G40" s="2620"/>
      <c r="H40" s="2620"/>
      <c r="I40" s="2620"/>
      <c r="J40" s="2620"/>
      <c r="K40" s="2620"/>
      <c r="L40" s="2620"/>
      <c r="M40" s="2620"/>
      <c r="N40" s="2621"/>
    </row>
    <row r="41" spans="1:14" ht="16" thickBot="1">
      <c r="A41" s="309"/>
      <c r="B41" s="717"/>
      <c r="C41" s="712">
        <f>C40+1</f>
        <v>29</v>
      </c>
      <c r="D41" s="713" t="s">
        <v>5239</v>
      </c>
      <c r="E41" s="2618" t="s">
        <v>5240</v>
      </c>
      <c r="F41" s="2618"/>
      <c r="G41" s="2618"/>
      <c r="H41" s="2618"/>
      <c r="I41" s="2618"/>
      <c r="J41" s="2618"/>
      <c r="K41" s="2618"/>
      <c r="L41" s="2618"/>
      <c r="M41" s="2618"/>
      <c r="N41" s="2619"/>
    </row>
    <row r="42" spans="1:14">
      <c r="A42" s="435"/>
      <c r="B42" s="435"/>
      <c r="C42" s="435"/>
    </row>
    <row r="44" spans="1:14" ht="31.5" customHeight="1"/>
    <row r="45" spans="1:14" ht="33.75" customHeight="1"/>
    <row r="47" spans="1:14" ht="34.5" customHeight="1"/>
    <row r="52" ht="48" customHeight="1"/>
    <row r="53" ht="30" customHeight="1"/>
    <row r="54" ht="48" customHeight="1"/>
    <row r="55" ht="93.75" customHeight="1"/>
    <row r="58" ht="30.75" customHeight="1"/>
    <row r="68" ht="61.5" customHeight="1"/>
  </sheetData>
  <sheetProtection algorithmName="SHA-512" hashValue="mSUt1zUKm8Fu6goppFlWjxJSYv7lktFmSltRab7yx9xqrUETIyi+zczAPiOzM8alX6H4EDL48OqGE1lbQ2T6gA==" saltValue="cSwoQokEapCQyfoyb3tyMQ==" spinCount="100000" sheet="1" objects="1" scenarios="1" selectLockedCells="1"/>
  <mergeCells count="38">
    <mergeCell ref="C6:C7"/>
    <mergeCell ref="B6:B7"/>
    <mergeCell ref="E14:N14"/>
    <mergeCell ref="E22:N22"/>
    <mergeCell ref="E12:N12"/>
    <mergeCell ref="E17:N17"/>
    <mergeCell ref="E19:N19"/>
    <mergeCell ref="E20:N20"/>
    <mergeCell ref="D6:D7"/>
    <mergeCell ref="E21:N21"/>
    <mergeCell ref="E6:N7"/>
    <mergeCell ref="E8:N8"/>
    <mergeCell ref="E9:N9"/>
    <mergeCell ref="E10:N10"/>
    <mergeCell ref="E11:N11"/>
    <mergeCell ref="E13:N13"/>
    <mergeCell ref="E41:N41"/>
    <mergeCell ref="E28:N28"/>
    <mergeCell ref="E35:N35"/>
    <mergeCell ref="E37:N37"/>
    <mergeCell ref="E38:N38"/>
    <mergeCell ref="E29:N29"/>
    <mergeCell ref="E30:N30"/>
    <mergeCell ref="E33:N33"/>
    <mergeCell ref="E32:N32"/>
    <mergeCell ref="E40:N40"/>
    <mergeCell ref="B39:N39"/>
    <mergeCell ref="B36:N36"/>
    <mergeCell ref="B34:N34"/>
    <mergeCell ref="B31:N31"/>
    <mergeCell ref="E23:N23"/>
    <mergeCell ref="E27:N27"/>
    <mergeCell ref="E15:N15"/>
    <mergeCell ref="E16:N16"/>
    <mergeCell ref="E18:N18"/>
    <mergeCell ref="E26:N26"/>
    <mergeCell ref="E25:N25"/>
    <mergeCell ref="B24:N24"/>
  </mergeCells>
  <dataValidations count="1">
    <dataValidation type="custom" allowBlank="1" showInputMessage="1" showErrorMessage="1" sqref="B7 J1 B42:C42 A7:A42" xr:uid="{2B9BC633-2FE9-4E99-B8FA-CAEEFA9F2D3E}">
      <formula1>"&lt;0&gt;0"</formula1>
    </dataValidation>
  </dataValidations>
  <pageMargins left="0.7" right="0.7" top="0.75" bottom="0.75" header="0.3" footer="0.3"/>
  <pageSetup scale="44" orientation="portrait" r:id="rId1"/>
  <headerFooter>
    <oddHeader>&amp;L&amp;G</oddHeader>
    <oddFooter>&amp;LVersion - 2023.0.01&amp;CWHEDA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36C909F-ACDE-4F1F-9809-D74354746B70}">
          <x14:formula1>
            <xm:f>'Dropdown Lists'!$A$6:$A$7</xm:f>
          </x14:formula1>
          <xm:sqref>B9:B23 B32:B33 B35 B37:B38 B25:B30 B40:B41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2EF8-6CCA-444F-8E00-F673D4465F65}">
  <sheetPr codeName="Sheet51">
    <pageSetUpPr fitToPage="1"/>
  </sheetPr>
  <dimension ref="A1:N42"/>
  <sheetViews>
    <sheetView workbookViewId="0">
      <selection activeCell="B7" sqref="B7:B9"/>
    </sheetView>
  </sheetViews>
  <sheetFormatPr baseColWidth="10" defaultColWidth="8.83203125" defaultRowHeight="15"/>
  <cols>
    <col min="1" max="1" width="5.1640625" style="3" customWidth="1"/>
    <col min="2" max="2" width="16.6640625" style="3" customWidth="1"/>
    <col min="3" max="3" width="9.5" style="3" customWidth="1"/>
    <col min="4" max="4" width="27.33203125" style="3" customWidth="1"/>
    <col min="5" max="5" width="8.83203125" style="3"/>
    <col min="6" max="6" width="9.1640625" style="3" customWidth="1"/>
    <col min="7" max="12" width="8.83203125" style="3"/>
    <col min="13" max="13" width="43" style="3" customWidth="1"/>
    <col min="14" max="16384" width="8.83203125" style="3"/>
  </cols>
  <sheetData>
    <row r="1" spans="1:14" ht="29">
      <c r="B1" s="4" t="str">
        <f>'1. TOC'!B1</f>
        <v>WHEDA 2025 Multifamily Application</v>
      </c>
      <c r="G1" s="149" t="str">
        <f>'1. TOC'!L1</f>
        <v>v25.1.9</v>
      </c>
      <c r="K1" s="1086" t="str">
        <f>HYPERLINK("#Table_of_Contents", Table_of_Contents)</f>
        <v>Table of Contents</v>
      </c>
      <c r="L1" s="489"/>
      <c r="M1"/>
    </row>
    <row r="2" spans="1:14" s="987" customFormat="1" ht="21">
      <c r="B2" s="1013" t="str">
        <f>_xlfn.CONCAT(IF(ISBLANK(WHEDA_Project_Number),"",_xlfn.CONCAT(WHEDA_Project_Number,"-")), Project_Name, IF(ISBLANK(Credit_percentage_applied_for),"",_xlfn.CONCAT(" (", Credit_percentage_applied_for," HTC)")))</f>
        <v/>
      </c>
      <c r="C2" s="966"/>
      <c r="D2" s="966"/>
      <c r="E2" s="966"/>
      <c r="F2" s="966"/>
      <c r="G2" s="966"/>
      <c r="H2" s="966"/>
      <c r="I2" s="966"/>
      <c r="J2" s="966"/>
      <c r="K2" s="966"/>
      <c r="L2" s="966"/>
      <c r="M2" s="966"/>
      <c r="N2" s="966"/>
    </row>
    <row r="3" spans="1:14">
      <c r="C3" s="1023"/>
      <c r="D3" s="1023"/>
      <c r="E3" s="1023"/>
      <c r="F3" s="1023"/>
      <c r="G3" s="1023"/>
      <c r="H3" s="1023"/>
      <c r="I3" s="1023"/>
      <c r="J3" s="1023"/>
      <c r="K3" s="1023"/>
      <c r="L3" s="1023"/>
      <c r="M3" s="1023"/>
      <c r="N3" s="1023"/>
    </row>
    <row r="4" spans="1:14" ht="30" thickBot="1">
      <c r="B4" s="4" t="s">
        <v>3216</v>
      </c>
      <c r="C4" s="892"/>
      <c r="D4" s="892"/>
      <c r="E4" s="892"/>
      <c r="F4" s="892"/>
      <c r="G4" s="892"/>
      <c r="H4" s="892"/>
      <c r="I4" s="892"/>
      <c r="J4" s="892"/>
      <c r="K4" s="892"/>
      <c r="L4" s="892"/>
      <c r="M4" s="893"/>
    </row>
    <row r="5" spans="1:14" ht="19">
      <c r="A5" s="132"/>
      <c r="B5" s="2630" t="s">
        <v>5183</v>
      </c>
      <c r="C5" s="2630" t="s">
        <v>5184</v>
      </c>
      <c r="D5" s="2630" t="s">
        <v>5185</v>
      </c>
      <c r="E5" s="2625" t="s">
        <v>4740</v>
      </c>
      <c r="F5" s="2634"/>
      <c r="G5" s="2634"/>
      <c r="H5" s="2634"/>
      <c r="I5" s="2634"/>
      <c r="J5" s="2634"/>
      <c r="K5" s="2634"/>
      <c r="L5" s="2634"/>
      <c r="M5" s="2634"/>
      <c r="N5" s="2635"/>
    </row>
    <row r="6" spans="1:14" ht="17" thickBot="1">
      <c r="A6" s="308"/>
      <c r="B6" s="2631"/>
      <c r="C6" s="2631"/>
      <c r="D6" s="2631"/>
      <c r="E6" s="2626"/>
      <c r="F6" s="2636"/>
      <c r="G6" s="2636"/>
      <c r="H6" s="2636"/>
      <c r="I6" s="2636"/>
      <c r="J6" s="2636"/>
      <c r="K6" s="2636"/>
      <c r="L6" s="2636"/>
      <c r="M6" s="2636"/>
      <c r="N6" s="2637"/>
    </row>
    <row r="7" spans="1:14" ht="14.5" customHeight="1">
      <c r="A7" s="309"/>
      <c r="B7" s="2646"/>
      <c r="C7" s="2643">
        <v>30</v>
      </c>
      <c r="D7" s="2640" t="s">
        <v>4710</v>
      </c>
      <c r="E7" s="2655" t="s">
        <v>5241</v>
      </c>
      <c r="F7" s="2655"/>
      <c r="G7" s="2655"/>
      <c r="H7" s="2655"/>
      <c r="I7" s="2655"/>
      <c r="J7" s="2655"/>
      <c r="K7" s="2655"/>
      <c r="L7" s="2655"/>
      <c r="M7" s="2655"/>
      <c r="N7" s="2656"/>
    </row>
    <row r="8" spans="1:14" ht="29" customHeight="1">
      <c r="A8" s="309"/>
      <c r="B8" s="2647"/>
      <c r="C8" s="2644"/>
      <c r="D8" s="2641"/>
      <c r="E8" s="2654" t="s">
        <v>5242</v>
      </c>
      <c r="F8" s="2655"/>
      <c r="G8" s="2655"/>
      <c r="H8" s="2655"/>
      <c r="I8" s="2655"/>
      <c r="J8" s="2655"/>
      <c r="K8" s="2655"/>
      <c r="L8" s="2655"/>
      <c r="M8" s="2655"/>
      <c r="N8" s="2656"/>
    </row>
    <row r="9" spans="1:14" ht="43.25" customHeight="1" thickBot="1">
      <c r="A9" s="435"/>
      <c r="B9" s="2648"/>
      <c r="C9" s="2645"/>
      <c r="D9" s="2642"/>
      <c r="E9" s="2654" t="s">
        <v>5243</v>
      </c>
      <c r="F9" s="2655"/>
      <c r="G9" s="2655"/>
      <c r="H9" s="2655"/>
      <c r="I9" s="2655"/>
      <c r="J9" s="2655"/>
      <c r="K9" s="2655"/>
      <c r="L9" s="2655"/>
      <c r="M9" s="2655"/>
      <c r="N9" s="2656"/>
    </row>
    <row r="10" spans="1:14" ht="29" customHeight="1">
      <c r="A10" s="308"/>
      <c r="B10" s="2651"/>
      <c r="C10" s="2670">
        <v>31</v>
      </c>
      <c r="D10" s="2671" t="s">
        <v>5244</v>
      </c>
      <c r="E10" s="2672" t="s">
        <v>5245</v>
      </c>
      <c r="F10" s="2672"/>
      <c r="G10" s="2672"/>
      <c r="H10" s="2672"/>
      <c r="I10" s="2672"/>
      <c r="J10" s="2672"/>
      <c r="K10" s="2672"/>
      <c r="L10" s="2672"/>
      <c r="M10" s="2672"/>
      <c r="N10" s="2673"/>
    </row>
    <row r="11" spans="1:14" ht="43.25" customHeight="1">
      <c r="A11" s="308"/>
      <c r="B11" s="2652"/>
      <c r="C11" s="2660"/>
      <c r="D11" s="2662"/>
      <c r="E11" s="2664" t="s">
        <v>5246</v>
      </c>
      <c r="F11" s="2664"/>
      <c r="G11" s="2664"/>
      <c r="H11" s="2664"/>
      <c r="I11" s="2664"/>
      <c r="J11" s="2664"/>
      <c r="K11" s="2664"/>
      <c r="L11" s="2664"/>
      <c r="M11" s="2664"/>
      <c r="N11" s="2665"/>
    </row>
    <row r="12" spans="1:14" ht="14.5" customHeight="1">
      <c r="A12" s="435"/>
      <c r="B12" s="2667"/>
      <c r="C12" s="2666">
        <v>32</v>
      </c>
      <c r="D12" s="2662" t="s">
        <v>5247</v>
      </c>
      <c r="E12" s="2654" t="s">
        <v>5248</v>
      </c>
      <c r="F12" s="2655"/>
      <c r="G12" s="2655"/>
      <c r="H12" s="2655"/>
      <c r="I12" s="2655"/>
      <c r="J12" s="2655"/>
      <c r="K12" s="2655"/>
      <c r="L12" s="2655"/>
      <c r="M12" s="2655"/>
      <c r="N12" s="2656"/>
    </row>
    <row r="13" spans="1:14">
      <c r="A13" s="435"/>
      <c r="B13" s="2647"/>
      <c r="C13" s="2660"/>
      <c r="D13" s="2662"/>
      <c r="E13" s="2654" t="s">
        <v>5249</v>
      </c>
      <c r="F13" s="2655"/>
      <c r="G13" s="2655"/>
      <c r="H13" s="2655"/>
      <c r="I13" s="2655"/>
      <c r="J13" s="2655"/>
      <c r="K13" s="2655"/>
      <c r="L13" s="2655"/>
      <c r="M13" s="2655"/>
      <c r="N13" s="2656"/>
    </row>
    <row r="14" spans="1:14" ht="14.5" customHeight="1">
      <c r="A14" s="309"/>
      <c r="B14" s="2653"/>
      <c r="C14" s="2666">
        <v>33</v>
      </c>
      <c r="D14" s="2662" t="s">
        <v>5250</v>
      </c>
      <c r="E14" s="2654" t="s">
        <v>5251</v>
      </c>
      <c r="F14" s="2655"/>
      <c r="G14" s="2655"/>
      <c r="H14" s="2655"/>
      <c r="I14" s="2655"/>
      <c r="J14" s="2655"/>
      <c r="K14" s="2655"/>
      <c r="L14" s="2655"/>
      <c r="M14" s="2655"/>
      <c r="N14" s="2656"/>
    </row>
    <row r="15" spans="1:14" ht="14.5" customHeight="1">
      <c r="A15" s="309"/>
      <c r="B15" s="2653"/>
      <c r="C15" s="2660"/>
      <c r="D15" s="2662"/>
      <c r="E15" s="2654" t="s">
        <v>5252</v>
      </c>
      <c r="F15" s="2655"/>
      <c r="G15" s="2655"/>
      <c r="H15" s="2655"/>
      <c r="I15" s="2655"/>
      <c r="J15" s="2655"/>
      <c r="K15" s="2655"/>
      <c r="L15" s="2655"/>
      <c r="M15" s="2655"/>
      <c r="N15" s="2656"/>
    </row>
    <row r="16" spans="1:14" ht="29" customHeight="1">
      <c r="A16" s="309"/>
      <c r="B16" s="2653"/>
      <c r="C16" s="2660"/>
      <c r="D16" s="2662"/>
      <c r="E16" s="2654" t="s">
        <v>5253</v>
      </c>
      <c r="F16" s="2655"/>
      <c r="G16" s="2655"/>
      <c r="H16" s="2655"/>
      <c r="I16" s="2655"/>
      <c r="J16" s="2655"/>
      <c r="K16" s="2655"/>
      <c r="L16" s="2655"/>
      <c r="M16" s="2655"/>
      <c r="N16" s="2656"/>
    </row>
    <row r="17" spans="1:14" ht="14.5" customHeight="1">
      <c r="A17" s="309"/>
      <c r="B17" s="2653"/>
      <c r="C17" s="2660"/>
      <c r="D17" s="2662"/>
      <c r="E17" s="2654" t="s">
        <v>5254</v>
      </c>
      <c r="F17" s="2655"/>
      <c r="G17" s="2655"/>
      <c r="H17" s="2655"/>
      <c r="I17" s="2655"/>
      <c r="J17" s="2655"/>
      <c r="K17" s="2655"/>
      <c r="L17" s="2655"/>
      <c r="M17" s="2655"/>
      <c r="N17" s="2656"/>
    </row>
    <row r="18" spans="1:14" ht="14.5" customHeight="1">
      <c r="A18" s="309"/>
      <c r="B18" s="2653"/>
      <c r="C18" s="2660"/>
      <c r="D18" s="2662"/>
      <c r="E18" s="2654" t="s">
        <v>5255</v>
      </c>
      <c r="F18" s="2655"/>
      <c r="G18" s="2655"/>
      <c r="H18" s="2655"/>
      <c r="I18" s="2655"/>
      <c r="J18" s="2655"/>
      <c r="K18" s="2655"/>
      <c r="L18" s="2655"/>
      <c r="M18" s="2655"/>
      <c r="N18" s="2656"/>
    </row>
    <row r="19" spans="1:14" ht="14.5" customHeight="1">
      <c r="A19" s="309"/>
      <c r="B19" s="2653"/>
      <c r="C19" s="2660"/>
      <c r="D19" s="2662"/>
      <c r="E19" s="2654" t="s">
        <v>5256</v>
      </c>
      <c r="F19" s="2654"/>
      <c r="G19" s="2654"/>
      <c r="H19" s="2654"/>
      <c r="I19" s="2654"/>
      <c r="J19" s="2654"/>
      <c r="K19" s="2654"/>
      <c r="L19" s="2654"/>
      <c r="M19" s="2654"/>
      <c r="N19" s="2658"/>
    </row>
    <row r="20" spans="1:14" ht="29" customHeight="1">
      <c r="A20" s="309"/>
      <c r="B20" s="2653"/>
      <c r="C20" s="2660"/>
      <c r="D20" s="2662"/>
      <c r="E20" s="2654" t="s">
        <v>5257</v>
      </c>
      <c r="F20" s="2655"/>
      <c r="G20" s="2655"/>
      <c r="H20" s="2655"/>
      <c r="I20" s="2655"/>
      <c r="J20" s="2655"/>
      <c r="K20" s="2655"/>
      <c r="L20" s="2655"/>
      <c r="M20" s="2655"/>
      <c r="N20" s="2656"/>
    </row>
    <row r="21" spans="1:14" ht="29" customHeight="1">
      <c r="A21" s="309"/>
      <c r="B21" s="2653"/>
      <c r="C21" s="2666">
        <v>34</v>
      </c>
      <c r="D21" s="2662" t="s">
        <v>4831</v>
      </c>
      <c r="E21" s="2655" t="s">
        <v>5258</v>
      </c>
      <c r="F21" s="2655"/>
      <c r="G21" s="2655"/>
      <c r="H21" s="2655"/>
      <c r="I21" s="2655"/>
      <c r="J21" s="2655"/>
      <c r="K21" s="2655"/>
      <c r="L21" s="2655"/>
      <c r="M21" s="2655"/>
      <c r="N21" s="2656"/>
    </row>
    <row r="22" spans="1:14" ht="14.5" customHeight="1">
      <c r="A22" s="309"/>
      <c r="B22" s="2653"/>
      <c r="C22" s="2660"/>
      <c r="D22" s="2662"/>
      <c r="E22" s="2655" t="s">
        <v>5259</v>
      </c>
      <c r="F22" s="2655"/>
      <c r="G22" s="2655"/>
      <c r="H22" s="2655"/>
      <c r="I22" s="2655"/>
      <c r="J22" s="2655"/>
      <c r="K22" s="2655"/>
      <c r="L22" s="2655"/>
      <c r="M22" s="2655"/>
      <c r="N22" s="2656"/>
    </row>
    <row r="23" spans="1:14" ht="14.5" customHeight="1">
      <c r="A23" s="309"/>
      <c r="B23" s="1738"/>
      <c r="C23" s="1737">
        <v>35</v>
      </c>
      <c r="D23" s="706" t="s">
        <v>5260</v>
      </c>
      <c r="E23" s="2655" t="s">
        <v>5261</v>
      </c>
      <c r="F23" s="2655"/>
      <c r="G23" s="2655"/>
      <c r="H23" s="2655"/>
      <c r="I23" s="2655"/>
      <c r="J23" s="2655"/>
      <c r="K23" s="2655"/>
      <c r="L23" s="2655"/>
      <c r="M23" s="2655"/>
      <c r="N23" s="2656"/>
    </row>
    <row r="24" spans="1:14" ht="14.5" customHeight="1">
      <c r="A24" s="309"/>
      <c r="B24" s="2653"/>
      <c r="C24" s="2668">
        <v>36</v>
      </c>
      <c r="D24" s="2662" t="s">
        <v>4864</v>
      </c>
      <c r="E24" s="2654" t="s">
        <v>5262</v>
      </c>
      <c r="F24" s="2655"/>
      <c r="G24" s="2655"/>
      <c r="H24" s="2655"/>
      <c r="I24" s="2655"/>
      <c r="J24" s="2655"/>
      <c r="K24" s="2655"/>
      <c r="L24" s="2655"/>
      <c r="M24" s="2655"/>
      <c r="N24" s="2656"/>
    </row>
    <row r="25" spans="1:14" ht="14.5" customHeight="1">
      <c r="A25" s="309"/>
      <c r="B25" s="2653"/>
      <c r="C25" s="2669"/>
      <c r="D25" s="2662"/>
      <c r="E25" s="2654" t="s">
        <v>5263</v>
      </c>
      <c r="F25" s="2654"/>
      <c r="G25" s="2654"/>
      <c r="H25" s="2654"/>
      <c r="I25" s="2654"/>
      <c r="J25" s="2654"/>
      <c r="K25" s="2654"/>
      <c r="L25" s="2654"/>
      <c r="M25" s="2654"/>
      <c r="N25" s="2658"/>
    </row>
    <row r="26" spans="1:14" ht="29" customHeight="1">
      <c r="A26" s="309"/>
      <c r="B26" s="1738"/>
      <c r="C26" s="1737">
        <v>37</v>
      </c>
      <c r="D26" s="706" t="s">
        <v>5264</v>
      </c>
      <c r="E26" s="2654" t="s">
        <v>5265</v>
      </c>
      <c r="F26" s="2654"/>
      <c r="G26" s="2654"/>
      <c r="H26" s="2654"/>
      <c r="I26" s="2654"/>
      <c r="J26" s="2654"/>
      <c r="K26" s="2654"/>
      <c r="L26" s="2654"/>
      <c r="M26" s="2654"/>
      <c r="N26" s="2658"/>
    </row>
    <row r="27" spans="1:14" ht="16">
      <c r="A27" s="308"/>
      <c r="B27" s="2652"/>
      <c r="C27" s="2666">
        <v>38</v>
      </c>
      <c r="D27" s="2662" t="s">
        <v>5266</v>
      </c>
      <c r="E27" s="2664" t="s">
        <v>5267</v>
      </c>
      <c r="F27" s="2664"/>
      <c r="G27" s="2664"/>
      <c r="H27" s="2664"/>
      <c r="I27" s="2664"/>
      <c r="J27" s="2664"/>
      <c r="K27" s="2664"/>
      <c r="L27" s="2664"/>
      <c r="M27" s="2664"/>
      <c r="N27" s="2665"/>
    </row>
    <row r="28" spans="1:14" ht="43.25" customHeight="1">
      <c r="A28" s="309"/>
      <c r="B28" s="2652"/>
      <c r="C28" s="2660"/>
      <c r="D28" s="2662"/>
      <c r="E28" s="2664" t="s">
        <v>5268</v>
      </c>
      <c r="F28" s="2664"/>
      <c r="G28" s="2664"/>
      <c r="H28" s="2664"/>
      <c r="I28" s="2664"/>
      <c r="J28" s="2664"/>
      <c r="K28" s="2664"/>
      <c r="L28" s="2664"/>
      <c r="M28" s="2664"/>
      <c r="N28" s="2665"/>
    </row>
    <row r="29" spans="1:14" ht="29" customHeight="1">
      <c r="A29" s="309"/>
      <c r="B29" s="2653"/>
      <c r="C29" s="2666">
        <v>39</v>
      </c>
      <c r="D29" s="2662" t="s">
        <v>4947</v>
      </c>
      <c r="E29" s="2654" t="s">
        <v>5269</v>
      </c>
      <c r="F29" s="2655"/>
      <c r="G29" s="2655"/>
      <c r="H29" s="2655"/>
      <c r="I29" s="2655"/>
      <c r="J29" s="2655"/>
      <c r="K29" s="2655"/>
      <c r="L29" s="2655"/>
      <c r="M29" s="2655"/>
      <c r="N29" s="2656"/>
    </row>
    <row r="30" spans="1:14" ht="29" customHeight="1">
      <c r="A30" s="309"/>
      <c r="B30" s="2653"/>
      <c r="C30" s="2660"/>
      <c r="D30" s="2662"/>
      <c r="E30" s="2654" t="s">
        <v>5270</v>
      </c>
      <c r="F30" s="2655"/>
      <c r="G30" s="2655"/>
      <c r="H30" s="2655"/>
      <c r="I30" s="2655"/>
      <c r="J30" s="2655"/>
      <c r="K30" s="2655"/>
      <c r="L30" s="2655"/>
      <c r="M30" s="2655"/>
      <c r="N30" s="2656"/>
    </row>
    <row r="31" spans="1:14" ht="14.5" customHeight="1">
      <c r="A31" s="309"/>
      <c r="B31" s="1132"/>
      <c r="C31" s="1737">
        <v>40</v>
      </c>
      <c r="D31" s="706" t="s">
        <v>4722</v>
      </c>
      <c r="E31" s="2654" t="s">
        <v>5271</v>
      </c>
      <c r="F31" s="2655"/>
      <c r="G31" s="2655"/>
      <c r="H31" s="2655"/>
      <c r="I31" s="2655"/>
      <c r="J31" s="2655"/>
      <c r="K31" s="2655"/>
      <c r="L31" s="2655"/>
      <c r="M31" s="2655"/>
      <c r="N31" s="2656"/>
    </row>
    <row r="32" spans="1:14" ht="29" customHeight="1">
      <c r="A32" s="309"/>
      <c r="B32" s="2653"/>
      <c r="C32" s="2660">
        <v>41</v>
      </c>
      <c r="D32" s="2662" t="s">
        <v>4723</v>
      </c>
      <c r="E32" s="2654" t="s">
        <v>5272</v>
      </c>
      <c r="F32" s="2655"/>
      <c r="G32" s="2655"/>
      <c r="H32" s="2655"/>
      <c r="I32" s="2655"/>
      <c r="J32" s="2655"/>
      <c r="K32" s="2655"/>
      <c r="L32" s="2655"/>
      <c r="M32" s="2655"/>
      <c r="N32" s="2656"/>
    </row>
    <row r="33" spans="1:14" ht="57.5" customHeight="1">
      <c r="A33" s="309"/>
      <c r="B33" s="2653"/>
      <c r="C33" s="2660"/>
      <c r="D33" s="2662"/>
      <c r="E33" s="2657" t="s">
        <v>5273</v>
      </c>
      <c r="F33" s="2655"/>
      <c r="G33" s="2655"/>
      <c r="H33" s="2655"/>
      <c r="I33" s="2655"/>
      <c r="J33" s="2655"/>
      <c r="K33" s="2655"/>
      <c r="L33" s="2655"/>
      <c r="M33" s="2655"/>
      <c r="N33" s="2656"/>
    </row>
    <row r="34" spans="1:14" ht="29" customHeight="1">
      <c r="A34" s="309"/>
      <c r="B34" s="2653"/>
      <c r="C34" s="2660"/>
      <c r="D34" s="2662"/>
      <c r="E34" s="2654" t="s">
        <v>5274</v>
      </c>
      <c r="F34" s="2655"/>
      <c r="G34" s="2655"/>
      <c r="H34" s="2655"/>
      <c r="I34" s="2655"/>
      <c r="J34" s="2655"/>
      <c r="K34" s="2655"/>
      <c r="L34" s="2655"/>
      <c r="M34" s="2655"/>
      <c r="N34" s="2656"/>
    </row>
    <row r="35" spans="1:14" ht="14.5" customHeight="1">
      <c r="A35" s="309"/>
      <c r="B35" s="2653"/>
      <c r="C35" s="2660"/>
      <c r="D35" s="2662"/>
      <c r="E35" s="2654" t="s">
        <v>5275</v>
      </c>
      <c r="F35" s="2654"/>
      <c r="G35" s="2654"/>
      <c r="H35" s="2654"/>
      <c r="I35" s="2654"/>
      <c r="J35" s="2654"/>
      <c r="K35" s="2654"/>
      <c r="L35" s="2654"/>
      <c r="M35" s="2654"/>
      <c r="N35" s="2658"/>
    </row>
    <row r="36" spans="1:14" ht="14.5" customHeight="1" thickBot="1">
      <c r="B36" s="2659"/>
      <c r="C36" s="2661"/>
      <c r="D36" s="2663"/>
      <c r="E36" s="2649" t="s">
        <v>5276</v>
      </c>
      <c r="F36" s="2649"/>
      <c r="G36" s="2649"/>
      <c r="H36" s="2649"/>
      <c r="I36" s="2649"/>
      <c r="J36" s="2649"/>
      <c r="K36" s="2649"/>
      <c r="L36" s="2649"/>
      <c r="M36" s="2649"/>
      <c r="N36" s="2650"/>
    </row>
    <row r="37" spans="1:14" ht="43.25" customHeight="1">
      <c r="A37" s="309"/>
      <c r="B37" s="2653"/>
      <c r="C37" s="2666">
        <v>44</v>
      </c>
      <c r="D37" s="2662" t="s">
        <v>4727</v>
      </c>
      <c r="E37" s="2654" t="s">
        <v>5277</v>
      </c>
      <c r="F37" s="2655"/>
      <c r="G37" s="2655"/>
      <c r="H37" s="2655"/>
      <c r="I37" s="2655"/>
      <c r="J37" s="2655"/>
      <c r="K37" s="2655"/>
      <c r="L37" s="2655"/>
      <c r="M37" s="2655"/>
      <c r="N37" s="2656"/>
    </row>
    <row r="38" spans="1:14">
      <c r="A38" s="309"/>
      <c r="B38" s="2653"/>
      <c r="C38" s="2660"/>
      <c r="D38" s="2662"/>
      <c r="E38" s="2654" t="s">
        <v>5278</v>
      </c>
      <c r="F38" s="2654"/>
      <c r="G38" s="2654"/>
      <c r="H38" s="2654"/>
      <c r="I38" s="2654"/>
      <c r="J38" s="2654"/>
      <c r="K38" s="2654"/>
      <c r="L38" s="2654"/>
      <c r="M38" s="2654"/>
      <c r="N38" s="2658"/>
    </row>
    <row r="39" spans="1:14" ht="29" customHeight="1">
      <c r="A39" s="309"/>
      <c r="B39" s="2653"/>
      <c r="C39" s="2660"/>
      <c r="D39" s="2662"/>
      <c r="E39" s="2654" t="s">
        <v>5279</v>
      </c>
      <c r="F39" s="2655"/>
      <c r="G39" s="2655"/>
      <c r="H39" s="2655"/>
      <c r="I39" s="2655"/>
      <c r="J39" s="2655"/>
      <c r="K39" s="2655"/>
      <c r="L39" s="2655"/>
      <c r="M39" s="2655"/>
      <c r="N39" s="2656"/>
    </row>
    <row r="40" spans="1:14" ht="43.25" customHeight="1">
      <c r="A40" s="309"/>
      <c r="B40" s="2653"/>
      <c r="C40" s="2660"/>
      <c r="D40" s="2662"/>
      <c r="E40" s="2654" t="s">
        <v>5280</v>
      </c>
      <c r="F40" s="2655"/>
      <c r="G40" s="2655"/>
      <c r="H40" s="2655"/>
      <c r="I40" s="2655"/>
      <c r="J40" s="2655"/>
      <c r="K40" s="2655"/>
      <c r="L40" s="2655"/>
      <c r="M40" s="2655"/>
      <c r="N40" s="2656"/>
    </row>
    <row r="41" spans="1:14" ht="14.5" customHeight="1">
      <c r="A41" s="309"/>
      <c r="B41" s="2653"/>
      <c r="C41" s="2660"/>
      <c r="D41" s="2662"/>
      <c r="E41" s="2654" t="s">
        <v>5281</v>
      </c>
      <c r="F41" s="2655"/>
      <c r="G41" s="2655"/>
      <c r="H41" s="2655"/>
      <c r="I41" s="2655"/>
      <c r="J41" s="2655"/>
      <c r="K41" s="2655"/>
      <c r="L41" s="2655"/>
      <c r="M41" s="2655"/>
      <c r="N41" s="2656"/>
    </row>
    <row r="42" spans="1:14" ht="34.5" customHeight="1">
      <c r="A42" s="435"/>
      <c r="B42" s="1738"/>
      <c r="C42" s="1737">
        <v>45</v>
      </c>
      <c r="D42" s="706" t="s">
        <v>4728</v>
      </c>
      <c r="E42" s="2654" t="s">
        <v>5282</v>
      </c>
      <c r="F42" s="2655"/>
      <c r="G42" s="2655"/>
      <c r="H42" s="2655"/>
      <c r="I42" s="2655"/>
      <c r="J42" s="2655"/>
      <c r="K42" s="2655"/>
      <c r="L42" s="2655"/>
      <c r="M42" s="2655"/>
      <c r="N42" s="2656"/>
    </row>
  </sheetData>
  <sheetProtection algorithmName="SHA-512" hashValue="hqnTkjWKS13NMQr34xr7mOPSKucvgL9addI9vFPhm/hfXN4SpawvALpx7CHXsPfhtUdjU/O/8UvOFI9yP+WxFA==" saltValue="aiqQnSxdHYTlDr3LCawBFA==" spinCount="100000" sheet="1" objects="1" scenarios="1" selectLockedCells="1"/>
  <mergeCells count="70">
    <mergeCell ref="E7:N7"/>
    <mergeCell ref="E8:N8"/>
    <mergeCell ref="E42:N42"/>
    <mergeCell ref="E9:N9"/>
    <mergeCell ref="C5:C6"/>
    <mergeCell ref="D5:D6"/>
    <mergeCell ref="E5:N6"/>
    <mergeCell ref="C10:C11"/>
    <mergeCell ref="D10:D11"/>
    <mergeCell ref="E10:N10"/>
    <mergeCell ref="E11:N11"/>
    <mergeCell ref="E40:N40"/>
    <mergeCell ref="E41:N41"/>
    <mergeCell ref="E25:N25"/>
    <mergeCell ref="C14:C20"/>
    <mergeCell ref="D14:D20"/>
    <mergeCell ref="B12:B13"/>
    <mergeCell ref="C24:C25"/>
    <mergeCell ref="D24:D25"/>
    <mergeCell ref="E23:N23"/>
    <mergeCell ref="E24:N24"/>
    <mergeCell ref="E18:N18"/>
    <mergeCell ref="E19:N19"/>
    <mergeCell ref="E20:N20"/>
    <mergeCell ref="E14:N14"/>
    <mergeCell ref="E15:N15"/>
    <mergeCell ref="E16:N16"/>
    <mergeCell ref="C21:C22"/>
    <mergeCell ref="D21:D22"/>
    <mergeCell ref="E21:N21"/>
    <mergeCell ref="E22:N22"/>
    <mergeCell ref="C12:C13"/>
    <mergeCell ref="D12:D13"/>
    <mergeCell ref="C29:C30"/>
    <mergeCell ref="D29:D30"/>
    <mergeCell ref="C37:C41"/>
    <mergeCell ref="D37:D41"/>
    <mergeCell ref="C27:C28"/>
    <mergeCell ref="D27:D28"/>
    <mergeCell ref="E34:N34"/>
    <mergeCell ref="E17:N17"/>
    <mergeCell ref="B37:B41"/>
    <mergeCell ref="B32:B36"/>
    <mergeCell ref="C32:C36"/>
    <mergeCell ref="D32:D36"/>
    <mergeCell ref="E38:N38"/>
    <mergeCell ref="E26:N26"/>
    <mergeCell ref="E29:N29"/>
    <mergeCell ref="E30:N30"/>
    <mergeCell ref="E39:N39"/>
    <mergeCell ref="E27:N27"/>
    <mergeCell ref="E28:N28"/>
    <mergeCell ref="E31:N31"/>
    <mergeCell ref="E37:N37"/>
    <mergeCell ref="D7:D9"/>
    <mergeCell ref="C7:C9"/>
    <mergeCell ref="B7:B9"/>
    <mergeCell ref="B5:B6"/>
    <mergeCell ref="E36:N36"/>
    <mergeCell ref="B10:B11"/>
    <mergeCell ref="B27:B28"/>
    <mergeCell ref="B21:B22"/>
    <mergeCell ref="B24:B25"/>
    <mergeCell ref="B14:B20"/>
    <mergeCell ref="B29:B30"/>
    <mergeCell ref="E32:N32"/>
    <mergeCell ref="E33:N33"/>
    <mergeCell ref="E35:N35"/>
    <mergeCell ref="E12:N12"/>
    <mergeCell ref="E13:N13"/>
  </mergeCells>
  <dataValidations count="1">
    <dataValidation type="custom" allowBlank="1" showInputMessage="1" showErrorMessage="1" sqref="A37:A42 K1 A6:A33" xr:uid="{87AFD752-F596-4E2E-972B-6B71ED18FACB}">
      <formula1>"&lt;0&gt;0"</formula1>
    </dataValidation>
  </dataValidations>
  <pageMargins left="0.7" right="0.7" top="0.75" bottom="0.75" header="0.3" footer="0.3"/>
  <pageSetup scale="51" orientation="portrait" r:id="rId1"/>
  <headerFooter>
    <oddHeader>&amp;L&amp;G</oddHeader>
    <oddFooter>&amp;LVersion - 2023.0.01&amp;CWHEDA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2B62AC8-4365-419A-878B-A3B7B3E7CC44}">
          <x14:formula1>
            <xm:f>'Dropdown Lists'!$A$6:$A$7</xm:f>
          </x14:formula1>
          <xm:sqref>B7 B10:B12 B14:B42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AC59-0A25-4540-8494-4EE2A9866E5E}">
  <sheetPr codeName="Sheet52">
    <pageSetUpPr fitToPage="1"/>
  </sheetPr>
  <dimension ref="B1:DP40"/>
  <sheetViews>
    <sheetView workbookViewId="0">
      <selection activeCell="H10" sqref="H10:J10"/>
    </sheetView>
  </sheetViews>
  <sheetFormatPr baseColWidth="10" defaultColWidth="8.83203125" defaultRowHeight="15"/>
  <cols>
    <col min="1" max="1" width="4.6640625" style="3" customWidth="1"/>
    <col min="2" max="2" width="8.83203125" style="3"/>
    <col min="3" max="4" width="11.5" style="3" customWidth="1"/>
    <col min="5" max="5" width="5" style="3" customWidth="1"/>
    <col min="6" max="6" width="7.33203125" style="3" customWidth="1"/>
    <col min="7" max="8" width="11.5" style="3" customWidth="1"/>
    <col min="9" max="9" width="3.6640625" style="3" customWidth="1"/>
    <col min="10" max="10" width="10.33203125" style="3" customWidth="1"/>
    <col min="11" max="14" width="11.5" style="3" customWidth="1"/>
    <col min="15" max="15" width="7.83203125" style="3" customWidth="1"/>
    <col min="16" max="17" width="8.83203125" style="3"/>
    <col min="18" max="18" width="17.6640625" style="3" customWidth="1"/>
    <col min="19" max="19" width="7.1640625" style="3" customWidth="1"/>
    <col min="20" max="20" width="5" style="3" customWidth="1"/>
    <col min="21" max="35" width="9.1640625" style="3" customWidth="1"/>
    <col min="36" max="16384" width="8.83203125" style="3"/>
  </cols>
  <sheetData>
    <row r="1" spans="2:120" ht="29">
      <c r="B1" s="4" t="str">
        <f>'1. TOC'!B1</f>
        <v>WHEDA 2025 Multifamily Application</v>
      </c>
      <c r="G1"/>
      <c r="L1" s="149" t="str">
        <f>'1. TOC'!L1</f>
        <v>v25.1.9</v>
      </c>
      <c r="O1" s="9"/>
      <c r="P1" s="1086" t="str">
        <f>HYPERLINK("#Table_of_Contents", Table_of_Contents)</f>
        <v>Table of Contents</v>
      </c>
      <c r="Q1" s="1088"/>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ht="29">
      <c r="B2" s="1013" t="str">
        <f>_xlfn.CONCAT(IF(ISBLANK(WHEDA_Project_Number),"",_xlfn.CONCAT(WHEDA_Project_Number,"-")), Project_Name, IF(ISBLANK(Credit_percentage_applied_for),"",_xlfn.CONCAT(" (", Credit_percentage_applied_for," HTC)")))</f>
        <v/>
      </c>
      <c r="C2" s="936"/>
      <c r="D2" s="936"/>
      <c r="E2" s="936"/>
      <c r="F2" s="936"/>
      <c r="G2" s="936"/>
      <c r="H2" s="936"/>
      <c r="I2" s="936"/>
      <c r="J2" s="936"/>
      <c r="K2" s="936"/>
      <c r="L2" s="936"/>
      <c r="M2" s="74"/>
      <c r="N2" s="74"/>
      <c r="O2" s="872"/>
      <c r="P2" s="872"/>
      <c r="Q2" s="872"/>
      <c r="R2" s="872"/>
      <c r="S2" s="872"/>
      <c r="T2" s="872"/>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row>
    <row r="3" spans="2:120">
      <c r="C3" s="1023"/>
      <c r="D3" s="1023"/>
      <c r="E3" s="1023"/>
      <c r="F3" s="1023"/>
      <c r="G3" s="1023"/>
      <c r="H3" s="1023"/>
      <c r="I3" s="1023"/>
      <c r="J3" s="1023"/>
      <c r="K3" s="1023"/>
      <c r="L3" s="1023"/>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9">
      <c r="B4" s="4" t="s">
        <v>5283</v>
      </c>
      <c r="C4" s="892"/>
      <c r="D4" s="892"/>
      <c r="E4" s="892"/>
      <c r="F4" s="892"/>
      <c r="G4" s="892"/>
      <c r="H4" s="892"/>
      <c r="I4" s="892"/>
      <c r="J4" s="892"/>
      <c r="K4" s="892"/>
      <c r="L4" s="892"/>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ht="19">
      <c r="B5" s="1378" t="s">
        <v>5284</v>
      </c>
      <c r="C5" s="1167"/>
      <c r="D5" s="1167"/>
      <c r="E5" s="1167"/>
      <c r="F5" s="1167"/>
      <c r="G5" s="1167"/>
      <c r="H5" s="1167"/>
      <c r="I5" s="1167"/>
      <c r="J5" s="1167"/>
      <c r="K5" s="1167"/>
      <c r="L5" s="1167"/>
      <c r="M5" s="1167"/>
      <c r="N5" s="1167"/>
      <c r="O5" s="1167"/>
      <c r="P5" s="1167"/>
      <c r="Q5" s="1167"/>
      <c r="R5" s="1167"/>
      <c r="S5" s="1167"/>
      <c r="T5" s="1167"/>
    </row>
    <row r="6" spans="2:120">
      <c r="B6" s="1170"/>
      <c r="C6" s="1170"/>
      <c r="D6" s="1170"/>
      <c r="E6" s="1170"/>
      <c r="F6" s="1170"/>
      <c r="G6" s="1170"/>
      <c r="H6" s="1170"/>
      <c r="I6" s="1170"/>
      <c r="J6" s="1170"/>
      <c r="K6" s="1170"/>
      <c r="L6" s="1170"/>
      <c r="M6" s="1170"/>
      <c r="N6" s="1170"/>
      <c r="O6" s="1170"/>
      <c r="P6" s="1170"/>
      <c r="Q6" s="1170"/>
      <c r="R6" s="1170"/>
      <c r="S6" s="1170"/>
      <c r="T6" s="1167"/>
    </row>
    <row r="7" spans="2:120">
      <c r="B7" s="2245" t="s">
        <v>5285</v>
      </c>
      <c r="C7" s="2245"/>
      <c r="D7" s="2245"/>
      <c r="E7" s="2245"/>
      <c r="F7" s="2245"/>
      <c r="G7" s="2245"/>
      <c r="H7" s="2245"/>
      <c r="I7" s="2245"/>
      <c r="J7" s="2245"/>
      <c r="K7" s="2245"/>
      <c r="L7" s="2245"/>
      <c r="M7" s="2245"/>
      <c r="N7" s="2245"/>
      <c r="O7" s="2245"/>
      <c r="P7" s="2245"/>
      <c r="Q7" s="2245"/>
      <c r="R7" s="2245"/>
      <c r="S7" s="2245"/>
      <c r="T7" s="1167"/>
    </row>
    <row r="8" spans="2:120" ht="15" customHeight="1">
      <c r="B8" s="2245" t="s">
        <v>5286</v>
      </c>
      <c r="C8" s="2245"/>
      <c r="D8" s="2245"/>
      <c r="E8" s="2245"/>
      <c r="F8" s="2245"/>
      <c r="G8" s="2245"/>
      <c r="H8" s="2245"/>
      <c r="I8" s="2245"/>
      <c r="J8" s="1167"/>
      <c r="K8" s="1167"/>
      <c r="L8" s="1167"/>
      <c r="M8" s="1167"/>
      <c r="N8" s="1167"/>
      <c r="O8" s="1167"/>
      <c r="P8" s="1167"/>
      <c r="Q8" s="1167"/>
      <c r="R8" s="1167"/>
      <c r="S8" s="1207"/>
      <c r="T8" s="1167"/>
    </row>
    <row r="9" spans="2:120" ht="15" customHeight="1">
      <c r="B9" s="1708"/>
      <c r="C9" s="1708"/>
      <c r="D9" s="1708"/>
      <c r="E9" s="1708"/>
      <c r="F9" s="1708"/>
      <c r="G9" s="1708"/>
      <c r="H9" s="1167"/>
      <c r="I9" s="1180"/>
      <c r="J9" s="1167"/>
      <c r="K9" s="1167"/>
      <c r="L9" s="1167"/>
      <c r="M9" s="1167"/>
      <c r="N9" s="1167"/>
      <c r="O9" s="1167"/>
      <c r="P9" s="1167"/>
      <c r="Q9" s="1167"/>
      <c r="R9" s="1167"/>
      <c r="S9" s="1207"/>
      <c r="T9" s="1167"/>
    </row>
    <row r="10" spans="2:120" ht="15" customHeight="1">
      <c r="B10" s="1708"/>
      <c r="C10" s="1447" t="s">
        <v>5287</v>
      </c>
      <c r="D10" s="1447"/>
      <c r="E10" s="1447"/>
      <c r="F10" s="1447"/>
      <c r="G10" s="1448"/>
      <c r="H10" s="2675"/>
      <c r="I10" s="2676"/>
      <c r="J10" s="2677"/>
      <c r="K10" s="1167"/>
      <c r="L10" s="1167"/>
      <c r="M10" s="1167"/>
      <c r="N10" s="1167"/>
      <c r="O10" s="1167"/>
      <c r="P10" s="1167"/>
      <c r="Q10" s="1167"/>
      <c r="R10" s="1167"/>
      <c r="S10" s="1207"/>
      <c r="T10" s="1167"/>
    </row>
    <row r="11" spans="2:120" ht="15" customHeight="1">
      <c r="B11" s="1708"/>
      <c r="C11" s="1447" t="s">
        <v>5288</v>
      </c>
      <c r="D11" s="1447"/>
      <c r="E11" s="1447"/>
      <c r="F11" s="1449"/>
      <c r="G11" s="1450"/>
      <c r="H11" s="2678"/>
      <c r="I11" s="2678"/>
      <c r="J11" s="2678"/>
      <c r="K11" s="2678"/>
      <c r="L11" s="2678"/>
      <c r="M11" s="2678"/>
      <c r="N11" s="2678"/>
      <c r="O11" s="2678"/>
      <c r="P11" s="2678"/>
      <c r="Q11" s="2678"/>
      <c r="R11" s="1167"/>
      <c r="S11" s="1207"/>
      <c r="T11" s="1167"/>
    </row>
    <row r="12" spans="2:120" ht="15" customHeight="1">
      <c r="B12" s="1167"/>
      <c r="C12" s="1450" t="s">
        <v>5289</v>
      </c>
      <c r="D12" s="1450"/>
      <c r="E12" s="1450"/>
      <c r="F12" s="1451"/>
      <c r="G12" s="1450"/>
      <c r="H12" s="2678"/>
      <c r="I12" s="2678"/>
      <c r="J12" s="2678"/>
      <c r="K12" s="2678"/>
      <c r="L12" s="2678"/>
      <c r="M12" s="2678"/>
      <c r="N12" s="2678"/>
      <c r="O12" s="2678"/>
      <c r="P12" s="2678"/>
      <c r="Q12" s="2678"/>
      <c r="R12" s="1207"/>
      <c r="S12" s="1207"/>
      <c r="T12" s="1167"/>
    </row>
    <row r="13" spans="2:120" ht="15" customHeight="1">
      <c r="B13" s="1167"/>
      <c r="C13" s="1167"/>
      <c r="D13" s="1167"/>
      <c r="E13" s="1167"/>
      <c r="F13" s="1207"/>
      <c r="G13" s="1167"/>
      <c r="H13" s="1167"/>
      <c r="I13" s="1167"/>
      <c r="J13" s="1167"/>
      <c r="K13" s="1167"/>
      <c r="L13" s="1167"/>
      <c r="M13" s="1709"/>
      <c r="N13" s="1709"/>
      <c r="O13" s="1207"/>
      <c r="P13" s="1167"/>
      <c r="Q13" s="1207"/>
      <c r="R13" s="1207"/>
      <c r="S13" s="1207"/>
      <c r="T13" s="1167"/>
    </row>
    <row r="14" spans="2:120">
      <c r="B14" s="1167"/>
      <c r="C14" s="1167" t="s">
        <v>5290</v>
      </c>
      <c r="D14" s="1167"/>
      <c r="E14" s="1167"/>
      <c r="F14" s="1167"/>
      <c r="G14" s="1167"/>
      <c r="H14" s="1167"/>
      <c r="I14" s="1167"/>
      <c r="J14" s="1167"/>
      <c r="K14" s="1167"/>
      <c r="L14" s="1167"/>
      <c r="M14" s="1167"/>
      <c r="N14" s="1167"/>
      <c r="O14" s="1167"/>
      <c r="P14" s="1167"/>
      <c r="Q14" s="1167"/>
      <c r="R14" s="1167"/>
      <c r="S14" s="1167"/>
      <c r="T14" s="1167"/>
    </row>
    <row r="15" spans="2:120">
      <c r="B15" s="1167"/>
      <c r="C15" s="1167"/>
      <c r="D15" s="1167"/>
      <c r="E15" s="1167"/>
      <c r="F15" s="1167"/>
      <c r="G15" s="1167"/>
      <c r="H15" s="1167"/>
      <c r="I15" s="1167"/>
      <c r="J15" s="1167"/>
      <c r="K15" s="1167"/>
      <c r="L15" s="1167"/>
      <c r="M15" s="1167"/>
      <c r="N15" s="1167"/>
      <c r="O15" s="1167"/>
      <c r="P15" s="1167"/>
      <c r="Q15" s="1167"/>
      <c r="R15" s="1167"/>
      <c r="S15" s="1167"/>
      <c r="T15" s="1167"/>
    </row>
    <row r="16" spans="2:120" ht="58.25" customHeight="1">
      <c r="B16" s="1213">
        <v>1</v>
      </c>
      <c r="C16" s="1914" t="s">
        <v>5291</v>
      </c>
      <c r="D16" s="1914"/>
      <c r="E16" s="1914"/>
      <c r="F16" s="1914"/>
      <c r="G16" s="1914"/>
      <c r="H16" s="1914"/>
      <c r="I16" s="1914"/>
      <c r="J16" s="1914"/>
      <c r="K16" s="1914"/>
      <c r="L16" s="1914"/>
      <c r="M16" s="1914"/>
      <c r="N16" s="1914"/>
      <c r="O16" s="1914"/>
      <c r="P16" s="1914"/>
      <c r="Q16" s="1914"/>
      <c r="R16" s="1914"/>
      <c r="S16" s="1914"/>
      <c r="T16" s="1167"/>
    </row>
    <row r="17" spans="2:20">
      <c r="B17" s="1213"/>
      <c r="C17" s="1672"/>
      <c r="D17" s="1672"/>
      <c r="E17" s="1672"/>
      <c r="F17" s="1672"/>
      <c r="G17" s="1672"/>
      <c r="H17" s="1672"/>
      <c r="I17" s="1672"/>
      <c r="J17" s="1672"/>
      <c r="K17" s="1672"/>
      <c r="L17" s="1672"/>
      <c r="M17" s="1672"/>
      <c r="N17" s="1672"/>
      <c r="O17" s="1672"/>
      <c r="P17" s="1672"/>
      <c r="Q17" s="1672"/>
      <c r="R17" s="1672"/>
      <c r="S17" s="1672"/>
      <c r="T17" s="1167"/>
    </row>
    <row r="18" spans="2:20" ht="74.5" customHeight="1">
      <c r="B18" s="1213">
        <v>2</v>
      </c>
      <c r="C18" s="1914" t="s">
        <v>5292</v>
      </c>
      <c r="D18" s="1914"/>
      <c r="E18" s="1914"/>
      <c r="F18" s="1914"/>
      <c r="G18" s="1914"/>
      <c r="H18" s="1914"/>
      <c r="I18" s="1914"/>
      <c r="J18" s="1914"/>
      <c r="K18" s="1914"/>
      <c r="L18" s="1914"/>
      <c r="M18" s="1914"/>
      <c r="N18" s="1914"/>
      <c r="O18" s="1914"/>
      <c r="P18" s="1914"/>
      <c r="Q18" s="1914"/>
      <c r="R18" s="1914"/>
      <c r="S18" s="1914"/>
      <c r="T18" s="1167"/>
    </row>
    <row r="19" spans="2:20">
      <c r="B19" s="1213"/>
      <c r="C19" s="1672"/>
      <c r="D19" s="1672"/>
      <c r="E19" s="1672"/>
      <c r="F19" s="1672"/>
      <c r="G19" s="1672"/>
      <c r="H19" s="1672"/>
      <c r="I19" s="1672"/>
      <c r="J19" s="1672"/>
      <c r="K19" s="1672"/>
      <c r="L19" s="1672"/>
      <c r="M19" s="1672"/>
      <c r="N19" s="1672"/>
      <c r="O19" s="1672"/>
      <c r="P19" s="1672"/>
      <c r="Q19" s="1672"/>
      <c r="R19" s="1672"/>
      <c r="S19" s="1672"/>
      <c r="T19" s="1167"/>
    </row>
    <row r="20" spans="2:20" ht="28.25" customHeight="1">
      <c r="B20" s="1213">
        <v>3</v>
      </c>
      <c r="C20" s="1914" t="s">
        <v>5293</v>
      </c>
      <c r="D20" s="1914"/>
      <c r="E20" s="1914"/>
      <c r="F20" s="1914"/>
      <c r="G20" s="1914"/>
      <c r="H20" s="1914"/>
      <c r="I20" s="1914"/>
      <c r="J20" s="1914"/>
      <c r="K20" s="1914"/>
      <c r="L20" s="1914"/>
      <c r="M20" s="1914"/>
      <c r="N20" s="1914"/>
      <c r="O20" s="1914"/>
      <c r="P20" s="1914"/>
      <c r="Q20" s="1914"/>
      <c r="R20" s="1914"/>
      <c r="S20" s="1914"/>
      <c r="T20" s="1167"/>
    </row>
    <row r="21" spans="2:20">
      <c r="B21" s="1213"/>
      <c r="C21" s="1672"/>
      <c r="D21" s="1672"/>
      <c r="E21" s="1672"/>
      <c r="F21" s="1672"/>
      <c r="G21" s="1672"/>
      <c r="H21" s="1672"/>
      <c r="I21" s="1672"/>
      <c r="J21" s="1672"/>
      <c r="K21" s="1672"/>
      <c r="L21" s="1672"/>
      <c r="M21" s="1672"/>
      <c r="N21" s="1672"/>
      <c r="O21" s="1672"/>
      <c r="P21" s="1672"/>
      <c r="Q21" s="1672"/>
      <c r="R21" s="1672"/>
      <c r="S21" s="1672"/>
      <c r="T21" s="1167"/>
    </row>
    <row r="22" spans="2:20" ht="15" customHeight="1">
      <c r="B22" s="1213">
        <v>4</v>
      </c>
      <c r="C22" s="2674" t="s">
        <v>5294</v>
      </c>
      <c r="D22" s="2674"/>
      <c r="E22" s="2674"/>
      <c r="F22" s="2674"/>
      <c r="G22" s="2674"/>
      <c r="H22" s="2674"/>
      <c r="I22" s="2674"/>
      <c r="J22" s="2674"/>
      <c r="K22" s="2674"/>
      <c r="L22" s="2674"/>
      <c r="M22" s="2674"/>
      <c r="N22" s="2674"/>
      <c r="O22" s="2674"/>
      <c r="P22" s="2674"/>
      <c r="Q22" s="2674"/>
      <c r="R22" s="2674"/>
      <c r="S22" s="2674"/>
      <c r="T22" s="1167"/>
    </row>
    <row r="23" spans="2:20">
      <c r="B23" s="1213"/>
      <c r="C23" s="1672"/>
      <c r="D23" s="1672"/>
      <c r="E23" s="1672"/>
      <c r="F23" s="1672"/>
      <c r="G23" s="1672"/>
      <c r="H23" s="1672"/>
      <c r="I23" s="1672"/>
      <c r="J23" s="1672"/>
      <c r="K23" s="1672"/>
      <c r="L23" s="1672"/>
      <c r="M23" s="1672"/>
      <c r="N23" s="1672"/>
      <c r="O23" s="1672"/>
      <c r="P23" s="1672"/>
      <c r="Q23" s="1672"/>
      <c r="R23" s="1672"/>
      <c r="S23" s="1672"/>
      <c r="T23" s="1167"/>
    </row>
    <row r="24" spans="2:20">
      <c r="B24" s="1213">
        <v>5</v>
      </c>
      <c r="C24" s="2674" t="s">
        <v>5295</v>
      </c>
      <c r="D24" s="2674"/>
      <c r="E24" s="2674"/>
      <c r="F24" s="2674"/>
      <c r="G24" s="2674"/>
      <c r="H24" s="2674"/>
      <c r="I24" s="2674"/>
      <c r="J24" s="2674"/>
      <c r="K24" s="2674"/>
      <c r="L24" s="2674"/>
      <c r="M24" s="2674"/>
      <c r="N24" s="2674"/>
      <c r="O24" s="2674"/>
      <c r="P24" s="2674"/>
      <c r="Q24" s="2674"/>
      <c r="R24" s="2674"/>
      <c r="S24" s="2674"/>
      <c r="T24" s="1167"/>
    </row>
    <row r="25" spans="2:20" ht="15" customHeight="1">
      <c r="B25" s="1213"/>
      <c r="C25" s="1672"/>
      <c r="D25" s="1672"/>
      <c r="E25" s="1672"/>
      <c r="F25" s="1672"/>
      <c r="G25" s="1672"/>
      <c r="H25" s="1672"/>
      <c r="I25" s="1672"/>
      <c r="J25" s="1672"/>
      <c r="K25" s="1672"/>
      <c r="L25" s="1672"/>
      <c r="M25" s="1672"/>
      <c r="N25" s="1672"/>
      <c r="O25" s="1672"/>
      <c r="P25" s="1672"/>
      <c r="Q25" s="1672"/>
      <c r="R25" s="1672"/>
      <c r="S25" s="1672"/>
      <c r="T25" s="1167"/>
    </row>
    <row r="26" spans="2:20" ht="44" customHeight="1">
      <c r="B26" s="1213">
        <v>6</v>
      </c>
      <c r="C26" s="1914" t="s">
        <v>5296</v>
      </c>
      <c r="D26" s="1914"/>
      <c r="E26" s="1914"/>
      <c r="F26" s="1914"/>
      <c r="G26" s="1914"/>
      <c r="H26" s="1914"/>
      <c r="I26" s="1914"/>
      <c r="J26" s="1914"/>
      <c r="K26" s="1914"/>
      <c r="L26" s="1914"/>
      <c r="M26" s="1914"/>
      <c r="N26" s="1914"/>
      <c r="O26" s="1914"/>
      <c r="P26" s="1914"/>
      <c r="Q26" s="1914"/>
      <c r="R26" s="1914"/>
      <c r="S26" s="1914"/>
      <c r="T26" s="1167"/>
    </row>
    <row r="27" spans="2:20">
      <c r="B27" s="1167"/>
      <c r="C27" s="1414"/>
      <c r="D27" s="1414"/>
      <c r="E27" s="1414"/>
      <c r="F27" s="1414"/>
      <c r="G27" s="1414"/>
      <c r="H27" s="1414"/>
      <c r="I27" s="1414"/>
      <c r="J27" s="1414"/>
      <c r="K27" s="1414"/>
      <c r="L27" s="1414"/>
      <c r="M27" s="1414"/>
      <c r="N27" s="1414"/>
      <c r="O27" s="1414"/>
      <c r="P27" s="1414"/>
      <c r="Q27" s="1414"/>
      <c r="R27" s="1414"/>
      <c r="S27" s="1414"/>
      <c r="T27" s="1167"/>
    </row>
    <row r="28" spans="2:20" ht="14.5" customHeight="1">
      <c r="B28" s="1167">
        <v>7</v>
      </c>
      <c r="C28" s="1414" t="s">
        <v>5297</v>
      </c>
      <c r="D28" s="1410"/>
      <c r="E28" s="1410"/>
      <c r="F28" s="1410"/>
      <c r="G28" s="1410"/>
      <c r="H28" s="1410"/>
      <c r="I28" s="1410"/>
      <c r="J28" s="1410"/>
      <c r="K28" s="1410"/>
      <c r="L28" s="1410"/>
      <c r="M28" s="1410"/>
      <c r="N28" s="1410"/>
      <c r="O28" s="1410"/>
      <c r="P28" s="1410"/>
      <c r="Q28" s="1410"/>
      <c r="R28" s="1410"/>
      <c r="S28" s="1410"/>
      <c r="T28" s="1167"/>
    </row>
    <row r="29" spans="2:20" ht="14.5" customHeight="1">
      <c r="B29" s="1167"/>
      <c r="C29" s="1414"/>
      <c r="D29" s="1410"/>
      <c r="E29" s="1410"/>
      <c r="F29" s="1410"/>
      <c r="G29" s="1410"/>
      <c r="H29" s="1410"/>
      <c r="I29" s="1410"/>
      <c r="J29" s="1410"/>
      <c r="K29" s="1410"/>
      <c r="L29" s="1410"/>
      <c r="M29" s="1410"/>
      <c r="N29" s="1410"/>
      <c r="O29" s="1410"/>
      <c r="P29" s="1410"/>
      <c r="Q29" s="1410"/>
      <c r="R29" s="1410"/>
      <c r="S29" s="1410"/>
      <c r="T29" s="1167"/>
    </row>
    <row r="30" spans="2:20">
      <c r="B30" s="1167"/>
      <c r="C30" s="1410"/>
      <c r="D30" s="1414" t="s">
        <v>5298</v>
      </c>
      <c r="E30" s="1410"/>
      <c r="F30" s="331"/>
      <c r="G30" s="1410"/>
      <c r="H30" s="1410"/>
      <c r="I30" s="1410"/>
      <c r="J30" s="1410"/>
      <c r="K30" s="1410"/>
      <c r="L30" s="1410"/>
      <c r="M30" s="1410"/>
      <c r="N30" s="1410"/>
      <c r="O30" s="1410"/>
      <c r="P30" s="1410"/>
      <c r="Q30" s="1410"/>
      <c r="R30" s="1410"/>
      <c r="S30" s="1410"/>
      <c r="T30" s="1167"/>
    </row>
    <row r="31" spans="2:20" ht="15" customHeight="1">
      <c r="B31" s="1167"/>
      <c r="C31" s="1414"/>
      <c r="D31" s="1414"/>
      <c r="E31" s="1414"/>
      <c r="F31" s="1414"/>
      <c r="G31" s="1414"/>
      <c r="H31" s="1414"/>
      <c r="I31" s="1414"/>
      <c r="J31" s="1414"/>
      <c r="K31" s="1414"/>
      <c r="L31" s="1414"/>
      <c r="M31" s="1414"/>
      <c r="N31" s="1414"/>
      <c r="O31" s="1414"/>
      <c r="P31" s="1414"/>
      <c r="Q31" s="1414"/>
      <c r="R31" s="1414"/>
      <c r="S31" s="1414"/>
      <c r="T31" s="1167"/>
    </row>
    <row r="32" spans="2:20" ht="29.5" customHeight="1">
      <c r="B32" s="1414">
        <v>8</v>
      </c>
      <c r="C32" s="1914" t="s">
        <v>5299</v>
      </c>
      <c r="D32" s="1914"/>
      <c r="E32" s="1914"/>
      <c r="F32" s="1914"/>
      <c r="G32" s="1914"/>
      <c r="H32" s="1914"/>
      <c r="I32" s="1914"/>
      <c r="J32" s="1914"/>
      <c r="K32" s="1914"/>
      <c r="L32" s="1914"/>
      <c r="M32" s="1914"/>
      <c r="N32" s="1914"/>
      <c r="O32" s="1914"/>
      <c r="P32" s="1914"/>
      <c r="Q32" s="1914"/>
      <c r="R32" s="1914"/>
      <c r="S32" s="1914"/>
      <c r="T32" s="1167"/>
    </row>
    <row r="33" spans="2:20">
      <c r="B33" s="1167"/>
      <c r="C33" s="1414"/>
      <c r="D33" s="1414"/>
      <c r="E33" s="1414"/>
      <c r="F33" s="1414"/>
      <c r="G33" s="1414"/>
      <c r="H33" s="1414"/>
      <c r="I33" s="1414"/>
      <c r="J33" s="1414"/>
      <c r="K33" s="1414"/>
      <c r="L33" s="1414"/>
      <c r="M33" s="1414"/>
      <c r="N33" s="1414"/>
      <c r="O33" s="1414"/>
      <c r="P33" s="1414"/>
      <c r="Q33" s="1414"/>
      <c r="R33" s="1414"/>
      <c r="S33" s="1414"/>
      <c r="T33" s="1167"/>
    </row>
    <row r="34" spans="2:20">
      <c r="B34" s="1167"/>
      <c r="C34" s="1414"/>
      <c r="D34" s="1414"/>
      <c r="E34" s="1414"/>
      <c r="F34" s="1414"/>
      <c r="G34" s="1414"/>
      <c r="H34" s="1414"/>
      <c r="I34" s="1414"/>
      <c r="J34" s="1414"/>
      <c r="K34" s="1414"/>
      <c r="L34" s="1414"/>
      <c r="M34" s="1414"/>
      <c r="N34" s="1414"/>
      <c r="O34" s="1414"/>
      <c r="P34" s="1414"/>
      <c r="Q34" s="1414"/>
      <c r="R34" s="1414"/>
      <c r="S34" s="1414"/>
      <c r="T34" s="1167"/>
    </row>
    <row r="35" spans="2:20">
      <c r="B35" s="1167"/>
      <c r="C35" s="1414"/>
      <c r="D35" s="1414"/>
      <c r="E35" s="1167" t="s">
        <v>4</v>
      </c>
      <c r="F35" s="2679"/>
      <c r="G35" s="2681"/>
      <c r="H35" s="1414"/>
      <c r="I35" s="1414"/>
      <c r="J35" s="1414"/>
      <c r="K35" s="1414"/>
      <c r="L35" s="1414"/>
      <c r="M35" s="1414"/>
      <c r="N35" s="1414"/>
      <c r="O35" s="1414"/>
      <c r="P35" s="1414"/>
      <c r="Q35" s="1414"/>
      <c r="R35" s="1414"/>
      <c r="S35" s="1414"/>
      <c r="T35" s="1167"/>
    </row>
    <row r="36" spans="2:20" ht="15" customHeight="1">
      <c r="B36" s="1167"/>
      <c r="C36" s="1414"/>
      <c r="D36" s="1410"/>
      <c r="E36" s="1180" t="s">
        <v>5300</v>
      </c>
      <c r="F36" s="2679"/>
      <c r="G36" s="2680"/>
      <c r="H36" s="2680"/>
      <c r="I36" s="2680"/>
      <c r="J36" s="2680"/>
      <c r="K36" s="2680"/>
      <c r="L36" s="2680"/>
      <c r="M36" s="2681"/>
      <c r="N36" s="1410"/>
      <c r="O36" s="1410"/>
      <c r="P36" s="1410"/>
      <c r="Q36" s="1410"/>
      <c r="R36" s="1410"/>
      <c r="S36" s="1410"/>
      <c r="T36" s="1167"/>
    </row>
    <row r="37" spans="2:20">
      <c r="B37" s="1167"/>
      <c r="C37" s="1414"/>
      <c r="D37" s="1410"/>
      <c r="E37" s="1410"/>
      <c r="F37" s="1410"/>
      <c r="G37" s="1410"/>
      <c r="H37" s="1410"/>
      <c r="I37" s="1410"/>
      <c r="J37" s="1410"/>
      <c r="K37" s="1410"/>
      <c r="L37" s="1410"/>
      <c r="M37" s="1410"/>
      <c r="N37" s="1410"/>
      <c r="O37" s="1410"/>
      <c r="P37" s="1410"/>
      <c r="Q37" s="1410"/>
      <c r="R37" s="1410"/>
      <c r="S37" s="1410"/>
      <c r="T37" s="1167"/>
    </row>
    <row r="38" spans="2:20" ht="15" customHeight="1">
      <c r="B38" s="1167"/>
      <c r="C38" s="1414"/>
      <c r="D38" s="1410"/>
      <c r="E38" s="1180" t="s">
        <v>5301</v>
      </c>
      <c r="F38" s="2679"/>
      <c r="G38" s="2680"/>
      <c r="H38" s="2680"/>
      <c r="I38" s="2680"/>
      <c r="J38" s="2681"/>
      <c r="K38" s="1410"/>
      <c r="L38" s="1410"/>
      <c r="M38" s="1410"/>
      <c r="N38" s="1410"/>
      <c r="O38" s="1410"/>
      <c r="P38" s="1410"/>
      <c r="Q38" s="1410"/>
      <c r="R38" s="1410"/>
      <c r="S38" s="1410"/>
      <c r="T38" s="1167"/>
    </row>
    <row r="39" spans="2:20">
      <c r="B39" s="1167"/>
      <c r="C39" s="1414"/>
      <c r="D39" s="1410"/>
      <c r="E39" s="1180" t="s">
        <v>5302</v>
      </c>
      <c r="F39" s="2679"/>
      <c r="G39" s="2680"/>
      <c r="H39" s="2680"/>
      <c r="I39" s="2680"/>
      <c r="J39" s="2680"/>
      <c r="K39" s="2680"/>
      <c r="L39" s="2680"/>
      <c r="M39" s="2681"/>
      <c r="N39" s="1410"/>
      <c r="O39" s="1410"/>
      <c r="P39" s="1410"/>
      <c r="Q39" s="1410"/>
      <c r="R39" s="1410"/>
      <c r="S39" s="1410"/>
      <c r="T39" s="1167"/>
    </row>
    <row r="40" spans="2:20">
      <c r="B40" s="1167"/>
      <c r="C40" s="1414"/>
      <c r="D40" s="1414"/>
      <c r="E40" s="1414"/>
      <c r="F40" s="1414"/>
      <c r="G40" s="1414"/>
      <c r="H40" s="1414"/>
      <c r="I40" s="1414"/>
      <c r="J40" s="1414"/>
      <c r="K40" s="1414"/>
      <c r="L40" s="1414"/>
      <c r="M40" s="1414"/>
      <c r="N40" s="1414"/>
      <c r="O40" s="1414"/>
      <c r="P40" s="1414"/>
      <c r="Q40" s="1414"/>
      <c r="R40" s="1414"/>
      <c r="S40" s="1414"/>
      <c r="T40" s="1167"/>
    </row>
  </sheetData>
  <sheetProtection algorithmName="SHA-512" hashValue="xLTKnzpw9LmK+AiS4itjb4/PcXq2sSNIZglIwPQoWe8RnukPn/iGaZvOTgoSVQOPlfyfS5+7iAEMViC1lcLnig==" saltValue="CnfINL98eCKBSdsDaxvrPg==" spinCount="100000" sheet="1" objects="1" scenarios="1" selectLockedCells="1"/>
  <mergeCells count="16">
    <mergeCell ref="F38:J38"/>
    <mergeCell ref="F39:M39"/>
    <mergeCell ref="F36:M36"/>
    <mergeCell ref="F35:G35"/>
    <mergeCell ref="C32:S32"/>
    <mergeCell ref="B7:S7"/>
    <mergeCell ref="B8:I8"/>
    <mergeCell ref="H10:J10"/>
    <mergeCell ref="H12:Q12"/>
    <mergeCell ref="H11:Q11"/>
    <mergeCell ref="C16:S16"/>
    <mergeCell ref="C18:S18"/>
    <mergeCell ref="C20:S20"/>
    <mergeCell ref="C26:S26"/>
    <mergeCell ref="C24:S24"/>
    <mergeCell ref="C22:S22"/>
  </mergeCells>
  <dataValidations count="1">
    <dataValidation type="custom" allowBlank="1" showInputMessage="1" showErrorMessage="1" sqref="P1" xr:uid="{30393E92-78D7-46B6-8CA9-346BE2C365BB}">
      <formula1>"&lt;0&gt;0"</formula1>
    </dataValidation>
  </dataValidations>
  <pageMargins left="0.7" right="0.7" top="0.75" bottom="0.75" header="0.3" footer="0.3"/>
  <pageSetup scale="48" orientation="portrait" r:id="rId1"/>
  <headerFooter>
    <oddHeader>&amp;L&amp;G</oddHeader>
    <oddFooter>&amp;LVersion - 2023.0.01&amp;CWHEDA MULTIFAMILY APPLICATION&amp;R&amp;P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32C3-A590-4683-BAEA-A5E18FEF0659}">
  <sheetPr codeName="Sheet53">
    <pageSetUpPr fitToPage="1"/>
  </sheetPr>
  <dimension ref="B1:DP56"/>
  <sheetViews>
    <sheetView workbookViewId="0">
      <selection activeCell="D38" sqref="D38:E38"/>
    </sheetView>
  </sheetViews>
  <sheetFormatPr baseColWidth="10" defaultColWidth="8.83203125" defaultRowHeight="15"/>
  <cols>
    <col min="1" max="1" width="4.33203125" style="3" customWidth="1"/>
    <col min="2" max="16" width="10.33203125" style="3" customWidth="1"/>
    <col min="17" max="18" width="8.83203125" style="3"/>
    <col min="19" max="19" width="7.33203125" style="3" customWidth="1"/>
    <col min="20" max="20" width="5.1640625" style="3" customWidth="1"/>
    <col min="21" max="39" width="9.1640625" style="3" customWidth="1"/>
    <col min="40" max="16384" width="8.83203125" style="3"/>
  </cols>
  <sheetData>
    <row r="1" spans="2:120" ht="29">
      <c r="B1" s="4" t="str">
        <f>'1. TOC'!B1</f>
        <v>WHEDA 2025 Multifamily Application</v>
      </c>
      <c r="I1" s="149" t="str">
        <f>'1. TOC'!L1</f>
        <v>v25.1.9</v>
      </c>
      <c r="J1" s="1086" t="str">
        <f>HYPERLINK("#Table_of_Contents", Table_of_Contents)</f>
        <v>Table of Contents</v>
      </c>
      <c r="K1" s="1089"/>
      <c r="M1"/>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s="987" customFormat="1" ht="21">
      <c r="B2" s="1013" t="str">
        <f>_xlfn.CONCAT(IF(ISBLANK(WHEDA_Project_Number),"",_xlfn.CONCAT(WHEDA_Project_Number,"-")), Project_Name, IF(ISBLANK(Credit_percentage_applied_for),"",_xlfn.CONCAT(" (", Credit_percentage_applied_for," HTC)")))</f>
        <v/>
      </c>
      <c r="C2" s="966"/>
      <c r="D2" s="966"/>
      <c r="E2" s="966"/>
      <c r="F2" s="966"/>
      <c r="G2" s="966"/>
      <c r="H2" s="966"/>
      <c r="I2" s="966"/>
      <c r="J2" s="966"/>
      <c r="K2" s="966"/>
      <c r="L2" s="966"/>
      <c r="M2" s="966"/>
      <c r="N2" s="966"/>
      <c r="O2" s="966"/>
      <c r="P2" s="966"/>
      <c r="Q2" s="966"/>
      <c r="R2" s="966"/>
      <c r="S2" s="966"/>
      <c r="T2" s="966"/>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c r="CF2" s="997"/>
      <c r="CG2" s="997"/>
      <c r="CH2" s="997"/>
      <c r="CI2" s="997"/>
      <c r="CJ2" s="997"/>
      <c r="CK2" s="997"/>
      <c r="CL2" s="997"/>
      <c r="CM2" s="997"/>
      <c r="CN2" s="997"/>
      <c r="CO2" s="997"/>
      <c r="CP2" s="997"/>
      <c r="CQ2" s="997"/>
      <c r="CR2" s="997"/>
      <c r="CS2" s="997"/>
      <c r="CT2" s="997"/>
      <c r="CU2" s="997"/>
      <c r="CV2" s="997"/>
      <c r="CW2" s="997"/>
      <c r="CX2" s="997"/>
      <c r="CY2" s="997"/>
      <c r="CZ2" s="997"/>
      <c r="DA2" s="997"/>
      <c r="DB2" s="997"/>
      <c r="DC2" s="997"/>
      <c r="DD2" s="997"/>
      <c r="DE2" s="997"/>
      <c r="DF2" s="997"/>
      <c r="DG2" s="997"/>
      <c r="DH2" s="997"/>
      <c r="DI2" s="997"/>
      <c r="DJ2" s="997"/>
      <c r="DK2" s="997"/>
      <c r="DL2" s="997"/>
      <c r="DM2" s="997"/>
      <c r="DN2" s="997"/>
      <c r="DO2" s="997"/>
      <c r="DP2" s="997"/>
    </row>
    <row r="3" spans="2:120">
      <c r="C3" s="1023"/>
      <c r="D3" s="1023"/>
      <c r="E3" s="1023"/>
      <c r="F3" s="1023"/>
      <c r="G3" s="1023"/>
      <c r="H3" s="1023"/>
      <c r="I3" s="1023"/>
      <c r="J3" s="1023"/>
      <c r="K3" s="1023"/>
      <c r="L3" s="1023"/>
      <c r="M3" s="1023"/>
      <c r="N3" s="1023"/>
      <c r="O3" s="1023"/>
      <c r="P3" s="1023"/>
      <c r="Q3" s="1023"/>
      <c r="R3" s="1023"/>
      <c r="S3" s="1023"/>
      <c r="T3" s="1023"/>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9">
      <c r="B4" s="4" t="s">
        <v>5303</v>
      </c>
      <c r="C4" s="892"/>
      <c r="D4" s="892"/>
      <c r="E4" s="892"/>
      <c r="F4" s="892"/>
      <c r="G4" s="892"/>
      <c r="H4" s="892"/>
      <c r="I4" s="892"/>
      <c r="J4" s="892"/>
      <c r="K4" s="892"/>
      <c r="L4" s="892"/>
      <c r="M4" s="893"/>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c r="B5" s="1167"/>
      <c r="C5" s="1167"/>
      <c r="D5" s="1167"/>
      <c r="E5" s="1167"/>
      <c r="F5" s="1167"/>
      <c r="G5" s="1167"/>
      <c r="H5" s="1167"/>
      <c r="I5" s="1167"/>
      <c r="J5" s="1167"/>
      <c r="K5" s="1167"/>
      <c r="L5" s="1167"/>
      <c r="M5" s="1167"/>
      <c r="N5" s="1167"/>
      <c r="O5" s="1167"/>
      <c r="P5" s="1167"/>
      <c r="Q5" s="1167"/>
      <c r="R5" s="1167"/>
      <c r="S5" s="1167"/>
      <c r="T5" s="1167"/>
    </row>
    <row r="6" spans="2:120">
      <c r="B6" s="2245" t="s">
        <v>5304</v>
      </c>
      <c r="C6" s="2245"/>
      <c r="D6" s="2245"/>
      <c r="E6" s="2245"/>
      <c r="F6" s="2245"/>
      <c r="G6" s="2245"/>
      <c r="H6" s="2245"/>
      <c r="I6" s="2245"/>
      <c r="J6" s="2245"/>
      <c r="K6" s="2245"/>
      <c r="L6" s="2245"/>
      <c r="M6" s="2245"/>
      <c r="N6" s="2245"/>
      <c r="O6" s="2245"/>
      <c r="P6" s="2245"/>
      <c r="Q6" s="2245"/>
      <c r="R6" s="2245"/>
      <c r="S6" s="2245"/>
      <c r="T6" s="1167"/>
    </row>
    <row r="7" spans="2:120">
      <c r="B7" s="2245"/>
      <c r="C7" s="2245"/>
      <c r="D7" s="2245"/>
      <c r="E7" s="2245"/>
      <c r="F7" s="2245"/>
      <c r="G7" s="2245"/>
      <c r="H7" s="2245"/>
      <c r="I7" s="2245"/>
      <c r="J7" s="2245"/>
      <c r="K7" s="2245"/>
      <c r="L7" s="2245"/>
      <c r="M7" s="2245"/>
      <c r="N7" s="2245"/>
      <c r="O7" s="2245"/>
      <c r="P7" s="2245"/>
      <c r="Q7" s="2245"/>
      <c r="R7" s="2245"/>
      <c r="S7" s="2245"/>
      <c r="T7" s="1167"/>
    </row>
    <row r="8" spans="2:120">
      <c r="B8" s="1708"/>
      <c r="C8" s="1708"/>
      <c r="D8" s="1708"/>
      <c r="E8" s="1708"/>
      <c r="F8" s="1708"/>
      <c r="G8" s="1708"/>
      <c r="H8" s="1708"/>
      <c r="I8" s="1708"/>
      <c r="J8" s="1708"/>
      <c r="K8" s="1708"/>
      <c r="L8" s="1708"/>
      <c r="M8" s="1708"/>
      <c r="N8" s="1708"/>
      <c r="O8" s="1708"/>
      <c r="P8" s="1708"/>
      <c r="Q8" s="1708"/>
      <c r="R8" s="1708"/>
      <c r="S8" s="1708"/>
      <c r="T8" s="1167"/>
    </row>
    <row r="9" spans="2:120">
      <c r="B9" s="1167"/>
      <c r="C9" s="1167">
        <v>1</v>
      </c>
      <c r="D9" s="1914" t="s">
        <v>5305</v>
      </c>
      <c r="E9" s="1914"/>
      <c r="F9" s="1914"/>
      <c r="G9" s="1914"/>
      <c r="H9" s="1914"/>
      <c r="I9" s="1914"/>
      <c r="J9" s="1914"/>
      <c r="K9" s="1914"/>
      <c r="L9" s="1914"/>
      <c r="M9" s="1914"/>
      <c r="N9" s="1914"/>
      <c r="O9" s="1914"/>
      <c r="P9" s="1914"/>
      <c r="Q9" s="1914"/>
      <c r="R9" s="1914"/>
      <c r="S9" s="1914"/>
      <c r="T9" s="1167"/>
    </row>
    <row r="10" spans="2:120">
      <c r="B10" s="1167"/>
      <c r="C10" s="1167"/>
      <c r="D10" s="1914"/>
      <c r="E10" s="1914"/>
      <c r="F10" s="1914"/>
      <c r="G10" s="1914"/>
      <c r="H10" s="1914"/>
      <c r="I10" s="1914"/>
      <c r="J10" s="1914"/>
      <c r="K10" s="1914"/>
      <c r="L10" s="1914"/>
      <c r="M10" s="1914"/>
      <c r="N10" s="1914"/>
      <c r="O10" s="1914"/>
      <c r="P10" s="1914"/>
      <c r="Q10" s="1914"/>
      <c r="R10" s="1914"/>
      <c r="S10" s="1914"/>
      <c r="T10" s="1167"/>
    </row>
    <row r="11" spans="2:120">
      <c r="B11" s="1167"/>
      <c r="C11" s="1167"/>
      <c r="D11" s="1914"/>
      <c r="E11" s="1914"/>
      <c r="F11" s="1914"/>
      <c r="G11" s="1914"/>
      <c r="H11" s="1914"/>
      <c r="I11" s="1914"/>
      <c r="J11" s="1914"/>
      <c r="K11" s="1914"/>
      <c r="L11" s="1914"/>
      <c r="M11" s="1914"/>
      <c r="N11" s="1914"/>
      <c r="O11" s="1914"/>
      <c r="P11" s="1914"/>
      <c r="Q11" s="1914"/>
      <c r="R11" s="1914"/>
      <c r="S11" s="1914"/>
      <c r="T11" s="1167"/>
    </row>
    <row r="12" spans="2:120">
      <c r="B12" s="1167"/>
      <c r="C12" s="1167">
        <v>2</v>
      </c>
      <c r="D12" s="1914" t="s">
        <v>5306</v>
      </c>
      <c r="E12" s="1914"/>
      <c r="F12" s="1914"/>
      <c r="G12" s="1914"/>
      <c r="H12" s="1914"/>
      <c r="I12" s="1914"/>
      <c r="J12" s="1914"/>
      <c r="K12" s="1914"/>
      <c r="L12" s="1914"/>
      <c r="M12" s="1914"/>
      <c r="N12" s="1914"/>
      <c r="O12" s="1914"/>
      <c r="P12" s="1914"/>
      <c r="Q12" s="1914"/>
      <c r="R12" s="1914"/>
      <c r="S12" s="1914"/>
      <c r="T12" s="1167"/>
    </row>
    <row r="13" spans="2:120">
      <c r="B13" s="1167"/>
      <c r="C13" s="1167"/>
      <c r="D13" s="1914"/>
      <c r="E13" s="1914"/>
      <c r="F13" s="1914"/>
      <c r="G13" s="1914"/>
      <c r="H13" s="1914"/>
      <c r="I13" s="1914"/>
      <c r="J13" s="1914"/>
      <c r="K13" s="1914"/>
      <c r="L13" s="1914"/>
      <c r="M13" s="1914"/>
      <c r="N13" s="1914"/>
      <c r="O13" s="1914"/>
      <c r="P13" s="1914"/>
      <c r="Q13" s="1914"/>
      <c r="R13" s="1914"/>
      <c r="S13" s="1914"/>
      <c r="T13" s="1167"/>
    </row>
    <row r="14" spans="2:120" ht="21" customHeight="1">
      <c r="B14" s="1167"/>
      <c r="C14" s="1167"/>
      <c r="D14" s="1914"/>
      <c r="E14" s="1914"/>
      <c r="F14" s="1914"/>
      <c r="G14" s="1914"/>
      <c r="H14" s="1914"/>
      <c r="I14" s="1914"/>
      <c r="J14" s="1914"/>
      <c r="K14" s="1914"/>
      <c r="L14" s="1914"/>
      <c r="M14" s="1914"/>
      <c r="N14" s="1914"/>
      <c r="O14" s="1914"/>
      <c r="P14" s="1914"/>
      <c r="Q14" s="1914"/>
      <c r="R14" s="1914"/>
      <c r="S14" s="1914"/>
      <c r="T14" s="1167"/>
    </row>
    <row r="15" spans="2:120">
      <c r="B15" s="1167"/>
      <c r="C15" s="1167"/>
      <c r="D15" s="1167"/>
      <c r="E15" s="1167"/>
      <c r="F15" s="1167"/>
      <c r="G15" s="1167"/>
      <c r="H15" s="1167"/>
      <c r="I15" s="1167"/>
      <c r="J15" s="1167"/>
      <c r="K15" s="1167"/>
      <c r="L15" s="1167"/>
      <c r="M15" s="1167"/>
      <c r="N15" s="1167"/>
      <c r="O15" s="1167"/>
      <c r="P15" s="1167"/>
      <c r="Q15" s="1167"/>
      <c r="R15" s="1167"/>
      <c r="S15" s="1167"/>
      <c r="T15" s="1167"/>
    </row>
    <row r="16" spans="2:120">
      <c r="B16" s="1167"/>
      <c r="C16" s="1167">
        <v>3</v>
      </c>
      <c r="D16" s="1914" t="s">
        <v>5307</v>
      </c>
      <c r="E16" s="1914"/>
      <c r="F16" s="1914"/>
      <c r="G16" s="1914"/>
      <c r="H16" s="1914"/>
      <c r="I16" s="1914"/>
      <c r="J16" s="1914"/>
      <c r="K16" s="1914"/>
      <c r="L16" s="1914"/>
      <c r="M16" s="1914"/>
      <c r="N16" s="1914"/>
      <c r="O16" s="1914"/>
      <c r="P16" s="1914"/>
      <c r="Q16" s="1914"/>
      <c r="R16" s="1914"/>
      <c r="S16" s="1914"/>
      <c r="T16" s="1167"/>
    </row>
    <row r="17" spans="2:20">
      <c r="B17" s="1167"/>
      <c r="C17" s="1167"/>
      <c r="D17" s="1914"/>
      <c r="E17" s="1914"/>
      <c r="F17" s="1914"/>
      <c r="G17" s="1914"/>
      <c r="H17" s="1914"/>
      <c r="I17" s="1914"/>
      <c r="J17" s="1914"/>
      <c r="K17" s="1914"/>
      <c r="L17" s="1914"/>
      <c r="M17" s="1914"/>
      <c r="N17" s="1914"/>
      <c r="O17" s="1914"/>
      <c r="P17" s="1914"/>
      <c r="Q17" s="1914"/>
      <c r="R17" s="1914"/>
      <c r="S17" s="1914"/>
      <c r="T17" s="1167"/>
    </row>
    <row r="18" spans="2:20">
      <c r="B18" s="1167"/>
      <c r="C18" s="1167"/>
      <c r="D18" s="1167"/>
      <c r="E18" s="1167"/>
      <c r="F18" s="1167"/>
      <c r="G18" s="1167"/>
      <c r="H18" s="1167"/>
      <c r="I18" s="1167"/>
      <c r="J18" s="1167"/>
      <c r="K18" s="1167"/>
      <c r="L18" s="1167"/>
      <c r="M18" s="1167"/>
      <c r="N18" s="1167"/>
      <c r="O18" s="1167"/>
      <c r="P18" s="1167"/>
      <c r="Q18" s="1167"/>
      <c r="R18" s="1167"/>
      <c r="S18" s="1167"/>
      <c r="T18" s="1167"/>
    </row>
    <row r="19" spans="2:20">
      <c r="B19" s="1167"/>
      <c r="C19" s="1167">
        <v>4</v>
      </c>
      <c r="D19" s="1914" t="s">
        <v>5308</v>
      </c>
      <c r="E19" s="1914"/>
      <c r="F19" s="1914"/>
      <c r="G19" s="1914"/>
      <c r="H19" s="1914"/>
      <c r="I19" s="1914"/>
      <c r="J19" s="1914"/>
      <c r="K19" s="1914"/>
      <c r="L19" s="1914"/>
      <c r="M19" s="1914"/>
      <c r="N19" s="1914"/>
      <c r="O19" s="1914"/>
      <c r="P19" s="1914"/>
      <c r="Q19" s="1914"/>
      <c r="R19" s="1914"/>
      <c r="S19" s="1914"/>
      <c r="T19" s="1167"/>
    </row>
    <row r="20" spans="2:20">
      <c r="B20" s="1167"/>
      <c r="C20" s="1167"/>
      <c r="D20" s="1914"/>
      <c r="E20" s="1914"/>
      <c r="F20" s="1914"/>
      <c r="G20" s="1914"/>
      <c r="H20" s="1914"/>
      <c r="I20" s="1914"/>
      <c r="J20" s="1914"/>
      <c r="K20" s="1914"/>
      <c r="L20" s="1914"/>
      <c r="M20" s="1914"/>
      <c r="N20" s="1914"/>
      <c r="O20" s="1914"/>
      <c r="P20" s="1914"/>
      <c r="Q20" s="1914"/>
      <c r="R20" s="1914"/>
      <c r="S20" s="1914"/>
      <c r="T20" s="1167"/>
    </row>
    <row r="21" spans="2:20">
      <c r="B21" s="1167"/>
      <c r="C21" s="1167"/>
      <c r="D21" s="1914"/>
      <c r="E21" s="1914"/>
      <c r="F21" s="1914"/>
      <c r="G21" s="1914"/>
      <c r="H21" s="1914"/>
      <c r="I21" s="1914"/>
      <c r="J21" s="1914"/>
      <c r="K21" s="1914"/>
      <c r="L21" s="1914"/>
      <c r="M21" s="1914"/>
      <c r="N21" s="1914"/>
      <c r="O21" s="1914"/>
      <c r="P21" s="1914"/>
      <c r="Q21" s="1914"/>
      <c r="R21" s="1914"/>
      <c r="S21" s="1914"/>
      <c r="T21" s="1167"/>
    </row>
    <row r="22" spans="2:20" ht="20.25" customHeight="1">
      <c r="B22" s="1167"/>
      <c r="C22" s="1167"/>
      <c r="D22" s="1914"/>
      <c r="E22" s="1914"/>
      <c r="F22" s="1914"/>
      <c r="G22" s="1914"/>
      <c r="H22" s="1914"/>
      <c r="I22" s="1914"/>
      <c r="J22" s="1914"/>
      <c r="K22" s="1914"/>
      <c r="L22" s="1914"/>
      <c r="M22" s="1914"/>
      <c r="N22" s="1914"/>
      <c r="O22" s="1914"/>
      <c r="P22" s="1914"/>
      <c r="Q22" s="1914"/>
      <c r="R22" s="1914"/>
      <c r="S22" s="1914"/>
      <c r="T22" s="1167"/>
    </row>
    <row r="23" spans="2:20">
      <c r="B23" s="1167"/>
      <c r="C23" s="1167"/>
      <c r="D23" s="1167"/>
      <c r="E23" s="1167"/>
      <c r="F23" s="1167"/>
      <c r="G23" s="1167"/>
      <c r="H23" s="1167"/>
      <c r="I23" s="1167"/>
      <c r="J23" s="1167"/>
      <c r="K23" s="1167"/>
      <c r="L23" s="1167"/>
      <c r="M23" s="1167"/>
      <c r="N23" s="1167"/>
      <c r="O23" s="1167"/>
      <c r="P23" s="1167"/>
      <c r="Q23" s="1167"/>
      <c r="R23" s="1167"/>
      <c r="S23" s="1167"/>
      <c r="T23" s="1167"/>
    </row>
    <row r="24" spans="2:20">
      <c r="B24" s="1167"/>
      <c r="C24" s="1167">
        <v>5</v>
      </c>
      <c r="D24" s="1914" t="s">
        <v>5309</v>
      </c>
      <c r="E24" s="1914"/>
      <c r="F24" s="1914"/>
      <c r="G24" s="1914"/>
      <c r="H24" s="1914"/>
      <c r="I24" s="1914"/>
      <c r="J24" s="1914"/>
      <c r="K24" s="1914"/>
      <c r="L24" s="1914"/>
      <c r="M24" s="1914"/>
      <c r="N24" s="1914"/>
      <c r="O24" s="1914"/>
      <c r="P24" s="1914"/>
      <c r="Q24" s="1914"/>
      <c r="R24" s="1914"/>
      <c r="S24" s="1914"/>
      <c r="T24" s="1167"/>
    </row>
    <row r="25" spans="2:20" ht="16.5" customHeight="1">
      <c r="B25" s="1167"/>
      <c r="C25" s="1167"/>
      <c r="D25" s="1914"/>
      <c r="E25" s="1914"/>
      <c r="F25" s="1914"/>
      <c r="G25" s="1914"/>
      <c r="H25" s="1914"/>
      <c r="I25" s="1914"/>
      <c r="J25" s="1914"/>
      <c r="K25" s="1914"/>
      <c r="L25" s="1914"/>
      <c r="M25" s="1914"/>
      <c r="N25" s="1914"/>
      <c r="O25" s="1914"/>
      <c r="P25" s="1914"/>
      <c r="Q25" s="1914"/>
      <c r="R25" s="1914"/>
      <c r="S25" s="1914"/>
      <c r="T25" s="1167"/>
    </row>
    <row r="26" spans="2:20">
      <c r="B26" s="1167"/>
      <c r="C26" s="1167"/>
      <c r="D26" s="1414"/>
      <c r="E26" s="1414"/>
      <c r="F26" s="1414"/>
      <c r="G26" s="1414"/>
      <c r="H26" s="1414"/>
      <c r="I26" s="1414"/>
      <c r="J26" s="1414"/>
      <c r="K26" s="1414"/>
      <c r="L26" s="1414"/>
      <c r="M26" s="1414"/>
      <c r="N26" s="1414"/>
      <c r="O26" s="1414"/>
      <c r="P26" s="1414"/>
      <c r="Q26" s="1414"/>
      <c r="R26" s="1414"/>
      <c r="S26" s="1414"/>
      <c r="T26" s="1167"/>
    </row>
    <row r="27" spans="2:20">
      <c r="B27" s="1167"/>
      <c r="C27" s="1167">
        <v>6</v>
      </c>
      <c r="D27" s="2674" t="s">
        <v>5310</v>
      </c>
      <c r="E27" s="2674"/>
      <c r="F27" s="2674"/>
      <c r="G27" s="2674"/>
      <c r="H27" s="2674"/>
      <c r="I27" s="2674"/>
      <c r="J27" s="2674"/>
      <c r="K27" s="2674"/>
      <c r="L27" s="2674"/>
      <c r="M27" s="2674"/>
      <c r="N27" s="2674"/>
      <c r="O27" s="2674"/>
      <c r="P27" s="2674"/>
      <c r="Q27" s="2674"/>
      <c r="R27" s="2674"/>
      <c r="S27" s="2674"/>
      <c r="T27" s="1167"/>
    </row>
    <row r="28" spans="2:20">
      <c r="B28" s="1167"/>
      <c r="C28" s="1167"/>
      <c r="D28" s="1414"/>
      <c r="E28" s="1414"/>
      <c r="F28" s="1414"/>
      <c r="G28" s="1414"/>
      <c r="H28" s="1414"/>
      <c r="I28" s="1414"/>
      <c r="J28" s="1414"/>
      <c r="K28" s="1414"/>
      <c r="L28" s="1414"/>
      <c r="M28" s="1414"/>
      <c r="N28" s="1414"/>
      <c r="O28" s="1414"/>
      <c r="P28" s="1414"/>
      <c r="Q28" s="1414"/>
      <c r="R28" s="1414"/>
      <c r="S28" s="1414"/>
      <c r="T28" s="1167"/>
    </row>
    <row r="29" spans="2:20">
      <c r="B29" s="1167"/>
      <c r="C29" s="1167">
        <v>7</v>
      </c>
      <c r="D29" s="2674" t="s">
        <v>5311</v>
      </c>
      <c r="E29" s="2674"/>
      <c r="F29" s="2674"/>
      <c r="G29" s="2674"/>
      <c r="H29" s="2674"/>
      <c r="I29" s="2674"/>
      <c r="J29" s="2674"/>
      <c r="K29" s="2674"/>
      <c r="L29" s="2674"/>
      <c r="M29" s="2674"/>
      <c r="N29" s="2674"/>
      <c r="O29" s="2674"/>
      <c r="P29" s="2674"/>
      <c r="Q29" s="2674"/>
      <c r="R29" s="2674"/>
      <c r="S29" s="2674"/>
      <c r="T29" s="1167"/>
    </row>
    <row r="30" spans="2:20">
      <c r="B30" s="1167"/>
      <c r="C30" s="1167"/>
      <c r="D30" s="1414"/>
      <c r="E30" s="1414"/>
      <c r="F30" s="1414"/>
      <c r="G30" s="1414"/>
      <c r="H30" s="1414"/>
      <c r="I30" s="1414"/>
      <c r="J30" s="1414"/>
      <c r="K30" s="1414"/>
      <c r="L30" s="1414"/>
      <c r="M30" s="1414"/>
      <c r="N30" s="1414"/>
      <c r="O30" s="1414"/>
      <c r="P30" s="1414"/>
      <c r="Q30" s="1414"/>
      <c r="R30" s="1414"/>
      <c r="S30" s="1414"/>
      <c r="T30" s="1167"/>
    </row>
    <row r="31" spans="2:20">
      <c r="B31" s="1167"/>
      <c r="C31" s="1167">
        <v>8</v>
      </c>
      <c r="D31" s="1914" t="s">
        <v>5312</v>
      </c>
      <c r="E31" s="1914"/>
      <c r="F31" s="1914"/>
      <c r="G31" s="1914"/>
      <c r="H31" s="1914"/>
      <c r="I31" s="1914"/>
      <c r="J31" s="1914"/>
      <c r="K31" s="1914"/>
      <c r="L31" s="1914"/>
      <c r="M31" s="1914"/>
      <c r="N31" s="1914"/>
      <c r="O31" s="1914"/>
      <c r="P31" s="1914"/>
      <c r="Q31" s="1914"/>
      <c r="R31" s="1914"/>
      <c r="S31" s="1914"/>
      <c r="T31" s="1167"/>
    </row>
    <row r="32" spans="2:20">
      <c r="B32" s="1167"/>
      <c r="C32" s="1167"/>
      <c r="D32" s="1914"/>
      <c r="E32" s="1914"/>
      <c r="F32" s="1914"/>
      <c r="G32" s="1914"/>
      <c r="H32" s="1914"/>
      <c r="I32" s="1914"/>
      <c r="J32" s="1914"/>
      <c r="K32" s="1914"/>
      <c r="L32" s="1914"/>
      <c r="M32" s="1914"/>
      <c r="N32" s="1914"/>
      <c r="O32" s="1914"/>
      <c r="P32" s="1914"/>
      <c r="Q32" s="1914"/>
      <c r="R32" s="1914"/>
      <c r="S32" s="1914"/>
      <c r="T32" s="1167"/>
    </row>
    <row r="33" spans="2:20">
      <c r="B33" s="1167"/>
      <c r="C33" s="1167"/>
      <c r="D33" s="1410"/>
      <c r="E33" s="1410"/>
      <c r="F33" s="1410"/>
      <c r="G33" s="1410"/>
      <c r="H33" s="1410"/>
      <c r="I33" s="1410"/>
      <c r="J33" s="1410"/>
      <c r="K33" s="1410"/>
      <c r="L33" s="1410"/>
      <c r="M33" s="1410"/>
      <c r="N33" s="1410"/>
      <c r="O33" s="1410"/>
      <c r="P33" s="1410"/>
      <c r="Q33" s="1410"/>
      <c r="R33" s="1410"/>
      <c r="S33" s="1410"/>
      <c r="T33" s="1167"/>
    </row>
    <row r="34" spans="2:20">
      <c r="B34" s="1167"/>
      <c r="C34" s="1167">
        <v>9</v>
      </c>
      <c r="D34" s="1914" t="s">
        <v>5313</v>
      </c>
      <c r="E34" s="1914"/>
      <c r="F34" s="1914"/>
      <c r="G34" s="1914"/>
      <c r="H34" s="1914"/>
      <c r="I34" s="1914"/>
      <c r="J34" s="1914"/>
      <c r="K34" s="1914"/>
      <c r="L34" s="1914"/>
      <c r="M34" s="1914"/>
      <c r="N34" s="1914"/>
      <c r="O34" s="1914"/>
      <c r="P34" s="1914"/>
      <c r="Q34" s="1914"/>
      <c r="R34" s="1914"/>
      <c r="S34" s="1914"/>
      <c r="T34" s="1167"/>
    </row>
    <row r="35" spans="2:20">
      <c r="B35" s="1167"/>
      <c r="C35" s="1167"/>
      <c r="D35" s="1914"/>
      <c r="E35" s="1914"/>
      <c r="F35" s="1914"/>
      <c r="G35" s="1914"/>
      <c r="H35" s="1914"/>
      <c r="I35" s="1914"/>
      <c r="J35" s="1914"/>
      <c r="K35" s="1914"/>
      <c r="L35" s="1914"/>
      <c r="M35" s="1914"/>
      <c r="N35" s="1914"/>
      <c r="O35" s="1914"/>
      <c r="P35" s="1914"/>
      <c r="Q35" s="1914"/>
      <c r="R35" s="1914"/>
      <c r="S35" s="1914"/>
      <c r="T35" s="1167"/>
    </row>
    <row r="36" spans="2:20">
      <c r="B36" s="1167"/>
      <c r="C36" s="1167"/>
      <c r="D36" s="1167"/>
      <c r="E36" s="1167"/>
      <c r="F36" s="1167"/>
      <c r="G36" s="1167"/>
      <c r="H36" s="1167"/>
      <c r="I36" s="1167"/>
      <c r="J36" s="1167"/>
      <c r="K36" s="1167"/>
      <c r="L36" s="1167"/>
      <c r="M36" s="1167"/>
      <c r="N36" s="1167"/>
      <c r="O36" s="1167"/>
      <c r="P36" s="1167"/>
      <c r="Q36" s="1167"/>
      <c r="R36" s="1167"/>
      <c r="S36" s="1167"/>
      <c r="T36" s="1167"/>
    </row>
    <row r="37" spans="2:20">
      <c r="B37" s="1167"/>
      <c r="C37" s="1167"/>
      <c r="D37" s="1167"/>
      <c r="E37" s="1167"/>
      <c r="F37" s="1167"/>
      <c r="G37" s="1167"/>
      <c r="H37" s="1167"/>
      <c r="I37" s="1167"/>
      <c r="J37" s="1167"/>
      <c r="K37" s="1167"/>
      <c r="L37" s="1167"/>
      <c r="M37" s="1167"/>
      <c r="N37" s="1167"/>
      <c r="O37" s="1167"/>
      <c r="P37" s="1167"/>
      <c r="Q37" s="1167"/>
      <c r="R37" s="1167"/>
      <c r="S37" s="1167"/>
      <c r="T37" s="1167"/>
    </row>
    <row r="38" spans="2:20">
      <c r="B38" s="1167"/>
      <c r="C38" s="1167" t="s">
        <v>4</v>
      </c>
      <c r="D38" s="2679"/>
      <c r="E38" s="2681"/>
      <c r="F38" s="1167"/>
      <c r="G38" s="2679"/>
      <c r="H38" s="2680"/>
      <c r="I38" s="2680"/>
      <c r="J38" s="2680"/>
      <c r="K38" s="2680"/>
      <c r="L38" s="2680"/>
      <c r="M38" s="2680"/>
      <c r="N38" s="2681"/>
      <c r="O38" s="1167"/>
      <c r="P38" s="1167"/>
      <c r="Q38" s="1167"/>
      <c r="R38" s="1167"/>
      <c r="S38" s="1167"/>
      <c r="T38" s="1167"/>
    </row>
    <row r="39" spans="2:20">
      <c r="B39" s="1167"/>
      <c r="C39" s="1167"/>
      <c r="D39" s="1167"/>
      <c r="E39" s="1167"/>
      <c r="F39" s="1167"/>
      <c r="G39" s="1167" t="s">
        <v>5314</v>
      </c>
      <c r="H39" s="1167"/>
      <c r="I39" s="1167"/>
      <c r="J39" s="1167"/>
      <c r="K39" s="1167"/>
      <c r="L39" s="1167"/>
      <c r="M39" s="1167"/>
      <c r="N39" s="1167"/>
      <c r="O39" s="1167"/>
      <c r="P39" s="1167"/>
      <c r="Q39" s="1167"/>
      <c r="R39" s="1167"/>
      <c r="S39" s="1167"/>
      <c r="T39" s="1167"/>
    </row>
    <row r="40" spans="2:20">
      <c r="B40" s="1167"/>
      <c r="C40" s="1167"/>
      <c r="D40" s="1167"/>
      <c r="E40" s="1167"/>
      <c r="F40" s="1167"/>
      <c r="G40" s="1167" t="s">
        <v>5315</v>
      </c>
      <c r="H40" s="1167"/>
      <c r="I40" s="1167"/>
      <c r="J40" s="1167"/>
      <c r="K40" s="1167"/>
      <c r="L40" s="1167"/>
      <c r="M40" s="1167"/>
      <c r="N40" s="1167"/>
      <c r="O40" s="1167"/>
      <c r="P40" s="1167"/>
      <c r="Q40" s="1167"/>
      <c r="R40" s="1167"/>
      <c r="S40" s="1167"/>
      <c r="T40" s="1167"/>
    </row>
    <row r="41" spans="2:20">
      <c r="B41" s="1167"/>
      <c r="C41" s="1167"/>
      <c r="D41" s="1167"/>
      <c r="E41" s="1167"/>
      <c r="F41" s="1167"/>
      <c r="G41" s="1167"/>
      <c r="H41" s="1167"/>
      <c r="I41" s="1167"/>
      <c r="J41" s="1167"/>
      <c r="K41" s="1167"/>
      <c r="L41" s="1167"/>
      <c r="M41" s="1167"/>
      <c r="N41" s="1167"/>
      <c r="O41" s="1167"/>
      <c r="P41" s="1167"/>
      <c r="Q41" s="1167"/>
      <c r="R41" s="1167"/>
      <c r="S41" s="1167"/>
      <c r="T41" s="1167"/>
    </row>
    <row r="42" spans="2:20">
      <c r="B42" s="1167"/>
      <c r="C42" s="2682" t="str">
        <f>IF('3. Project Location'!D6&lt;&gt;"",'3. Project Location'!D6,"")</f>
        <v/>
      </c>
      <c r="D42" s="2683"/>
      <c r="E42" s="2683"/>
      <c r="F42" s="2683"/>
      <c r="G42" s="2683"/>
      <c r="H42" s="2684"/>
      <c r="I42" s="1167"/>
      <c r="J42" s="1180" t="s">
        <v>5301</v>
      </c>
      <c r="K42" s="2679"/>
      <c r="L42" s="2680"/>
      <c r="M42" s="2680"/>
      <c r="N42" s="2680"/>
      <c r="O42" s="2681"/>
      <c r="P42" s="1167"/>
      <c r="Q42" s="1167"/>
      <c r="R42" s="1167"/>
      <c r="S42" s="1167"/>
      <c r="T42" s="1167"/>
    </row>
    <row r="43" spans="2:20">
      <c r="B43" s="1167"/>
      <c r="C43" s="1167" t="s">
        <v>5316</v>
      </c>
      <c r="D43" s="1167"/>
      <c r="E43" s="1167"/>
      <c r="F43" s="1167"/>
      <c r="G43" s="1167"/>
      <c r="H43" s="1167"/>
      <c r="I43" s="1167"/>
      <c r="J43" s="1180" t="s">
        <v>5317</v>
      </c>
      <c r="K43" s="2679"/>
      <c r="L43" s="2680"/>
      <c r="M43" s="2680"/>
      <c r="N43" s="2680"/>
      <c r="O43" s="2681"/>
      <c r="P43" s="1167"/>
      <c r="Q43" s="1167"/>
      <c r="R43" s="1167"/>
      <c r="S43" s="1167"/>
      <c r="T43" s="1167"/>
    </row>
    <row r="44" spans="2:20">
      <c r="B44" s="1167"/>
      <c r="C44" s="1167"/>
      <c r="D44" s="1167"/>
      <c r="E44" s="1167"/>
      <c r="F44" s="1167"/>
      <c r="G44" s="1167"/>
      <c r="H44" s="1167"/>
      <c r="I44" s="1167"/>
      <c r="J44" s="1167"/>
      <c r="K44" s="1167"/>
      <c r="L44" s="1167"/>
      <c r="M44" s="1167"/>
      <c r="N44" s="1167"/>
      <c r="O44" s="1167"/>
      <c r="P44" s="1167"/>
      <c r="Q44" s="1167"/>
      <c r="R44" s="1167"/>
      <c r="S44" s="1167"/>
      <c r="T44" s="1167"/>
    </row>
    <row r="45" spans="2:20">
      <c r="B45" s="1167"/>
      <c r="C45" s="1167"/>
      <c r="D45" s="1167"/>
      <c r="E45" s="1167"/>
      <c r="F45" s="1167"/>
      <c r="G45" s="1167"/>
      <c r="H45" s="1167"/>
      <c r="I45" s="1167"/>
      <c r="J45" s="1167"/>
      <c r="K45" s="1167"/>
      <c r="L45" s="1167"/>
      <c r="M45" s="1167"/>
      <c r="N45" s="1167"/>
      <c r="O45" s="1167"/>
      <c r="P45" s="1167"/>
      <c r="Q45" s="1167"/>
      <c r="R45" s="1167"/>
      <c r="S45" s="1167"/>
      <c r="T45" s="1167"/>
    </row>
    <row r="46" spans="2:20">
      <c r="B46" s="1167"/>
      <c r="C46" s="1167"/>
      <c r="D46" s="1167"/>
      <c r="E46" s="1167"/>
      <c r="F46" s="1167"/>
      <c r="G46" s="1167"/>
      <c r="H46" s="1167"/>
      <c r="I46" s="1167"/>
      <c r="J46" s="1167"/>
      <c r="K46" s="1167"/>
      <c r="L46" s="1167"/>
      <c r="M46" s="1167"/>
      <c r="N46" s="1167"/>
      <c r="O46" s="1167"/>
      <c r="P46" s="1167"/>
      <c r="Q46" s="1167"/>
      <c r="R46" s="1167"/>
      <c r="S46" s="1167"/>
      <c r="T46" s="1167"/>
    </row>
    <row r="47" spans="2:20">
      <c r="B47" s="1167"/>
      <c r="C47" s="1167" t="s">
        <v>5318</v>
      </c>
      <c r="D47" s="1167"/>
      <c r="E47" s="1167"/>
      <c r="F47" s="1167"/>
      <c r="G47" s="1167"/>
      <c r="H47" s="1167"/>
      <c r="I47" s="1167"/>
      <c r="J47" s="1180" t="s">
        <v>5301</v>
      </c>
      <c r="K47" s="2679"/>
      <c r="L47" s="2680"/>
      <c r="M47" s="2680"/>
      <c r="N47" s="2680"/>
      <c r="O47" s="2681"/>
      <c r="P47" s="1167"/>
      <c r="Q47" s="1167"/>
      <c r="R47" s="1167"/>
      <c r="S47" s="1167"/>
      <c r="T47" s="1167"/>
    </row>
    <row r="48" spans="2:20">
      <c r="B48" s="1167"/>
      <c r="C48" s="1167"/>
      <c r="D48" s="1167"/>
      <c r="E48" s="1167"/>
      <c r="F48" s="1167"/>
      <c r="G48" s="1167"/>
      <c r="H48" s="1167"/>
      <c r="I48" s="1167"/>
      <c r="J48" s="1180" t="s">
        <v>5317</v>
      </c>
      <c r="K48" s="2679"/>
      <c r="L48" s="2680"/>
      <c r="M48" s="2680"/>
      <c r="N48" s="2680"/>
      <c r="O48" s="2681"/>
      <c r="P48" s="1167"/>
      <c r="Q48" s="1167"/>
      <c r="R48" s="1167"/>
      <c r="S48" s="1167"/>
      <c r="T48" s="1167"/>
    </row>
    <row r="49" spans="2:20">
      <c r="B49" s="1167"/>
      <c r="C49" s="1167"/>
      <c r="D49" s="1167"/>
      <c r="E49" s="1167"/>
      <c r="F49" s="1167"/>
      <c r="G49" s="1167"/>
      <c r="H49" s="1167"/>
      <c r="I49" s="1167"/>
      <c r="J49" s="1167"/>
      <c r="K49" s="1167"/>
      <c r="L49" s="1167"/>
      <c r="M49" s="1167"/>
      <c r="N49" s="1167"/>
      <c r="O49" s="1167"/>
      <c r="P49" s="1167"/>
      <c r="Q49" s="1167"/>
      <c r="R49" s="1167"/>
      <c r="S49" s="1167"/>
      <c r="T49" s="1167"/>
    </row>
    <row r="50" spans="2:20">
      <c r="B50" s="1167"/>
      <c r="C50" s="1167"/>
      <c r="D50" s="1167"/>
      <c r="E50" s="1167"/>
      <c r="F50" s="1167"/>
      <c r="G50" s="1167"/>
      <c r="H50" s="1167"/>
      <c r="I50" s="1167"/>
      <c r="J50" s="1167"/>
      <c r="K50" s="1167"/>
      <c r="L50" s="1167"/>
      <c r="M50" s="1167"/>
      <c r="N50" s="1167"/>
      <c r="O50" s="1167"/>
      <c r="P50" s="1167"/>
      <c r="Q50" s="1167"/>
      <c r="R50" s="1167"/>
      <c r="S50" s="1167"/>
      <c r="T50" s="1167"/>
    </row>
    <row r="51" spans="2:20">
      <c r="B51" s="1167"/>
      <c r="C51" s="1180" t="s">
        <v>5301</v>
      </c>
      <c r="D51" s="2679"/>
      <c r="E51" s="2680"/>
      <c r="F51" s="2680"/>
      <c r="G51" s="2680"/>
      <c r="H51" s="2681"/>
      <c r="I51" s="1167"/>
      <c r="J51" s="1167"/>
      <c r="K51" s="1167"/>
      <c r="L51" s="1167"/>
      <c r="M51" s="1167"/>
      <c r="N51" s="1167"/>
      <c r="O51" s="1167"/>
      <c r="P51" s="1167"/>
      <c r="Q51" s="1167"/>
      <c r="R51" s="1167"/>
      <c r="S51" s="1167"/>
      <c r="T51" s="1167"/>
    </row>
    <row r="52" spans="2:20">
      <c r="B52" s="1167"/>
      <c r="C52" s="1180" t="s">
        <v>5317</v>
      </c>
      <c r="D52" s="2679"/>
      <c r="E52" s="2680"/>
      <c r="F52" s="2680"/>
      <c r="G52" s="2680"/>
      <c r="H52" s="2681"/>
      <c r="I52" s="1167"/>
      <c r="J52" s="1180" t="s">
        <v>5301</v>
      </c>
      <c r="K52" s="2679"/>
      <c r="L52" s="2680"/>
      <c r="M52" s="2680"/>
      <c r="N52" s="2680"/>
      <c r="O52" s="2681"/>
      <c r="P52" s="1167"/>
      <c r="Q52" s="1167"/>
      <c r="R52" s="1167"/>
      <c r="S52" s="1167"/>
      <c r="T52" s="1167"/>
    </row>
    <row r="53" spans="2:20">
      <c r="B53" s="1167"/>
      <c r="C53" s="1167"/>
      <c r="D53" s="1167"/>
      <c r="E53" s="1167"/>
      <c r="F53" s="1167"/>
      <c r="G53" s="1167"/>
      <c r="H53" s="1167"/>
      <c r="I53" s="1167"/>
      <c r="J53" s="1180" t="s">
        <v>5317</v>
      </c>
      <c r="K53" s="2679"/>
      <c r="L53" s="2680"/>
      <c r="M53" s="2680"/>
      <c r="N53" s="2680"/>
      <c r="O53" s="2681"/>
      <c r="P53" s="1167"/>
      <c r="Q53" s="1167"/>
      <c r="R53" s="1167"/>
      <c r="S53" s="1167"/>
      <c r="T53" s="1167"/>
    </row>
    <row r="54" spans="2:20">
      <c r="B54" s="1167"/>
      <c r="C54" s="1180"/>
      <c r="D54" s="1167"/>
      <c r="E54" s="1167"/>
      <c r="F54" s="1167"/>
      <c r="G54" s="1167"/>
      <c r="H54" s="1167"/>
      <c r="I54" s="1167"/>
      <c r="J54" s="1167"/>
      <c r="K54" s="1167"/>
      <c r="L54" s="1167"/>
      <c r="M54" s="1167"/>
      <c r="N54" s="1167"/>
      <c r="O54" s="1167"/>
      <c r="P54" s="1167"/>
      <c r="Q54" s="1167"/>
      <c r="R54" s="1167"/>
      <c r="S54" s="1167"/>
      <c r="T54" s="1167"/>
    </row>
    <row r="55" spans="2:20">
      <c r="B55" s="1167"/>
      <c r="C55" s="1180" t="s">
        <v>4</v>
      </c>
      <c r="D55" s="2679"/>
      <c r="E55" s="2681"/>
      <c r="F55" s="1167"/>
      <c r="G55" s="1167"/>
      <c r="H55" s="1167"/>
      <c r="I55" s="1167"/>
      <c r="J55" s="1167"/>
      <c r="K55" s="1167"/>
      <c r="L55" s="1167"/>
      <c r="M55" s="1167"/>
      <c r="N55" s="1167"/>
      <c r="O55" s="1167"/>
      <c r="P55" s="1167"/>
      <c r="Q55" s="1167"/>
      <c r="R55" s="1167"/>
      <c r="S55" s="1167"/>
      <c r="T55" s="1167"/>
    </row>
    <row r="56" spans="2:20">
      <c r="B56" s="1167"/>
      <c r="C56" s="1167"/>
      <c r="D56" s="1167"/>
      <c r="E56" s="1167"/>
      <c r="F56" s="1167"/>
      <c r="G56" s="1167"/>
      <c r="H56" s="1167"/>
      <c r="I56" s="1167"/>
      <c r="J56" s="1167"/>
      <c r="K56" s="1167"/>
      <c r="L56" s="1167"/>
      <c r="M56" s="1167"/>
      <c r="N56" s="1167"/>
      <c r="O56" s="1167"/>
      <c r="P56" s="1167"/>
      <c r="Q56" s="1167"/>
      <c r="R56" s="1167"/>
      <c r="S56" s="1167"/>
      <c r="T56" s="1167"/>
    </row>
  </sheetData>
  <sheetProtection algorithmName="SHA-512" hashValue="VZu5wsbggxsjarYWqtJv3fWWDMzVMO14elvKtYL3I44YMPjCsrw3nMT0NKQrKFY85YSkLhfEYz5iVqDOzb6+2w==" saltValue="UHW8lg4Bc20dR/EDLaPSJA==" spinCount="100000" sheet="1" objects="1" scenarios="1" selectLockedCells="1"/>
  <mergeCells count="22">
    <mergeCell ref="D52:H52"/>
    <mergeCell ref="K52:O52"/>
    <mergeCell ref="K53:O53"/>
    <mergeCell ref="D55:E55"/>
    <mergeCell ref="G38:N38"/>
    <mergeCell ref="C42:H42"/>
    <mergeCell ref="K42:O42"/>
    <mergeCell ref="K43:O43"/>
    <mergeCell ref="K47:O47"/>
    <mergeCell ref="K48:O48"/>
    <mergeCell ref="D51:H51"/>
    <mergeCell ref="D27:S27"/>
    <mergeCell ref="D29:S29"/>
    <mergeCell ref="D31:S32"/>
    <mergeCell ref="D34:S35"/>
    <mergeCell ref="D38:E38"/>
    <mergeCell ref="D24:S25"/>
    <mergeCell ref="B6:S7"/>
    <mergeCell ref="D9:S11"/>
    <mergeCell ref="D12:S14"/>
    <mergeCell ref="D16:S17"/>
    <mergeCell ref="D19:S22"/>
  </mergeCells>
  <dataValidations count="1">
    <dataValidation type="custom" allowBlank="1" showInputMessage="1" showErrorMessage="1" sqref="J1" xr:uid="{D9B1F450-1491-408D-BF99-C24FF5A9165A}">
      <formula1>"&lt;0&gt;0"</formula1>
    </dataValidation>
  </dataValidations>
  <pageMargins left="0.7" right="0.7" top="0.75" bottom="0.75" header="0.3" footer="0.3"/>
  <pageSetup scale="47" orientation="portrait" r:id="rId1"/>
  <headerFooter>
    <oddHeader>&amp;L&amp;G</oddHeader>
    <oddFooter>&amp;LVersion - 2023.0.01&amp;CWHEDA MULTIFAMILY APPLICATION&amp;R&amp;P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CC8D-E592-4546-BCAF-0D32ED4BD034}">
  <dimension ref="A2:S1533"/>
  <sheetViews>
    <sheetView workbookViewId="0"/>
  </sheetViews>
  <sheetFormatPr baseColWidth="10" defaultColWidth="8.83203125" defaultRowHeight="15"/>
  <cols>
    <col min="2" max="2" width="45.33203125" bestFit="1" customWidth="1"/>
    <col min="5" max="5" width="39.83203125" customWidth="1"/>
    <col min="6" max="6" width="24.6640625" bestFit="1" customWidth="1"/>
    <col min="8" max="8" width="37.33203125" bestFit="1" customWidth="1"/>
    <col min="11" max="11" width="39.1640625" bestFit="1" customWidth="1"/>
    <col min="14" max="14" width="9.5" bestFit="1" customWidth="1"/>
    <col min="16" max="16" width="39.1640625" bestFit="1" customWidth="1"/>
  </cols>
  <sheetData>
    <row r="2" spans="2:19" ht="29.25" customHeight="1"/>
    <row r="3" spans="2:19" ht="45.75" customHeight="1">
      <c r="B3" s="2685" t="s">
        <v>5319</v>
      </c>
      <c r="C3" s="2685"/>
      <c r="D3" s="554"/>
      <c r="E3" s="2686" t="s">
        <v>5320</v>
      </c>
      <c r="F3" s="2686"/>
      <c r="G3" s="554"/>
      <c r="H3" s="1741" t="s">
        <v>5321</v>
      </c>
      <c r="I3" s="900"/>
      <c r="K3" s="2692" t="s">
        <v>5322</v>
      </c>
      <c r="L3" s="2693"/>
      <c r="M3" s="2693"/>
      <c r="N3" s="2693"/>
      <c r="P3" s="2690" t="s">
        <v>5323</v>
      </c>
      <c r="Q3" s="2690"/>
      <c r="R3" s="2690"/>
      <c r="S3" s="2690"/>
    </row>
    <row r="4" spans="2:19" ht="143.25" customHeight="1">
      <c r="B4" s="2687" t="s">
        <v>5324</v>
      </c>
      <c r="C4" s="2688"/>
      <c r="D4" s="554"/>
      <c r="E4" s="2689" t="s">
        <v>5325</v>
      </c>
      <c r="F4" s="2689"/>
      <c r="G4" s="554"/>
      <c r="H4" s="2689" t="s">
        <v>5326</v>
      </c>
      <c r="I4" s="2689"/>
      <c r="J4" s="1742"/>
      <c r="K4" s="2691" t="s">
        <v>5327</v>
      </c>
      <c r="L4" s="2691"/>
      <c r="M4" s="2691"/>
      <c r="N4" s="2691"/>
      <c r="P4" s="2691" t="s">
        <v>5328</v>
      </c>
      <c r="Q4" s="2691"/>
      <c r="R4" s="2691"/>
      <c r="S4" s="2691"/>
    </row>
    <row r="5" spans="2:19">
      <c r="B5" s="903">
        <v>1</v>
      </c>
      <c r="C5" s="903">
        <v>2</v>
      </c>
      <c r="D5" s="903">
        <v>3</v>
      </c>
      <c r="E5" s="903">
        <v>7</v>
      </c>
      <c r="F5" s="903">
        <v>8</v>
      </c>
      <c r="G5" s="903">
        <v>9</v>
      </c>
      <c r="H5" s="903">
        <v>10</v>
      </c>
      <c r="I5" s="903">
        <v>11</v>
      </c>
      <c r="J5" s="903">
        <v>12</v>
      </c>
      <c r="K5" s="903">
        <v>13</v>
      </c>
      <c r="L5" s="903">
        <v>14</v>
      </c>
      <c r="M5" s="903">
        <v>15</v>
      </c>
      <c r="N5" s="903">
        <v>16</v>
      </c>
      <c r="O5" s="903">
        <v>17</v>
      </c>
      <c r="P5" s="903">
        <v>18</v>
      </c>
      <c r="Q5" s="903">
        <v>19</v>
      </c>
      <c r="R5" s="903">
        <v>20</v>
      </c>
      <c r="S5" s="903">
        <v>21</v>
      </c>
    </row>
    <row r="6" spans="2:19" ht="30">
      <c r="B6" s="557" t="s">
        <v>4557</v>
      </c>
      <c r="C6" s="558" t="s">
        <v>5329</v>
      </c>
      <c r="D6" s="559"/>
      <c r="E6" s="557" t="s">
        <v>5330</v>
      </c>
      <c r="F6" s="558" t="s">
        <v>5331</v>
      </c>
      <c r="G6" s="555"/>
      <c r="H6" s="557" t="s">
        <v>4557</v>
      </c>
      <c r="I6" s="558" t="s">
        <v>5329</v>
      </c>
      <c r="J6" s="661"/>
      <c r="K6" s="905" t="s">
        <v>4557</v>
      </c>
      <c r="L6" s="906" t="s">
        <v>5332</v>
      </c>
      <c r="M6" s="660"/>
      <c r="N6" s="659"/>
      <c r="P6" s="557" t="s">
        <v>4557</v>
      </c>
      <c r="Q6" s="904" t="s">
        <v>5332</v>
      </c>
      <c r="R6" s="664"/>
      <c r="S6" s="659"/>
    </row>
    <row r="7" spans="2:19">
      <c r="B7" s="890" t="s">
        <v>5333</v>
      </c>
      <c r="C7" s="890">
        <v>10</v>
      </c>
      <c r="D7" s="556"/>
      <c r="E7" s="890" t="s">
        <v>5334</v>
      </c>
      <c r="F7" s="890">
        <v>3</v>
      </c>
      <c r="G7" s="555"/>
      <c r="H7" s="890" t="s">
        <v>5335</v>
      </c>
      <c r="I7" s="890">
        <v>1</v>
      </c>
      <c r="J7" s="556"/>
      <c r="K7" s="890" t="s">
        <v>5333</v>
      </c>
      <c r="L7" s="890">
        <v>4</v>
      </c>
      <c r="M7" s="663"/>
      <c r="N7" s="697"/>
      <c r="P7" s="890" t="s">
        <v>5333</v>
      </c>
      <c r="Q7" s="890">
        <v>1</v>
      </c>
      <c r="R7" s="663"/>
      <c r="S7" s="697"/>
    </row>
    <row r="8" spans="2:19">
      <c r="B8" s="890" t="s">
        <v>5336</v>
      </c>
      <c r="C8" s="890">
        <v>10</v>
      </c>
      <c r="D8" s="556"/>
      <c r="E8" s="890" t="s">
        <v>5337</v>
      </c>
      <c r="F8" s="890">
        <v>3</v>
      </c>
      <c r="G8" s="555"/>
      <c r="H8" s="890" t="s">
        <v>5338</v>
      </c>
      <c r="I8" s="890">
        <v>3</v>
      </c>
      <c r="J8" s="556"/>
      <c r="K8" s="890" t="s">
        <v>5339</v>
      </c>
      <c r="L8" s="890">
        <v>2</v>
      </c>
      <c r="M8" s="662"/>
      <c r="N8" s="697"/>
      <c r="P8" s="890" t="s">
        <v>5340</v>
      </c>
      <c r="Q8" s="890">
        <v>3</v>
      </c>
      <c r="R8" s="662"/>
      <c r="S8" s="697"/>
    </row>
    <row r="9" spans="2:19">
      <c r="B9" s="890" t="s">
        <v>5341</v>
      </c>
      <c r="C9" s="890">
        <v>10</v>
      </c>
      <c r="D9" s="556"/>
      <c r="E9" s="890" t="s">
        <v>5342</v>
      </c>
      <c r="F9" s="890">
        <v>3</v>
      </c>
      <c r="G9" s="555"/>
      <c r="H9" s="890" t="s">
        <v>5343</v>
      </c>
      <c r="I9" s="890">
        <v>3</v>
      </c>
      <c r="J9" s="556"/>
      <c r="K9" s="890" t="s">
        <v>5335</v>
      </c>
      <c r="L9" s="890">
        <v>4</v>
      </c>
      <c r="M9" s="662"/>
      <c r="N9" s="697"/>
      <c r="P9" s="890" t="s">
        <v>5336</v>
      </c>
      <c r="Q9" s="890">
        <v>1</v>
      </c>
      <c r="R9" s="662"/>
      <c r="S9" s="697"/>
    </row>
    <row r="10" spans="2:19">
      <c r="B10" s="890" t="s">
        <v>5344</v>
      </c>
      <c r="C10" s="890">
        <v>10</v>
      </c>
      <c r="D10" s="556"/>
      <c r="E10" s="890" t="s">
        <v>5345</v>
      </c>
      <c r="F10" s="890">
        <v>3</v>
      </c>
      <c r="G10" s="555"/>
      <c r="H10" s="890" t="s">
        <v>5346</v>
      </c>
      <c r="I10" s="890">
        <v>1</v>
      </c>
      <c r="J10" s="556"/>
      <c r="K10" s="890" t="s">
        <v>5347</v>
      </c>
      <c r="L10" s="890">
        <v>3</v>
      </c>
      <c r="M10" s="662"/>
      <c r="N10" s="697"/>
      <c r="P10" s="890" t="s">
        <v>5348</v>
      </c>
      <c r="Q10" s="890">
        <v>2</v>
      </c>
      <c r="R10" s="662"/>
      <c r="S10" s="697"/>
    </row>
    <row r="11" spans="2:19">
      <c r="B11" s="890" t="s">
        <v>5349</v>
      </c>
      <c r="C11" s="890">
        <v>8</v>
      </c>
      <c r="D11" s="556"/>
      <c r="E11" s="890" t="s">
        <v>5350</v>
      </c>
      <c r="F11" s="890">
        <v>3</v>
      </c>
      <c r="G11" s="555"/>
      <c r="H11" s="890" t="s">
        <v>5351</v>
      </c>
      <c r="I11" s="890">
        <v>1</v>
      </c>
      <c r="J11" s="556"/>
      <c r="K11" s="890" t="s">
        <v>5352</v>
      </c>
      <c r="L11" s="890">
        <v>4</v>
      </c>
      <c r="M11" s="662"/>
      <c r="N11" s="697"/>
      <c r="P11" s="890" t="s">
        <v>5353</v>
      </c>
      <c r="Q11" s="890">
        <v>3</v>
      </c>
      <c r="R11" s="662"/>
      <c r="S11" s="697"/>
    </row>
    <row r="12" spans="2:19">
      <c r="B12" s="890" t="s">
        <v>5338</v>
      </c>
      <c r="C12" s="890">
        <v>8</v>
      </c>
      <c r="D12" s="556"/>
      <c r="E12" s="890" t="s">
        <v>5354</v>
      </c>
      <c r="F12" s="890">
        <v>3</v>
      </c>
      <c r="G12" s="555"/>
      <c r="H12" s="890" t="s">
        <v>5355</v>
      </c>
      <c r="I12" s="890">
        <v>3</v>
      </c>
      <c r="J12" s="556"/>
      <c r="K12" s="890" t="s">
        <v>5336</v>
      </c>
      <c r="L12" s="890">
        <v>2</v>
      </c>
      <c r="M12" s="662"/>
      <c r="N12" s="697"/>
      <c r="P12" s="890" t="s">
        <v>5356</v>
      </c>
      <c r="Q12" s="890">
        <v>1</v>
      </c>
      <c r="R12" s="662"/>
      <c r="S12" s="697"/>
    </row>
    <row r="13" spans="2:19">
      <c r="B13" s="890" t="s">
        <v>5357</v>
      </c>
      <c r="C13" s="890">
        <v>8</v>
      </c>
      <c r="D13" s="556"/>
      <c r="E13" s="890" t="s">
        <v>5358</v>
      </c>
      <c r="F13" s="890">
        <v>3</v>
      </c>
      <c r="G13" s="555"/>
      <c r="H13" s="890" t="s">
        <v>5359</v>
      </c>
      <c r="I13" s="890">
        <v>1</v>
      </c>
      <c r="J13" s="556"/>
      <c r="K13" s="890" t="s">
        <v>5344</v>
      </c>
      <c r="L13" s="890">
        <v>4</v>
      </c>
      <c r="M13" s="662"/>
      <c r="N13" s="697"/>
      <c r="P13" s="890" t="s">
        <v>5338</v>
      </c>
      <c r="Q13" s="890">
        <v>3</v>
      </c>
      <c r="R13" s="662"/>
      <c r="S13" s="697"/>
    </row>
    <row r="14" spans="2:19">
      <c r="B14" s="890" t="s">
        <v>5343</v>
      </c>
      <c r="C14" s="890">
        <v>8</v>
      </c>
      <c r="D14" s="556"/>
      <c r="E14" s="890" t="s">
        <v>5360</v>
      </c>
      <c r="F14" s="890">
        <v>3</v>
      </c>
      <c r="G14" s="555"/>
      <c r="H14" s="890" t="s">
        <v>5361</v>
      </c>
      <c r="I14" s="890">
        <v>1</v>
      </c>
      <c r="J14" s="556"/>
      <c r="K14" s="890" t="s">
        <v>5356</v>
      </c>
      <c r="L14" s="890">
        <v>3</v>
      </c>
      <c r="M14" s="662"/>
      <c r="N14" s="697"/>
      <c r="P14" s="890" t="s">
        <v>5362</v>
      </c>
      <c r="Q14" s="890">
        <v>1</v>
      </c>
      <c r="R14" s="662"/>
      <c r="S14" s="697"/>
    </row>
    <row r="15" spans="2:19">
      <c r="B15" s="890" t="s">
        <v>5362</v>
      </c>
      <c r="C15" s="890">
        <v>8</v>
      </c>
      <c r="D15" s="556"/>
      <c r="E15" s="890" t="s">
        <v>5363</v>
      </c>
      <c r="F15" s="890">
        <v>3</v>
      </c>
      <c r="G15" s="555"/>
      <c r="H15" s="890" t="s">
        <v>5364</v>
      </c>
      <c r="I15" s="890">
        <v>3</v>
      </c>
      <c r="J15" s="556"/>
      <c r="K15" s="890" t="s">
        <v>5349</v>
      </c>
      <c r="L15" s="890">
        <v>4</v>
      </c>
      <c r="M15" s="662"/>
      <c r="N15" s="697"/>
      <c r="P15" s="890" t="s">
        <v>5365</v>
      </c>
      <c r="Q15" s="890">
        <v>1</v>
      </c>
      <c r="R15" s="662"/>
      <c r="S15" s="697"/>
    </row>
    <row r="16" spans="2:19">
      <c r="B16" s="890" t="s">
        <v>5366</v>
      </c>
      <c r="C16" s="890">
        <v>8</v>
      </c>
      <c r="D16" s="556"/>
      <c r="E16" s="890" t="s">
        <v>5367</v>
      </c>
      <c r="F16" s="890">
        <v>3</v>
      </c>
      <c r="G16" s="555"/>
      <c r="H16" s="890" t="s">
        <v>5368</v>
      </c>
      <c r="I16" s="890">
        <v>1</v>
      </c>
      <c r="J16" s="556"/>
      <c r="K16" s="890" t="s">
        <v>5357</v>
      </c>
      <c r="L16" s="890">
        <v>2</v>
      </c>
      <c r="M16" s="662"/>
      <c r="N16" s="697"/>
      <c r="P16" s="890" t="s">
        <v>5369</v>
      </c>
      <c r="Q16" s="890">
        <v>2</v>
      </c>
      <c r="R16" s="662"/>
      <c r="S16" s="697"/>
    </row>
    <row r="17" spans="2:19">
      <c r="B17" s="890" t="s">
        <v>5370</v>
      </c>
      <c r="C17" s="890">
        <v>8</v>
      </c>
      <c r="D17" s="556"/>
      <c r="E17" s="890" t="s">
        <v>5371</v>
      </c>
      <c r="F17" s="890">
        <v>3</v>
      </c>
      <c r="G17" s="555"/>
      <c r="H17" s="890" t="s">
        <v>5372</v>
      </c>
      <c r="I17" s="890">
        <v>1</v>
      </c>
      <c r="K17" s="890" t="s">
        <v>5365</v>
      </c>
      <c r="L17" s="890">
        <v>2</v>
      </c>
      <c r="M17" s="662"/>
      <c r="N17" s="697"/>
      <c r="P17" s="890" t="s">
        <v>5366</v>
      </c>
      <c r="Q17" s="890">
        <v>3</v>
      </c>
      <c r="R17" s="662"/>
      <c r="S17" s="697"/>
    </row>
    <row r="18" spans="2:19">
      <c r="B18" s="890" t="s">
        <v>5346</v>
      </c>
      <c r="C18" s="890">
        <v>10</v>
      </c>
      <c r="D18" s="556"/>
      <c r="E18" s="890" t="s">
        <v>5373</v>
      </c>
      <c r="F18" s="890">
        <v>3</v>
      </c>
      <c r="G18" s="555"/>
      <c r="H18" s="890" t="s">
        <v>5374</v>
      </c>
      <c r="I18" s="890">
        <v>5</v>
      </c>
      <c r="K18" s="890" t="s">
        <v>5369</v>
      </c>
      <c r="L18" s="890">
        <v>2</v>
      </c>
      <c r="M18" s="662"/>
      <c r="N18" s="697"/>
      <c r="P18" s="890" t="s">
        <v>5370</v>
      </c>
      <c r="Q18" s="890">
        <v>4</v>
      </c>
      <c r="R18" s="662"/>
      <c r="S18" s="697"/>
    </row>
    <row r="19" spans="2:19">
      <c r="B19" s="890" t="s">
        <v>5375</v>
      </c>
      <c r="C19" s="890">
        <v>8</v>
      </c>
      <c r="D19" s="556"/>
      <c r="E19" s="890" t="s">
        <v>5376</v>
      </c>
      <c r="F19" s="890">
        <v>3</v>
      </c>
      <c r="G19" s="555"/>
      <c r="H19" s="890" t="s">
        <v>5377</v>
      </c>
      <c r="I19" s="890">
        <v>1</v>
      </c>
      <c r="K19" s="890" t="s">
        <v>5378</v>
      </c>
      <c r="L19" s="890">
        <v>2</v>
      </c>
      <c r="M19" s="662"/>
      <c r="N19" s="697"/>
      <c r="P19" s="890" t="s">
        <v>5379</v>
      </c>
      <c r="Q19" s="890">
        <v>4</v>
      </c>
      <c r="R19" s="662"/>
      <c r="S19" s="697"/>
    </row>
    <row r="20" spans="2:19">
      <c r="B20" s="890" t="s">
        <v>5351</v>
      </c>
      <c r="C20" s="890">
        <v>8</v>
      </c>
      <c r="D20" s="556"/>
      <c r="E20" s="890" t="s">
        <v>5380</v>
      </c>
      <c r="F20" s="890">
        <v>5</v>
      </c>
      <c r="G20" s="555"/>
      <c r="H20" s="890" t="s">
        <v>5381</v>
      </c>
      <c r="I20" s="890">
        <v>3</v>
      </c>
      <c r="K20" s="890" t="s">
        <v>5346</v>
      </c>
      <c r="L20" s="890">
        <v>2</v>
      </c>
      <c r="M20" s="662"/>
      <c r="N20" s="697"/>
      <c r="P20" s="890" t="s">
        <v>5382</v>
      </c>
      <c r="Q20" s="890">
        <v>3</v>
      </c>
      <c r="R20" s="662"/>
      <c r="S20" s="697"/>
    </row>
    <row r="21" spans="2:19">
      <c r="B21" s="890" t="s">
        <v>5383</v>
      </c>
      <c r="C21" s="890">
        <v>8</v>
      </c>
      <c r="D21" s="556"/>
      <c r="E21" s="890" t="s">
        <v>5384</v>
      </c>
      <c r="F21" s="890">
        <v>5</v>
      </c>
      <c r="G21" s="555"/>
      <c r="H21" s="890" t="s">
        <v>5385</v>
      </c>
      <c r="I21" s="890">
        <v>1</v>
      </c>
      <c r="K21" s="890" t="s">
        <v>5375</v>
      </c>
      <c r="L21" s="890">
        <v>2</v>
      </c>
      <c r="M21" s="662"/>
      <c r="N21" s="697"/>
      <c r="P21" s="890" t="s">
        <v>5378</v>
      </c>
      <c r="Q21" s="890">
        <v>3</v>
      </c>
      <c r="R21" s="662"/>
      <c r="S21" s="697"/>
    </row>
    <row r="22" spans="2:19">
      <c r="B22" s="890" t="s">
        <v>5386</v>
      </c>
      <c r="C22" s="890">
        <v>8</v>
      </c>
      <c r="D22" s="556"/>
      <c r="E22" s="890" t="s">
        <v>5387</v>
      </c>
      <c r="F22" s="890">
        <v>3</v>
      </c>
      <c r="G22" s="555"/>
      <c r="H22" s="890" t="s">
        <v>5388</v>
      </c>
      <c r="I22" s="890">
        <v>5</v>
      </c>
      <c r="K22" s="890" t="s">
        <v>5383</v>
      </c>
      <c r="L22" s="890">
        <v>2</v>
      </c>
      <c r="M22" s="662"/>
      <c r="N22" s="697"/>
      <c r="P22" s="890" t="s">
        <v>5346</v>
      </c>
      <c r="Q22" s="890">
        <v>2</v>
      </c>
      <c r="R22" s="662"/>
      <c r="S22" s="697"/>
    </row>
    <row r="23" spans="2:19">
      <c r="B23" s="890" t="s">
        <v>5389</v>
      </c>
      <c r="C23" s="890">
        <v>8</v>
      </c>
      <c r="D23" s="556"/>
      <c r="E23" s="890" t="s">
        <v>5390</v>
      </c>
      <c r="F23" s="890">
        <v>3</v>
      </c>
      <c r="G23" s="555"/>
      <c r="H23" s="890" t="s">
        <v>5391</v>
      </c>
      <c r="I23" s="890">
        <v>3</v>
      </c>
      <c r="K23" s="890" t="s">
        <v>5355</v>
      </c>
      <c r="L23" s="890">
        <v>4</v>
      </c>
      <c r="M23" s="662"/>
      <c r="N23" s="697"/>
      <c r="P23" s="890" t="s">
        <v>5375</v>
      </c>
      <c r="Q23" s="890">
        <v>1</v>
      </c>
      <c r="R23" s="662"/>
      <c r="S23" s="697"/>
    </row>
    <row r="24" spans="2:19">
      <c r="B24" s="890" t="s">
        <v>5361</v>
      </c>
      <c r="C24" s="890">
        <v>8</v>
      </c>
      <c r="D24" s="556"/>
      <c r="E24" s="890" t="s">
        <v>5392</v>
      </c>
      <c r="F24" s="890">
        <v>3</v>
      </c>
      <c r="G24" s="555"/>
      <c r="H24" s="890" t="s">
        <v>5393</v>
      </c>
      <c r="I24" s="890">
        <v>1</v>
      </c>
      <c r="K24" s="890" t="s">
        <v>5359</v>
      </c>
      <c r="L24" s="890">
        <v>1</v>
      </c>
      <c r="M24" s="662"/>
      <c r="N24" s="697"/>
      <c r="P24" s="890" t="s">
        <v>5394</v>
      </c>
      <c r="Q24" s="890">
        <v>2</v>
      </c>
      <c r="R24" s="662"/>
      <c r="S24" s="697"/>
    </row>
    <row r="25" spans="2:19">
      <c r="B25" s="890" t="s">
        <v>5372</v>
      </c>
      <c r="C25" s="890">
        <v>8</v>
      </c>
      <c r="D25" s="556"/>
      <c r="E25" s="890" t="s">
        <v>5395</v>
      </c>
      <c r="F25" s="890">
        <v>3</v>
      </c>
      <c r="G25" s="555"/>
      <c r="H25" s="890" t="s">
        <v>5396</v>
      </c>
      <c r="I25" s="890">
        <v>1</v>
      </c>
      <c r="K25" s="890" t="s">
        <v>5361</v>
      </c>
      <c r="L25" s="890">
        <v>2</v>
      </c>
      <c r="M25" s="662"/>
      <c r="N25" s="697"/>
      <c r="P25" s="890" t="s">
        <v>5383</v>
      </c>
      <c r="Q25" s="890">
        <v>2</v>
      </c>
      <c r="R25" s="662"/>
      <c r="S25" s="697"/>
    </row>
    <row r="26" spans="2:19">
      <c r="B26" s="890" t="s">
        <v>5377</v>
      </c>
      <c r="C26" s="890">
        <v>8</v>
      </c>
      <c r="D26" s="556"/>
      <c r="E26" s="890" t="s">
        <v>5397</v>
      </c>
      <c r="F26" s="890">
        <v>3</v>
      </c>
      <c r="G26" s="555"/>
      <c r="H26" s="890" t="s">
        <v>5398</v>
      </c>
      <c r="I26" s="890">
        <v>3</v>
      </c>
      <c r="K26" s="890" t="s">
        <v>5364</v>
      </c>
      <c r="L26" s="890">
        <v>3</v>
      </c>
      <c r="M26" s="662"/>
      <c r="N26" s="697"/>
      <c r="P26" s="890" t="s">
        <v>5389</v>
      </c>
      <c r="Q26" s="890">
        <v>1</v>
      </c>
      <c r="R26" s="662"/>
      <c r="S26" s="697"/>
    </row>
    <row r="27" spans="2:19">
      <c r="B27" s="890" t="s">
        <v>5399</v>
      </c>
      <c r="C27" s="890">
        <v>10</v>
      </c>
      <c r="D27" s="556"/>
      <c r="E27" s="890" t="s">
        <v>5400</v>
      </c>
      <c r="F27" s="890">
        <v>3</v>
      </c>
      <c r="G27" s="555"/>
      <c r="H27" s="890" t="s">
        <v>5401</v>
      </c>
      <c r="I27" s="890">
        <v>3</v>
      </c>
      <c r="K27" s="890" t="s">
        <v>5372</v>
      </c>
      <c r="L27" s="890">
        <v>2</v>
      </c>
      <c r="M27" s="662"/>
      <c r="N27" s="697"/>
      <c r="P27" s="890" t="s">
        <v>5402</v>
      </c>
      <c r="Q27" s="890">
        <v>2</v>
      </c>
      <c r="R27" s="662"/>
      <c r="S27" s="697"/>
    </row>
    <row r="28" spans="2:19">
      <c r="B28" s="890" t="s">
        <v>5388</v>
      </c>
      <c r="C28" s="890">
        <v>8</v>
      </c>
      <c r="D28" s="556"/>
      <c r="E28" s="890" t="s">
        <v>5403</v>
      </c>
      <c r="F28" s="890">
        <v>3</v>
      </c>
      <c r="G28" s="555"/>
      <c r="H28" s="890" t="s">
        <v>5404</v>
      </c>
      <c r="I28" s="890">
        <v>3</v>
      </c>
      <c r="K28" s="890" t="s">
        <v>5405</v>
      </c>
      <c r="L28" s="890">
        <v>4</v>
      </c>
      <c r="M28" s="662"/>
      <c r="N28" s="697"/>
      <c r="P28" s="890" t="s">
        <v>5359</v>
      </c>
      <c r="Q28" s="890">
        <v>4</v>
      </c>
      <c r="R28" s="662"/>
      <c r="S28" s="697"/>
    </row>
    <row r="29" spans="2:19">
      <c r="B29" s="890" t="s">
        <v>5391</v>
      </c>
      <c r="C29" s="890">
        <v>10</v>
      </c>
      <c r="D29" s="556"/>
      <c r="E29" s="890" t="s">
        <v>5406</v>
      </c>
      <c r="F29" s="890">
        <v>3</v>
      </c>
      <c r="G29" s="555"/>
      <c r="H29" s="890" t="s">
        <v>5407</v>
      </c>
      <c r="I29" s="890">
        <v>5</v>
      </c>
      <c r="K29" s="890" t="s">
        <v>5408</v>
      </c>
      <c r="L29" s="890">
        <v>2</v>
      </c>
      <c r="M29" s="662"/>
      <c r="N29" s="697"/>
      <c r="P29" s="890" t="s">
        <v>5361</v>
      </c>
      <c r="Q29" s="890">
        <v>1</v>
      </c>
      <c r="R29" s="662"/>
      <c r="S29" s="697"/>
    </row>
    <row r="30" spans="2:19">
      <c r="B30" s="890" t="s">
        <v>5409</v>
      </c>
      <c r="C30" s="890">
        <v>10</v>
      </c>
      <c r="D30" s="556"/>
      <c r="E30" s="890" t="s">
        <v>5410</v>
      </c>
      <c r="F30" s="890">
        <v>3</v>
      </c>
      <c r="G30" s="555"/>
      <c r="H30" s="890" t="s">
        <v>5411</v>
      </c>
      <c r="I30" s="890">
        <v>5</v>
      </c>
      <c r="K30" s="890" t="s">
        <v>5412</v>
      </c>
      <c r="L30" s="890">
        <v>1</v>
      </c>
      <c r="M30" s="662"/>
      <c r="N30" s="697"/>
      <c r="P30" s="890" t="s">
        <v>5364</v>
      </c>
      <c r="Q30" s="890">
        <v>4</v>
      </c>
      <c r="R30" s="662"/>
      <c r="S30" s="697"/>
    </row>
    <row r="31" spans="2:19">
      <c r="B31" s="890" t="s">
        <v>5413</v>
      </c>
      <c r="C31" s="890">
        <v>10</v>
      </c>
      <c r="D31" s="556"/>
      <c r="E31" s="890" t="s">
        <v>5414</v>
      </c>
      <c r="F31" s="890">
        <v>3</v>
      </c>
      <c r="G31" s="555"/>
      <c r="H31" s="890" t="s">
        <v>5415</v>
      </c>
      <c r="I31" s="890">
        <v>5</v>
      </c>
      <c r="K31" s="890" t="s">
        <v>5416</v>
      </c>
      <c r="L31" s="890">
        <v>2</v>
      </c>
      <c r="M31" s="662"/>
      <c r="N31" s="697"/>
      <c r="P31" s="890" t="s">
        <v>5368</v>
      </c>
      <c r="Q31" s="890">
        <v>4</v>
      </c>
      <c r="R31" s="662"/>
      <c r="S31" s="697"/>
    </row>
    <row r="32" spans="2:19">
      <c r="B32" s="890" t="s">
        <v>5396</v>
      </c>
      <c r="C32" s="890">
        <v>10</v>
      </c>
      <c r="D32" s="556"/>
      <c r="E32" s="890" t="s">
        <v>5417</v>
      </c>
      <c r="F32" s="890">
        <v>5</v>
      </c>
      <c r="G32" s="555"/>
      <c r="H32" s="890" t="s">
        <v>5418</v>
      </c>
      <c r="I32" s="890">
        <v>3</v>
      </c>
      <c r="K32" s="890" t="s">
        <v>5399</v>
      </c>
      <c r="L32" s="890">
        <v>2</v>
      </c>
      <c r="M32" s="662"/>
      <c r="N32" s="697"/>
      <c r="P32" s="890" t="s">
        <v>5372</v>
      </c>
      <c r="Q32" s="890">
        <v>4</v>
      </c>
      <c r="R32" s="662"/>
      <c r="S32" s="697"/>
    </row>
    <row r="33" spans="2:19">
      <c r="B33" s="890" t="s">
        <v>5398</v>
      </c>
      <c r="C33" s="890">
        <v>8</v>
      </c>
      <c r="D33" s="556"/>
      <c r="E33" s="890" t="s">
        <v>5419</v>
      </c>
      <c r="F33" s="890">
        <v>3</v>
      </c>
      <c r="G33" s="555"/>
      <c r="H33" s="890" t="s">
        <v>5420</v>
      </c>
      <c r="I33" s="890">
        <v>3</v>
      </c>
      <c r="K33" s="890" t="s">
        <v>5385</v>
      </c>
      <c r="L33" s="890">
        <v>3</v>
      </c>
      <c r="M33" s="662"/>
      <c r="N33" s="697"/>
      <c r="P33" s="890" t="s">
        <v>5405</v>
      </c>
      <c r="Q33" s="890">
        <v>1</v>
      </c>
      <c r="R33" s="662"/>
      <c r="S33" s="697"/>
    </row>
    <row r="34" spans="2:19">
      <c r="B34" s="890" t="s">
        <v>5421</v>
      </c>
      <c r="C34" s="890">
        <v>10</v>
      </c>
      <c r="D34" s="556"/>
      <c r="E34" s="890" t="s">
        <v>5422</v>
      </c>
      <c r="F34" s="890">
        <v>3</v>
      </c>
      <c r="G34" s="555"/>
      <c r="H34" s="890" t="s">
        <v>5423</v>
      </c>
      <c r="I34" s="890">
        <v>1</v>
      </c>
      <c r="K34" s="890" t="s">
        <v>5388</v>
      </c>
      <c r="L34" s="890">
        <v>1</v>
      </c>
      <c r="M34" s="662"/>
      <c r="N34" s="697"/>
      <c r="P34" s="890" t="s">
        <v>5408</v>
      </c>
      <c r="Q34" s="890">
        <v>1</v>
      </c>
      <c r="R34" s="662"/>
      <c r="S34" s="697"/>
    </row>
    <row r="35" spans="2:19">
      <c r="B35" s="890" t="s">
        <v>5424</v>
      </c>
      <c r="C35" s="890">
        <v>10</v>
      </c>
      <c r="D35" s="556"/>
      <c r="E35" s="890" t="s">
        <v>5425</v>
      </c>
      <c r="F35" s="890">
        <v>3</v>
      </c>
      <c r="G35" s="555"/>
      <c r="H35" s="890" t="s">
        <v>5426</v>
      </c>
      <c r="I35" s="890">
        <v>3</v>
      </c>
      <c r="K35" s="890" t="s">
        <v>5409</v>
      </c>
      <c r="L35" s="890">
        <v>3</v>
      </c>
      <c r="M35" s="662"/>
      <c r="N35" s="697"/>
      <c r="P35" s="890" t="s">
        <v>5427</v>
      </c>
      <c r="Q35" s="890">
        <v>4</v>
      </c>
      <c r="R35" s="662"/>
      <c r="S35" s="697"/>
    </row>
    <row r="36" spans="2:19">
      <c r="B36" s="890" t="s">
        <v>5428</v>
      </c>
      <c r="C36" s="890">
        <v>8</v>
      </c>
      <c r="D36" s="556"/>
      <c r="E36" s="890" t="s">
        <v>5429</v>
      </c>
      <c r="F36" s="890">
        <v>3</v>
      </c>
      <c r="G36" s="555"/>
      <c r="H36" s="890" t="s">
        <v>5430</v>
      </c>
      <c r="I36" s="890">
        <v>1</v>
      </c>
      <c r="K36" s="890" t="s">
        <v>5413</v>
      </c>
      <c r="L36" s="890">
        <v>2</v>
      </c>
      <c r="M36" s="662"/>
      <c r="N36" s="697"/>
      <c r="P36" s="890" t="s">
        <v>5412</v>
      </c>
      <c r="Q36" s="890">
        <v>4</v>
      </c>
      <c r="R36" s="662"/>
      <c r="S36" s="697"/>
    </row>
    <row r="37" spans="2:19">
      <c r="B37" s="890" t="s">
        <v>5411</v>
      </c>
      <c r="C37" s="890">
        <v>8</v>
      </c>
      <c r="D37" s="556"/>
      <c r="E37" s="890" t="s">
        <v>5431</v>
      </c>
      <c r="F37" s="890">
        <v>3</v>
      </c>
      <c r="G37" s="555"/>
      <c r="H37" s="890" t="s">
        <v>5432</v>
      </c>
      <c r="I37" s="890">
        <v>3</v>
      </c>
      <c r="K37" s="890" t="s">
        <v>5398</v>
      </c>
      <c r="L37" s="890">
        <v>2</v>
      </c>
      <c r="M37" s="662"/>
      <c r="N37" s="697"/>
      <c r="P37" s="890" t="s">
        <v>5433</v>
      </c>
      <c r="Q37" s="890">
        <v>2</v>
      </c>
      <c r="R37" s="662"/>
      <c r="S37" s="697"/>
    </row>
    <row r="38" spans="2:19">
      <c r="B38" s="890" t="s">
        <v>5434</v>
      </c>
      <c r="C38" s="890">
        <v>10</v>
      </c>
      <c r="D38" s="556"/>
      <c r="E38" s="890" t="s">
        <v>5435</v>
      </c>
      <c r="F38" s="890">
        <v>3</v>
      </c>
      <c r="G38" s="555"/>
      <c r="H38" s="890" t="s">
        <v>5436</v>
      </c>
      <c r="I38" s="890">
        <v>1</v>
      </c>
      <c r="K38" s="890" t="s">
        <v>5421</v>
      </c>
      <c r="L38" s="890">
        <v>3</v>
      </c>
      <c r="M38" s="662"/>
      <c r="N38" s="697"/>
      <c r="P38" s="890" t="s">
        <v>5416</v>
      </c>
      <c r="Q38" s="890">
        <v>4</v>
      </c>
      <c r="R38" s="662"/>
      <c r="S38" s="697"/>
    </row>
    <row r="39" spans="2:19">
      <c r="B39" s="890" t="s">
        <v>5437</v>
      </c>
      <c r="C39" s="890">
        <v>8</v>
      </c>
      <c r="D39" s="556"/>
      <c r="E39" s="890" t="s">
        <v>5438</v>
      </c>
      <c r="F39" s="890">
        <v>5</v>
      </c>
      <c r="G39" s="555"/>
      <c r="H39" s="890" t="s">
        <v>5439</v>
      </c>
      <c r="I39" s="890">
        <v>1</v>
      </c>
      <c r="K39" s="890" t="s">
        <v>5428</v>
      </c>
      <c r="L39" s="890">
        <v>2</v>
      </c>
      <c r="M39" s="662"/>
      <c r="N39" s="697"/>
      <c r="P39" s="890" t="s">
        <v>5377</v>
      </c>
      <c r="Q39" s="890">
        <v>2</v>
      </c>
      <c r="R39" s="662"/>
      <c r="S39" s="697"/>
    </row>
    <row r="40" spans="2:19">
      <c r="B40" s="890" t="s">
        <v>5440</v>
      </c>
      <c r="C40" s="890">
        <v>8</v>
      </c>
      <c r="D40" s="556"/>
      <c r="E40" s="890" t="s">
        <v>5441</v>
      </c>
      <c r="F40" s="890">
        <v>3</v>
      </c>
      <c r="G40" s="555"/>
      <c r="H40" s="890" t="s">
        <v>5442</v>
      </c>
      <c r="I40" s="890">
        <v>1</v>
      </c>
      <c r="K40" s="890" t="s">
        <v>5407</v>
      </c>
      <c r="L40" s="890">
        <v>2</v>
      </c>
      <c r="M40" s="662"/>
      <c r="N40" s="697"/>
      <c r="P40" s="890" t="s">
        <v>5399</v>
      </c>
      <c r="Q40" s="890">
        <v>2</v>
      </c>
      <c r="R40" s="662"/>
      <c r="S40" s="697"/>
    </row>
    <row r="41" spans="2:19">
      <c r="B41" s="890" t="s">
        <v>5415</v>
      </c>
      <c r="C41" s="890">
        <v>8</v>
      </c>
      <c r="D41" s="556"/>
      <c r="E41" s="890" t="s">
        <v>5443</v>
      </c>
      <c r="F41" s="890">
        <v>3</v>
      </c>
      <c r="G41" s="555"/>
      <c r="H41" s="890" t="s">
        <v>5444</v>
      </c>
      <c r="I41" s="890">
        <v>5</v>
      </c>
      <c r="K41" s="890" t="s">
        <v>5411</v>
      </c>
      <c r="L41" s="890">
        <v>4</v>
      </c>
      <c r="M41" s="662"/>
      <c r="N41" s="697"/>
      <c r="P41" s="890" t="s">
        <v>5381</v>
      </c>
      <c r="Q41" s="890">
        <v>2</v>
      </c>
      <c r="R41" s="662"/>
      <c r="S41" s="697"/>
    </row>
    <row r="42" spans="2:19">
      <c r="B42" s="890" t="s">
        <v>5445</v>
      </c>
      <c r="C42" s="890">
        <v>10</v>
      </c>
      <c r="D42" s="556"/>
      <c r="E42" s="890" t="s">
        <v>5446</v>
      </c>
      <c r="F42" s="890">
        <v>3</v>
      </c>
      <c r="G42" s="555"/>
      <c r="H42" s="890" t="s">
        <v>5447</v>
      </c>
      <c r="I42" s="890">
        <v>5</v>
      </c>
      <c r="K42" s="890" t="s">
        <v>5440</v>
      </c>
      <c r="L42" s="890">
        <v>2</v>
      </c>
      <c r="M42" s="662"/>
      <c r="N42" s="697"/>
      <c r="P42" s="890" t="s">
        <v>5385</v>
      </c>
      <c r="Q42" s="890">
        <v>2</v>
      </c>
      <c r="R42" s="662"/>
      <c r="S42" s="697"/>
    </row>
    <row r="43" spans="2:19">
      <c r="B43" s="890" t="s">
        <v>5420</v>
      </c>
      <c r="C43" s="890">
        <v>10</v>
      </c>
      <c r="D43" s="556"/>
      <c r="E43" s="890" t="s">
        <v>5448</v>
      </c>
      <c r="F43" s="890">
        <v>3</v>
      </c>
      <c r="G43" s="555"/>
      <c r="H43" s="890" t="s">
        <v>5449</v>
      </c>
      <c r="I43" s="890">
        <v>1</v>
      </c>
      <c r="K43" s="890" t="s">
        <v>5418</v>
      </c>
      <c r="L43" s="890">
        <v>1</v>
      </c>
      <c r="M43" s="662"/>
      <c r="N43" s="697"/>
      <c r="P43" s="890" t="s">
        <v>5388</v>
      </c>
      <c r="Q43" s="890">
        <v>4</v>
      </c>
      <c r="R43" s="662"/>
      <c r="S43" s="697"/>
    </row>
    <row r="44" spans="2:19">
      <c r="B44" s="890" t="s">
        <v>5450</v>
      </c>
      <c r="C44" s="890">
        <v>8</v>
      </c>
      <c r="D44" s="556"/>
      <c r="E44" s="890" t="s">
        <v>396</v>
      </c>
      <c r="F44" s="890">
        <v>3</v>
      </c>
      <c r="G44" s="555"/>
      <c r="H44" s="890" t="s">
        <v>5451</v>
      </c>
      <c r="I44" s="890">
        <v>3</v>
      </c>
      <c r="K44" s="890" t="s">
        <v>5445</v>
      </c>
      <c r="L44" s="890">
        <v>3</v>
      </c>
      <c r="M44" s="662"/>
      <c r="N44" s="697"/>
      <c r="P44" s="890" t="s">
        <v>5391</v>
      </c>
      <c r="Q44" s="890">
        <v>2</v>
      </c>
      <c r="R44" s="662"/>
      <c r="S44" s="697"/>
    </row>
    <row r="45" spans="2:19">
      <c r="B45" s="890" t="s">
        <v>5423</v>
      </c>
      <c r="C45" s="890">
        <v>8</v>
      </c>
      <c r="D45" s="556"/>
      <c r="E45" s="890" t="s">
        <v>5452</v>
      </c>
      <c r="F45" s="890">
        <v>3</v>
      </c>
      <c r="G45" s="555"/>
      <c r="H45" s="890" t="s">
        <v>5453</v>
      </c>
      <c r="I45" s="890">
        <v>1</v>
      </c>
      <c r="K45" s="890" t="s">
        <v>5420</v>
      </c>
      <c r="L45" s="890">
        <v>2</v>
      </c>
      <c r="M45" s="662"/>
      <c r="N45" s="697"/>
      <c r="P45" s="890" t="s">
        <v>5409</v>
      </c>
      <c r="Q45" s="890">
        <v>4</v>
      </c>
      <c r="R45" s="662"/>
      <c r="S45" s="697"/>
    </row>
    <row r="46" spans="2:19">
      <c r="B46" s="890" t="s">
        <v>5454</v>
      </c>
      <c r="C46" s="890">
        <v>10</v>
      </c>
      <c r="D46" s="556"/>
      <c r="E46" s="890" t="s">
        <v>5455</v>
      </c>
      <c r="F46" s="890">
        <v>5</v>
      </c>
      <c r="G46" s="555"/>
      <c r="H46" s="890" t="s">
        <v>5456</v>
      </c>
      <c r="I46" s="890">
        <v>5</v>
      </c>
      <c r="K46" s="890" t="s">
        <v>5450</v>
      </c>
      <c r="L46" s="890">
        <v>4</v>
      </c>
      <c r="M46" s="662"/>
      <c r="N46" s="697"/>
      <c r="P46" s="890" t="s">
        <v>5413</v>
      </c>
      <c r="Q46" s="890">
        <v>2</v>
      </c>
      <c r="R46" s="662"/>
      <c r="S46" s="697"/>
    </row>
    <row r="47" spans="2:19">
      <c r="B47" s="890" t="s">
        <v>5457</v>
      </c>
      <c r="C47" s="890">
        <v>10</v>
      </c>
      <c r="D47" s="556"/>
      <c r="E47" s="890" t="s">
        <v>5458</v>
      </c>
      <c r="F47" s="890">
        <v>3</v>
      </c>
      <c r="G47" s="555"/>
      <c r="H47" s="890" t="s">
        <v>5459</v>
      </c>
      <c r="I47" s="890">
        <v>1</v>
      </c>
      <c r="K47" s="890" t="s">
        <v>5460</v>
      </c>
      <c r="L47" s="890">
        <v>3</v>
      </c>
      <c r="M47" s="662"/>
      <c r="N47" s="697"/>
      <c r="P47" s="890" t="s">
        <v>5393</v>
      </c>
      <c r="Q47" s="890">
        <v>4</v>
      </c>
      <c r="R47" s="662"/>
      <c r="S47" s="697"/>
    </row>
    <row r="48" spans="2:19">
      <c r="B48" s="890" t="s">
        <v>5461</v>
      </c>
      <c r="C48" s="890">
        <v>10</v>
      </c>
      <c r="D48" s="556"/>
      <c r="E48" s="890" t="s">
        <v>5462</v>
      </c>
      <c r="F48" s="890">
        <v>5</v>
      </c>
      <c r="G48" s="555"/>
      <c r="H48" s="890" t="s">
        <v>5463</v>
      </c>
      <c r="I48" s="890">
        <v>3</v>
      </c>
      <c r="K48" s="890" t="s">
        <v>5426</v>
      </c>
      <c r="L48" s="890">
        <v>2</v>
      </c>
      <c r="M48" s="662"/>
      <c r="N48" s="697"/>
      <c r="P48" s="890" t="s">
        <v>5396</v>
      </c>
      <c r="Q48" s="890">
        <v>4</v>
      </c>
      <c r="R48" s="662"/>
      <c r="S48" s="697"/>
    </row>
    <row r="49" spans="2:19">
      <c r="B49" s="890" t="s">
        <v>5464</v>
      </c>
      <c r="C49" s="890">
        <v>10</v>
      </c>
      <c r="D49" s="556"/>
      <c r="E49" s="890" t="s">
        <v>5465</v>
      </c>
      <c r="F49" s="890">
        <v>3</v>
      </c>
      <c r="G49" s="555"/>
      <c r="H49" s="890" t="s">
        <v>5466</v>
      </c>
      <c r="I49" s="890">
        <v>3</v>
      </c>
      <c r="K49" s="890" t="s">
        <v>5457</v>
      </c>
      <c r="L49" s="890">
        <v>2</v>
      </c>
      <c r="M49" s="662"/>
      <c r="N49" s="697"/>
      <c r="P49" s="890" t="s">
        <v>5398</v>
      </c>
      <c r="Q49" s="890">
        <v>2</v>
      </c>
      <c r="R49" s="662"/>
      <c r="S49" s="697"/>
    </row>
    <row r="50" spans="2:19">
      <c r="B50" s="890" t="s">
        <v>5467</v>
      </c>
      <c r="C50" s="890">
        <v>10</v>
      </c>
      <c r="D50" s="556"/>
      <c r="E50" s="890" t="s">
        <v>5468</v>
      </c>
      <c r="F50" s="890">
        <v>3</v>
      </c>
      <c r="G50" s="555"/>
      <c r="H50" s="890" t="s">
        <v>5469</v>
      </c>
      <c r="I50" s="890">
        <v>1</v>
      </c>
      <c r="K50" s="890" t="s">
        <v>5467</v>
      </c>
      <c r="L50" s="890">
        <v>4</v>
      </c>
      <c r="M50" s="662"/>
      <c r="N50" s="697"/>
      <c r="P50" s="890" t="s">
        <v>5421</v>
      </c>
      <c r="Q50" s="890">
        <v>4</v>
      </c>
      <c r="R50" s="662"/>
      <c r="S50" s="697"/>
    </row>
    <row r="51" spans="2:19">
      <c r="B51" s="890" t="s">
        <v>5470</v>
      </c>
      <c r="C51" s="890">
        <v>8</v>
      </c>
      <c r="D51" s="556"/>
      <c r="E51" s="890" t="s">
        <v>5471</v>
      </c>
      <c r="F51" s="890">
        <v>3</v>
      </c>
      <c r="G51" s="555"/>
      <c r="H51" s="890" t="s">
        <v>5472</v>
      </c>
      <c r="I51" s="890">
        <v>1</v>
      </c>
      <c r="K51" s="890" t="s">
        <v>5470</v>
      </c>
      <c r="L51" s="890">
        <v>1</v>
      </c>
      <c r="M51" s="662"/>
      <c r="N51" s="697"/>
      <c r="P51" s="890" t="s">
        <v>5424</v>
      </c>
      <c r="Q51" s="890">
        <v>3</v>
      </c>
      <c r="R51" s="662"/>
      <c r="S51" s="697"/>
    </row>
    <row r="52" spans="2:19">
      <c r="B52" s="890" t="s">
        <v>5473</v>
      </c>
      <c r="C52" s="890">
        <v>8</v>
      </c>
      <c r="D52" s="556"/>
      <c r="E52" s="890" t="s">
        <v>5474</v>
      </c>
      <c r="F52" s="890">
        <v>3</v>
      </c>
      <c r="G52" s="555"/>
      <c r="H52" s="890" t="s">
        <v>5475</v>
      </c>
      <c r="I52" s="890">
        <v>5</v>
      </c>
      <c r="K52" s="890" t="s">
        <v>5473</v>
      </c>
      <c r="L52" s="890">
        <v>1</v>
      </c>
      <c r="M52" s="662"/>
      <c r="N52" s="697"/>
      <c r="P52" s="890" t="s">
        <v>5428</v>
      </c>
      <c r="Q52" s="890">
        <v>2</v>
      </c>
      <c r="R52" s="662"/>
      <c r="S52" s="697"/>
    </row>
    <row r="53" spans="2:19">
      <c r="B53" s="890" t="s">
        <v>5476</v>
      </c>
      <c r="C53" s="890">
        <v>8</v>
      </c>
      <c r="D53" s="556"/>
      <c r="E53" s="890" t="s">
        <v>5477</v>
      </c>
      <c r="F53" s="890">
        <v>3</v>
      </c>
      <c r="G53" s="555"/>
      <c r="H53" s="890" t="s">
        <v>5478</v>
      </c>
      <c r="I53" s="890">
        <v>5</v>
      </c>
      <c r="K53" s="890" t="s">
        <v>5476</v>
      </c>
      <c r="L53" s="890">
        <v>4</v>
      </c>
      <c r="M53" s="662"/>
      <c r="N53" s="697"/>
      <c r="P53" s="890" t="s">
        <v>5404</v>
      </c>
      <c r="Q53" s="890">
        <v>4</v>
      </c>
      <c r="R53" s="662"/>
      <c r="S53" s="697"/>
    </row>
    <row r="54" spans="2:19">
      <c r="B54" s="890" t="s">
        <v>5479</v>
      </c>
      <c r="C54" s="890">
        <v>8</v>
      </c>
      <c r="D54" s="556"/>
      <c r="E54" s="890" t="s">
        <v>5480</v>
      </c>
      <c r="F54" s="890">
        <v>5</v>
      </c>
      <c r="G54" s="555"/>
      <c r="H54" s="890" t="s">
        <v>5481</v>
      </c>
      <c r="I54" s="890">
        <v>1</v>
      </c>
      <c r="K54" s="890" t="s">
        <v>5479</v>
      </c>
      <c r="L54" s="890">
        <v>3</v>
      </c>
      <c r="M54" s="662"/>
      <c r="N54" s="697"/>
      <c r="P54" s="890" t="s">
        <v>5407</v>
      </c>
      <c r="Q54" s="890">
        <v>3</v>
      </c>
      <c r="R54" s="662"/>
      <c r="S54" s="697"/>
    </row>
    <row r="55" spans="2:19">
      <c r="B55" s="890" t="s">
        <v>5482</v>
      </c>
      <c r="C55" s="890">
        <v>8</v>
      </c>
      <c r="D55" s="556"/>
      <c r="E55" s="890" t="s">
        <v>5483</v>
      </c>
      <c r="F55" s="890">
        <v>3</v>
      </c>
      <c r="G55" s="555"/>
      <c r="H55" s="890" t="s">
        <v>5484</v>
      </c>
      <c r="I55" s="890">
        <v>3</v>
      </c>
      <c r="K55" s="890" t="s">
        <v>5485</v>
      </c>
      <c r="L55" s="890">
        <v>3</v>
      </c>
      <c r="M55" s="662"/>
      <c r="N55" s="697"/>
      <c r="P55" s="890" t="s">
        <v>5434</v>
      </c>
      <c r="Q55" s="890">
        <v>2</v>
      </c>
      <c r="R55" s="662"/>
      <c r="S55" s="697"/>
    </row>
    <row r="56" spans="2:19">
      <c r="B56" s="890" t="s">
        <v>5485</v>
      </c>
      <c r="C56" s="890">
        <v>8</v>
      </c>
      <c r="D56" s="556"/>
      <c r="E56" s="890" t="s">
        <v>5486</v>
      </c>
      <c r="F56" s="890">
        <v>3</v>
      </c>
      <c r="G56" s="555"/>
      <c r="H56" s="890" t="s">
        <v>5487</v>
      </c>
      <c r="I56" s="890">
        <v>5</v>
      </c>
      <c r="K56" s="890" t="s">
        <v>5439</v>
      </c>
      <c r="L56" s="890">
        <v>2</v>
      </c>
      <c r="M56" s="662"/>
      <c r="N56" s="697"/>
      <c r="P56" s="890" t="s">
        <v>5440</v>
      </c>
      <c r="Q56" s="890">
        <v>1</v>
      </c>
      <c r="R56" s="662"/>
      <c r="S56" s="697"/>
    </row>
    <row r="57" spans="2:19">
      <c r="B57" s="890" t="s">
        <v>5488</v>
      </c>
      <c r="C57" s="890">
        <v>8</v>
      </c>
      <c r="D57" s="556"/>
      <c r="E57" s="890" t="s">
        <v>5489</v>
      </c>
      <c r="F57" s="890">
        <v>3</v>
      </c>
      <c r="G57" s="555"/>
      <c r="H57" s="890" t="s">
        <v>5490</v>
      </c>
      <c r="I57" s="890">
        <v>3</v>
      </c>
      <c r="K57" s="890" t="s">
        <v>5491</v>
      </c>
      <c r="L57" s="890">
        <v>2</v>
      </c>
      <c r="M57" s="662"/>
      <c r="N57" s="697"/>
      <c r="P57" s="890" t="s">
        <v>5415</v>
      </c>
      <c r="Q57" s="890">
        <v>2</v>
      </c>
      <c r="R57" s="662"/>
      <c r="S57" s="697"/>
    </row>
    <row r="58" spans="2:19">
      <c r="B58" s="890" t="s">
        <v>5492</v>
      </c>
      <c r="C58" s="890">
        <v>8</v>
      </c>
      <c r="D58" s="556"/>
      <c r="E58" s="890" t="s">
        <v>5493</v>
      </c>
      <c r="F58" s="890">
        <v>5</v>
      </c>
      <c r="G58" s="555"/>
      <c r="H58" s="890" t="s">
        <v>5494</v>
      </c>
      <c r="I58" s="890">
        <v>1</v>
      </c>
      <c r="K58" s="890" t="s">
        <v>5488</v>
      </c>
      <c r="L58" s="890">
        <v>2</v>
      </c>
      <c r="M58" s="662"/>
      <c r="N58" s="697"/>
      <c r="P58" s="890" t="s">
        <v>5495</v>
      </c>
      <c r="Q58" s="890">
        <v>4</v>
      </c>
      <c r="R58" s="662"/>
      <c r="S58" s="697"/>
    </row>
    <row r="59" spans="2:19">
      <c r="B59" s="890" t="s">
        <v>5444</v>
      </c>
      <c r="C59" s="890">
        <v>10</v>
      </c>
      <c r="D59" s="556"/>
      <c r="E59" s="890" t="s">
        <v>5496</v>
      </c>
      <c r="F59" s="890">
        <v>3</v>
      </c>
      <c r="G59" s="555"/>
      <c r="H59" s="890" t="s">
        <v>5497</v>
      </c>
      <c r="I59" s="890">
        <v>5</v>
      </c>
      <c r="K59" s="890" t="s">
        <v>5492</v>
      </c>
      <c r="L59" s="890">
        <v>2</v>
      </c>
      <c r="M59" s="662"/>
      <c r="N59" s="697"/>
      <c r="P59" s="890" t="s">
        <v>5418</v>
      </c>
      <c r="Q59" s="890">
        <v>4</v>
      </c>
      <c r="R59" s="662"/>
      <c r="S59" s="697"/>
    </row>
    <row r="60" spans="2:19">
      <c r="B60" s="890" t="s">
        <v>5447</v>
      </c>
      <c r="C60" s="890">
        <v>10</v>
      </c>
      <c r="D60" s="556"/>
      <c r="E60" s="890" t="s">
        <v>5498</v>
      </c>
      <c r="F60" s="890">
        <v>3</v>
      </c>
      <c r="G60" s="555"/>
      <c r="H60" s="890" t="s">
        <v>5499</v>
      </c>
      <c r="I60" s="890">
        <v>5</v>
      </c>
      <c r="K60" s="890" t="s">
        <v>5500</v>
      </c>
      <c r="L60" s="890">
        <v>2</v>
      </c>
      <c r="M60" s="662"/>
      <c r="N60" s="697"/>
      <c r="P60" s="890" t="s">
        <v>5445</v>
      </c>
      <c r="Q60" s="890">
        <v>3</v>
      </c>
      <c r="R60" s="662"/>
      <c r="S60" s="697"/>
    </row>
    <row r="61" spans="2:19">
      <c r="B61" s="890" t="s">
        <v>5449</v>
      </c>
      <c r="C61" s="890">
        <v>10</v>
      </c>
      <c r="D61" s="556"/>
      <c r="E61" s="890" t="s">
        <v>5501</v>
      </c>
      <c r="F61" s="890">
        <v>3</v>
      </c>
      <c r="G61" s="555"/>
      <c r="H61" s="890" t="s">
        <v>5502</v>
      </c>
      <c r="I61" s="890">
        <v>1</v>
      </c>
      <c r="K61" s="890" t="s">
        <v>5442</v>
      </c>
      <c r="L61" s="890">
        <v>2</v>
      </c>
      <c r="M61" s="662"/>
      <c r="N61" s="697"/>
      <c r="P61" s="890" t="s">
        <v>5420</v>
      </c>
      <c r="Q61" s="890">
        <v>1</v>
      </c>
      <c r="R61" s="662"/>
      <c r="S61" s="697"/>
    </row>
    <row r="62" spans="2:19">
      <c r="B62" s="890" t="s">
        <v>5503</v>
      </c>
      <c r="C62" s="890">
        <v>10</v>
      </c>
      <c r="D62" s="556"/>
      <c r="E62" s="890" t="s">
        <v>5504</v>
      </c>
      <c r="F62" s="890">
        <v>3</v>
      </c>
      <c r="G62" s="555"/>
      <c r="H62" s="890" t="s">
        <v>5505</v>
      </c>
      <c r="I62" s="890">
        <v>5</v>
      </c>
      <c r="K62" s="890" t="s">
        <v>5506</v>
      </c>
      <c r="L62" s="890">
        <v>4</v>
      </c>
      <c r="M62" s="662"/>
      <c r="N62" s="697"/>
      <c r="P62" s="890" t="s">
        <v>5450</v>
      </c>
      <c r="Q62" s="890">
        <v>4</v>
      </c>
      <c r="R62" s="662"/>
      <c r="S62" s="697"/>
    </row>
    <row r="63" spans="2:19">
      <c r="B63" s="890" t="s">
        <v>5507</v>
      </c>
      <c r="C63" s="890">
        <v>8</v>
      </c>
      <c r="D63" s="556"/>
      <c r="E63" s="890" t="s">
        <v>5508</v>
      </c>
      <c r="F63" s="890">
        <v>3</v>
      </c>
      <c r="G63" s="555"/>
      <c r="H63" s="890" t="s">
        <v>5509</v>
      </c>
      <c r="I63" s="890">
        <v>3</v>
      </c>
      <c r="K63" s="890" t="s">
        <v>5444</v>
      </c>
      <c r="L63" s="890">
        <v>3</v>
      </c>
      <c r="M63" s="662"/>
      <c r="N63" s="697"/>
      <c r="P63" s="890" t="s">
        <v>5510</v>
      </c>
      <c r="Q63" s="890">
        <v>2</v>
      </c>
      <c r="R63" s="662"/>
      <c r="S63" s="697"/>
    </row>
    <row r="64" spans="2:19">
      <c r="B64" s="890" t="s">
        <v>5511</v>
      </c>
      <c r="C64" s="890">
        <v>10</v>
      </c>
      <c r="D64" s="556"/>
      <c r="E64" s="890" t="s">
        <v>5512</v>
      </c>
      <c r="F64" s="890">
        <v>3</v>
      </c>
      <c r="G64" s="555"/>
      <c r="H64" s="890" t="s">
        <v>5513</v>
      </c>
      <c r="I64" s="890">
        <v>1</v>
      </c>
      <c r="K64" s="890" t="s">
        <v>5447</v>
      </c>
      <c r="L64" s="890">
        <v>1</v>
      </c>
      <c r="M64" s="662"/>
      <c r="N64" s="697"/>
      <c r="P64" s="890" t="s">
        <v>5514</v>
      </c>
      <c r="Q64" s="890">
        <v>4</v>
      </c>
      <c r="R64" s="662"/>
      <c r="S64" s="697"/>
    </row>
    <row r="65" spans="2:17">
      <c r="B65" s="890" t="s">
        <v>5456</v>
      </c>
      <c r="C65" s="890">
        <v>10</v>
      </c>
      <c r="D65" s="556"/>
      <c r="E65" s="890" t="s">
        <v>5515</v>
      </c>
      <c r="F65" s="890">
        <v>3</v>
      </c>
      <c r="G65" s="555"/>
      <c r="H65" s="890" t="s">
        <v>5516</v>
      </c>
      <c r="I65" s="890">
        <v>3</v>
      </c>
      <c r="K65" s="890" t="s">
        <v>5517</v>
      </c>
      <c r="L65" s="890">
        <v>3</v>
      </c>
      <c r="P65" s="890" t="s">
        <v>5460</v>
      </c>
      <c r="Q65" s="890">
        <v>2</v>
      </c>
    </row>
    <row r="66" spans="2:17">
      <c r="B66" s="890" t="s">
        <v>5459</v>
      </c>
      <c r="C66" s="890">
        <v>8</v>
      </c>
      <c r="D66" s="556"/>
      <c r="E66" s="890" t="s">
        <v>5518</v>
      </c>
      <c r="F66" s="890">
        <v>3</v>
      </c>
      <c r="G66" s="555"/>
      <c r="H66" s="890" t="s">
        <v>5519</v>
      </c>
      <c r="I66" s="890">
        <v>1</v>
      </c>
      <c r="K66" s="890" t="s">
        <v>5520</v>
      </c>
      <c r="L66" s="890">
        <v>1</v>
      </c>
      <c r="P66" s="890" t="s">
        <v>5423</v>
      </c>
      <c r="Q66" s="890">
        <v>1</v>
      </c>
    </row>
    <row r="67" spans="2:17">
      <c r="B67" s="890" t="s">
        <v>5521</v>
      </c>
      <c r="C67" s="890">
        <v>8</v>
      </c>
      <c r="D67" s="556"/>
      <c r="E67" s="890" t="s">
        <v>5522</v>
      </c>
      <c r="F67" s="890">
        <v>3</v>
      </c>
      <c r="G67" s="555"/>
      <c r="H67" s="890" t="s">
        <v>5523</v>
      </c>
      <c r="I67" s="890">
        <v>1</v>
      </c>
      <c r="K67" s="890" t="s">
        <v>5449</v>
      </c>
      <c r="L67" s="890">
        <v>4</v>
      </c>
      <c r="P67" s="890" t="s">
        <v>5426</v>
      </c>
      <c r="Q67" s="890">
        <v>1</v>
      </c>
    </row>
    <row r="68" spans="2:17">
      <c r="B68" s="890" t="s">
        <v>5524</v>
      </c>
      <c r="C68" s="890">
        <v>8</v>
      </c>
      <c r="D68" s="556"/>
      <c r="E68" s="890" t="s">
        <v>5525</v>
      </c>
      <c r="F68" s="890">
        <v>3</v>
      </c>
      <c r="G68" s="555"/>
      <c r="H68" s="890" t="s">
        <v>5526</v>
      </c>
      <c r="I68" s="890">
        <v>1</v>
      </c>
      <c r="K68" s="890" t="s">
        <v>5503</v>
      </c>
      <c r="L68" s="890">
        <v>4</v>
      </c>
      <c r="P68" s="890" t="s">
        <v>5430</v>
      </c>
      <c r="Q68" s="890">
        <v>1</v>
      </c>
    </row>
    <row r="69" spans="2:17">
      <c r="B69" s="890" t="s">
        <v>5527</v>
      </c>
      <c r="C69" s="890">
        <v>8</v>
      </c>
      <c r="D69" s="556"/>
      <c r="E69" s="890" t="s">
        <v>5528</v>
      </c>
      <c r="F69" s="890">
        <v>5</v>
      </c>
      <c r="G69" s="555"/>
      <c r="H69" s="890" t="s">
        <v>5529</v>
      </c>
      <c r="I69" s="890">
        <v>1</v>
      </c>
      <c r="K69" s="890" t="s">
        <v>5507</v>
      </c>
      <c r="L69" s="890">
        <v>2</v>
      </c>
      <c r="P69" s="890" t="s">
        <v>5432</v>
      </c>
      <c r="Q69" s="890">
        <v>2</v>
      </c>
    </row>
    <row r="70" spans="2:17">
      <c r="B70" s="890" t="s">
        <v>5530</v>
      </c>
      <c r="C70" s="890">
        <v>8</v>
      </c>
      <c r="D70" s="556"/>
      <c r="E70" s="890" t="s">
        <v>5531</v>
      </c>
      <c r="F70" s="890">
        <v>5</v>
      </c>
      <c r="G70" s="555"/>
      <c r="H70" s="890" t="s">
        <v>5532</v>
      </c>
      <c r="I70" s="890">
        <v>1</v>
      </c>
      <c r="K70" s="890" t="s">
        <v>5451</v>
      </c>
      <c r="L70" s="890">
        <v>1</v>
      </c>
      <c r="P70" s="890" t="s">
        <v>5533</v>
      </c>
      <c r="Q70" s="890">
        <v>4</v>
      </c>
    </row>
    <row r="71" spans="2:17">
      <c r="B71" s="890" t="s">
        <v>5534</v>
      </c>
      <c r="C71" s="890">
        <v>8</v>
      </c>
      <c r="D71" s="556"/>
      <c r="E71" s="890" t="s">
        <v>5535</v>
      </c>
      <c r="F71" s="890">
        <v>3</v>
      </c>
      <c r="G71" s="555"/>
      <c r="H71" s="890" t="s">
        <v>5536</v>
      </c>
      <c r="I71" s="890">
        <v>1</v>
      </c>
      <c r="K71" s="890" t="s">
        <v>5537</v>
      </c>
      <c r="L71" s="890">
        <v>1</v>
      </c>
      <c r="P71" s="890" t="s">
        <v>5538</v>
      </c>
      <c r="Q71" s="890">
        <v>4</v>
      </c>
    </row>
    <row r="72" spans="2:17">
      <c r="B72" s="890" t="s">
        <v>5539</v>
      </c>
      <c r="C72" s="890">
        <v>8</v>
      </c>
      <c r="D72" s="556"/>
      <c r="E72" s="890" t="s">
        <v>5540</v>
      </c>
      <c r="F72" s="890">
        <v>3</v>
      </c>
      <c r="G72" s="555"/>
      <c r="H72" s="890" t="s">
        <v>5541</v>
      </c>
      <c r="I72" s="890">
        <v>1</v>
      </c>
      <c r="K72" s="890" t="s">
        <v>5511</v>
      </c>
      <c r="L72" s="890">
        <v>2</v>
      </c>
      <c r="P72" s="890" t="s">
        <v>5454</v>
      </c>
      <c r="Q72" s="890">
        <v>2</v>
      </c>
    </row>
    <row r="73" spans="2:17">
      <c r="B73" s="890" t="s">
        <v>5542</v>
      </c>
      <c r="C73" s="890">
        <v>8</v>
      </c>
      <c r="D73" s="556"/>
      <c r="E73" s="890" t="s">
        <v>5543</v>
      </c>
      <c r="F73" s="890">
        <v>5</v>
      </c>
      <c r="G73" s="555"/>
      <c r="H73" s="890" t="s">
        <v>5544</v>
      </c>
      <c r="I73" s="890">
        <v>3</v>
      </c>
      <c r="K73" s="890" t="s">
        <v>5456</v>
      </c>
      <c r="L73" s="890">
        <v>2</v>
      </c>
      <c r="P73" s="890" t="s">
        <v>5545</v>
      </c>
      <c r="Q73" s="890">
        <v>4</v>
      </c>
    </row>
    <row r="74" spans="2:17">
      <c r="B74" s="890" t="s">
        <v>5469</v>
      </c>
      <c r="C74" s="890">
        <v>10</v>
      </c>
      <c r="D74" s="556"/>
      <c r="E74" s="890" t="s">
        <v>5546</v>
      </c>
      <c r="F74" s="890">
        <v>3</v>
      </c>
      <c r="G74" s="555"/>
      <c r="H74" s="890" t="s">
        <v>5547</v>
      </c>
      <c r="I74" s="890">
        <v>5</v>
      </c>
      <c r="K74" s="890" t="s">
        <v>5548</v>
      </c>
      <c r="L74" s="890">
        <v>3</v>
      </c>
      <c r="P74" s="890" t="s">
        <v>5436</v>
      </c>
      <c r="Q74" s="890">
        <v>4</v>
      </c>
    </row>
    <row r="75" spans="2:17">
      <c r="B75" s="890" t="s">
        <v>5549</v>
      </c>
      <c r="C75" s="890">
        <v>10</v>
      </c>
      <c r="D75" s="556"/>
      <c r="E75" s="890" t="s">
        <v>5550</v>
      </c>
      <c r="F75" s="890">
        <v>3</v>
      </c>
      <c r="G75" s="555"/>
      <c r="H75" s="890" t="s">
        <v>5551</v>
      </c>
      <c r="I75" s="890">
        <v>3</v>
      </c>
      <c r="K75" s="890" t="s">
        <v>5552</v>
      </c>
      <c r="L75" s="890">
        <v>2</v>
      </c>
      <c r="P75" s="890" t="s">
        <v>5457</v>
      </c>
      <c r="Q75" s="890">
        <v>1</v>
      </c>
    </row>
    <row r="76" spans="2:17">
      <c r="B76" s="890" t="s">
        <v>5553</v>
      </c>
      <c r="C76" s="890">
        <v>8</v>
      </c>
      <c r="D76" s="556"/>
      <c r="E76" s="890" t="s">
        <v>5554</v>
      </c>
      <c r="F76" s="890">
        <v>3</v>
      </c>
      <c r="G76" s="555"/>
      <c r="H76" s="890" t="s">
        <v>5555</v>
      </c>
      <c r="I76" s="890">
        <v>5</v>
      </c>
      <c r="K76" s="890" t="s">
        <v>5556</v>
      </c>
      <c r="L76" s="890">
        <v>2</v>
      </c>
      <c r="P76" s="890" t="s">
        <v>5461</v>
      </c>
      <c r="Q76" s="890">
        <v>2</v>
      </c>
    </row>
    <row r="77" spans="2:17">
      <c r="B77" s="890" t="s">
        <v>5472</v>
      </c>
      <c r="C77" s="890">
        <v>8</v>
      </c>
      <c r="D77" s="556"/>
      <c r="E77" s="890" t="s">
        <v>5557</v>
      </c>
      <c r="F77" s="890">
        <v>3</v>
      </c>
      <c r="G77" s="555"/>
      <c r="H77" s="890" t="s">
        <v>5558</v>
      </c>
      <c r="I77" s="890">
        <v>1</v>
      </c>
      <c r="K77" s="890" t="s">
        <v>5459</v>
      </c>
      <c r="L77" s="890">
        <v>2</v>
      </c>
      <c r="P77" s="890" t="s">
        <v>5464</v>
      </c>
      <c r="Q77" s="890">
        <v>4</v>
      </c>
    </row>
    <row r="78" spans="2:17">
      <c r="B78" s="890" t="s">
        <v>5559</v>
      </c>
      <c r="C78" s="890">
        <v>8</v>
      </c>
      <c r="D78" s="556"/>
      <c r="E78" s="890" t="s">
        <v>5560</v>
      </c>
      <c r="F78" s="890">
        <v>3</v>
      </c>
      <c r="G78" s="555"/>
      <c r="H78" s="890" t="s">
        <v>5561</v>
      </c>
      <c r="I78" s="890">
        <v>5</v>
      </c>
      <c r="K78" s="890" t="s">
        <v>5562</v>
      </c>
      <c r="L78" s="890">
        <v>2</v>
      </c>
      <c r="P78" s="890" t="s">
        <v>5467</v>
      </c>
      <c r="Q78" s="890">
        <v>4</v>
      </c>
    </row>
    <row r="79" spans="2:17">
      <c r="B79" s="890" t="s">
        <v>5563</v>
      </c>
      <c r="C79" s="890">
        <v>8</v>
      </c>
      <c r="D79" s="556"/>
      <c r="E79" s="890" t="s">
        <v>5564</v>
      </c>
      <c r="F79" s="890">
        <v>5</v>
      </c>
      <c r="G79" s="555"/>
      <c r="H79" s="890" t="s">
        <v>5565</v>
      </c>
      <c r="I79" s="890">
        <v>1</v>
      </c>
      <c r="K79" s="890" t="s">
        <v>5566</v>
      </c>
      <c r="L79" s="890">
        <v>2</v>
      </c>
      <c r="P79" s="890" t="s">
        <v>5567</v>
      </c>
      <c r="Q79" s="890">
        <v>2</v>
      </c>
    </row>
    <row r="80" spans="2:17">
      <c r="B80" s="890" t="s">
        <v>5568</v>
      </c>
      <c r="C80" s="890">
        <v>8</v>
      </c>
      <c r="D80" s="556"/>
      <c r="E80" s="890" t="s">
        <v>5569</v>
      </c>
      <c r="F80" s="890">
        <v>3</v>
      </c>
      <c r="G80" s="555"/>
      <c r="H80" s="890" t="s">
        <v>5570</v>
      </c>
      <c r="I80" s="890">
        <v>3</v>
      </c>
      <c r="K80" s="890" t="s">
        <v>5521</v>
      </c>
      <c r="L80" s="890">
        <v>2</v>
      </c>
      <c r="P80" s="890" t="s">
        <v>5473</v>
      </c>
      <c r="Q80" s="890">
        <v>1</v>
      </c>
    </row>
    <row r="81" spans="2:17">
      <c r="B81" s="890" t="s">
        <v>5571</v>
      </c>
      <c r="C81" s="890">
        <v>10</v>
      </c>
      <c r="D81" s="556"/>
      <c r="E81" s="890" t="s">
        <v>5572</v>
      </c>
      <c r="F81" s="890">
        <v>3</v>
      </c>
      <c r="G81" s="555"/>
      <c r="H81" s="890" t="s">
        <v>5573</v>
      </c>
      <c r="I81" s="890">
        <v>3</v>
      </c>
      <c r="K81" s="890" t="s">
        <v>5527</v>
      </c>
      <c r="L81" s="890">
        <v>2</v>
      </c>
      <c r="P81" s="890" t="s">
        <v>5479</v>
      </c>
      <c r="Q81" s="890">
        <v>1</v>
      </c>
    </row>
    <row r="82" spans="2:17">
      <c r="B82" s="890" t="s">
        <v>5475</v>
      </c>
      <c r="C82" s="890">
        <v>10</v>
      </c>
      <c r="D82" s="556"/>
      <c r="E82" s="890" t="s">
        <v>5574</v>
      </c>
      <c r="F82" s="890">
        <v>3</v>
      </c>
      <c r="G82" s="555"/>
      <c r="H82" s="890" t="s">
        <v>5575</v>
      </c>
      <c r="I82" s="890">
        <v>5</v>
      </c>
      <c r="K82" s="890" t="s">
        <v>5576</v>
      </c>
      <c r="L82" s="890">
        <v>3</v>
      </c>
      <c r="P82" s="890" t="s">
        <v>5482</v>
      </c>
      <c r="Q82" s="890">
        <v>2</v>
      </c>
    </row>
    <row r="83" spans="2:17">
      <c r="B83" s="890" t="s">
        <v>5478</v>
      </c>
      <c r="C83" s="890">
        <v>10</v>
      </c>
      <c r="D83" s="556"/>
      <c r="E83" s="890" t="s">
        <v>5577</v>
      </c>
      <c r="F83" s="890">
        <v>3</v>
      </c>
      <c r="G83" s="555"/>
      <c r="H83" s="890" t="s">
        <v>5578</v>
      </c>
      <c r="I83" s="890">
        <v>5</v>
      </c>
      <c r="K83" s="890" t="s">
        <v>5579</v>
      </c>
      <c r="L83" s="890">
        <v>1</v>
      </c>
      <c r="P83" s="890" t="s">
        <v>5491</v>
      </c>
      <c r="Q83" s="890">
        <v>2</v>
      </c>
    </row>
    <row r="84" spans="2:17">
      <c r="B84" s="890" t="s">
        <v>5481</v>
      </c>
      <c r="C84" s="890">
        <v>10</v>
      </c>
      <c r="D84" s="556"/>
      <c r="E84" s="890" t="s">
        <v>5580</v>
      </c>
      <c r="F84" s="890">
        <v>5</v>
      </c>
      <c r="G84" s="555"/>
      <c r="H84" s="890" t="s">
        <v>5581</v>
      </c>
      <c r="I84" s="890">
        <v>1</v>
      </c>
      <c r="K84" s="890" t="s">
        <v>5582</v>
      </c>
      <c r="L84" s="890">
        <v>2</v>
      </c>
      <c r="P84" s="890" t="s">
        <v>5488</v>
      </c>
      <c r="Q84" s="890">
        <v>2</v>
      </c>
    </row>
    <row r="85" spans="2:17">
      <c r="B85" s="890" t="s">
        <v>5583</v>
      </c>
      <c r="C85" s="890">
        <v>10</v>
      </c>
      <c r="D85" s="556"/>
      <c r="E85" s="890" t="s">
        <v>5584</v>
      </c>
      <c r="F85" s="890">
        <v>5</v>
      </c>
      <c r="G85" s="555"/>
      <c r="H85" s="890" t="s">
        <v>5585</v>
      </c>
      <c r="I85" s="890">
        <v>1</v>
      </c>
      <c r="K85" s="890" t="s">
        <v>5586</v>
      </c>
      <c r="L85" s="890">
        <v>2</v>
      </c>
      <c r="P85" s="890" t="s">
        <v>5500</v>
      </c>
      <c r="Q85" s="890">
        <v>4</v>
      </c>
    </row>
    <row r="86" spans="2:17">
      <c r="B86" s="890" t="s">
        <v>5487</v>
      </c>
      <c r="C86" s="890">
        <v>10</v>
      </c>
      <c r="D86" s="556"/>
      <c r="E86" s="890" t="s">
        <v>5587</v>
      </c>
      <c r="F86" s="890">
        <v>3</v>
      </c>
      <c r="G86" s="555"/>
      <c r="H86" s="890" t="s">
        <v>5588</v>
      </c>
      <c r="I86" s="890">
        <v>1</v>
      </c>
      <c r="K86" s="890" t="s">
        <v>5539</v>
      </c>
      <c r="L86" s="890">
        <v>3</v>
      </c>
      <c r="P86" s="890" t="s">
        <v>5442</v>
      </c>
      <c r="Q86" s="890">
        <v>2</v>
      </c>
    </row>
    <row r="87" spans="2:17">
      <c r="B87" s="890" t="s">
        <v>5589</v>
      </c>
      <c r="C87" s="890">
        <v>10</v>
      </c>
      <c r="D87" s="556"/>
      <c r="E87" s="890" t="s">
        <v>5590</v>
      </c>
      <c r="F87" s="890">
        <v>3</v>
      </c>
      <c r="G87" s="555"/>
      <c r="H87" s="890" t="s">
        <v>5591</v>
      </c>
      <c r="I87" s="890">
        <v>1</v>
      </c>
      <c r="K87" s="890" t="s">
        <v>5542</v>
      </c>
      <c r="L87" s="890">
        <v>3</v>
      </c>
      <c r="P87" s="890" t="s">
        <v>5506</v>
      </c>
      <c r="Q87" s="890">
        <v>2</v>
      </c>
    </row>
    <row r="88" spans="2:17">
      <c r="B88" s="890" t="s">
        <v>5490</v>
      </c>
      <c r="C88" s="890">
        <v>10</v>
      </c>
      <c r="D88" s="556"/>
      <c r="E88" s="890" t="s">
        <v>5592</v>
      </c>
      <c r="F88" s="890">
        <v>3</v>
      </c>
      <c r="G88" s="555"/>
      <c r="H88" s="890" t="s">
        <v>5593</v>
      </c>
      <c r="I88" s="890">
        <v>1</v>
      </c>
      <c r="K88" s="890" t="s">
        <v>5553</v>
      </c>
      <c r="L88" s="890">
        <v>3</v>
      </c>
      <c r="P88" s="890" t="s">
        <v>5444</v>
      </c>
      <c r="Q88" s="890">
        <v>1</v>
      </c>
    </row>
    <row r="89" spans="2:17">
      <c r="B89" s="890" t="s">
        <v>5494</v>
      </c>
      <c r="C89" s="890">
        <v>10</v>
      </c>
      <c r="D89" s="556"/>
      <c r="E89" s="890" t="s">
        <v>5594</v>
      </c>
      <c r="F89" s="890">
        <v>3</v>
      </c>
      <c r="G89" s="555"/>
      <c r="H89" s="890" t="s">
        <v>5595</v>
      </c>
      <c r="I89" s="890">
        <v>1</v>
      </c>
      <c r="K89" s="890" t="s">
        <v>5596</v>
      </c>
      <c r="L89" s="890">
        <v>3</v>
      </c>
      <c r="P89" s="890" t="s">
        <v>5447</v>
      </c>
      <c r="Q89" s="890">
        <v>1</v>
      </c>
    </row>
    <row r="90" spans="2:17">
      <c r="B90" s="890" t="s">
        <v>5597</v>
      </c>
      <c r="C90" s="890">
        <v>10</v>
      </c>
      <c r="D90" s="556"/>
      <c r="E90" s="890" t="s">
        <v>5598</v>
      </c>
      <c r="F90" s="890">
        <v>5</v>
      </c>
      <c r="G90" s="555"/>
      <c r="H90" s="890" t="s">
        <v>5599</v>
      </c>
      <c r="I90" s="890">
        <v>5</v>
      </c>
      <c r="K90" s="890" t="s">
        <v>5563</v>
      </c>
      <c r="L90" s="890">
        <v>2</v>
      </c>
      <c r="P90" s="890" t="s">
        <v>5517</v>
      </c>
      <c r="Q90" s="890">
        <v>1</v>
      </c>
    </row>
    <row r="91" spans="2:17">
      <c r="B91" s="890" t="s">
        <v>5497</v>
      </c>
      <c r="C91" s="890">
        <v>10</v>
      </c>
      <c r="D91" s="556"/>
      <c r="E91" s="890" t="s">
        <v>5600</v>
      </c>
      <c r="F91" s="890">
        <v>3</v>
      </c>
      <c r="G91" s="555"/>
      <c r="H91" s="890" t="s">
        <v>5601</v>
      </c>
      <c r="I91" s="890">
        <v>3</v>
      </c>
      <c r="K91" s="890" t="s">
        <v>5568</v>
      </c>
      <c r="L91" s="890">
        <v>1</v>
      </c>
      <c r="P91" s="890" t="s">
        <v>5602</v>
      </c>
      <c r="Q91" s="890">
        <v>4</v>
      </c>
    </row>
    <row r="92" spans="2:17">
      <c r="B92" s="890" t="s">
        <v>5603</v>
      </c>
      <c r="C92" s="890">
        <v>10</v>
      </c>
      <c r="D92" s="556"/>
      <c r="E92" s="890" t="s">
        <v>5604</v>
      </c>
      <c r="F92" s="890">
        <v>5</v>
      </c>
      <c r="G92" s="555"/>
      <c r="H92" s="890" t="s">
        <v>5605</v>
      </c>
      <c r="I92" s="890">
        <v>3</v>
      </c>
      <c r="K92" s="890" t="s">
        <v>5606</v>
      </c>
      <c r="L92" s="890">
        <v>3</v>
      </c>
      <c r="P92" s="890" t="s">
        <v>5520</v>
      </c>
      <c r="Q92" s="890">
        <v>2</v>
      </c>
    </row>
    <row r="93" spans="2:17">
      <c r="B93" s="890" t="s">
        <v>5607</v>
      </c>
      <c r="C93" s="890">
        <v>10</v>
      </c>
      <c r="D93" s="556"/>
      <c r="E93" s="890" t="s">
        <v>5608</v>
      </c>
      <c r="F93" s="890">
        <v>3</v>
      </c>
      <c r="G93" s="555"/>
      <c r="H93" s="890" t="s">
        <v>5609</v>
      </c>
      <c r="I93" s="890">
        <v>3</v>
      </c>
      <c r="K93" s="890" t="s">
        <v>5610</v>
      </c>
      <c r="L93" s="890">
        <v>2</v>
      </c>
      <c r="P93" s="890" t="s">
        <v>5503</v>
      </c>
      <c r="Q93" s="890">
        <v>4</v>
      </c>
    </row>
    <row r="94" spans="2:17">
      <c r="B94" s="890" t="s">
        <v>5499</v>
      </c>
      <c r="C94" s="890">
        <v>10</v>
      </c>
      <c r="D94" s="556"/>
      <c r="E94" s="890" t="s">
        <v>5611</v>
      </c>
      <c r="F94" s="890">
        <v>3</v>
      </c>
      <c r="G94" s="555"/>
      <c r="H94" s="890" t="s">
        <v>5612</v>
      </c>
      <c r="I94" s="890">
        <v>5</v>
      </c>
      <c r="K94" s="890" t="s">
        <v>5571</v>
      </c>
      <c r="L94" s="890">
        <v>4</v>
      </c>
      <c r="P94" s="890" t="s">
        <v>5507</v>
      </c>
      <c r="Q94" s="890">
        <v>4</v>
      </c>
    </row>
    <row r="95" spans="2:17">
      <c r="B95" s="890" t="s">
        <v>5502</v>
      </c>
      <c r="C95" s="890">
        <v>10</v>
      </c>
      <c r="D95" s="556"/>
      <c r="E95" s="890" t="s">
        <v>5613</v>
      </c>
      <c r="F95" s="890">
        <v>3</v>
      </c>
      <c r="G95" s="555"/>
      <c r="H95" s="890" t="s">
        <v>5614</v>
      </c>
      <c r="I95" s="890">
        <v>3</v>
      </c>
      <c r="K95" s="890" t="s">
        <v>5475</v>
      </c>
      <c r="L95" s="890">
        <v>4</v>
      </c>
      <c r="P95" s="890" t="s">
        <v>5451</v>
      </c>
      <c r="Q95" s="890">
        <v>4</v>
      </c>
    </row>
    <row r="96" spans="2:17">
      <c r="B96" s="890" t="s">
        <v>5615</v>
      </c>
      <c r="C96" s="890">
        <v>10</v>
      </c>
      <c r="D96" s="556"/>
      <c r="E96" s="890" t="s">
        <v>5616</v>
      </c>
      <c r="F96" s="890">
        <v>3</v>
      </c>
      <c r="G96" s="555"/>
      <c r="H96" s="890" t="s">
        <v>5617</v>
      </c>
      <c r="I96" s="890">
        <v>3</v>
      </c>
      <c r="K96" s="890" t="s">
        <v>5484</v>
      </c>
      <c r="L96" s="890">
        <v>4</v>
      </c>
      <c r="P96" s="890" t="s">
        <v>5537</v>
      </c>
      <c r="Q96" s="890">
        <v>4</v>
      </c>
    </row>
    <row r="97" spans="2:17">
      <c r="B97" s="890" t="s">
        <v>5618</v>
      </c>
      <c r="C97" s="890">
        <v>8</v>
      </c>
      <c r="D97" s="556"/>
      <c r="E97" s="890" t="s">
        <v>5619</v>
      </c>
      <c r="F97" s="890">
        <v>5</v>
      </c>
      <c r="G97" s="555"/>
      <c r="H97" s="890" t="s">
        <v>5620</v>
      </c>
      <c r="I97" s="890">
        <v>3</v>
      </c>
      <c r="K97" s="890" t="s">
        <v>5621</v>
      </c>
      <c r="L97" s="890">
        <v>4</v>
      </c>
      <c r="P97" s="890" t="s">
        <v>5511</v>
      </c>
      <c r="Q97" s="890">
        <v>1</v>
      </c>
    </row>
    <row r="98" spans="2:17">
      <c r="B98" s="890" t="s">
        <v>5513</v>
      </c>
      <c r="C98" s="890">
        <v>10</v>
      </c>
      <c r="D98" s="556"/>
      <c r="E98" s="890" t="s">
        <v>5622</v>
      </c>
      <c r="F98" s="890">
        <v>5</v>
      </c>
      <c r="G98" s="555"/>
      <c r="H98" s="890" t="s">
        <v>5623</v>
      </c>
      <c r="I98" s="890">
        <v>5</v>
      </c>
      <c r="K98" s="890" t="s">
        <v>5589</v>
      </c>
      <c r="L98" s="890">
        <v>4</v>
      </c>
      <c r="P98" s="890" t="s">
        <v>5453</v>
      </c>
      <c r="Q98" s="890">
        <v>4</v>
      </c>
    </row>
    <row r="99" spans="2:17">
      <c r="B99" s="890" t="s">
        <v>5624</v>
      </c>
      <c r="C99" s="890">
        <v>10</v>
      </c>
      <c r="D99" s="556"/>
      <c r="E99" s="890" t="s">
        <v>5625</v>
      </c>
      <c r="F99" s="890">
        <v>3</v>
      </c>
      <c r="G99" s="555"/>
      <c r="H99" s="890" t="s">
        <v>5626</v>
      </c>
      <c r="I99" s="890">
        <v>5</v>
      </c>
      <c r="K99" s="890" t="s">
        <v>5490</v>
      </c>
      <c r="L99" s="890">
        <v>1</v>
      </c>
      <c r="P99" s="890" t="s">
        <v>5456</v>
      </c>
      <c r="Q99" s="890">
        <v>1</v>
      </c>
    </row>
    <row r="100" spans="2:17">
      <c r="B100" s="890" t="s">
        <v>5627</v>
      </c>
      <c r="C100" s="890">
        <v>10</v>
      </c>
      <c r="D100" s="556"/>
      <c r="E100" s="890" t="s">
        <v>5628</v>
      </c>
      <c r="F100" s="890">
        <v>5</v>
      </c>
      <c r="G100" s="555"/>
      <c r="H100" s="890" t="s">
        <v>5629</v>
      </c>
      <c r="I100" s="890">
        <v>3</v>
      </c>
      <c r="K100" s="890" t="s">
        <v>5494</v>
      </c>
      <c r="L100" s="890">
        <v>1</v>
      </c>
      <c r="P100" s="890" t="s">
        <v>5548</v>
      </c>
      <c r="Q100" s="890">
        <v>2</v>
      </c>
    </row>
    <row r="101" spans="2:17">
      <c r="B101" s="890" t="s">
        <v>5516</v>
      </c>
      <c r="C101" s="890">
        <v>10</v>
      </c>
      <c r="D101" s="556"/>
      <c r="E101" s="890" t="s">
        <v>5630</v>
      </c>
      <c r="F101" s="890">
        <v>3</v>
      </c>
      <c r="G101" s="555"/>
      <c r="H101" s="890" t="s">
        <v>5631</v>
      </c>
      <c r="I101" s="890">
        <v>5</v>
      </c>
      <c r="K101" s="890" t="s">
        <v>5597</v>
      </c>
      <c r="L101" s="890">
        <v>3</v>
      </c>
      <c r="P101" s="890" t="s">
        <v>5552</v>
      </c>
      <c r="Q101" s="890">
        <v>2</v>
      </c>
    </row>
    <row r="102" spans="2:17">
      <c r="B102" s="890" t="s">
        <v>5519</v>
      </c>
      <c r="C102" s="890">
        <v>8</v>
      </c>
      <c r="D102" s="556"/>
      <c r="E102" s="890" t="s">
        <v>5632</v>
      </c>
      <c r="F102" s="890">
        <v>3</v>
      </c>
      <c r="G102" s="555"/>
      <c r="H102" s="890" t="s">
        <v>5633</v>
      </c>
      <c r="I102" s="890">
        <v>5</v>
      </c>
      <c r="K102" s="890" t="s">
        <v>5603</v>
      </c>
      <c r="L102" s="890">
        <v>3</v>
      </c>
      <c r="P102" s="890" t="s">
        <v>5556</v>
      </c>
      <c r="Q102" s="890">
        <v>1</v>
      </c>
    </row>
    <row r="103" spans="2:17">
      <c r="B103" s="890" t="s">
        <v>5523</v>
      </c>
      <c r="C103" s="890">
        <v>10</v>
      </c>
      <c r="D103" s="556"/>
      <c r="E103" s="890" t="s">
        <v>5634</v>
      </c>
      <c r="F103" s="890">
        <v>3</v>
      </c>
      <c r="G103" s="555"/>
      <c r="H103" s="890" t="s">
        <v>5635</v>
      </c>
      <c r="I103" s="890">
        <v>1</v>
      </c>
      <c r="K103" s="890" t="s">
        <v>5607</v>
      </c>
      <c r="L103" s="890">
        <v>2</v>
      </c>
      <c r="P103" s="890" t="s">
        <v>5459</v>
      </c>
      <c r="Q103" s="890">
        <v>1</v>
      </c>
    </row>
    <row r="104" spans="2:17">
      <c r="B104" s="890" t="s">
        <v>5526</v>
      </c>
      <c r="C104" s="890">
        <v>10</v>
      </c>
      <c r="D104" s="556"/>
      <c r="E104" s="890" t="s">
        <v>5636</v>
      </c>
      <c r="F104" s="890">
        <v>3</v>
      </c>
      <c r="G104" s="555"/>
      <c r="H104" s="890" t="s">
        <v>5637</v>
      </c>
      <c r="I104" s="890">
        <v>1</v>
      </c>
      <c r="K104" s="890" t="s">
        <v>5502</v>
      </c>
      <c r="L104" s="890">
        <v>2</v>
      </c>
      <c r="P104" s="890" t="s">
        <v>5562</v>
      </c>
      <c r="Q104" s="890">
        <v>4</v>
      </c>
    </row>
    <row r="105" spans="2:17">
      <c r="B105" s="890" t="s">
        <v>5532</v>
      </c>
      <c r="C105" s="890">
        <v>8</v>
      </c>
      <c r="D105" s="556"/>
      <c r="E105" s="890" t="s">
        <v>5638</v>
      </c>
      <c r="F105" s="890">
        <v>3</v>
      </c>
      <c r="G105" s="555"/>
      <c r="H105" s="890" t="s">
        <v>5639</v>
      </c>
      <c r="I105" s="890">
        <v>3</v>
      </c>
      <c r="K105" s="890" t="s">
        <v>5640</v>
      </c>
      <c r="L105" s="890">
        <v>1</v>
      </c>
      <c r="P105" s="890" t="s">
        <v>5566</v>
      </c>
      <c r="Q105" s="890">
        <v>3</v>
      </c>
    </row>
    <row r="106" spans="2:17">
      <c r="B106" s="890" t="s">
        <v>5536</v>
      </c>
      <c r="C106" s="890">
        <v>8</v>
      </c>
      <c r="D106" s="556"/>
      <c r="E106" s="890" t="s">
        <v>5641</v>
      </c>
      <c r="F106" s="890">
        <v>3</v>
      </c>
      <c r="G106" s="555"/>
      <c r="H106" s="890" t="s">
        <v>5642</v>
      </c>
      <c r="I106" s="890">
        <v>3</v>
      </c>
      <c r="K106" s="890" t="s">
        <v>5643</v>
      </c>
      <c r="L106" s="890">
        <v>4</v>
      </c>
      <c r="P106" s="890" t="s">
        <v>5521</v>
      </c>
      <c r="Q106" s="890">
        <v>2</v>
      </c>
    </row>
    <row r="107" spans="2:17">
      <c r="B107" s="890" t="s">
        <v>5547</v>
      </c>
      <c r="C107" s="890">
        <v>10</v>
      </c>
      <c r="D107" s="556"/>
      <c r="E107" s="890" t="s">
        <v>5644</v>
      </c>
      <c r="F107" s="890">
        <v>3</v>
      </c>
      <c r="G107" s="555"/>
      <c r="H107" s="890" t="s">
        <v>5645</v>
      </c>
      <c r="I107" s="890">
        <v>1</v>
      </c>
      <c r="K107" s="890" t="s">
        <v>5624</v>
      </c>
      <c r="L107" s="890">
        <v>2</v>
      </c>
      <c r="P107" s="890" t="s">
        <v>5646</v>
      </c>
      <c r="Q107" s="890">
        <v>2</v>
      </c>
    </row>
    <row r="108" spans="2:17">
      <c r="B108" s="890" t="s">
        <v>5647</v>
      </c>
      <c r="C108" s="890">
        <v>10</v>
      </c>
      <c r="D108" s="556"/>
      <c r="E108" s="890" t="s">
        <v>5648</v>
      </c>
      <c r="F108" s="890">
        <v>3</v>
      </c>
      <c r="G108" s="555"/>
      <c r="H108" s="890" t="s">
        <v>5649</v>
      </c>
      <c r="I108" s="890">
        <v>1</v>
      </c>
      <c r="K108" s="890" t="s">
        <v>5627</v>
      </c>
      <c r="L108" s="890">
        <v>4</v>
      </c>
      <c r="P108" s="890" t="s">
        <v>5524</v>
      </c>
      <c r="Q108" s="890">
        <v>2</v>
      </c>
    </row>
    <row r="109" spans="2:17">
      <c r="B109" s="890" t="s">
        <v>5551</v>
      </c>
      <c r="C109" s="890">
        <v>8</v>
      </c>
      <c r="D109" s="556"/>
      <c r="E109" s="890" t="s">
        <v>5650</v>
      </c>
      <c r="F109" s="890">
        <v>5</v>
      </c>
      <c r="G109" s="555"/>
      <c r="H109" s="890" t="s">
        <v>5651</v>
      </c>
      <c r="I109" s="890">
        <v>5</v>
      </c>
      <c r="K109" s="890" t="s">
        <v>5516</v>
      </c>
      <c r="L109" s="890">
        <v>4</v>
      </c>
      <c r="P109" s="890" t="s">
        <v>5527</v>
      </c>
      <c r="Q109" s="890">
        <v>1</v>
      </c>
    </row>
    <row r="110" spans="2:17">
      <c r="B110" s="890" t="s">
        <v>5652</v>
      </c>
      <c r="C110" s="890">
        <v>10</v>
      </c>
      <c r="D110" s="556"/>
      <c r="E110" s="890" t="s">
        <v>5653</v>
      </c>
      <c r="F110" s="890">
        <v>3</v>
      </c>
      <c r="G110" s="555"/>
      <c r="H110" s="890" t="s">
        <v>5654</v>
      </c>
      <c r="I110" s="890">
        <v>1</v>
      </c>
      <c r="K110" s="890" t="s">
        <v>5519</v>
      </c>
      <c r="L110" s="890">
        <v>2</v>
      </c>
      <c r="P110" s="890" t="s">
        <v>5530</v>
      </c>
      <c r="Q110" s="890">
        <v>1</v>
      </c>
    </row>
    <row r="111" spans="2:17">
      <c r="B111" s="890" t="s">
        <v>5555</v>
      </c>
      <c r="C111" s="890">
        <v>8</v>
      </c>
      <c r="D111" s="556"/>
      <c r="E111" s="890" t="s">
        <v>5655</v>
      </c>
      <c r="F111" s="890">
        <v>3</v>
      </c>
      <c r="G111" s="555"/>
      <c r="H111" s="890" t="s">
        <v>5656</v>
      </c>
      <c r="I111" s="890">
        <v>5</v>
      </c>
      <c r="K111" s="890" t="s">
        <v>5526</v>
      </c>
      <c r="L111" s="890">
        <v>2</v>
      </c>
      <c r="P111" s="890" t="s">
        <v>5657</v>
      </c>
      <c r="Q111" s="890">
        <v>4</v>
      </c>
    </row>
    <row r="112" spans="2:17">
      <c r="B112" s="890" t="s">
        <v>5558</v>
      </c>
      <c r="C112" s="890">
        <v>8</v>
      </c>
      <c r="D112" s="556"/>
      <c r="E112" s="890" t="s">
        <v>5658</v>
      </c>
      <c r="F112" s="890">
        <v>3</v>
      </c>
      <c r="G112" s="555"/>
      <c r="H112" s="890" t="s">
        <v>5659</v>
      </c>
      <c r="I112" s="890">
        <v>1</v>
      </c>
      <c r="K112" s="890" t="s">
        <v>5529</v>
      </c>
      <c r="L112" s="890">
        <v>3</v>
      </c>
      <c r="P112" s="890" t="s">
        <v>5534</v>
      </c>
      <c r="Q112" s="890">
        <v>1</v>
      </c>
    </row>
    <row r="113" spans="2:17">
      <c r="B113" s="890" t="s">
        <v>5660</v>
      </c>
      <c r="C113" s="890">
        <v>10</v>
      </c>
      <c r="D113" s="556"/>
      <c r="E113" s="890" t="s">
        <v>5661</v>
      </c>
      <c r="F113" s="890">
        <v>3</v>
      </c>
      <c r="G113" s="555"/>
      <c r="H113" s="890" t="s">
        <v>5662</v>
      </c>
      <c r="I113" s="890">
        <v>5</v>
      </c>
      <c r="K113" s="890" t="s">
        <v>5532</v>
      </c>
      <c r="L113" s="890">
        <v>4</v>
      </c>
      <c r="P113" s="890" t="s">
        <v>5576</v>
      </c>
      <c r="Q113" s="890">
        <v>2</v>
      </c>
    </row>
    <row r="114" spans="2:17">
      <c r="B114" s="890" t="s">
        <v>5565</v>
      </c>
      <c r="C114" s="890">
        <v>10</v>
      </c>
      <c r="D114" s="556"/>
      <c r="E114" s="890" t="s">
        <v>5663</v>
      </c>
      <c r="F114" s="890">
        <v>3</v>
      </c>
      <c r="G114" s="555"/>
      <c r="H114" s="890" t="s">
        <v>5664</v>
      </c>
      <c r="I114" s="890">
        <v>5</v>
      </c>
      <c r="K114" s="890" t="s">
        <v>5536</v>
      </c>
      <c r="L114" s="890">
        <v>3</v>
      </c>
      <c r="P114" s="890" t="s">
        <v>5579</v>
      </c>
      <c r="Q114" s="890">
        <v>1</v>
      </c>
    </row>
    <row r="115" spans="2:17">
      <c r="B115" s="890" t="s">
        <v>5665</v>
      </c>
      <c r="C115" s="890">
        <v>10</v>
      </c>
      <c r="D115" s="556"/>
      <c r="E115" s="890" t="s">
        <v>5666</v>
      </c>
      <c r="F115" s="890">
        <v>3</v>
      </c>
      <c r="G115" s="555"/>
      <c r="H115" s="890" t="s">
        <v>5667</v>
      </c>
      <c r="I115" s="890">
        <v>5</v>
      </c>
      <c r="K115" s="890" t="s">
        <v>5541</v>
      </c>
      <c r="L115" s="890">
        <v>2</v>
      </c>
      <c r="P115" s="890" t="s">
        <v>5582</v>
      </c>
      <c r="Q115" s="890">
        <v>3</v>
      </c>
    </row>
    <row r="116" spans="2:17">
      <c r="B116" s="890" t="s">
        <v>5668</v>
      </c>
      <c r="C116" s="890">
        <v>8</v>
      </c>
      <c r="D116" s="556"/>
      <c r="E116" s="890" t="s">
        <v>5669</v>
      </c>
      <c r="F116" s="890">
        <v>3</v>
      </c>
      <c r="G116" s="555"/>
      <c r="H116" s="890" t="s">
        <v>5670</v>
      </c>
      <c r="I116" s="890">
        <v>1</v>
      </c>
      <c r="K116" s="890" t="s">
        <v>5544</v>
      </c>
      <c r="L116" s="890">
        <v>1</v>
      </c>
      <c r="P116" s="890" t="s">
        <v>5463</v>
      </c>
      <c r="Q116" s="890">
        <v>4</v>
      </c>
    </row>
    <row r="117" spans="2:17">
      <c r="B117" s="890" t="s">
        <v>5671</v>
      </c>
      <c r="C117" s="890">
        <v>8</v>
      </c>
      <c r="D117" s="556"/>
      <c r="E117" s="890" t="s">
        <v>5672</v>
      </c>
      <c r="F117" s="890">
        <v>3</v>
      </c>
      <c r="G117" s="555"/>
      <c r="H117" s="890" t="s">
        <v>5673</v>
      </c>
      <c r="I117" s="890">
        <v>5</v>
      </c>
      <c r="K117" s="890" t="s">
        <v>5547</v>
      </c>
      <c r="L117" s="890">
        <v>2</v>
      </c>
      <c r="P117" s="890" t="s">
        <v>5586</v>
      </c>
      <c r="Q117" s="890">
        <v>2</v>
      </c>
    </row>
    <row r="118" spans="2:17">
      <c r="B118" s="890" t="s">
        <v>5674</v>
      </c>
      <c r="C118" s="890">
        <v>8</v>
      </c>
      <c r="D118" s="556"/>
      <c r="E118" s="890" t="s">
        <v>5675</v>
      </c>
      <c r="F118" s="890">
        <v>5</v>
      </c>
      <c r="G118" s="555"/>
      <c r="H118" s="890" t="s">
        <v>5676</v>
      </c>
      <c r="I118" s="890">
        <v>5</v>
      </c>
      <c r="K118" s="890" t="s">
        <v>5551</v>
      </c>
      <c r="L118" s="890">
        <v>2</v>
      </c>
      <c r="P118" s="890" t="s">
        <v>5466</v>
      </c>
      <c r="Q118" s="890">
        <v>4</v>
      </c>
    </row>
    <row r="119" spans="2:17">
      <c r="B119" s="890" t="s">
        <v>5578</v>
      </c>
      <c r="C119" s="890">
        <v>10</v>
      </c>
      <c r="D119" s="556"/>
      <c r="E119" s="890" t="s">
        <v>5677</v>
      </c>
      <c r="F119" s="890">
        <v>3</v>
      </c>
      <c r="G119" s="555"/>
      <c r="H119" s="890" t="s">
        <v>5678</v>
      </c>
      <c r="I119" s="890">
        <v>5</v>
      </c>
      <c r="K119" s="890" t="s">
        <v>5652</v>
      </c>
      <c r="L119" s="890">
        <v>4</v>
      </c>
      <c r="P119" s="890" t="s">
        <v>5539</v>
      </c>
      <c r="Q119" s="890">
        <v>1</v>
      </c>
    </row>
    <row r="120" spans="2:17">
      <c r="B120" s="890" t="s">
        <v>5679</v>
      </c>
      <c r="C120" s="890">
        <v>8</v>
      </c>
      <c r="D120" s="556"/>
      <c r="E120" s="890" t="s">
        <v>5680</v>
      </c>
      <c r="F120" s="890">
        <v>3</v>
      </c>
      <c r="G120" s="555"/>
      <c r="H120" s="890" t="s">
        <v>5681</v>
      </c>
      <c r="I120" s="890">
        <v>3</v>
      </c>
      <c r="K120" s="890" t="s">
        <v>5565</v>
      </c>
      <c r="L120" s="890">
        <v>4</v>
      </c>
      <c r="P120" s="890" t="s">
        <v>5542</v>
      </c>
      <c r="Q120" s="890">
        <v>2</v>
      </c>
    </row>
    <row r="121" spans="2:17">
      <c r="B121" s="890" t="s">
        <v>5581</v>
      </c>
      <c r="C121" s="890">
        <v>10</v>
      </c>
      <c r="D121" s="556"/>
      <c r="E121" s="890" t="s">
        <v>5682</v>
      </c>
      <c r="F121" s="890">
        <v>3</v>
      </c>
      <c r="G121" s="555"/>
      <c r="H121" s="890" t="s">
        <v>5683</v>
      </c>
      <c r="I121" s="890">
        <v>3</v>
      </c>
      <c r="K121" s="890" t="s">
        <v>5665</v>
      </c>
      <c r="L121" s="890">
        <v>2</v>
      </c>
      <c r="P121" s="890" t="s">
        <v>5469</v>
      </c>
      <c r="Q121" s="890">
        <v>2</v>
      </c>
    </row>
    <row r="122" spans="2:17">
      <c r="B122" s="890" t="s">
        <v>5684</v>
      </c>
      <c r="C122" s="890">
        <v>8</v>
      </c>
      <c r="D122" s="556"/>
      <c r="E122" s="890" t="s">
        <v>5685</v>
      </c>
      <c r="F122" s="890">
        <v>3</v>
      </c>
      <c r="G122" s="555"/>
      <c r="H122" s="890" t="s">
        <v>5686</v>
      </c>
      <c r="I122" s="890">
        <v>3</v>
      </c>
      <c r="K122" s="890" t="s">
        <v>5668</v>
      </c>
      <c r="L122" s="890">
        <v>2</v>
      </c>
      <c r="P122" s="890" t="s">
        <v>5549</v>
      </c>
      <c r="Q122" s="890">
        <v>1</v>
      </c>
    </row>
    <row r="123" spans="2:17">
      <c r="B123" s="890" t="s">
        <v>5585</v>
      </c>
      <c r="C123" s="890">
        <v>10</v>
      </c>
      <c r="D123" s="556"/>
      <c r="E123" s="890" t="s">
        <v>5687</v>
      </c>
      <c r="F123" s="890">
        <v>3</v>
      </c>
      <c r="G123" s="555"/>
      <c r="H123" s="890" t="s">
        <v>5688</v>
      </c>
      <c r="I123" s="890">
        <v>3</v>
      </c>
      <c r="K123" s="890" t="s">
        <v>5674</v>
      </c>
      <c r="L123" s="890">
        <v>4</v>
      </c>
      <c r="P123" s="890" t="s">
        <v>5553</v>
      </c>
      <c r="Q123" s="890">
        <v>1</v>
      </c>
    </row>
    <row r="124" spans="2:17">
      <c r="B124" s="890" t="s">
        <v>5588</v>
      </c>
      <c r="C124" s="890">
        <v>8</v>
      </c>
      <c r="D124" s="556"/>
      <c r="E124" s="890" t="s">
        <v>5689</v>
      </c>
      <c r="F124" s="890">
        <v>3</v>
      </c>
      <c r="G124" s="555"/>
      <c r="H124" s="890" t="s">
        <v>5690</v>
      </c>
      <c r="I124" s="890">
        <v>5</v>
      </c>
      <c r="K124" s="890" t="s">
        <v>5578</v>
      </c>
      <c r="L124" s="890">
        <v>3</v>
      </c>
      <c r="P124" s="890" t="s">
        <v>5472</v>
      </c>
      <c r="Q124" s="890">
        <v>2</v>
      </c>
    </row>
    <row r="125" spans="2:17">
      <c r="B125" s="890" t="s">
        <v>5591</v>
      </c>
      <c r="C125" s="890">
        <v>10</v>
      </c>
      <c r="D125" s="556"/>
      <c r="E125" s="890" t="s">
        <v>5691</v>
      </c>
      <c r="F125" s="890">
        <v>5</v>
      </c>
      <c r="G125" s="555"/>
      <c r="H125" s="890" t="s">
        <v>5692</v>
      </c>
      <c r="I125" s="890">
        <v>3</v>
      </c>
      <c r="K125" s="890" t="s">
        <v>5581</v>
      </c>
      <c r="L125" s="890">
        <v>3</v>
      </c>
      <c r="P125" s="890" t="s">
        <v>5693</v>
      </c>
      <c r="Q125" s="890">
        <v>4</v>
      </c>
    </row>
    <row r="126" spans="2:17">
      <c r="B126" s="890" t="s">
        <v>5694</v>
      </c>
      <c r="C126" s="890">
        <v>10</v>
      </c>
      <c r="D126" s="556"/>
      <c r="E126" s="890" t="s">
        <v>5695</v>
      </c>
      <c r="F126" s="890">
        <v>3</v>
      </c>
      <c r="G126" s="555"/>
      <c r="H126" s="890" t="s">
        <v>5696</v>
      </c>
      <c r="I126" s="890">
        <v>3</v>
      </c>
      <c r="K126" s="890" t="s">
        <v>5684</v>
      </c>
      <c r="L126" s="890">
        <v>2</v>
      </c>
      <c r="P126" s="890" t="s">
        <v>5596</v>
      </c>
      <c r="Q126" s="890">
        <v>1</v>
      </c>
    </row>
    <row r="127" spans="2:17">
      <c r="B127" s="890" t="s">
        <v>5595</v>
      </c>
      <c r="C127" s="890">
        <v>10</v>
      </c>
      <c r="D127" s="556"/>
      <c r="E127" s="890" t="s">
        <v>5697</v>
      </c>
      <c r="F127" s="890">
        <v>3</v>
      </c>
      <c r="G127" s="555"/>
      <c r="H127" s="890" t="s">
        <v>5698</v>
      </c>
      <c r="I127" s="890">
        <v>5</v>
      </c>
      <c r="K127" s="890" t="s">
        <v>5585</v>
      </c>
      <c r="L127" s="890">
        <v>2</v>
      </c>
      <c r="P127" s="890" t="s">
        <v>5568</v>
      </c>
      <c r="Q127" s="890">
        <v>4</v>
      </c>
    </row>
    <row r="128" spans="2:17">
      <c r="B128" s="890" t="s">
        <v>5599</v>
      </c>
      <c r="C128" s="890">
        <v>10</v>
      </c>
      <c r="D128" s="556"/>
      <c r="E128" s="890" t="s">
        <v>5699</v>
      </c>
      <c r="F128" s="890">
        <v>3</v>
      </c>
      <c r="G128" s="555"/>
      <c r="H128" s="890" t="s">
        <v>5700</v>
      </c>
      <c r="I128" s="890">
        <v>3</v>
      </c>
      <c r="K128" s="890" t="s">
        <v>5588</v>
      </c>
      <c r="L128" s="890">
        <v>2</v>
      </c>
      <c r="P128" s="890" t="s">
        <v>5606</v>
      </c>
      <c r="Q128" s="890">
        <v>2</v>
      </c>
    </row>
    <row r="129" spans="1:17">
      <c r="A129" s="547"/>
      <c r="B129" s="890" t="s">
        <v>5601</v>
      </c>
      <c r="C129" s="890">
        <v>8</v>
      </c>
      <c r="D129" s="556"/>
      <c r="E129" s="890" t="s">
        <v>5701</v>
      </c>
      <c r="F129" s="890">
        <v>5</v>
      </c>
      <c r="G129" s="555"/>
      <c r="H129" s="890" t="s">
        <v>5702</v>
      </c>
      <c r="I129" s="890">
        <v>5</v>
      </c>
      <c r="K129" s="890" t="s">
        <v>5591</v>
      </c>
      <c r="L129" s="890">
        <v>2</v>
      </c>
      <c r="P129" s="890" t="s">
        <v>5610</v>
      </c>
      <c r="Q129" s="890">
        <v>2</v>
      </c>
    </row>
    <row r="130" spans="1:17">
      <c r="B130" s="890" t="s">
        <v>5612</v>
      </c>
      <c r="C130" s="890">
        <v>8</v>
      </c>
      <c r="D130" s="556"/>
      <c r="E130" s="890" t="s">
        <v>5703</v>
      </c>
      <c r="F130" s="890">
        <v>3</v>
      </c>
      <c r="G130" s="555"/>
      <c r="H130" s="890" t="s">
        <v>5704</v>
      </c>
      <c r="I130" s="890">
        <v>3</v>
      </c>
      <c r="K130" s="890" t="s">
        <v>5694</v>
      </c>
      <c r="L130" s="890">
        <v>3</v>
      </c>
      <c r="P130" s="890" t="s">
        <v>5705</v>
      </c>
      <c r="Q130" s="890">
        <v>1</v>
      </c>
    </row>
    <row r="131" spans="1:17">
      <c r="B131" s="890" t="s">
        <v>5649</v>
      </c>
      <c r="C131" s="890">
        <v>8</v>
      </c>
      <c r="D131" s="556"/>
      <c r="E131" s="890" t="s">
        <v>5706</v>
      </c>
      <c r="F131" s="890">
        <v>3</v>
      </c>
      <c r="G131" s="555"/>
      <c r="H131" s="890" t="s">
        <v>5707</v>
      </c>
      <c r="I131" s="890">
        <v>1</v>
      </c>
      <c r="K131" s="890" t="s">
        <v>5595</v>
      </c>
      <c r="L131" s="890">
        <v>4</v>
      </c>
      <c r="P131" s="890" t="s">
        <v>5571</v>
      </c>
      <c r="Q131" s="890">
        <v>1</v>
      </c>
    </row>
    <row r="132" spans="1:17">
      <c r="B132" s="890" t="s">
        <v>5651</v>
      </c>
      <c r="C132" s="890">
        <v>8</v>
      </c>
      <c r="D132" s="556"/>
      <c r="E132" s="890" t="s">
        <v>5708</v>
      </c>
      <c r="F132" s="890">
        <v>3</v>
      </c>
      <c r="G132" s="555"/>
      <c r="H132" s="890" t="s">
        <v>5709</v>
      </c>
      <c r="I132" s="890">
        <v>5</v>
      </c>
      <c r="K132" s="890" t="s">
        <v>5710</v>
      </c>
      <c r="L132" s="890">
        <v>1</v>
      </c>
      <c r="P132" s="890" t="s">
        <v>5475</v>
      </c>
      <c r="Q132" s="890">
        <v>2</v>
      </c>
    </row>
    <row r="133" spans="1:17">
      <c r="B133" s="890" t="s">
        <v>5654</v>
      </c>
      <c r="C133" s="890">
        <v>8</v>
      </c>
      <c r="D133" s="556"/>
      <c r="E133" s="890" t="s">
        <v>5711</v>
      </c>
      <c r="F133" s="890">
        <v>3</v>
      </c>
      <c r="G133" s="555"/>
      <c r="H133" s="890" t="s">
        <v>5712</v>
      </c>
      <c r="I133" s="890">
        <v>3</v>
      </c>
      <c r="K133" s="890" t="s">
        <v>5601</v>
      </c>
      <c r="L133" s="890">
        <v>2</v>
      </c>
      <c r="P133" s="890" t="s">
        <v>5481</v>
      </c>
      <c r="Q133" s="890">
        <v>1</v>
      </c>
    </row>
    <row r="134" spans="1:17">
      <c r="B134" s="890" t="s">
        <v>5713</v>
      </c>
      <c r="C134" s="890">
        <v>8</v>
      </c>
      <c r="D134" s="556"/>
      <c r="E134" s="890" t="s">
        <v>5714</v>
      </c>
      <c r="F134" s="890">
        <v>3</v>
      </c>
      <c r="G134" s="555"/>
      <c r="H134" s="890" t="s">
        <v>5715</v>
      </c>
      <c r="I134" s="890">
        <v>1</v>
      </c>
      <c r="K134" s="890" t="s">
        <v>5605</v>
      </c>
      <c r="L134" s="890">
        <v>1</v>
      </c>
      <c r="P134" s="890" t="s">
        <v>5484</v>
      </c>
      <c r="Q134" s="890">
        <v>1</v>
      </c>
    </row>
    <row r="135" spans="1:17">
      <c r="B135" s="890" t="s">
        <v>5656</v>
      </c>
      <c r="C135" s="890">
        <v>8</v>
      </c>
      <c r="D135" s="556"/>
      <c r="E135" s="890" t="s">
        <v>5716</v>
      </c>
      <c r="F135" s="890">
        <v>3</v>
      </c>
      <c r="G135" s="555"/>
      <c r="H135" s="890" t="s">
        <v>5717</v>
      </c>
      <c r="I135" s="890">
        <v>1</v>
      </c>
      <c r="K135" s="890" t="s">
        <v>5612</v>
      </c>
      <c r="L135" s="890">
        <v>4</v>
      </c>
      <c r="P135" s="890" t="s">
        <v>5583</v>
      </c>
      <c r="Q135" s="890">
        <v>4</v>
      </c>
    </row>
    <row r="136" spans="1:17">
      <c r="B136" s="890" t="s">
        <v>5659</v>
      </c>
      <c r="C136" s="890">
        <v>8</v>
      </c>
      <c r="D136" s="556"/>
      <c r="E136" s="890" t="s">
        <v>5718</v>
      </c>
      <c r="F136" s="890">
        <v>3</v>
      </c>
      <c r="G136" s="555"/>
      <c r="H136" s="890" t="s">
        <v>5719</v>
      </c>
      <c r="I136" s="890">
        <v>1</v>
      </c>
      <c r="K136" s="890" t="s">
        <v>5614</v>
      </c>
      <c r="L136" s="890">
        <v>2</v>
      </c>
      <c r="P136" s="890" t="s">
        <v>5487</v>
      </c>
      <c r="Q136" s="890">
        <v>1</v>
      </c>
    </row>
    <row r="137" spans="1:17">
      <c r="B137" s="890" t="s">
        <v>5670</v>
      </c>
      <c r="C137" s="890">
        <v>8</v>
      </c>
      <c r="D137" s="556"/>
      <c r="E137" s="890" t="s">
        <v>5720</v>
      </c>
      <c r="F137" s="890">
        <v>5</v>
      </c>
      <c r="G137" s="555"/>
      <c r="H137" s="890" t="s">
        <v>5721</v>
      </c>
      <c r="I137" s="890">
        <v>1</v>
      </c>
      <c r="K137" s="890" t="s">
        <v>5620</v>
      </c>
      <c r="L137" s="890">
        <v>2</v>
      </c>
      <c r="P137" s="890" t="s">
        <v>5621</v>
      </c>
      <c r="Q137" s="890">
        <v>2</v>
      </c>
    </row>
    <row r="138" spans="1:17">
      <c r="B138" s="890" t="s">
        <v>5688</v>
      </c>
      <c r="C138" s="890">
        <v>8</v>
      </c>
      <c r="D138" s="556"/>
      <c r="E138" s="890" t="s">
        <v>5722</v>
      </c>
      <c r="F138" s="890">
        <v>3</v>
      </c>
      <c r="G138" s="555"/>
      <c r="H138" s="890" t="s">
        <v>5723</v>
      </c>
      <c r="I138" s="890">
        <v>5</v>
      </c>
      <c r="K138" s="890" t="s">
        <v>5623</v>
      </c>
      <c r="L138" s="890">
        <v>2</v>
      </c>
      <c r="P138" s="890" t="s">
        <v>5589</v>
      </c>
      <c r="Q138" s="890">
        <v>1</v>
      </c>
    </row>
    <row r="139" spans="1:17">
      <c r="B139" s="890" t="s">
        <v>5724</v>
      </c>
      <c r="C139" s="890">
        <v>10</v>
      </c>
      <c r="D139" s="556"/>
      <c r="E139" s="890" t="s">
        <v>5725</v>
      </c>
      <c r="F139" s="890">
        <v>3</v>
      </c>
      <c r="G139" s="555"/>
      <c r="H139" s="890" t="s">
        <v>5726</v>
      </c>
      <c r="I139" s="890">
        <v>3</v>
      </c>
      <c r="K139" s="890" t="s">
        <v>5626</v>
      </c>
      <c r="L139" s="890">
        <v>2</v>
      </c>
      <c r="P139" s="890" t="s">
        <v>5490</v>
      </c>
      <c r="Q139" s="890">
        <v>1</v>
      </c>
    </row>
    <row r="140" spans="1:17">
      <c r="B140" s="890" t="s">
        <v>5696</v>
      </c>
      <c r="C140" s="890">
        <v>8</v>
      </c>
      <c r="D140" s="556"/>
      <c r="E140" s="890" t="s">
        <v>5727</v>
      </c>
      <c r="F140" s="890">
        <v>3</v>
      </c>
      <c r="G140" s="555"/>
      <c r="H140" s="890" t="s">
        <v>5728</v>
      </c>
      <c r="I140" s="890">
        <v>5</v>
      </c>
      <c r="K140" s="890" t="s">
        <v>5629</v>
      </c>
      <c r="L140" s="890">
        <v>4</v>
      </c>
      <c r="P140" s="890" t="s">
        <v>5494</v>
      </c>
      <c r="Q140" s="890">
        <v>4</v>
      </c>
    </row>
    <row r="141" spans="1:17">
      <c r="B141" s="890" t="s">
        <v>5700</v>
      </c>
      <c r="C141" s="890">
        <v>8</v>
      </c>
      <c r="D141" s="556"/>
      <c r="E141" s="890" t="s">
        <v>5729</v>
      </c>
      <c r="F141" s="890">
        <v>3</v>
      </c>
      <c r="G141" s="555"/>
      <c r="H141" s="890" t="s">
        <v>5730</v>
      </c>
      <c r="I141" s="890">
        <v>5</v>
      </c>
      <c r="K141" s="890" t="s">
        <v>5633</v>
      </c>
      <c r="L141" s="890">
        <v>2</v>
      </c>
      <c r="P141" s="890" t="s">
        <v>5597</v>
      </c>
      <c r="Q141" s="890">
        <v>2</v>
      </c>
    </row>
    <row r="142" spans="1:17">
      <c r="B142" s="890" t="s">
        <v>5731</v>
      </c>
      <c r="C142" s="890">
        <v>10</v>
      </c>
      <c r="D142" s="556"/>
      <c r="E142" s="890" t="s">
        <v>5732</v>
      </c>
      <c r="F142" s="890">
        <v>3</v>
      </c>
      <c r="G142" s="555"/>
      <c r="H142" s="890" t="s">
        <v>5733</v>
      </c>
      <c r="I142" s="890">
        <v>3</v>
      </c>
      <c r="K142" s="890" t="s">
        <v>5635</v>
      </c>
      <c r="L142" s="890">
        <v>2</v>
      </c>
      <c r="P142" s="890" t="s">
        <v>5497</v>
      </c>
      <c r="Q142" s="890">
        <v>4</v>
      </c>
    </row>
    <row r="143" spans="1:17">
      <c r="B143" s="890" t="s">
        <v>5734</v>
      </c>
      <c r="C143" s="890">
        <v>10</v>
      </c>
      <c r="D143" s="556"/>
      <c r="E143" s="890" t="s">
        <v>5735</v>
      </c>
      <c r="F143" s="890">
        <v>3</v>
      </c>
      <c r="G143" s="555"/>
      <c r="H143" s="890" t="s">
        <v>5736</v>
      </c>
      <c r="I143" s="890">
        <v>1</v>
      </c>
      <c r="K143" s="890" t="s">
        <v>5642</v>
      </c>
      <c r="L143" s="890">
        <v>2</v>
      </c>
      <c r="P143" s="890" t="s">
        <v>5607</v>
      </c>
      <c r="Q143" s="890">
        <v>4</v>
      </c>
    </row>
    <row r="144" spans="1:17">
      <c r="B144" s="890" t="s">
        <v>5712</v>
      </c>
      <c r="C144" s="890">
        <v>8</v>
      </c>
      <c r="D144" s="556"/>
      <c r="E144" s="890" t="s">
        <v>5737</v>
      </c>
      <c r="F144" s="890">
        <v>3</v>
      </c>
      <c r="G144" s="555"/>
      <c r="H144" s="890" t="s">
        <v>5738</v>
      </c>
      <c r="I144" s="890">
        <v>1</v>
      </c>
      <c r="K144" s="890" t="s">
        <v>5649</v>
      </c>
      <c r="L144" s="890">
        <v>2</v>
      </c>
      <c r="P144" s="890" t="s">
        <v>5499</v>
      </c>
      <c r="Q144" s="890">
        <v>2</v>
      </c>
    </row>
    <row r="145" spans="2:17">
      <c r="B145" s="890" t="s">
        <v>5717</v>
      </c>
      <c r="C145" s="890">
        <v>8</v>
      </c>
      <c r="D145" s="556"/>
      <c r="E145" s="890" t="s">
        <v>5739</v>
      </c>
      <c r="F145" s="890">
        <v>3</v>
      </c>
      <c r="G145" s="555"/>
      <c r="H145" s="890" t="s">
        <v>5740</v>
      </c>
      <c r="I145" s="890">
        <v>1</v>
      </c>
      <c r="K145" s="890" t="s">
        <v>5664</v>
      </c>
      <c r="L145" s="890">
        <v>1</v>
      </c>
      <c r="P145" s="890" t="s">
        <v>5502</v>
      </c>
      <c r="Q145" s="890">
        <v>4</v>
      </c>
    </row>
    <row r="146" spans="2:17">
      <c r="B146" s="890" t="s">
        <v>5741</v>
      </c>
      <c r="C146" s="890">
        <v>10</v>
      </c>
      <c r="D146" s="556"/>
      <c r="E146" s="890" t="s">
        <v>5742</v>
      </c>
      <c r="F146" s="890">
        <v>3</v>
      </c>
      <c r="G146" s="555"/>
      <c r="H146" s="890" t="s">
        <v>5743</v>
      </c>
      <c r="I146" s="890">
        <v>1</v>
      </c>
      <c r="K146" s="890" t="s">
        <v>5667</v>
      </c>
      <c r="L146" s="890">
        <v>3</v>
      </c>
      <c r="P146" s="890" t="s">
        <v>5615</v>
      </c>
      <c r="Q146" s="890">
        <v>4</v>
      </c>
    </row>
    <row r="147" spans="2:17">
      <c r="B147" s="890" t="s">
        <v>5719</v>
      </c>
      <c r="C147" s="890">
        <v>8</v>
      </c>
      <c r="D147" s="556"/>
      <c r="E147" s="890" t="s">
        <v>5744</v>
      </c>
      <c r="F147" s="890">
        <v>3</v>
      </c>
      <c r="G147" s="555"/>
      <c r="H147" s="890" t="s">
        <v>5745</v>
      </c>
      <c r="I147" s="890">
        <v>1</v>
      </c>
      <c r="K147" s="890" t="s">
        <v>5670</v>
      </c>
      <c r="L147" s="890">
        <v>4</v>
      </c>
      <c r="P147" s="890" t="s">
        <v>5505</v>
      </c>
      <c r="Q147" s="890">
        <v>2</v>
      </c>
    </row>
    <row r="148" spans="2:17">
      <c r="B148" s="890" t="s">
        <v>5746</v>
      </c>
      <c r="C148" s="890">
        <v>10</v>
      </c>
      <c r="D148" s="556"/>
      <c r="E148" s="890" t="s">
        <v>5747</v>
      </c>
      <c r="F148" s="890">
        <v>3</v>
      </c>
      <c r="G148" s="555"/>
      <c r="H148" s="890" t="s">
        <v>5748</v>
      </c>
      <c r="I148" s="890">
        <v>5</v>
      </c>
      <c r="K148" s="890" t="s">
        <v>5678</v>
      </c>
      <c r="L148" s="890">
        <v>2</v>
      </c>
      <c r="P148" s="890" t="s">
        <v>5640</v>
      </c>
      <c r="Q148" s="890">
        <v>4</v>
      </c>
    </row>
    <row r="149" spans="2:17">
      <c r="B149" s="890" t="s">
        <v>5726</v>
      </c>
      <c r="C149" s="890">
        <v>8</v>
      </c>
      <c r="D149" s="556"/>
      <c r="E149" s="890" t="s">
        <v>5749</v>
      </c>
      <c r="F149" s="890">
        <v>3</v>
      </c>
      <c r="G149" s="555"/>
      <c r="H149" s="890" t="s">
        <v>5750</v>
      </c>
      <c r="I149" s="890">
        <v>3</v>
      </c>
      <c r="K149" s="890" t="s">
        <v>5683</v>
      </c>
      <c r="L149" s="890">
        <v>2</v>
      </c>
      <c r="P149" s="890" t="s">
        <v>5618</v>
      </c>
      <c r="Q149" s="890">
        <v>4</v>
      </c>
    </row>
    <row r="150" spans="2:17">
      <c r="B150" s="890" t="s">
        <v>5728</v>
      </c>
      <c r="C150" s="890">
        <v>10</v>
      </c>
      <c r="D150" s="556"/>
      <c r="E150" s="890" t="s">
        <v>5751</v>
      </c>
      <c r="F150" s="890">
        <v>3</v>
      </c>
      <c r="G150" s="555"/>
      <c r="H150" s="890" t="s">
        <v>5752</v>
      </c>
      <c r="I150" s="890">
        <v>3</v>
      </c>
      <c r="K150" s="890" t="s">
        <v>5686</v>
      </c>
      <c r="L150" s="890">
        <v>2</v>
      </c>
      <c r="P150" s="890" t="s">
        <v>5509</v>
      </c>
      <c r="Q150" s="890">
        <v>2</v>
      </c>
    </row>
    <row r="151" spans="2:17">
      <c r="B151" s="890" t="s">
        <v>5733</v>
      </c>
      <c r="C151" s="890">
        <v>8</v>
      </c>
      <c r="D151" s="556"/>
      <c r="E151" s="890" t="s">
        <v>5753</v>
      </c>
      <c r="F151" s="890">
        <v>3</v>
      </c>
      <c r="G151" s="555"/>
      <c r="H151" s="890" t="s">
        <v>5754</v>
      </c>
      <c r="I151" s="890">
        <v>1</v>
      </c>
      <c r="K151" s="890" t="s">
        <v>5724</v>
      </c>
      <c r="L151" s="890">
        <v>2</v>
      </c>
      <c r="P151" s="890" t="s">
        <v>5513</v>
      </c>
      <c r="Q151" s="890">
        <v>1</v>
      </c>
    </row>
    <row r="152" spans="2:17">
      <c r="B152" s="890" t="s">
        <v>5755</v>
      </c>
      <c r="C152" s="890">
        <v>8</v>
      </c>
      <c r="D152" s="556"/>
      <c r="E152" s="890" t="s">
        <v>5756</v>
      </c>
      <c r="F152" s="890">
        <v>3</v>
      </c>
      <c r="G152" s="555"/>
      <c r="H152" s="890" t="s">
        <v>5757</v>
      </c>
      <c r="I152" s="890">
        <v>1</v>
      </c>
      <c r="K152" s="890" t="s">
        <v>5698</v>
      </c>
      <c r="L152" s="890">
        <v>4</v>
      </c>
      <c r="P152" s="890" t="s">
        <v>5624</v>
      </c>
      <c r="Q152" s="890">
        <v>3</v>
      </c>
    </row>
    <row r="153" spans="2:17">
      <c r="B153" s="890" t="s">
        <v>5758</v>
      </c>
      <c r="C153" s="890">
        <v>10</v>
      </c>
      <c r="D153" s="556"/>
      <c r="E153" s="890" t="s">
        <v>5759</v>
      </c>
      <c r="F153" s="890">
        <v>3</v>
      </c>
      <c r="G153" s="555"/>
      <c r="H153" s="890" t="s">
        <v>5760</v>
      </c>
      <c r="I153" s="890">
        <v>1</v>
      </c>
      <c r="K153" s="890" t="s">
        <v>5702</v>
      </c>
      <c r="L153" s="890">
        <v>2</v>
      </c>
      <c r="P153" s="890" t="s">
        <v>5627</v>
      </c>
      <c r="Q153" s="890">
        <v>2</v>
      </c>
    </row>
    <row r="154" spans="2:17">
      <c r="B154" s="890" t="s">
        <v>5761</v>
      </c>
      <c r="C154" s="890">
        <v>8</v>
      </c>
      <c r="D154" s="556"/>
      <c r="E154" s="890" t="s">
        <v>5762</v>
      </c>
      <c r="F154" s="890">
        <v>3</v>
      </c>
      <c r="G154" s="555"/>
      <c r="H154" s="890" t="s">
        <v>5763</v>
      </c>
      <c r="I154" s="890">
        <v>3</v>
      </c>
      <c r="K154" s="890" t="s">
        <v>5731</v>
      </c>
      <c r="L154" s="890">
        <v>2</v>
      </c>
      <c r="P154" s="890" t="s">
        <v>5516</v>
      </c>
      <c r="Q154" s="890">
        <v>3</v>
      </c>
    </row>
    <row r="155" spans="2:17">
      <c r="B155" s="890" t="s">
        <v>5764</v>
      </c>
      <c r="C155" s="890">
        <v>8</v>
      </c>
      <c r="D155" s="556"/>
      <c r="E155" s="890" t="s">
        <v>5765</v>
      </c>
      <c r="F155" s="890">
        <v>3</v>
      </c>
      <c r="G155" s="555"/>
      <c r="H155" s="890" t="s">
        <v>5766</v>
      </c>
      <c r="I155" s="890">
        <v>3</v>
      </c>
      <c r="K155" s="890" t="s">
        <v>5734</v>
      </c>
      <c r="L155" s="890">
        <v>2</v>
      </c>
      <c r="P155" s="890" t="s">
        <v>5519</v>
      </c>
      <c r="Q155" s="890">
        <v>4</v>
      </c>
    </row>
    <row r="156" spans="2:17">
      <c r="B156" s="890" t="s">
        <v>5767</v>
      </c>
      <c r="C156" s="890">
        <v>8</v>
      </c>
      <c r="D156" s="556"/>
      <c r="E156" s="890" t="s">
        <v>5768</v>
      </c>
      <c r="F156" s="890">
        <v>3</v>
      </c>
      <c r="G156" s="555"/>
      <c r="H156" s="890" t="s">
        <v>5769</v>
      </c>
      <c r="I156" s="890">
        <v>3</v>
      </c>
      <c r="K156" s="890" t="s">
        <v>5704</v>
      </c>
      <c r="L156" s="890">
        <v>2</v>
      </c>
      <c r="P156" s="890" t="s">
        <v>5526</v>
      </c>
      <c r="Q156" s="890">
        <v>4</v>
      </c>
    </row>
    <row r="157" spans="2:17">
      <c r="B157" s="890" t="s">
        <v>5770</v>
      </c>
      <c r="C157" s="890">
        <v>8</v>
      </c>
      <c r="D157" s="556"/>
      <c r="E157" s="890" t="s">
        <v>5771</v>
      </c>
      <c r="F157" s="890">
        <v>5</v>
      </c>
      <c r="G157" s="555"/>
      <c r="H157" s="890" t="s">
        <v>5772</v>
      </c>
      <c r="I157" s="890">
        <v>1</v>
      </c>
      <c r="K157" s="890" t="s">
        <v>5709</v>
      </c>
      <c r="L157" s="890">
        <v>2</v>
      </c>
      <c r="P157" s="890" t="s">
        <v>5529</v>
      </c>
      <c r="Q157" s="890">
        <v>4</v>
      </c>
    </row>
    <row r="158" spans="2:17">
      <c r="B158" s="890" t="s">
        <v>5773</v>
      </c>
      <c r="C158" s="890">
        <v>10</v>
      </c>
      <c r="D158" s="556"/>
      <c r="E158" s="890" t="s">
        <v>5774</v>
      </c>
      <c r="F158" s="890">
        <v>3</v>
      </c>
      <c r="G158" s="555"/>
      <c r="H158" s="890" t="s">
        <v>5775</v>
      </c>
      <c r="I158" s="890">
        <v>1</v>
      </c>
      <c r="K158" s="890" t="s">
        <v>5741</v>
      </c>
      <c r="L158" s="890">
        <v>2</v>
      </c>
      <c r="P158" s="890" t="s">
        <v>5532</v>
      </c>
      <c r="Q158" s="890">
        <v>2</v>
      </c>
    </row>
    <row r="159" spans="2:17">
      <c r="B159" s="890" t="s">
        <v>5743</v>
      </c>
      <c r="C159" s="890">
        <v>8</v>
      </c>
      <c r="D159" s="556"/>
      <c r="E159" s="890" t="s">
        <v>5776</v>
      </c>
      <c r="F159" s="890">
        <v>3</v>
      </c>
      <c r="G159" s="555"/>
      <c r="H159" s="890" t="s">
        <v>5777</v>
      </c>
      <c r="I159" s="890">
        <v>1</v>
      </c>
      <c r="K159" s="890" t="s">
        <v>5719</v>
      </c>
      <c r="L159" s="890">
        <v>3</v>
      </c>
      <c r="P159" s="890" t="s">
        <v>5778</v>
      </c>
      <c r="Q159" s="890">
        <v>2</v>
      </c>
    </row>
    <row r="160" spans="2:17">
      <c r="B160" s="890" t="s">
        <v>5779</v>
      </c>
      <c r="C160" s="890">
        <v>8</v>
      </c>
      <c r="D160" s="556"/>
      <c r="E160" s="890" t="s">
        <v>5780</v>
      </c>
      <c r="F160" s="890">
        <v>3</v>
      </c>
      <c r="G160" s="555"/>
      <c r="H160" s="890" t="s">
        <v>5781</v>
      </c>
      <c r="I160" s="890">
        <v>5</v>
      </c>
      <c r="K160" s="890" t="s">
        <v>5721</v>
      </c>
      <c r="L160" s="890">
        <v>2</v>
      </c>
      <c r="P160" s="890" t="s">
        <v>5536</v>
      </c>
      <c r="Q160" s="890">
        <v>4</v>
      </c>
    </row>
    <row r="161" spans="2:17">
      <c r="B161" s="890" t="s">
        <v>5748</v>
      </c>
      <c r="C161" s="890">
        <v>8</v>
      </c>
      <c r="D161" s="556"/>
      <c r="E161" s="890" t="s">
        <v>5782</v>
      </c>
      <c r="F161" s="890">
        <v>3</v>
      </c>
      <c r="G161" s="555"/>
      <c r="H161" s="890" t="s">
        <v>5783</v>
      </c>
      <c r="I161" s="890">
        <v>3</v>
      </c>
      <c r="K161" s="890" t="s">
        <v>5723</v>
      </c>
      <c r="L161" s="890">
        <v>3</v>
      </c>
      <c r="P161" s="890" t="s">
        <v>5541</v>
      </c>
      <c r="Q161" s="890">
        <v>2</v>
      </c>
    </row>
    <row r="162" spans="2:17">
      <c r="B162" s="890" t="s">
        <v>5754</v>
      </c>
      <c r="C162" s="890">
        <v>8</v>
      </c>
      <c r="D162" s="556"/>
      <c r="E162" s="890" t="s">
        <v>5784</v>
      </c>
      <c r="F162" s="890">
        <v>3</v>
      </c>
      <c r="G162" s="555"/>
      <c r="H162" s="890" t="s">
        <v>5785</v>
      </c>
      <c r="I162" s="890">
        <v>1</v>
      </c>
      <c r="K162" s="890" t="s">
        <v>5746</v>
      </c>
      <c r="L162" s="890">
        <v>2</v>
      </c>
      <c r="P162" s="890" t="s">
        <v>5544</v>
      </c>
      <c r="Q162" s="890">
        <v>4</v>
      </c>
    </row>
    <row r="163" spans="2:17">
      <c r="B163" s="890" t="s">
        <v>5757</v>
      </c>
      <c r="C163" s="890">
        <v>8</v>
      </c>
      <c r="D163" s="556"/>
      <c r="E163" s="890" t="s">
        <v>5786</v>
      </c>
      <c r="F163" s="890">
        <v>3</v>
      </c>
      <c r="G163" s="555"/>
      <c r="H163" s="890" t="s">
        <v>5787</v>
      </c>
      <c r="I163" s="890">
        <v>1</v>
      </c>
      <c r="K163" s="890" t="s">
        <v>5728</v>
      </c>
      <c r="L163" s="890">
        <v>4</v>
      </c>
      <c r="P163" s="890" t="s">
        <v>5647</v>
      </c>
      <c r="Q163" s="890">
        <v>1</v>
      </c>
    </row>
    <row r="164" spans="2:17">
      <c r="B164" s="890" t="s">
        <v>5788</v>
      </c>
      <c r="C164" s="890">
        <v>10</v>
      </c>
      <c r="D164" s="556"/>
      <c r="F164" s="556"/>
      <c r="G164" s="555"/>
      <c r="H164" s="890" t="s">
        <v>5789</v>
      </c>
      <c r="I164" s="890">
        <v>1</v>
      </c>
      <c r="K164" s="890" t="s">
        <v>5755</v>
      </c>
      <c r="L164" s="890">
        <v>1</v>
      </c>
      <c r="P164" s="890" t="s">
        <v>5551</v>
      </c>
      <c r="Q164" s="890">
        <v>4</v>
      </c>
    </row>
    <row r="165" spans="2:17">
      <c r="B165" s="890" t="s">
        <v>5790</v>
      </c>
      <c r="C165" s="890">
        <v>8</v>
      </c>
      <c r="D165" s="556"/>
      <c r="F165" s="556"/>
      <c r="G165" s="555"/>
      <c r="H165" s="890" t="s">
        <v>5791</v>
      </c>
      <c r="I165" s="890">
        <v>3</v>
      </c>
      <c r="K165" s="890" t="s">
        <v>5758</v>
      </c>
      <c r="L165" s="890">
        <v>3</v>
      </c>
      <c r="P165" s="890" t="s">
        <v>5652</v>
      </c>
      <c r="Q165" s="890">
        <v>2</v>
      </c>
    </row>
    <row r="166" spans="2:17">
      <c r="B166" s="890" t="s">
        <v>5792</v>
      </c>
      <c r="C166" s="890">
        <v>8</v>
      </c>
      <c r="D166" s="556"/>
      <c r="F166" s="556"/>
      <c r="G166" s="555"/>
      <c r="H166" s="890" t="s">
        <v>5793</v>
      </c>
      <c r="I166" s="890">
        <v>3</v>
      </c>
      <c r="K166" s="890" t="s">
        <v>5761</v>
      </c>
      <c r="L166" s="890">
        <v>4</v>
      </c>
      <c r="P166" s="890" t="s">
        <v>5555</v>
      </c>
      <c r="Q166" s="890">
        <v>1</v>
      </c>
    </row>
    <row r="167" spans="2:17">
      <c r="B167" s="890" t="s">
        <v>5794</v>
      </c>
      <c r="C167" s="890">
        <v>10</v>
      </c>
      <c r="D167" s="556"/>
      <c r="F167" s="556"/>
      <c r="G167" s="555"/>
      <c r="H167" s="890" t="s">
        <v>5795</v>
      </c>
      <c r="I167" s="890">
        <v>1</v>
      </c>
      <c r="K167" s="890" t="s">
        <v>5764</v>
      </c>
      <c r="L167" s="890">
        <v>1</v>
      </c>
      <c r="P167" s="890" t="s">
        <v>5558</v>
      </c>
      <c r="Q167" s="890">
        <v>3</v>
      </c>
    </row>
    <row r="168" spans="2:17">
      <c r="B168" s="890" t="s">
        <v>5766</v>
      </c>
      <c r="C168" s="890">
        <v>10</v>
      </c>
      <c r="D168" s="556"/>
      <c r="F168" s="556"/>
      <c r="G168" s="555"/>
      <c r="H168" s="890" t="s">
        <v>5796</v>
      </c>
      <c r="I168" s="890">
        <v>1</v>
      </c>
      <c r="K168" s="890" t="s">
        <v>5797</v>
      </c>
      <c r="L168" s="890">
        <v>4</v>
      </c>
      <c r="P168" s="890" t="s">
        <v>5561</v>
      </c>
      <c r="Q168" s="890">
        <v>4</v>
      </c>
    </row>
    <row r="169" spans="2:17">
      <c r="B169" s="890" t="s">
        <v>5798</v>
      </c>
      <c r="C169" s="890">
        <v>10</v>
      </c>
      <c r="D169" s="556"/>
      <c r="F169" s="556"/>
      <c r="G169" s="555"/>
      <c r="H169" s="890" t="s">
        <v>5799</v>
      </c>
      <c r="I169" s="890">
        <v>3</v>
      </c>
      <c r="K169" s="890" t="s">
        <v>5767</v>
      </c>
      <c r="L169" s="890">
        <v>2</v>
      </c>
      <c r="P169" s="890" t="s">
        <v>5660</v>
      </c>
      <c r="Q169" s="890">
        <v>1</v>
      </c>
    </row>
    <row r="170" spans="2:17">
      <c r="B170" s="890" t="s">
        <v>5800</v>
      </c>
      <c r="C170" s="890">
        <v>8</v>
      </c>
      <c r="D170" s="556"/>
      <c r="F170" s="556"/>
      <c r="G170" s="555"/>
      <c r="H170" s="890" t="s">
        <v>5801</v>
      </c>
      <c r="I170" s="890">
        <v>5</v>
      </c>
      <c r="K170" s="890" t="s">
        <v>5770</v>
      </c>
      <c r="L170" s="890">
        <v>2</v>
      </c>
      <c r="P170" s="890" t="s">
        <v>5565</v>
      </c>
      <c r="Q170" s="890">
        <v>2</v>
      </c>
    </row>
    <row r="171" spans="2:17">
      <c r="B171" s="890" t="s">
        <v>5802</v>
      </c>
      <c r="C171" s="890">
        <v>8</v>
      </c>
      <c r="D171" s="556"/>
      <c r="F171" s="556"/>
      <c r="G171" s="555"/>
      <c r="H171" s="890" t="s">
        <v>5803</v>
      </c>
      <c r="I171" s="890">
        <v>3</v>
      </c>
      <c r="K171" s="890" t="s">
        <v>5779</v>
      </c>
      <c r="L171" s="890">
        <v>1</v>
      </c>
      <c r="P171" s="890" t="s">
        <v>5665</v>
      </c>
      <c r="Q171" s="890">
        <v>3</v>
      </c>
    </row>
    <row r="172" spans="2:17">
      <c r="B172" s="890" t="s">
        <v>5769</v>
      </c>
      <c r="C172" s="890">
        <v>10</v>
      </c>
      <c r="D172" s="556"/>
      <c r="F172" s="556"/>
      <c r="G172" s="555"/>
      <c r="H172" s="890" t="s">
        <v>5804</v>
      </c>
      <c r="I172" s="890">
        <v>1</v>
      </c>
      <c r="K172" s="890" t="s">
        <v>5750</v>
      </c>
      <c r="L172" s="890">
        <v>4</v>
      </c>
      <c r="P172" s="890" t="s">
        <v>5668</v>
      </c>
      <c r="Q172" s="890">
        <v>1</v>
      </c>
    </row>
    <row r="173" spans="2:17">
      <c r="B173" s="890" t="s">
        <v>5772</v>
      </c>
      <c r="C173" s="890">
        <v>10</v>
      </c>
      <c r="D173" s="556"/>
      <c r="F173" s="556"/>
      <c r="G173" s="555"/>
      <c r="H173" s="890" t="s">
        <v>5805</v>
      </c>
      <c r="I173" s="890">
        <v>3</v>
      </c>
      <c r="K173" s="890" t="s">
        <v>5806</v>
      </c>
      <c r="L173" s="890">
        <v>2</v>
      </c>
      <c r="P173" s="890" t="s">
        <v>5671</v>
      </c>
      <c r="Q173" s="890">
        <v>3</v>
      </c>
    </row>
    <row r="174" spans="2:17">
      <c r="B174" s="890" t="s">
        <v>5807</v>
      </c>
      <c r="C174" s="890">
        <v>10</v>
      </c>
      <c r="D174" s="556"/>
      <c r="F174" s="556"/>
      <c r="G174" s="555"/>
      <c r="H174" s="890" t="s">
        <v>5808</v>
      </c>
      <c r="I174" s="890">
        <v>1</v>
      </c>
      <c r="K174" s="890" t="s">
        <v>5752</v>
      </c>
      <c r="L174" s="890">
        <v>2</v>
      </c>
      <c r="P174" s="890" t="s">
        <v>5570</v>
      </c>
      <c r="Q174" s="890">
        <v>2</v>
      </c>
    </row>
    <row r="175" spans="2:17">
      <c r="B175" s="890" t="s">
        <v>5809</v>
      </c>
      <c r="C175" s="890">
        <v>8</v>
      </c>
      <c r="D175" s="556"/>
      <c r="F175" s="556"/>
      <c r="G175" s="555"/>
      <c r="H175" s="890" t="s">
        <v>5810</v>
      </c>
      <c r="I175" s="890">
        <v>1</v>
      </c>
      <c r="K175" s="890" t="s">
        <v>5757</v>
      </c>
      <c r="L175" s="890">
        <v>4</v>
      </c>
      <c r="P175" s="890" t="s">
        <v>5573</v>
      </c>
      <c r="Q175" s="890">
        <v>3</v>
      </c>
    </row>
    <row r="176" spans="2:17">
      <c r="B176" s="890" t="s">
        <v>5811</v>
      </c>
      <c r="C176" s="890">
        <v>8</v>
      </c>
      <c r="D176" s="556"/>
      <c r="F176" s="556"/>
      <c r="G176" s="555"/>
      <c r="H176" s="890" t="s">
        <v>5812</v>
      </c>
      <c r="I176" s="890">
        <v>1</v>
      </c>
      <c r="K176" s="890" t="s">
        <v>5788</v>
      </c>
      <c r="L176" s="890">
        <v>2</v>
      </c>
      <c r="P176" s="890" t="s">
        <v>5674</v>
      </c>
      <c r="Q176" s="890">
        <v>1</v>
      </c>
    </row>
    <row r="177" spans="2:17">
      <c r="B177" s="890" t="s">
        <v>5813</v>
      </c>
      <c r="C177" s="890">
        <v>8</v>
      </c>
      <c r="D177" s="556"/>
      <c r="F177" s="556"/>
      <c r="G177" s="555"/>
      <c r="H177" s="890" t="s">
        <v>5814</v>
      </c>
      <c r="I177" s="890">
        <v>1</v>
      </c>
      <c r="K177" s="890" t="s">
        <v>5815</v>
      </c>
      <c r="L177" s="890">
        <v>2</v>
      </c>
      <c r="P177" s="890" t="s">
        <v>5575</v>
      </c>
      <c r="Q177" s="890">
        <v>2</v>
      </c>
    </row>
    <row r="178" spans="2:17">
      <c r="B178" s="890" t="s">
        <v>5816</v>
      </c>
      <c r="C178" s="890">
        <v>10</v>
      </c>
      <c r="D178" s="556"/>
      <c r="F178" s="556"/>
      <c r="G178" s="555"/>
      <c r="H178" s="890" t="s">
        <v>5817</v>
      </c>
      <c r="I178" s="890">
        <v>5</v>
      </c>
      <c r="K178" s="890" t="s">
        <v>5760</v>
      </c>
      <c r="L178" s="890">
        <v>2</v>
      </c>
      <c r="P178" s="890" t="s">
        <v>5578</v>
      </c>
      <c r="Q178" s="890">
        <v>2</v>
      </c>
    </row>
    <row r="179" spans="2:17">
      <c r="B179" s="890" t="s">
        <v>5775</v>
      </c>
      <c r="C179" s="890">
        <v>8</v>
      </c>
      <c r="D179" s="556"/>
      <c r="F179" s="556"/>
      <c r="G179" s="555"/>
      <c r="H179" s="890" t="s">
        <v>5818</v>
      </c>
      <c r="I179" s="890">
        <v>3</v>
      </c>
      <c r="K179" s="890" t="s">
        <v>5763</v>
      </c>
      <c r="L179" s="890">
        <v>2</v>
      </c>
      <c r="P179" s="890" t="s">
        <v>5679</v>
      </c>
      <c r="Q179" s="890">
        <v>2</v>
      </c>
    </row>
    <row r="180" spans="2:17">
      <c r="B180" s="890" t="s">
        <v>5819</v>
      </c>
      <c r="C180" s="890">
        <v>8</v>
      </c>
      <c r="D180" s="556"/>
      <c r="F180" s="556"/>
      <c r="G180" s="555"/>
      <c r="H180" s="890" t="s">
        <v>5820</v>
      </c>
      <c r="I180" s="890">
        <v>1</v>
      </c>
      <c r="K180" s="890" t="s">
        <v>5821</v>
      </c>
      <c r="L180" s="890">
        <v>2</v>
      </c>
      <c r="P180" s="890" t="s">
        <v>5581</v>
      </c>
      <c r="Q180" s="890">
        <v>1</v>
      </c>
    </row>
    <row r="181" spans="2:17">
      <c r="B181" s="890" t="s">
        <v>5781</v>
      </c>
      <c r="C181" s="890">
        <v>8</v>
      </c>
      <c r="D181" s="556"/>
      <c r="F181" s="556"/>
      <c r="G181" s="555"/>
      <c r="H181" s="890" t="s">
        <v>5822</v>
      </c>
      <c r="I181" s="890">
        <v>5</v>
      </c>
      <c r="K181" s="890" t="s">
        <v>5800</v>
      </c>
      <c r="L181" s="890">
        <v>2</v>
      </c>
      <c r="P181" s="890" t="s">
        <v>5684</v>
      </c>
      <c r="Q181" s="890">
        <v>4</v>
      </c>
    </row>
    <row r="182" spans="2:17">
      <c r="B182" s="890" t="s">
        <v>5823</v>
      </c>
      <c r="C182" s="890">
        <v>8</v>
      </c>
      <c r="D182" s="556"/>
      <c r="F182" s="556"/>
      <c r="G182" s="555"/>
      <c r="H182" s="890" t="s">
        <v>5824</v>
      </c>
      <c r="I182" s="890">
        <v>1</v>
      </c>
      <c r="K182" s="890" t="s">
        <v>5825</v>
      </c>
      <c r="L182" s="890">
        <v>2</v>
      </c>
      <c r="P182" s="890" t="s">
        <v>5585</v>
      </c>
      <c r="Q182" s="890">
        <v>1</v>
      </c>
    </row>
    <row r="183" spans="2:17">
      <c r="B183" s="890" t="s">
        <v>5826</v>
      </c>
      <c r="C183" s="890">
        <v>10</v>
      </c>
      <c r="D183" s="556"/>
      <c r="F183" s="556"/>
      <c r="G183" s="555"/>
      <c r="H183" s="890" t="s">
        <v>5827</v>
      </c>
      <c r="I183" s="890">
        <v>1</v>
      </c>
      <c r="K183" s="890" t="s">
        <v>5802</v>
      </c>
      <c r="L183" s="890">
        <v>4</v>
      </c>
      <c r="P183" s="890" t="s">
        <v>5588</v>
      </c>
      <c r="Q183" s="890">
        <v>3</v>
      </c>
    </row>
    <row r="184" spans="2:17">
      <c r="B184" s="890" t="s">
        <v>5828</v>
      </c>
      <c r="C184" s="890">
        <v>8</v>
      </c>
      <c r="D184" s="556"/>
      <c r="F184" s="556"/>
      <c r="G184" s="555"/>
      <c r="H184" s="890" t="s">
        <v>5829</v>
      </c>
      <c r="I184" s="890">
        <v>5</v>
      </c>
      <c r="K184" s="890" t="s">
        <v>5830</v>
      </c>
      <c r="L184" s="890">
        <v>3</v>
      </c>
      <c r="P184" s="890" t="s">
        <v>5591</v>
      </c>
      <c r="Q184" s="890">
        <v>2</v>
      </c>
    </row>
    <row r="185" spans="2:17">
      <c r="B185" s="890" t="s">
        <v>5831</v>
      </c>
      <c r="C185" s="890">
        <v>10</v>
      </c>
      <c r="D185" s="556"/>
      <c r="F185" s="556"/>
      <c r="G185" s="555"/>
      <c r="H185" s="890" t="s">
        <v>5832</v>
      </c>
      <c r="I185" s="890">
        <v>5</v>
      </c>
      <c r="K185" s="890" t="s">
        <v>5769</v>
      </c>
      <c r="L185" s="890">
        <v>1</v>
      </c>
      <c r="P185" s="890" t="s">
        <v>5593</v>
      </c>
      <c r="Q185" s="890">
        <v>2</v>
      </c>
    </row>
    <row r="186" spans="2:17">
      <c r="B186" s="890" t="s">
        <v>5785</v>
      </c>
      <c r="C186" s="890">
        <v>10</v>
      </c>
      <c r="D186" s="556"/>
      <c r="F186" s="556"/>
      <c r="G186" s="555"/>
      <c r="H186" s="890" t="s">
        <v>5833</v>
      </c>
      <c r="I186" s="890">
        <v>5</v>
      </c>
      <c r="K186" s="890" t="s">
        <v>5772</v>
      </c>
      <c r="L186" s="890">
        <v>4</v>
      </c>
      <c r="P186" s="890" t="s">
        <v>5694</v>
      </c>
      <c r="Q186" s="890">
        <v>2</v>
      </c>
    </row>
    <row r="187" spans="2:17">
      <c r="B187" s="890" t="s">
        <v>5787</v>
      </c>
      <c r="C187" s="890">
        <v>10</v>
      </c>
      <c r="D187" s="556"/>
      <c r="F187" s="556"/>
      <c r="G187" s="555"/>
      <c r="H187" s="890" t="s">
        <v>5834</v>
      </c>
      <c r="I187" s="890">
        <v>3</v>
      </c>
      <c r="K187" s="890" t="s">
        <v>5807</v>
      </c>
      <c r="L187" s="890">
        <v>4</v>
      </c>
      <c r="P187" s="890" t="s">
        <v>5595</v>
      </c>
      <c r="Q187" s="890">
        <v>4</v>
      </c>
    </row>
    <row r="188" spans="2:17">
      <c r="B188" s="890" t="s">
        <v>5835</v>
      </c>
      <c r="C188" s="890">
        <v>8</v>
      </c>
      <c r="D188" s="556"/>
      <c r="F188" s="556"/>
      <c r="G188" s="555"/>
      <c r="H188" s="890" t="s">
        <v>5836</v>
      </c>
      <c r="I188" s="890">
        <v>3</v>
      </c>
      <c r="K188" s="890" t="s">
        <v>5809</v>
      </c>
      <c r="L188" s="890">
        <v>4</v>
      </c>
      <c r="P188" s="890" t="s">
        <v>5710</v>
      </c>
      <c r="Q188" s="890">
        <v>2</v>
      </c>
    </row>
    <row r="189" spans="2:17">
      <c r="B189" s="890" t="s">
        <v>5837</v>
      </c>
      <c r="C189" s="890">
        <v>8</v>
      </c>
      <c r="D189" s="556"/>
      <c r="F189" s="556"/>
      <c r="G189" s="555"/>
      <c r="H189" s="890" t="s">
        <v>5838</v>
      </c>
      <c r="I189" s="890">
        <v>3</v>
      </c>
      <c r="K189" s="890" t="s">
        <v>5811</v>
      </c>
      <c r="L189" s="890">
        <v>4</v>
      </c>
      <c r="P189" s="890" t="s">
        <v>5599</v>
      </c>
      <c r="Q189" s="890">
        <v>2</v>
      </c>
    </row>
    <row r="190" spans="2:17">
      <c r="B190" s="890" t="s">
        <v>5839</v>
      </c>
      <c r="C190" s="890">
        <v>10</v>
      </c>
      <c r="D190" s="556"/>
      <c r="F190" s="556"/>
      <c r="G190" s="555"/>
      <c r="H190" s="890" t="s">
        <v>5840</v>
      </c>
      <c r="I190" s="890">
        <v>5</v>
      </c>
      <c r="K190" s="890" t="s">
        <v>5841</v>
      </c>
      <c r="L190" s="890">
        <v>3</v>
      </c>
      <c r="P190" s="890" t="s">
        <v>5601</v>
      </c>
      <c r="Q190" s="890">
        <v>4</v>
      </c>
    </row>
    <row r="191" spans="2:17">
      <c r="B191" s="890" t="s">
        <v>5789</v>
      </c>
      <c r="C191" s="890">
        <v>8</v>
      </c>
      <c r="D191" s="556"/>
      <c r="F191" s="556"/>
      <c r="G191" s="555"/>
      <c r="H191" s="890" t="s">
        <v>5842</v>
      </c>
      <c r="I191" s="890">
        <v>3</v>
      </c>
      <c r="K191" s="890" t="s">
        <v>5813</v>
      </c>
      <c r="L191" s="890">
        <v>2</v>
      </c>
      <c r="P191" s="890" t="s">
        <v>5605</v>
      </c>
      <c r="Q191" s="890">
        <v>4</v>
      </c>
    </row>
    <row r="192" spans="2:17">
      <c r="B192" s="890" t="s">
        <v>5843</v>
      </c>
      <c r="C192" s="890">
        <v>8</v>
      </c>
      <c r="D192" s="556"/>
      <c r="F192" s="556"/>
      <c r="G192" s="555"/>
      <c r="H192" s="890" t="s">
        <v>5844</v>
      </c>
      <c r="I192" s="890">
        <v>3</v>
      </c>
      <c r="K192" s="890" t="s">
        <v>5816</v>
      </c>
      <c r="L192" s="890">
        <v>2</v>
      </c>
      <c r="P192" s="890" t="s">
        <v>5609</v>
      </c>
      <c r="Q192" s="890">
        <v>4</v>
      </c>
    </row>
    <row r="193" spans="2:17">
      <c r="B193" s="890" t="s">
        <v>5845</v>
      </c>
      <c r="C193" s="890">
        <v>8</v>
      </c>
      <c r="D193" s="556"/>
      <c r="F193" s="556"/>
      <c r="G193" s="555"/>
      <c r="H193" s="890" t="s">
        <v>5846</v>
      </c>
      <c r="I193" s="890">
        <v>5</v>
      </c>
      <c r="K193" s="890" t="s">
        <v>5847</v>
      </c>
      <c r="L193" s="890">
        <v>4</v>
      </c>
      <c r="P193" s="890" t="s">
        <v>5612</v>
      </c>
      <c r="Q193" s="890">
        <v>3</v>
      </c>
    </row>
    <row r="194" spans="2:17">
      <c r="B194" s="890" t="s">
        <v>5796</v>
      </c>
      <c r="C194" s="890">
        <v>8</v>
      </c>
      <c r="D194" s="556"/>
      <c r="F194" s="556"/>
      <c r="G194" s="555"/>
      <c r="H194" s="890" t="s">
        <v>5848</v>
      </c>
      <c r="I194" s="890">
        <v>5</v>
      </c>
      <c r="K194" s="890" t="s">
        <v>5775</v>
      </c>
      <c r="L194" s="890">
        <v>4</v>
      </c>
      <c r="P194" s="890" t="s">
        <v>5614</v>
      </c>
      <c r="Q194" s="890">
        <v>4</v>
      </c>
    </row>
    <row r="195" spans="2:17">
      <c r="B195" s="890" t="s">
        <v>5801</v>
      </c>
      <c r="C195" s="890">
        <v>8</v>
      </c>
      <c r="D195" s="556"/>
      <c r="F195" s="556"/>
      <c r="G195" s="555"/>
      <c r="H195" s="890" t="s">
        <v>5849</v>
      </c>
      <c r="I195" s="890">
        <v>1</v>
      </c>
      <c r="K195" s="890" t="s">
        <v>5777</v>
      </c>
      <c r="L195" s="890">
        <v>4</v>
      </c>
      <c r="P195" s="890" t="s">
        <v>5620</v>
      </c>
      <c r="Q195" s="890">
        <v>4</v>
      </c>
    </row>
    <row r="196" spans="2:17">
      <c r="B196" s="890" t="s">
        <v>5850</v>
      </c>
      <c r="C196" s="890">
        <v>8</v>
      </c>
      <c r="D196" s="556"/>
      <c r="F196" s="556"/>
      <c r="G196" s="555"/>
      <c r="H196" s="890" t="s">
        <v>5851</v>
      </c>
      <c r="I196" s="890">
        <v>1</v>
      </c>
      <c r="K196" s="890" t="s">
        <v>5852</v>
      </c>
      <c r="L196" s="890">
        <v>2</v>
      </c>
      <c r="P196" s="890" t="s">
        <v>5623</v>
      </c>
      <c r="Q196" s="890">
        <v>2</v>
      </c>
    </row>
    <row r="197" spans="2:17">
      <c r="B197" s="890" t="s">
        <v>5853</v>
      </c>
      <c r="C197" s="890">
        <v>10</v>
      </c>
      <c r="D197" s="556"/>
      <c r="F197" s="556"/>
      <c r="G197" s="555"/>
      <c r="H197" s="890" t="s">
        <v>5854</v>
      </c>
      <c r="I197" s="890">
        <v>1</v>
      </c>
      <c r="K197" s="890" t="s">
        <v>5855</v>
      </c>
      <c r="L197" s="890">
        <v>2</v>
      </c>
      <c r="P197" s="890" t="s">
        <v>5626</v>
      </c>
      <c r="Q197" s="890">
        <v>1</v>
      </c>
    </row>
    <row r="198" spans="2:17">
      <c r="B198" s="890" t="s">
        <v>5856</v>
      </c>
      <c r="C198" s="890">
        <v>10</v>
      </c>
      <c r="D198" s="556"/>
      <c r="F198" s="556"/>
      <c r="G198" s="555"/>
      <c r="H198" s="890" t="s">
        <v>5857</v>
      </c>
      <c r="I198" s="890">
        <v>3</v>
      </c>
      <c r="K198" s="890" t="s">
        <v>5858</v>
      </c>
      <c r="L198" s="890">
        <v>4</v>
      </c>
      <c r="P198" s="890" t="s">
        <v>5629</v>
      </c>
      <c r="Q198" s="890">
        <v>3</v>
      </c>
    </row>
    <row r="199" spans="2:17">
      <c r="B199" s="890" t="s">
        <v>5859</v>
      </c>
      <c r="C199" s="890">
        <v>8</v>
      </c>
      <c r="D199" s="556"/>
      <c r="F199" s="556"/>
      <c r="G199" s="555"/>
      <c r="H199" s="890" t="s">
        <v>5860</v>
      </c>
      <c r="I199" s="890">
        <v>3</v>
      </c>
      <c r="K199" s="890" t="s">
        <v>5783</v>
      </c>
      <c r="L199" s="890">
        <v>3</v>
      </c>
      <c r="P199" s="890" t="s">
        <v>5631</v>
      </c>
      <c r="Q199" s="890">
        <v>4</v>
      </c>
    </row>
    <row r="200" spans="2:17">
      <c r="B200" s="890" t="s">
        <v>5861</v>
      </c>
      <c r="C200" s="890">
        <v>10</v>
      </c>
      <c r="D200" s="556"/>
      <c r="F200" s="556"/>
      <c r="G200" s="555"/>
      <c r="H200" s="890" t="s">
        <v>5862</v>
      </c>
      <c r="I200" s="890">
        <v>3</v>
      </c>
      <c r="K200" s="890" t="s">
        <v>5826</v>
      </c>
      <c r="L200" s="890">
        <v>2</v>
      </c>
      <c r="P200" s="890" t="s">
        <v>5633</v>
      </c>
      <c r="Q200" s="890">
        <v>4</v>
      </c>
    </row>
    <row r="201" spans="2:17">
      <c r="B201" s="890" t="s">
        <v>5863</v>
      </c>
      <c r="C201" s="890">
        <v>10</v>
      </c>
      <c r="D201" s="556"/>
      <c r="F201" s="556"/>
      <c r="G201" s="555"/>
      <c r="H201" s="890" t="s">
        <v>5864</v>
      </c>
      <c r="I201" s="890">
        <v>3</v>
      </c>
      <c r="K201" s="890" t="s">
        <v>5865</v>
      </c>
      <c r="L201" s="890">
        <v>4</v>
      </c>
      <c r="P201" s="890" t="s">
        <v>5635</v>
      </c>
      <c r="Q201" s="890">
        <v>4</v>
      </c>
    </row>
    <row r="202" spans="2:17">
      <c r="B202" s="890" t="s">
        <v>5804</v>
      </c>
      <c r="C202" s="890">
        <v>10</v>
      </c>
      <c r="D202" s="556"/>
      <c r="F202" s="556"/>
      <c r="G202" s="555"/>
      <c r="H202" s="890" t="s">
        <v>5866</v>
      </c>
      <c r="I202" s="890">
        <v>1</v>
      </c>
      <c r="K202" s="890" t="s">
        <v>5828</v>
      </c>
      <c r="L202" s="890">
        <v>4</v>
      </c>
      <c r="P202" s="890" t="s">
        <v>5642</v>
      </c>
      <c r="Q202" s="890">
        <v>4</v>
      </c>
    </row>
    <row r="203" spans="2:17">
      <c r="B203" s="890" t="s">
        <v>5867</v>
      </c>
      <c r="C203" s="890">
        <v>10</v>
      </c>
      <c r="D203" s="556"/>
      <c r="F203" s="556"/>
      <c r="G203" s="555"/>
      <c r="H203" s="890" t="s">
        <v>5868</v>
      </c>
      <c r="I203" s="890">
        <v>5</v>
      </c>
      <c r="K203" s="890" t="s">
        <v>5787</v>
      </c>
      <c r="L203" s="890">
        <v>2</v>
      </c>
      <c r="P203" s="890" t="s">
        <v>5645</v>
      </c>
      <c r="Q203" s="890">
        <v>4</v>
      </c>
    </row>
    <row r="204" spans="2:17">
      <c r="B204" s="890" t="s">
        <v>5869</v>
      </c>
      <c r="C204" s="890">
        <v>10</v>
      </c>
      <c r="D204" s="556"/>
      <c r="F204" s="556"/>
      <c r="G204" s="555"/>
      <c r="H204" s="890" t="s">
        <v>5870</v>
      </c>
      <c r="I204" s="890">
        <v>3</v>
      </c>
      <c r="K204" s="890" t="s">
        <v>5871</v>
      </c>
      <c r="L204" s="890">
        <v>4</v>
      </c>
      <c r="P204" s="890" t="s">
        <v>5649</v>
      </c>
      <c r="Q204" s="890">
        <v>1</v>
      </c>
    </row>
    <row r="205" spans="2:17">
      <c r="B205" s="890" t="s">
        <v>5872</v>
      </c>
      <c r="C205" s="890">
        <v>10</v>
      </c>
      <c r="D205" s="556"/>
      <c r="F205" s="556"/>
      <c r="G205" s="555"/>
      <c r="H205" s="890" t="s">
        <v>5873</v>
      </c>
      <c r="I205" s="890">
        <v>5</v>
      </c>
      <c r="K205" s="890" t="s">
        <v>5839</v>
      </c>
      <c r="L205" s="890">
        <v>4</v>
      </c>
      <c r="P205" s="890" t="s">
        <v>5651</v>
      </c>
      <c r="Q205" s="890">
        <v>3</v>
      </c>
    </row>
    <row r="206" spans="2:17">
      <c r="B206" s="890" t="s">
        <v>5874</v>
      </c>
      <c r="C206" s="890">
        <v>8</v>
      </c>
      <c r="D206" s="556"/>
      <c r="F206" s="556"/>
      <c r="G206" s="555"/>
      <c r="H206" s="890" t="s">
        <v>5875</v>
      </c>
      <c r="I206" s="890">
        <v>3</v>
      </c>
      <c r="K206" s="890" t="s">
        <v>5789</v>
      </c>
      <c r="L206" s="890">
        <v>4</v>
      </c>
      <c r="P206" s="890" t="s">
        <v>5654</v>
      </c>
      <c r="Q206" s="890">
        <v>1</v>
      </c>
    </row>
    <row r="207" spans="2:17">
      <c r="B207" s="890" t="s">
        <v>5876</v>
      </c>
      <c r="C207" s="890">
        <v>8</v>
      </c>
      <c r="D207" s="556"/>
      <c r="F207" s="556"/>
      <c r="G207" s="555"/>
      <c r="H207" s="890" t="s">
        <v>5877</v>
      </c>
      <c r="I207" s="890">
        <v>5</v>
      </c>
      <c r="K207" s="890" t="s">
        <v>5878</v>
      </c>
      <c r="L207" s="890">
        <v>2</v>
      </c>
      <c r="P207" s="890" t="s">
        <v>5713</v>
      </c>
      <c r="Q207" s="890">
        <v>2</v>
      </c>
    </row>
    <row r="208" spans="2:17">
      <c r="B208" s="890" t="s">
        <v>5879</v>
      </c>
      <c r="C208" s="890">
        <v>8</v>
      </c>
      <c r="D208" s="556"/>
      <c r="F208" s="556"/>
      <c r="G208" s="555"/>
      <c r="H208" s="890" t="s">
        <v>5880</v>
      </c>
      <c r="I208" s="890">
        <v>5</v>
      </c>
      <c r="K208" s="890" t="s">
        <v>5793</v>
      </c>
      <c r="L208" s="890">
        <v>3</v>
      </c>
      <c r="P208" s="890" t="s">
        <v>5656</v>
      </c>
      <c r="Q208" s="890">
        <v>2</v>
      </c>
    </row>
    <row r="209" spans="2:17">
      <c r="B209" s="890" t="s">
        <v>5881</v>
      </c>
      <c r="C209" s="890">
        <v>8</v>
      </c>
      <c r="D209" s="556"/>
      <c r="F209" s="556"/>
      <c r="G209" s="555"/>
      <c r="H209" s="890" t="s">
        <v>5882</v>
      </c>
      <c r="I209" s="890">
        <v>1</v>
      </c>
      <c r="K209" s="890" t="s">
        <v>5883</v>
      </c>
      <c r="L209" s="890">
        <v>3</v>
      </c>
      <c r="P209" s="890" t="s">
        <v>5659</v>
      </c>
      <c r="Q209" s="890">
        <v>4</v>
      </c>
    </row>
    <row r="210" spans="2:17">
      <c r="B210" s="890" t="s">
        <v>5884</v>
      </c>
      <c r="C210" s="890">
        <v>8</v>
      </c>
      <c r="D210" s="556"/>
      <c r="F210" s="556"/>
      <c r="G210" s="555"/>
      <c r="H210" s="890" t="s">
        <v>5885</v>
      </c>
      <c r="I210" s="890">
        <v>5</v>
      </c>
      <c r="K210" s="890" t="s">
        <v>5886</v>
      </c>
      <c r="L210" s="890">
        <v>2</v>
      </c>
      <c r="P210" s="890" t="s">
        <v>5662</v>
      </c>
      <c r="Q210" s="890">
        <v>4</v>
      </c>
    </row>
    <row r="211" spans="2:17">
      <c r="B211" s="890" t="s">
        <v>5887</v>
      </c>
      <c r="C211" s="890">
        <v>10</v>
      </c>
      <c r="D211" s="556"/>
      <c r="F211" s="556"/>
      <c r="G211" s="555"/>
      <c r="H211" s="890" t="s">
        <v>5888</v>
      </c>
      <c r="I211" s="890">
        <v>1</v>
      </c>
      <c r="K211" s="890" t="s">
        <v>5796</v>
      </c>
      <c r="L211" s="890">
        <v>2</v>
      </c>
      <c r="P211" s="890" t="s">
        <v>5664</v>
      </c>
      <c r="Q211" s="890">
        <v>1</v>
      </c>
    </row>
    <row r="212" spans="2:17">
      <c r="B212" s="890" t="s">
        <v>5889</v>
      </c>
      <c r="C212" s="890">
        <v>8</v>
      </c>
      <c r="D212" s="556"/>
      <c r="F212" s="556"/>
      <c r="G212" s="555"/>
      <c r="H212" s="890" t="s">
        <v>5890</v>
      </c>
      <c r="I212" s="890">
        <v>3</v>
      </c>
      <c r="K212" s="890" t="s">
        <v>5891</v>
      </c>
      <c r="L212" s="890">
        <v>2</v>
      </c>
      <c r="P212" s="890" t="s">
        <v>5670</v>
      </c>
      <c r="Q212" s="890">
        <v>2</v>
      </c>
    </row>
    <row r="213" spans="2:17">
      <c r="B213" s="890" t="s">
        <v>5892</v>
      </c>
      <c r="C213" s="890">
        <v>8</v>
      </c>
      <c r="D213" s="556"/>
      <c r="F213" s="556"/>
      <c r="G213" s="555"/>
      <c r="H213" s="890" t="s">
        <v>5893</v>
      </c>
      <c r="I213" s="890">
        <v>1</v>
      </c>
      <c r="K213" s="890" t="s">
        <v>5799</v>
      </c>
      <c r="L213" s="890">
        <v>4</v>
      </c>
      <c r="P213" s="890" t="s">
        <v>5678</v>
      </c>
      <c r="Q213" s="890">
        <v>4</v>
      </c>
    </row>
    <row r="214" spans="2:17">
      <c r="B214" s="890" t="s">
        <v>5894</v>
      </c>
      <c r="C214" s="890">
        <v>8</v>
      </c>
      <c r="D214" s="556"/>
      <c r="F214" s="556"/>
      <c r="G214" s="555"/>
      <c r="H214" s="890" t="s">
        <v>5895</v>
      </c>
      <c r="I214" s="890">
        <v>3</v>
      </c>
      <c r="K214" s="890" t="s">
        <v>5853</v>
      </c>
      <c r="L214" s="890">
        <v>2</v>
      </c>
      <c r="P214" s="890" t="s">
        <v>5681</v>
      </c>
      <c r="Q214" s="890">
        <v>3</v>
      </c>
    </row>
    <row r="215" spans="2:17">
      <c r="B215" s="890" t="s">
        <v>5896</v>
      </c>
      <c r="C215" s="890">
        <v>10</v>
      </c>
      <c r="D215" s="556"/>
      <c r="F215" s="556"/>
      <c r="G215" s="555"/>
      <c r="H215" s="890" t="s">
        <v>5897</v>
      </c>
      <c r="I215" s="890">
        <v>3</v>
      </c>
      <c r="K215" s="890" t="s">
        <v>5898</v>
      </c>
      <c r="L215" s="890">
        <v>4</v>
      </c>
      <c r="P215" s="890" t="s">
        <v>5683</v>
      </c>
      <c r="Q215" s="890">
        <v>4</v>
      </c>
    </row>
    <row r="216" spans="2:17">
      <c r="B216" s="890" t="s">
        <v>5899</v>
      </c>
      <c r="C216" s="890">
        <v>10</v>
      </c>
      <c r="D216" s="556"/>
      <c r="F216" s="556"/>
      <c r="G216" s="555"/>
      <c r="H216" s="890" t="s">
        <v>5900</v>
      </c>
      <c r="I216" s="890">
        <v>3</v>
      </c>
      <c r="K216" s="890" t="s">
        <v>5859</v>
      </c>
      <c r="L216" s="890">
        <v>2</v>
      </c>
      <c r="P216" s="890" t="s">
        <v>5901</v>
      </c>
      <c r="Q216" s="890">
        <v>4</v>
      </c>
    </row>
    <row r="217" spans="2:17">
      <c r="B217" s="890" t="s">
        <v>5902</v>
      </c>
      <c r="C217" s="890">
        <v>8</v>
      </c>
      <c r="D217" s="556"/>
      <c r="F217" s="556"/>
      <c r="G217" s="555"/>
      <c r="H217" s="890" t="s">
        <v>5903</v>
      </c>
      <c r="I217" s="890">
        <v>3</v>
      </c>
      <c r="K217" s="890" t="s">
        <v>5863</v>
      </c>
      <c r="L217" s="890">
        <v>4</v>
      </c>
      <c r="P217" s="890" t="s">
        <v>5686</v>
      </c>
      <c r="Q217" s="890">
        <v>3</v>
      </c>
    </row>
    <row r="218" spans="2:17">
      <c r="B218" s="890" t="s">
        <v>5904</v>
      </c>
      <c r="C218" s="890">
        <v>8</v>
      </c>
      <c r="D218" s="556"/>
      <c r="F218" s="556"/>
      <c r="H218" s="890" t="s">
        <v>5905</v>
      </c>
      <c r="I218" s="890">
        <v>3</v>
      </c>
      <c r="K218" s="890" t="s">
        <v>5804</v>
      </c>
      <c r="L218" s="890">
        <v>2</v>
      </c>
      <c r="P218" s="890" t="s">
        <v>5688</v>
      </c>
      <c r="Q218" s="890">
        <v>1</v>
      </c>
    </row>
    <row r="219" spans="2:17">
      <c r="B219" s="890" t="s">
        <v>5906</v>
      </c>
      <c r="C219" s="890">
        <v>8</v>
      </c>
      <c r="D219" s="556"/>
      <c r="F219" s="556"/>
      <c r="H219" s="890" t="s">
        <v>5907</v>
      </c>
      <c r="I219" s="890">
        <v>5</v>
      </c>
      <c r="K219" s="890" t="s">
        <v>5867</v>
      </c>
      <c r="L219" s="890">
        <v>4</v>
      </c>
      <c r="P219" s="890" t="s">
        <v>5690</v>
      </c>
      <c r="Q219" s="890">
        <v>2</v>
      </c>
    </row>
    <row r="220" spans="2:17">
      <c r="B220" s="890" t="s">
        <v>5908</v>
      </c>
      <c r="C220" s="890">
        <v>8</v>
      </c>
      <c r="D220" s="556"/>
      <c r="F220" s="556"/>
      <c r="H220" s="890" t="s">
        <v>5909</v>
      </c>
      <c r="I220" s="890">
        <v>5</v>
      </c>
      <c r="K220" s="890" t="s">
        <v>5872</v>
      </c>
      <c r="L220" s="890">
        <v>4</v>
      </c>
      <c r="P220" s="890" t="s">
        <v>5692</v>
      </c>
      <c r="Q220" s="890">
        <v>4</v>
      </c>
    </row>
    <row r="221" spans="2:17">
      <c r="B221" s="890" t="s">
        <v>5910</v>
      </c>
      <c r="C221" s="890">
        <v>8</v>
      </c>
      <c r="D221" s="556"/>
      <c r="F221" s="556"/>
      <c r="H221" s="890" t="s">
        <v>5911</v>
      </c>
      <c r="I221" s="890">
        <v>5</v>
      </c>
      <c r="K221" s="890" t="s">
        <v>5879</v>
      </c>
      <c r="L221" s="890">
        <v>2</v>
      </c>
      <c r="P221" s="890" t="s">
        <v>5696</v>
      </c>
      <c r="Q221" s="890">
        <v>4</v>
      </c>
    </row>
    <row r="222" spans="2:17">
      <c r="B222" s="890" t="s">
        <v>5912</v>
      </c>
      <c r="C222" s="890">
        <v>8</v>
      </c>
      <c r="D222" s="556"/>
      <c r="F222" s="556"/>
      <c r="H222" s="890" t="s">
        <v>5913</v>
      </c>
      <c r="I222" s="890">
        <v>1</v>
      </c>
      <c r="K222" s="890" t="s">
        <v>5914</v>
      </c>
      <c r="L222" s="890">
        <v>4</v>
      </c>
      <c r="P222" s="890" t="s">
        <v>5700</v>
      </c>
      <c r="Q222" s="890">
        <v>4</v>
      </c>
    </row>
    <row r="223" spans="2:17">
      <c r="B223" s="890" t="s">
        <v>5915</v>
      </c>
      <c r="C223" s="890">
        <v>10</v>
      </c>
      <c r="D223" s="556"/>
      <c r="F223" s="556"/>
      <c r="H223" s="890" t="s">
        <v>5916</v>
      </c>
      <c r="I223" s="890">
        <v>3</v>
      </c>
      <c r="K223" s="890" t="s">
        <v>5881</v>
      </c>
      <c r="L223" s="890">
        <v>4</v>
      </c>
      <c r="P223" s="890" t="s">
        <v>5702</v>
      </c>
      <c r="Q223" s="890">
        <v>4</v>
      </c>
    </row>
    <row r="224" spans="2:17">
      <c r="B224" s="890" t="s">
        <v>5917</v>
      </c>
      <c r="C224" s="890">
        <v>8</v>
      </c>
      <c r="D224" s="556"/>
      <c r="F224" s="556"/>
      <c r="H224" s="890" t="s">
        <v>5918</v>
      </c>
      <c r="I224" s="890">
        <v>5</v>
      </c>
      <c r="K224" s="890" t="s">
        <v>5884</v>
      </c>
      <c r="L224" s="890">
        <v>2</v>
      </c>
      <c r="P224" s="890" t="s">
        <v>5734</v>
      </c>
      <c r="Q224" s="890">
        <v>3</v>
      </c>
    </row>
    <row r="225" spans="2:17">
      <c r="B225" s="890" t="s">
        <v>5919</v>
      </c>
      <c r="C225" s="890">
        <v>8</v>
      </c>
      <c r="D225" s="556"/>
      <c r="F225" s="556"/>
      <c r="H225" s="890" t="s">
        <v>5920</v>
      </c>
      <c r="I225" s="890">
        <v>3</v>
      </c>
      <c r="K225" s="890" t="s">
        <v>5887</v>
      </c>
      <c r="L225" s="890">
        <v>1</v>
      </c>
      <c r="P225" s="890" t="s">
        <v>5704</v>
      </c>
      <c r="Q225" s="890">
        <v>2</v>
      </c>
    </row>
    <row r="226" spans="2:17">
      <c r="B226" s="890" t="s">
        <v>5921</v>
      </c>
      <c r="C226" s="890">
        <v>8</v>
      </c>
      <c r="D226" s="556"/>
      <c r="F226" s="556"/>
      <c r="H226" s="890" t="s">
        <v>5922</v>
      </c>
      <c r="I226" s="890">
        <v>1</v>
      </c>
      <c r="K226" s="890" t="s">
        <v>5889</v>
      </c>
      <c r="L226" s="890">
        <v>3</v>
      </c>
      <c r="P226" s="890" t="s">
        <v>5709</v>
      </c>
      <c r="Q226" s="890">
        <v>4</v>
      </c>
    </row>
    <row r="227" spans="2:17">
      <c r="B227" s="890" t="s">
        <v>5923</v>
      </c>
      <c r="C227" s="890">
        <v>8</v>
      </c>
      <c r="D227" s="556"/>
      <c r="F227" s="556"/>
      <c r="H227" s="890" t="s">
        <v>5924</v>
      </c>
      <c r="I227" s="890">
        <v>5</v>
      </c>
      <c r="K227" s="890" t="s">
        <v>5925</v>
      </c>
      <c r="L227" s="890">
        <v>3</v>
      </c>
      <c r="P227" s="890" t="s">
        <v>5715</v>
      </c>
      <c r="Q227" s="890">
        <v>4</v>
      </c>
    </row>
    <row r="228" spans="2:17">
      <c r="B228" s="890" t="s">
        <v>5926</v>
      </c>
      <c r="C228" s="890">
        <v>8</v>
      </c>
      <c r="D228" s="556"/>
      <c r="F228" s="556"/>
      <c r="H228" s="890" t="s">
        <v>5927</v>
      </c>
      <c r="I228" s="890">
        <v>1</v>
      </c>
      <c r="K228" s="890" t="s">
        <v>5896</v>
      </c>
      <c r="L228" s="890">
        <v>4</v>
      </c>
      <c r="P228" s="890" t="s">
        <v>5717</v>
      </c>
      <c r="Q228" s="890">
        <v>2</v>
      </c>
    </row>
    <row r="229" spans="2:17">
      <c r="B229" s="890" t="s">
        <v>5928</v>
      </c>
      <c r="C229" s="890">
        <v>8</v>
      </c>
      <c r="D229" s="556"/>
      <c r="F229" s="556"/>
      <c r="H229" s="890" t="s">
        <v>5929</v>
      </c>
      <c r="I229" s="890">
        <v>3</v>
      </c>
      <c r="K229" s="890" t="s">
        <v>5902</v>
      </c>
      <c r="L229" s="890">
        <v>2</v>
      </c>
      <c r="P229" s="890" t="s">
        <v>5723</v>
      </c>
      <c r="Q229" s="890">
        <v>4</v>
      </c>
    </row>
    <row r="230" spans="2:17">
      <c r="B230" s="890" t="s">
        <v>5812</v>
      </c>
      <c r="C230" s="890">
        <v>8</v>
      </c>
      <c r="D230" s="556"/>
      <c r="F230" s="556"/>
      <c r="H230" s="890" t="s">
        <v>5930</v>
      </c>
      <c r="I230" s="890">
        <v>1</v>
      </c>
      <c r="K230" s="890" t="s">
        <v>5931</v>
      </c>
      <c r="L230" s="890">
        <v>2</v>
      </c>
      <c r="P230" s="890" t="s">
        <v>5726</v>
      </c>
      <c r="Q230" s="890">
        <v>2</v>
      </c>
    </row>
    <row r="231" spans="2:17">
      <c r="B231" s="890" t="s">
        <v>5814</v>
      </c>
      <c r="C231" s="890">
        <v>8</v>
      </c>
      <c r="D231" s="556"/>
      <c r="F231" s="556"/>
      <c r="H231" s="890" t="s">
        <v>5932</v>
      </c>
      <c r="I231" s="890">
        <v>3</v>
      </c>
      <c r="K231" s="890" t="s">
        <v>5933</v>
      </c>
      <c r="L231" s="890">
        <v>2</v>
      </c>
      <c r="P231" s="890" t="s">
        <v>5730</v>
      </c>
      <c r="Q231" s="890">
        <v>2</v>
      </c>
    </row>
    <row r="232" spans="2:17">
      <c r="B232" s="890" t="s">
        <v>5934</v>
      </c>
      <c r="C232" s="890">
        <v>10</v>
      </c>
      <c r="D232" s="556"/>
      <c r="F232" s="556"/>
      <c r="H232" s="890" t="s">
        <v>5935</v>
      </c>
      <c r="I232" s="890">
        <v>5</v>
      </c>
      <c r="K232" s="890" t="s">
        <v>5936</v>
      </c>
      <c r="L232" s="890">
        <v>2</v>
      </c>
      <c r="P232" s="890" t="s">
        <v>5733</v>
      </c>
      <c r="Q232" s="890">
        <v>4</v>
      </c>
    </row>
    <row r="233" spans="2:17">
      <c r="B233" s="890" t="s">
        <v>5937</v>
      </c>
      <c r="C233" s="890">
        <v>8</v>
      </c>
      <c r="D233" s="556"/>
      <c r="F233" s="556"/>
      <c r="H233" s="890" t="s">
        <v>5938</v>
      </c>
      <c r="I233" s="890">
        <v>5</v>
      </c>
      <c r="K233" s="890" t="s">
        <v>5939</v>
      </c>
      <c r="L233" s="890">
        <v>1</v>
      </c>
      <c r="P233" s="890" t="s">
        <v>5755</v>
      </c>
      <c r="Q233" s="890">
        <v>3</v>
      </c>
    </row>
    <row r="234" spans="2:17">
      <c r="B234" s="890" t="s">
        <v>5940</v>
      </c>
      <c r="C234" s="890">
        <v>8</v>
      </c>
      <c r="D234" s="556"/>
      <c r="F234" s="556"/>
      <c r="H234" s="890" t="s">
        <v>5941</v>
      </c>
      <c r="I234" s="890">
        <v>3</v>
      </c>
      <c r="K234" s="890" t="s">
        <v>5908</v>
      </c>
      <c r="L234" s="890">
        <v>2</v>
      </c>
      <c r="P234" s="890" t="s">
        <v>5942</v>
      </c>
      <c r="Q234" s="890">
        <v>2</v>
      </c>
    </row>
    <row r="235" spans="2:17">
      <c r="B235" s="890" t="s">
        <v>5943</v>
      </c>
      <c r="C235" s="890">
        <v>10</v>
      </c>
      <c r="D235" s="556"/>
      <c r="F235" s="556"/>
      <c r="H235" s="890" t="s">
        <v>5944</v>
      </c>
      <c r="I235" s="890">
        <v>5</v>
      </c>
      <c r="K235" s="890" t="s">
        <v>5945</v>
      </c>
      <c r="L235" s="890">
        <v>2</v>
      </c>
      <c r="P235" s="890" t="s">
        <v>5758</v>
      </c>
      <c r="Q235" s="890">
        <v>4</v>
      </c>
    </row>
    <row r="236" spans="2:17">
      <c r="B236" s="890" t="s">
        <v>5946</v>
      </c>
      <c r="C236" s="890">
        <v>8</v>
      </c>
      <c r="D236" s="556"/>
      <c r="F236" s="556"/>
      <c r="H236" s="890" t="s">
        <v>5947</v>
      </c>
      <c r="I236" s="890">
        <v>1</v>
      </c>
      <c r="K236" s="890" t="s">
        <v>5915</v>
      </c>
      <c r="L236" s="890">
        <v>4</v>
      </c>
      <c r="P236" s="890" t="s">
        <v>5761</v>
      </c>
      <c r="Q236" s="890">
        <v>1</v>
      </c>
    </row>
    <row r="237" spans="2:17">
      <c r="B237" s="890" t="s">
        <v>5820</v>
      </c>
      <c r="C237" s="890">
        <v>8</v>
      </c>
      <c r="D237" s="556"/>
      <c r="F237" s="556"/>
      <c r="H237" s="890" t="s">
        <v>5948</v>
      </c>
      <c r="I237" s="890">
        <v>1</v>
      </c>
      <c r="K237" s="890" t="s">
        <v>5949</v>
      </c>
      <c r="L237" s="890">
        <v>2</v>
      </c>
      <c r="P237" s="890" t="s">
        <v>5764</v>
      </c>
      <c r="Q237" s="890">
        <v>1</v>
      </c>
    </row>
    <row r="238" spans="2:17">
      <c r="B238" s="890" t="s">
        <v>5950</v>
      </c>
      <c r="C238" s="890">
        <v>10</v>
      </c>
      <c r="D238" s="556"/>
      <c r="F238" s="556"/>
      <c r="H238" s="890" t="s">
        <v>5951</v>
      </c>
      <c r="I238" s="890">
        <v>5</v>
      </c>
      <c r="K238" s="890" t="s">
        <v>5919</v>
      </c>
      <c r="L238" s="890">
        <v>2</v>
      </c>
      <c r="P238" s="890" t="s">
        <v>5736</v>
      </c>
      <c r="Q238" s="890">
        <v>4</v>
      </c>
    </row>
    <row r="239" spans="2:17">
      <c r="B239" s="890" t="s">
        <v>5952</v>
      </c>
      <c r="C239" s="890">
        <v>10</v>
      </c>
      <c r="D239" s="556"/>
      <c r="F239" s="556"/>
      <c r="H239" s="890" t="s">
        <v>5953</v>
      </c>
      <c r="I239" s="890">
        <v>5</v>
      </c>
      <c r="K239" s="890" t="s">
        <v>5921</v>
      </c>
      <c r="L239" s="890">
        <v>4</v>
      </c>
      <c r="P239" s="890" t="s">
        <v>5738</v>
      </c>
      <c r="Q239" s="890">
        <v>1</v>
      </c>
    </row>
    <row r="240" spans="2:17">
      <c r="B240" s="890" t="s">
        <v>5824</v>
      </c>
      <c r="C240" s="890">
        <v>10</v>
      </c>
      <c r="D240" s="556"/>
      <c r="F240" s="556"/>
      <c r="H240" s="890" t="s">
        <v>5954</v>
      </c>
      <c r="I240" s="890">
        <v>5</v>
      </c>
      <c r="K240" s="890" t="s">
        <v>5926</v>
      </c>
      <c r="L240" s="890">
        <v>3</v>
      </c>
      <c r="P240" s="890" t="s">
        <v>5740</v>
      </c>
      <c r="Q240" s="890">
        <v>2</v>
      </c>
    </row>
    <row r="241" spans="2:17">
      <c r="B241" s="890" t="s">
        <v>5955</v>
      </c>
      <c r="C241" s="890">
        <v>8</v>
      </c>
      <c r="D241" s="556"/>
      <c r="F241" s="556"/>
      <c r="H241" s="890" t="s">
        <v>5956</v>
      </c>
      <c r="I241" s="890">
        <v>1</v>
      </c>
      <c r="K241" s="890" t="s">
        <v>5957</v>
      </c>
      <c r="L241" s="890">
        <v>2</v>
      </c>
      <c r="P241" s="890" t="s">
        <v>5797</v>
      </c>
      <c r="Q241" s="890">
        <v>2</v>
      </c>
    </row>
    <row r="242" spans="2:17">
      <c r="B242" s="890" t="s">
        <v>5958</v>
      </c>
      <c r="C242" s="890">
        <v>8</v>
      </c>
      <c r="D242" s="556"/>
      <c r="F242" s="556"/>
      <c r="H242" s="890" t="s">
        <v>5959</v>
      </c>
      <c r="I242" s="890">
        <v>3</v>
      </c>
      <c r="K242" s="890" t="s">
        <v>5928</v>
      </c>
      <c r="L242" s="890">
        <v>2</v>
      </c>
      <c r="P242" s="890" t="s">
        <v>5767</v>
      </c>
      <c r="Q242" s="890">
        <v>4</v>
      </c>
    </row>
    <row r="243" spans="2:17">
      <c r="B243" s="890" t="s">
        <v>5960</v>
      </c>
      <c r="C243" s="890">
        <v>8</v>
      </c>
      <c r="D243" s="556"/>
      <c r="F243" s="556"/>
      <c r="H243" s="890" t="s">
        <v>5961</v>
      </c>
      <c r="I243" s="890">
        <v>3</v>
      </c>
      <c r="K243" s="890" t="s">
        <v>5810</v>
      </c>
      <c r="L243" s="890">
        <v>2</v>
      </c>
      <c r="P243" s="890" t="s">
        <v>5962</v>
      </c>
      <c r="Q243" s="890">
        <v>3</v>
      </c>
    </row>
    <row r="244" spans="2:17">
      <c r="B244" s="890" t="s">
        <v>5963</v>
      </c>
      <c r="C244" s="890">
        <v>8</v>
      </c>
      <c r="D244" s="556"/>
      <c r="F244" s="556"/>
      <c r="H244" s="890" t="s">
        <v>5964</v>
      </c>
      <c r="I244" s="890">
        <v>3</v>
      </c>
      <c r="K244" s="890" t="s">
        <v>5812</v>
      </c>
      <c r="L244" s="890">
        <v>4</v>
      </c>
      <c r="P244" s="890" t="s">
        <v>5965</v>
      </c>
      <c r="Q244" s="890">
        <v>4</v>
      </c>
    </row>
    <row r="245" spans="2:17">
      <c r="B245" s="890" t="s">
        <v>5827</v>
      </c>
      <c r="C245" s="890">
        <v>8</v>
      </c>
      <c r="D245" s="556"/>
      <c r="F245" s="556"/>
      <c r="H245" s="890" t="s">
        <v>5966</v>
      </c>
      <c r="I245" s="890">
        <v>3</v>
      </c>
      <c r="K245" s="890" t="s">
        <v>5814</v>
      </c>
      <c r="L245" s="890">
        <v>2</v>
      </c>
      <c r="P245" s="890" t="s">
        <v>5770</v>
      </c>
      <c r="Q245" s="890">
        <v>2</v>
      </c>
    </row>
    <row r="246" spans="2:17">
      <c r="B246" s="890" t="s">
        <v>5967</v>
      </c>
      <c r="C246" s="890">
        <v>8</v>
      </c>
      <c r="D246" s="556"/>
      <c r="F246" s="556"/>
      <c r="H246" s="890" t="s">
        <v>5968</v>
      </c>
      <c r="I246" s="890">
        <v>3</v>
      </c>
      <c r="K246" s="890" t="s">
        <v>5937</v>
      </c>
      <c r="L246" s="890">
        <v>2</v>
      </c>
      <c r="P246" s="890" t="s">
        <v>5773</v>
      </c>
      <c r="Q246" s="890">
        <v>1</v>
      </c>
    </row>
    <row r="247" spans="2:17">
      <c r="B247" s="890" t="s">
        <v>5969</v>
      </c>
      <c r="C247" s="890">
        <v>8</v>
      </c>
      <c r="D247" s="556"/>
      <c r="F247" s="556"/>
      <c r="H247" s="890" t="s">
        <v>5970</v>
      </c>
      <c r="I247" s="890">
        <v>3</v>
      </c>
      <c r="K247" s="890" t="s">
        <v>5940</v>
      </c>
      <c r="L247" s="890">
        <v>2</v>
      </c>
      <c r="P247" s="890" t="s">
        <v>5743</v>
      </c>
      <c r="Q247" s="890">
        <v>1</v>
      </c>
    </row>
    <row r="248" spans="2:17">
      <c r="B248" s="890" t="s">
        <v>5971</v>
      </c>
      <c r="C248" s="890">
        <v>8</v>
      </c>
      <c r="D248" s="556"/>
      <c r="F248" s="556"/>
      <c r="H248" s="890" t="s">
        <v>5972</v>
      </c>
      <c r="I248" s="890">
        <v>5</v>
      </c>
      <c r="K248" s="890" t="s">
        <v>5943</v>
      </c>
      <c r="L248" s="890">
        <v>2</v>
      </c>
      <c r="P248" s="890" t="s">
        <v>5745</v>
      </c>
      <c r="Q248" s="890">
        <v>1</v>
      </c>
    </row>
    <row r="249" spans="2:17">
      <c r="B249" s="890" t="s">
        <v>5973</v>
      </c>
      <c r="C249" s="890">
        <v>8</v>
      </c>
      <c r="D249" s="556"/>
      <c r="F249" s="556"/>
      <c r="H249" s="890" t="s">
        <v>5974</v>
      </c>
      <c r="I249" s="890">
        <v>3</v>
      </c>
      <c r="K249" s="890" t="s">
        <v>5946</v>
      </c>
      <c r="L249" s="890">
        <v>3</v>
      </c>
      <c r="P249" s="890" t="s">
        <v>5779</v>
      </c>
      <c r="Q249" s="890">
        <v>2</v>
      </c>
    </row>
    <row r="250" spans="2:17">
      <c r="B250" s="890" t="s">
        <v>5842</v>
      </c>
      <c r="C250" s="890">
        <v>10</v>
      </c>
      <c r="D250" s="556"/>
      <c r="F250" s="556"/>
      <c r="H250" s="890" t="s">
        <v>5975</v>
      </c>
      <c r="I250" s="890">
        <v>3</v>
      </c>
      <c r="K250" s="890" t="s">
        <v>5817</v>
      </c>
      <c r="L250" s="890">
        <v>4</v>
      </c>
      <c r="P250" s="890" t="s">
        <v>5748</v>
      </c>
      <c r="Q250" s="890">
        <v>2</v>
      </c>
    </row>
    <row r="251" spans="2:17">
      <c r="B251" s="890" t="s">
        <v>5976</v>
      </c>
      <c r="C251" s="890">
        <v>8</v>
      </c>
      <c r="D251" s="556"/>
      <c r="F251" s="556"/>
      <c r="H251" s="890" t="s">
        <v>5977</v>
      </c>
      <c r="I251" s="890">
        <v>5</v>
      </c>
      <c r="K251" s="890" t="s">
        <v>5818</v>
      </c>
      <c r="L251" s="890">
        <v>4</v>
      </c>
      <c r="P251" s="890" t="s">
        <v>5806</v>
      </c>
      <c r="Q251" s="890">
        <v>1</v>
      </c>
    </row>
    <row r="252" spans="2:17">
      <c r="B252" s="890" t="s">
        <v>5978</v>
      </c>
      <c r="C252" s="890">
        <v>8</v>
      </c>
      <c r="D252" s="556"/>
      <c r="F252" s="556"/>
      <c r="H252" s="890" t="s">
        <v>5979</v>
      </c>
      <c r="I252" s="890">
        <v>3</v>
      </c>
      <c r="K252" s="890" t="s">
        <v>5820</v>
      </c>
      <c r="L252" s="890">
        <v>4</v>
      </c>
      <c r="P252" s="890" t="s">
        <v>5752</v>
      </c>
      <c r="Q252" s="890">
        <v>2</v>
      </c>
    </row>
    <row r="253" spans="2:17">
      <c r="B253" s="890" t="s">
        <v>5980</v>
      </c>
      <c r="C253" s="890">
        <v>10</v>
      </c>
      <c r="D253" s="556"/>
      <c r="F253" s="556"/>
      <c r="H253" s="890" t="s">
        <v>5981</v>
      </c>
      <c r="I253" s="890">
        <v>5</v>
      </c>
      <c r="K253" s="890" t="s">
        <v>5952</v>
      </c>
      <c r="L253" s="890">
        <v>2</v>
      </c>
      <c r="P253" s="890" t="s">
        <v>5754</v>
      </c>
      <c r="Q253" s="890">
        <v>1</v>
      </c>
    </row>
    <row r="254" spans="2:17">
      <c r="B254" s="890" t="s">
        <v>5846</v>
      </c>
      <c r="C254" s="890">
        <v>10</v>
      </c>
      <c r="D254" s="556"/>
      <c r="F254" s="556"/>
      <c r="H254" s="890" t="s">
        <v>5982</v>
      </c>
      <c r="I254" s="890">
        <v>3</v>
      </c>
      <c r="K254" s="890" t="s">
        <v>5983</v>
      </c>
      <c r="L254" s="890">
        <v>3</v>
      </c>
      <c r="P254" s="890" t="s">
        <v>5757</v>
      </c>
      <c r="Q254" s="890">
        <v>1</v>
      </c>
    </row>
    <row r="255" spans="2:17">
      <c r="B255" s="890" t="s">
        <v>5848</v>
      </c>
      <c r="C255" s="890">
        <v>10</v>
      </c>
      <c r="D255" s="556"/>
      <c r="F255" s="556"/>
      <c r="H255" s="890" t="s">
        <v>5984</v>
      </c>
      <c r="I255" s="890">
        <v>3</v>
      </c>
      <c r="K255" s="890" t="s">
        <v>5985</v>
      </c>
      <c r="L255" s="890">
        <v>4</v>
      </c>
      <c r="P255" s="890" t="s">
        <v>5788</v>
      </c>
      <c r="Q255" s="890">
        <v>1</v>
      </c>
    </row>
    <row r="256" spans="2:17">
      <c r="B256" s="890" t="s">
        <v>5849</v>
      </c>
      <c r="C256" s="890">
        <v>10</v>
      </c>
      <c r="D256" s="556"/>
      <c r="H256" s="890" t="s">
        <v>5986</v>
      </c>
      <c r="I256" s="890">
        <v>1</v>
      </c>
      <c r="K256" s="890" t="s">
        <v>5824</v>
      </c>
      <c r="L256" s="890">
        <v>1</v>
      </c>
      <c r="P256" s="890" t="s">
        <v>5815</v>
      </c>
      <c r="Q256" s="890">
        <v>4</v>
      </c>
    </row>
    <row r="257" spans="2:17">
      <c r="B257" s="890" t="s">
        <v>5987</v>
      </c>
      <c r="C257" s="890">
        <v>10</v>
      </c>
      <c r="D257" s="556"/>
      <c r="H257" s="890" t="s">
        <v>5988</v>
      </c>
      <c r="I257" s="890">
        <v>5</v>
      </c>
      <c r="K257" s="890" t="s">
        <v>5955</v>
      </c>
      <c r="L257" s="890">
        <v>4</v>
      </c>
      <c r="P257" s="890" t="s">
        <v>5760</v>
      </c>
      <c r="Q257" s="890">
        <v>4</v>
      </c>
    </row>
    <row r="258" spans="2:17">
      <c r="B258" s="890" t="s">
        <v>5989</v>
      </c>
      <c r="C258" s="890">
        <v>10</v>
      </c>
      <c r="D258" s="556"/>
      <c r="H258" s="890" t="s">
        <v>5990</v>
      </c>
      <c r="I258" s="890">
        <v>5</v>
      </c>
      <c r="K258" s="890" t="s">
        <v>5991</v>
      </c>
      <c r="L258" s="890">
        <v>3</v>
      </c>
      <c r="P258" s="890" t="s">
        <v>5763</v>
      </c>
      <c r="Q258" s="890">
        <v>3</v>
      </c>
    </row>
    <row r="259" spans="2:17">
      <c r="B259" s="890" t="s">
        <v>5851</v>
      </c>
      <c r="C259" s="890">
        <v>8</v>
      </c>
      <c r="D259" s="556"/>
      <c r="H259" s="890" t="s">
        <v>5992</v>
      </c>
      <c r="I259" s="890">
        <v>1</v>
      </c>
      <c r="K259" s="890" t="s">
        <v>5958</v>
      </c>
      <c r="L259" s="890">
        <v>3</v>
      </c>
      <c r="P259" s="890" t="s">
        <v>5794</v>
      </c>
      <c r="Q259" s="890">
        <v>1</v>
      </c>
    </row>
    <row r="260" spans="2:17">
      <c r="B260" s="890" t="s">
        <v>5993</v>
      </c>
      <c r="C260" s="890">
        <v>8</v>
      </c>
      <c r="D260" s="556"/>
      <c r="H260" s="890" t="s">
        <v>5994</v>
      </c>
      <c r="I260" s="890">
        <v>3</v>
      </c>
      <c r="K260" s="890" t="s">
        <v>5963</v>
      </c>
      <c r="L260" s="890">
        <v>2</v>
      </c>
      <c r="P260" s="890" t="s">
        <v>5766</v>
      </c>
      <c r="Q260" s="890">
        <v>1</v>
      </c>
    </row>
    <row r="261" spans="2:17">
      <c r="B261" s="890" t="s">
        <v>5854</v>
      </c>
      <c r="C261" s="890">
        <v>8</v>
      </c>
      <c r="D261" s="556"/>
      <c r="H261" s="890" t="s">
        <v>5995</v>
      </c>
      <c r="I261" s="890">
        <v>3</v>
      </c>
      <c r="K261" s="890" t="s">
        <v>5996</v>
      </c>
      <c r="L261" s="890">
        <v>2</v>
      </c>
      <c r="P261" s="890" t="s">
        <v>5821</v>
      </c>
      <c r="Q261" s="890">
        <v>1</v>
      </c>
    </row>
    <row r="262" spans="2:17">
      <c r="B262" s="890" t="s">
        <v>5857</v>
      </c>
      <c r="C262" s="890">
        <v>8</v>
      </c>
      <c r="D262" s="556"/>
      <c r="H262" s="890" t="s">
        <v>5997</v>
      </c>
      <c r="I262" s="890">
        <v>3</v>
      </c>
      <c r="K262" s="890" t="s">
        <v>5827</v>
      </c>
      <c r="L262" s="890">
        <v>2</v>
      </c>
      <c r="P262" s="890" t="s">
        <v>5800</v>
      </c>
      <c r="Q262" s="890">
        <v>4</v>
      </c>
    </row>
    <row r="263" spans="2:17">
      <c r="B263" s="890" t="s">
        <v>5998</v>
      </c>
      <c r="C263" s="890">
        <v>8</v>
      </c>
      <c r="D263" s="556"/>
      <c r="H263" s="890" t="s">
        <v>5999</v>
      </c>
      <c r="I263" s="890">
        <v>3</v>
      </c>
      <c r="K263" s="890" t="s">
        <v>6000</v>
      </c>
      <c r="L263" s="890">
        <v>2</v>
      </c>
      <c r="P263" s="890" t="s">
        <v>5825</v>
      </c>
      <c r="Q263" s="890">
        <v>1</v>
      </c>
    </row>
    <row r="264" spans="2:17">
      <c r="B264" s="890" t="s">
        <v>5860</v>
      </c>
      <c r="C264" s="890">
        <v>10</v>
      </c>
      <c r="D264" s="556"/>
      <c r="H264" s="890" t="s">
        <v>6001</v>
      </c>
      <c r="I264" s="890">
        <v>3</v>
      </c>
      <c r="K264" s="890" t="s">
        <v>5829</v>
      </c>
      <c r="L264" s="890">
        <v>1</v>
      </c>
      <c r="P264" s="890" t="s">
        <v>5830</v>
      </c>
      <c r="Q264" s="890">
        <v>4</v>
      </c>
    </row>
    <row r="265" spans="2:17">
      <c r="B265" s="890" t="s">
        <v>6002</v>
      </c>
      <c r="C265" s="890">
        <v>10</v>
      </c>
      <c r="D265" s="556"/>
      <c r="H265" s="890" t="s">
        <v>6003</v>
      </c>
      <c r="I265" s="890">
        <v>3</v>
      </c>
      <c r="K265" s="890" t="s">
        <v>6004</v>
      </c>
      <c r="L265" s="890">
        <v>2</v>
      </c>
      <c r="P265" s="890" t="s">
        <v>5769</v>
      </c>
      <c r="Q265" s="890">
        <v>1</v>
      </c>
    </row>
    <row r="266" spans="2:17">
      <c r="B266" s="890" t="s">
        <v>5864</v>
      </c>
      <c r="C266" s="890">
        <v>8</v>
      </c>
      <c r="D266" s="556"/>
      <c r="H266" s="890" t="s">
        <v>6005</v>
      </c>
      <c r="I266" s="890">
        <v>1</v>
      </c>
      <c r="K266" s="890" t="s">
        <v>5832</v>
      </c>
      <c r="L266" s="890">
        <v>2</v>
      </c>
      <c r="P266" s="890" t="s">
        <v>5841</v>
      </c>
      <c r="Q266" s="890">
        <v>1</v>
      </c>
    </row>
    <row r="267" spans="2:17">
      <c r="B267" s="890" t="s">
        <v>5868</v>
      </c>
      <c r="C267" s="890">
        <v>8</v>
      </c>
      <c r="D267" s="556"/>
      <c r="H267" s="890" t="s">
        <v>6006</v>
      </c>
      <c r="I267" s="890">
        <v>3</v>
      </c>
      <c r="K267" s="890" t="s">
        <v>5833</v>
      </c>
      <c r="L267" s="890">
        <v>4</v>
      </c>
      <c r="P267" s="890" t="s">
        <v>5813</v>
      </c>
      <c r="Q267" s="890">
        <v>2</v>
      </c>
    </row>
    <row r="268" spans="2:17">
      <c r="B268" s="890" t="s">
        <v>5873</v>
      </c>
      <c r="C268" s="890">
        <v>8</v>
      </c>
      <c r="D268" s="556"/>
      <c r="H268" s="890" t="s">
        <v>6007</v>
      </c>
      <c r="I268" s="890">
        <v>1</v>
      </c>
      <c r="K268" s="890" t="s">
        <v>5834</v>
      </c>
      <c r="L268" s="890">
        <v>2</v>
      </c>
      <c r="P268" s="890" t="s">
        <v>5816</v>
      </c>
      <c r="Q268" s="890">
        <v>1</v>
      </c>
    </row>
    <row r="269" spans="2:17">
      <c r="B269" s="890" t="s">
        <v>5875</v>
      </c>
      <c r="C269" s="890">
        <v>8</v>
      </c>
      <c r="D269" s="556"/>
      <c r="H269" s="890" t="s">
        <v>6008</v>
      </c>
      <c r="I269" s="890">
        <v>1</v>
      </c>
      <c r="K269" s="890" t="s">
        <v>5969</v>
      </c>
      <c r="L269" s="890">
        <v>3</v>
      </c>
      <c r="P269" s="890" t="s">
        <v>5847</v>
      </c>
      <c r="Q269" s="890">
        <v>4</v>
      </c>
    </row>
    <row r="270" spans="2:17">
      <c r="B270" s="890" t="s">
        <v>6009</v>
      </c>
      <c r="C270" s="890">
        <v>8</v>
      </c>
      <c r="D270" s="556"/>
      <c r="H270" s="890" t="s">
        <v>6010</v>
      </c>
      <c r="I270" s="890">
        <v>3</v>
      </c>
      <c r="K270" s="890" t="s">
        <v>5836</v>
      </c>
      <c r="L270" s="890">
        <v>4</v>
      </c>
      <c r="P270" s="890" t="s">
        <v>5777</v>
      </c>
      <c r="Q270" s="890">
        <v>2</v>
      </c>
    </row>
    <row r="271" spans="2:17">
      <c r="B271" s="890" t="s">
        <v>6011</v>
      </c>
      <c r="C271" s="890">
        <v>8</v>
      </c>
      <c r="D271" s="556"/>
      <c r="H271" s="890" t="s">
        <v>6012</v>
      </c>
      <c r="I271" s="890">
        <v>5</v>
      </c>
      <c r="K271" s="890" t="s">
        <v>5973</v>
      </c>
      <c r="L271" s="890">
        <v>4</v>
      </c>
      <c r="P271" s="890" t="s">
        <v>6013</v>
      </c>
      <c r="Q271" s="890">
        <v>3</v>
      </c>
    </row>
    <row r="272" spans="2:17">
      <c r="B272" s="890" t="s">
        <v>6014</v>
      </c>
      <c r="C272" s="890">
        <v>8</v>
      </c>
      <c r="D272" s="556"/>
      <c r="H272" s="890" t="s">
        <v>6015</v>
      </c>
      <c r="I272" s="890">
        <v>5</v>
      </c>
      <c r="K272" s="890" t="s">
        <v>5842</v>
      </c>
      <c r="L272" s="890">
        <v>3</v>
      </c>
      <c r="P272" s="890" t="s">
        <v>5852</v>
      </c>
      <c r="Q272" s="890">
        <v>4</v>
      </c>
    </row>
    <row r="273" spans="2:17">
      <c r="B273" s="890" t="s">
        <v>6016</v>
      </c>
      <c r="C273" s="890">
        <v>8</v>
      </c>
      <c r="D273" s="556"/>
      <c r="H273" s="890" t="s">
        <v>6017</v>
      </c>
      <c r="I273" s="890">
        <v>3</v>
      </c>
      <c r="K273" s="890" t="s">
        <v>5844</v>
      </c>
      <c r="L273" s="890">
        <v>2</v>
      </c>
      <c r="P273" s="890" t="s">
        <v>5855</v>
      </c>
      <c r="Q273" s="890">
        <v>1</v>
      </c>
    </row>
    <row r="274" spans="2:17">
      <c r="B274" s="890" t="s">
        <v>5893</v>
      </c>
      <c r="C274" s="890">
        <v>10</v>
      </c>
      <c r="D274" s="556"/>
      <c r="H274" s="890" t="s">
        <v>6018</v>
      </c>
      <c r="I274" s="890">
        <v>3</v>
      </c>
      <c r="K274" s="890" t="s">
        <v>6019</v>
      </c>
      <c r="L274" s="890">
        <v>4</v>
      </c>
      <c r="P274" s="890" t="s">
        <v>5858</v>
      </c>
      <c r="Q274" s="890">
        <v>4</v>
      </c>
    </row>
    <row r="275" spans="2:17">
      <c r="B275" s="890" t="s">
        <v>5895</v>
      </c>
      <c r="C275" s="890">
        <v>10</v>
      </c>
      <c r="D275" s="556"/>
      <c r="H275" s="890" t="s">
        <v>6020</v>
      </c>
      <c r="I275" s="890">
        <v>5</v>
      </c>
      <c r="K275" s="890" t="s">
        <v>5978</v>
      </c>
      <c r="L275" s="890">
        <v>4</v>
      </c>
      <c r="P275" s="890" t="s">
        <v>6021</v>
      </c>
      <c r="Q275" s="890">
        <v>4</v>
      </c>
    </row>
    <row r="276" spans="2:17">
      <c r="B276" s="890" t="s">
        <v>5897</v>
      </c>
      <c r="C276" s="890">
        <v>8</v>
      </c>
      <c r="D276" s="556"/>
      <c r="H276" s="890" t="s">
        <v>6022</v>
      </c>
      <c r="I276" s="890">
        <v>5</v>
      </c>
      <c r="K276" s="890" t="s">
        <v>5980</v>
      </c>
      <c r="L276" s="890">
        <v>4</v>
      </c>
      <c r="P276" s="890" t="s">
        <v>5819</v>
      </c>
      <c r="Q276" s="890">
        <v>2</v>
      </c>
    </row>
    <row r="277" spans="2:17">
      <c r="B277" s="890" t="s">
        <v>6023</v>
      </c>
      <c r="C277" s="890">
        <v>10</v>
      </c>
      <c r="D277" s="556"/>
      <c r="H277" s="890" t="s">
        <v>6024</v>
      </c>
      <c r="I277" s="890">
        <v>3</v>
      </c>
      <c r="K277" s="890" t="s">
        <v>5846</v>
      </c>
      <c r="L277" s="890">
        <v>4</v>
      </c>
      <c r="P277" s="890" t="s">
        <v>5781</v>
      </c>
      <c r="Q277" s="890">
        <v>4</v>
      </c>
    </row>
    <row r="278" spans="2:17">
      <c r="B278" s="890" t="s">
        <v>5900</v>
      </c>
      <c r="C278" s="890">
        <v>10</v>
      </c>
      <c r="D278" s="556"/>
      <c r="H278" s="890" t="s">
        <v>6025</v>
      </c>
      <c r="I278" s="890">
        <v>1</v>
      </c>
      <c r="K278" s="890" t="s">
        <v>5848</v>
      </c>
      <c r="L278" s="890">
        <v>2</v>
      </c>
      <c r="P278" s="890" t="s">
        <v>5783</v>
      </c>
      <c r="Q278" s="890">
        <v>2</v>
      </c>
    </row>
    <row r="279" spans="2:17">
      <c r="B279" s="890" t="s">
        <v>6026</v>
      </c>
      <c r="C279" s="890">
        <v>8</v>
      </c>
      <c r="D279" s="556"/>
      <c r="H279" s="890" t="s">
        <v>6027</v>
      </c>
      <c r="I279" s="890">
        <v>3</v>
      </c>
      <c r="K279" s="890" t="s">
        <v>5849</v>
      </c>
      <c r="L279" s="890">
        <v>2</v>
      </c>
      <c r="P279" s="890" t="s">
        <v>5823</v>
      </c>
      <c r="Q279" s="890">
        <v>4</v>
      </c>
    </row>
    <row r="280" spans="2:17">
      <c r="B280" s="890" t="s">
        <v>5903</v>
      </c>
      <c r="C280" s="890">
        <v>10</v>
      </c>
      <c r="D280" s="556"/>
      <c r="H280" s="890" t="s">
        <v>6028</v>
      </c>
      <c r="I280" s="890">
        <v>5</v>
      </c>
      <c r="K280" s="890" t="s">
        <v>5987</v>
      </c>
      <c r="L280" s="890">
        <v>4</v>
      </c>
      <c r="P280" s="890" t="s">
        <v>5865</v>
      </c>
      <c r="Q280" s="890">
        <v>4</v>
      </c>
    </row>
    <row r="281" spans="2:17">
      <c r="B281" s="890" t="s">
        <v>6029</v>
      </c>
      <c r="C281" s="890">
        <v>10</v>
      </c>
      <c r="D281" s="556"/>
      <c r="H281" s="890" t="s">
        <v>6030</v>
      </c>
      <c r="I281" s="890">
        <v>5</v>
      </c>
      <c r="K281" s="890" t="s">
        <v>5989</v>
      </c>
      <c r="L281" s="890">
        <v>3</v>
      </c>
      <c r="P281" s="890" t="s">
        <v>5828</v>
      </c>
      <c r="Q281" s="890">
        <v>1</v>
      </c>
    </row>
    <row r="282" spans="2:17">
      <c r="B282" s="890" t="s">
        <v>6031</v>
      </c>
      <c r="C282" s="890">
        <v>8</v>
      </c>
      <c r="D282" s="556"/>
      <c r="H282" s="890" t="s">
        <v>6032</v>
      </c>
      <c r="I282" s="890">
        <v>3</v>
      </c>
      <c r="K282" s="890" t="s">
        <v>5851</v>
      </c>
      <c r="L282" s="890">
        <v>4</v>
      </c>
      <c r="P282" s="890" t="s">
        <v>5785</v>
      </c>
      <c r="Q282" s="890">
        <v>4</v>
      </c>
    </row>
    <row r="283" spans="2:17">
      <c r="B283" s="890" t="s">
        <v>6033</v>
      </c>
      <c r="C283" s="890">
        <v>10</v>
      </c>
      <c r="D283" s="556"/>
      <c r="H283" s="890" t="s">
        <v>6034</v>
      </c>
      <c r="I283" s="890">
        <v>5</v>
      </c>
      <c r="K283" s="890" t="s">
        <v>5993</v>
      </c>
      <c r="L283" s="890">
        <v>2</v>
      </c>
      <c r="P283" s="890" t="s">
        <v>6035</v>
      </c>
      <c r="Q283" s="890">
        <v>2</v>
      </c>
    </row>
    <row r="284" spans="2:17">
      <c r="B284" s="890" t="s">
        <v>6036</v>
      </c>
      <c r="C284" s="890">
        <v>8</v>
      </c>
      <c r="D284" s="556"/>
      <c r="H284" s="890" t="s">
        <v>6037</v>
      </c>
      <c r="I284" s="890">
        <v>3</v>
      </c>
      <c r="K284" s="890" t="s">
        <v>5854</v>
      </c>
      <c r="L284" s="890">
        <v>2</v>
      </c>
      <c r="P284" s="890" t="s">
        <v>5787</v>
      </c>
      <c r="Q284" s="890">
        <v>4</v>
      </c>
    </row>
    <row r="285" spans="2:17">
      <c r="B285" s="890" t="s">
        <v>5913</v>
      </c>
      <c r="C285" s="890">
        <v>8</v>
      </c>
      <c r="D285" s="556"/>
      <c r="H285" s="890" t="s">
        <v>6038</v>
      </c>
      <c r="I285" s="890">
        <v>3</v>
      </c>
      <c r="K285" s="890" t="s">
        <v>5857</v>
      </c>
      <c r="L285" s="890">
        <v>4</v>
      </c>
      <c r="P285" s="890" t="s">
        <v>5835</v>
      </c>
      <c r="Q285" s="890">
        <v>1</v>
      </c>
    </row>
    <row r="286" spans="2:17">
      <c r="B286" s="890" t="s">
        <v>5916</v>
      </c>
      <c r="C286" s="890">
        <v>8</v>
      </c>
      <c r="D286" s="556"/>
      <c r="H286" s="890" t="s">
        <v>6039</v>
      </c>
      <c r="I286" s="890">
        <v>5</v>
      </c>
      <c r="K286" s="890" t="s">
        <v>5998</v>
      </c>
      <c r="L286" s="890">
        <v>2</v>
      </c>
      <c r="P286" s="890" t="s">
        <v>6040</v>
      </c>
      <c r="Q286" s="890">
        <v>4</v>
      </c>
    </row>
    <row r="287" spans="2:17">
      <c r="B287" s="890" t="s">
        <v>5918</v>
      </c>
      <c r="C287" s="890">
        <v>8</v>
      </c>
      <c r="D287" s="556"/>
      <c r="H287" s="890" t="s">
        <v>6041</v>
      </c>
      <c r="I287" s="890">
        <v>3</v>
      </c>
      <c r="K287" s="890" t="s">
        <v>5860</v>
      </c>
      <c r="L287" s="890">
        <v>3</v>
      </c>
      <c r="P287" s="890" t="s">
        <v>5871</v>
      </c>
      <c r="Q287" s="890">
        <v>4</v>
      </c>
    </row>
    <row r="288" spans="2:17">
      <c r="B288" s="890" t="s">
        <v>6042</v>
      </c>
      <c r="C288" s="890">
        <v>8</v>
      </c>
      <c r="D288" s="556"/>
      <c r="H288" s="890" t="s">
        <v>6043</v>
      </c>
      <c r="I288" s="890">
        <v>1</v>
      </c>
      <c r="K288" s="890" t="s">
        <v>5862</v>
      </c>
      <c r="L288" s="890">
        <v>4</v>
      </c>
      <c r="P288" s="890" t="s">
        <v>5791</v>
      </c>
      <c r="Q288" s="890">
        <v>4</v>
      </c>
    </row>
    <row r="289" spans="2:17">
      <c r="B289" s="890" t="s">
        <v>6044</v>
      </c>
      <c r="C289" s="890">
        <v>8</v>
      </c>
      <c r="D289" s="556"/>
      <c r="H289" s="890" t="s">
        <v>6045</v>
      </c>
      <c r="I289" s="890">
        <v>5</v>
      </c>
      <c r="K289" s="890" t="s">
        <v>6002</v>
      </c>
      <c r="L289" s="890">
        <v>2</v>
      </c>
      <c r="P289" s="890" t="s">
        <v>6046</v>
      </c>
      <c r="Q289" s="890">
        <v>4</v>
      </c>
    </row>
    <row r="290" spans="2:17">
      <c r="B290" s="890" t="s">
        <v>6047</v>
      </c>
      <c r="C290" s="890">
        <v>8</v>
      </c>
      <c r="D290" s="556"/>
      <c r="H290" s="890" t="s">
        <v>6048</v>
      </c>
      <c r="I290" s="890">
        <v>3</v>
      </c>
      <c r="K290" s="890" t="s">
        <v>5864</v>
      </c>
      <c r="L290" s="890">
        <v>2</v>
      </c>
      <c r="P290" s="890" t="s">
        <v>5878</v>
      </c>
      <c r="Q290" s="890">
        <v>1</v>
      </c>
    </row>
    <row r="291" spans="2:17">
      <c r="B291" s="890" t="s">
        <v>6049</v>
      </c>
      <c r="C291" s="890">
        <v>10</v>
      </c>
      <c r="D291" s="556"/>
      <c r="H291" s="890" t="s">
        <v>6050</v>
      </c>
      <c r="I291" s="890">
        <v>5</v>
      </c>
      <c r="K291" s="890" t="s">
        <v>5866</v>
      </c>
      <c r="L291" s="890">
        <v>2</v>
      </c>
      <c r="P291" s="890" t="s">
        <v>5795</v>
      </c>
      <c r="Q291" s="890">
        <v>2</v>
      </c>
    </row>
    <row r="292" spans="2:17">
      <c r="B292" s="890" t="s">
        <v>6051</v>
      </c>
      <c r="C292" s="890">
        <v>10</v>
      </c>
      <c r="D292" s="556"/>
      <c r="H292" s="890" t="s">
        <v>6052</v>
      </c>
      <c r="I292" s="890">
        <v>3</v>
      </c>
      <c r="K292" s="890" t="s">
        <v>5870</v>
      </c>
      <c r="L292" s="890">
        <v>4</v>
      </c>
      <c r="P292" s="890" t="s">
        <v>5883</v>
      </c>
      <c r="Q292" s="890">
        <v>4</v>
      </c>
    </row>
    <row r="293" spans="2:17">
      <c r="B293" s="890" t="s">
        <v>6053</v>
      </c>
      <c r="C293" s="890">
        <v>8</v>
      </c>
      <c r="D293" s="556"/>
      <c r="H293" s="890" t="s">
        <v>6054</v>
      </c>
      <c r="I293" s="890">
        <v>5</v>
      </c>
      <c r="K293" s="890" t="s">
        <v>5873</v>
      </c>
      <c r="L293" s="890">
        <v>4</v>
      </c>
      <c r="P293" s="890" t="s">
        <v>6055</v>
      </c>
      <c r="Q293" s="890">
        <v>1</v>
      </c>
    </row>
    <row r="294" spans="2:17">
      <c r="B294" s="890" t="s">
        <v>6056</v>
      </c>
      <c r="C294" s="890">
        <v>8</v>
      </c>
      <c r="D294" s="556"/>
      <c r="H294" s="890" t="s">
        <v>6057</v>
      </c>
      <c r="I294" s="890">
        <v>3</v>
      </c>
      <c r="K294" s="890" t="s">
        <v>5877</v>
      </c>
      <c r="L294" s="890">
        <v>4</v>
      </c>
      <c r="P294" s="890" t="s">
        <v>5886</v>
      </c>
      <c r="Q294" s="890">
        <v>4</v>
      </c>
    </row>
    <row r="295" spans="2:17">
      <c r="B295" s="890" t="s">
        <v>6058</v>
      </c>
      <c r="C295" s="890">
        <v>8</v>
      </c>
      <c r="D295" s="556"/>
      <c r="H295" s="890" t="s">
        <v>6059</v>
      </c>
      <c r="I295" s="890">
        <v>1</v>
      </c>
      <c r="K295" s="890" t="s">
        <v>5882</v>
      </c>
      <c r="L295" s="890">
        <v>4</v>
      </c>
      <c r="P295" s="890" t="s">
        <v>5796</v>
      </c>
      <c r="Q295" s="890">
        <v>4</v>
      </c>
    </row>
    <row r="296" spans="2:17">
      <c r="B296" s="890" t="s">
        <v>6060</v>
      </c>
      <c r="C296" s="890">
        <v>8</v>
      </c>
      <c r="D296" s="556"/>
      <c r="H296" s="890" t="s">
        <v>6061</v>
      </c>
      <c r="I296" s="890">
        <v>5</v>
      </c>
      <c r="K296" s="890" t="s">
        <v>5885</v>
      </c>
      <c r="L296" s="890">
        <v>2</v>
      </c>
      <c r="P296" s="890" t="s">
        <v>5799</v>
      </c>
      <c r="Q296" s="890">
        <v>4</v>
      </c>
    </row>
    <row r="297" spans="2:17">
      <c r="B297" s="890" t="s">
        <v>6062</v>
      </c>
      <c r="C297" s="890">
        <v>10</v>
      </c>
      <c r="D297" s="556"/>
      <c r="H297" s="890" t="s">
        <v>6063</v>
      </c>
      <c r="I297" s="890">
        <v>3</v>
      </c>
      <c r="K297" s="890" t="s">
        <v>6064</v>
      </c>
      <c r="L297" s="890">
        <v>2</v>
      </c>
      <c r="P297" s="890" t="s">
        <v>5801</v>
      </c>
      <c r="Q297" s="890">
        <v>2</v>
      </c>
    </row>
    <row r="298" spans="2:17">
      <c r="B298" s="890" t="s">
        <v>6065</v>
      </c>
      <c r="C298" s="890">
        <v>8</v>
      </c>
      <c r="D298" s="556"/>
      <c r="H298" s="890" t="s">
        <v>6066</v>
      </c>
      <c r="I298" s="890">
        <v>3</v>
      </c>
      <c r="K298" s="890" t="s">
        <v>6067</v>
      </c>
      <c r="L298" s="890">
        <v>2</v>
      </c>
      <c r="P298" s="890" t="s">
        <v>5850</v>
      </c>
      <c r="Q298" s="890">
        <v>4</v>
      </c>
    </row>
    <row r="299" spans="2:17">
      <c r="B299" s="890" t="s">
        <v>6068</v>
      </c>
      <c r="C299" s="890">
        <v>8</v>
      </c>
      <c r="D299" s="556"/>
      <c r="H299" s="890" t="s">
        <v>6069</v>
      </c>
      <c r="I299" s="890">
        <v>1</v>
      </c>
      <c r="K299" s="890" t="s">
        <v>6009</v>
      </c>
      <c r="L299" s="890">
        <v>2</v>
      </c>
      <c r="P299" s="890" t="s">
        <v>5803</v>
      </c>
      <c r="Q299" s="890">
        <v>1</v>
      </c>
    </row>
    <row r="300" spans="2:17">
      <c r="B300" s="890" t="s">
        <v>6070</v>
      </c>
      <c r="C300" s="890">
        <v>10</v>
      </c>
      <c r="D300" s="556"/>
      <c r="H300" s="890" t="s">
        <v>6071</v>
      </c>
      <c r="I300" s="890">
        <v>3</v>
      </c>
      <c r="K300" s="890" t="s">
        <v>5888</v>
      </c>
      <c r="L300" s="890">
        <v>3</v>
      </c>
      <c r="P300" s="890" t="s">
        <v>5853</v>
      </c>
      <c r="Q300" s="890">
        <v>2</v>
      </c>
    </row>
    <row r="301" spans="2:17">
      <c r="B301" s="890" t="s">
        <v>6072</v>
      </c>
      <c r="C301" s="890">
        <v>8</v>
      </c>
      <c r="D301" s="556"/>
      <c r="H301" s="890" t="s">
        <v>6073</v>
      </c>
      <c r="I301" s="890">
        <v>3</v>
      </c>
      <c r="K301" s="890" t="s">
        <v>6014</v>
      </c>
      <c r="L301" s="890">
        <v>2</v>
      </c>
      <c r="P301" s="890" t="s">
        <v>6074</v>
      </c>
      <c r="Q301" s="890">
        <v>4</v>
      </c>
    </row>
    <row r="302" spans="2:17">
      <c r="B302" s="890" t="s">
        <v>6075</v>
      </c>
      <c r="C302" s="890">
        <v>8</v>
      </c>
      <c r="D302" s="556"/>
      <c r="H302" s="890" t="s">
        <v>6076</v>
      </c>
      <c r="I302" s="890">
        <v>1</v>
      </c>
      <c r="K302" s="890" t="s">
        <v>5895</v>
      </c>
      <c r="L302" s="890">
        <v>2</v>
      </c>
      <c r="P302" s="890" t="s">
        <v>5898</v>
      </c>
      <c r="Q302" s="890">
        <v>4</v>
      </c>
    </row>
    <row r="303" spans="2:17">
      <c r="B303" s="890" t="s">
        <v>6077</v>
      </c>
      <c r="C303" s="890">
        <v>10</v>
      </c>
      <c r="D303" s="556"/>
      <c r="H303" s="890" t="s">
        <v>6078</v>
      </c>
      <c r="I303" s="890">
        <v>1</v>
      </c>
      <c r="K303" s="890" t="s">
        <v>5897</v>
      </c>
      <c r="L303" s="890">
        <v>2</v>
      </c>
      <c r="P303" s="890" t="s">
        <v>5856</v>
      </c>
      <c r="Q303" s="890">
        <v>2</v>
      </c>
    </row>
    <row r="304" spans="2:17">
      <c r="B304" s="890" t="s">
        <v>6079</v>
      </c>
      <c r="C304" s="890">
        <v>10</v>
      </c>
      <c r="D304" s="556"/>
      <c r="H304" s="890" t="s">
        <v>6080</v>
      </c>
      <c r="I304" s="890">
        <v>3</v>
      </c>
      <c r="K304" s="890" t="s">
        <v>6023</v>
      </c>
      <c r="L304" s="890">
        <v>2</v>
      </c>
      <c r="P304" s="890" t="s">
        <v>5859</v>
      </c>
      <c r="Q304" s="890">
        <v>2</v>
      </c>
    </row>
    <row r="305" spans="2:17">
      <c r="B305" s="890" t="s">
        <v>6081</v>
      </c>
      <c r="C305" s="890">
        <v>8</v>
      </c>
      <c r="D305" s="556"/>
      <c r="H305" s="890" t="s">
        <v>6082</v>
      </c>
      <c r="I305" s="890">
        <v>3</v>
      </c>
      <c r="K305" s="890" t="s">
        <v>6083</v>
      </c>
      <c r="L305" s="890">
        <v>4</v>
      </c>
      <c r="P305" s="890" t="s">
        <v>5861</v>
      </c>
      <c r="Q305" s="890">
        <v>1</v>
      </c>
    </row>
    <row r="306" spans="2:17">
      <c r="B306" s="890" t="s">
        <v>6084</v>
      </c>
      <c r="C306" s="890">
        <v>10</v>
      </c>
      <c r="D306" s="556"/>
      <c r="H306" s="890" t="s">
        <v>6085</v>
      </c>
      <c r="I306" s="890">
        <v>3</v>
      </c>
      <c r="K306" s="890" t="s">
        <v>6026</v>
      </c>
      <c r="L306" s="890">
        <v>1</v>
      </c>
      <c r="P306" s="890" t="s">
        <v>5863</v>
      </c>
      <c r="Q306" s="890">
        <v>1</v>
      </c>
    </row>
    <row r="307" spans="2:17">
      <c r="B307" s="890" t="s">
        <v>6086</v>
      </c>
      <c r="C307" s="890">
        <v>8</v>
      </c>
      <c r="D307" s="556"/>
      <c r="H307" s="890" t="s">
        <v>6087</v>
      </c>
      <c r="I307" s="890">
        <v>3</v>
      </c>
      <c r="K307" s="890" t="s">
        <v>6033</v>
      </c>
      <c r="L307" s="890">
        <v>4</v>
      </c>
      <c r="P307" s="890" t="s">
        <v>5804</v>
      </c>
      <c r="Q307" s="890">
        <v>1</v>
      </c>
    </row>
    <row r="308" spans="2:17">
      <c r="B308" s="890" t="s">
        <v>6088</v>
      </c>
      <c r="C308" s="890">
        <v>8</v>
      </c>
      <c r="D308" s="556"/>
      <c r="H308" s="890" t="s">
        <v>6089</v>
      </c>
      <c r="I308" s="890">
        <v>3</v>
      </c>
      <c r="K308" s="890" t="s">
        <v>5905</v>
      </c>
      <c r="L308" s="890">
        <v>3</v>
      </c>
      <c r="P308" s="890" t="s">
        <v>5867</v>
      </c>
      <c r="Q308" s="890">
        <v>2</v>
      </c>
    </row>
    <row r="309" spans="2:17">
      <c r="B309" s="890" t="s">
        <v>6090</v>
      </c>
      <c r="C309" s="890">
        <v>8</v>
      </c>
      <c r="D309" s="556"/>
      <c r="H309" s="890" t="s">
        <v>6091</v>
      </c>
      <c r="I309" s="890">
        <v>5</v>
      </c>
      <c r="K309" s="890" t="s">
        <v>6092</v>
      </c>
      <c r="L309" s="890">
        <v>2</v>
      </c>
      <c r="P309" s="890" t="s">
        <v>5869</v>
      </c>
      <c r="Q309" s="890">
        <v>2</v>
      </c>
    </row>
    <row r="310" spans="2:17">
      <c r="B310" s="890" t="s">
        <v>5924</v>
      </c>
      <c r="C310" s="890">
        <v>10</v>
      </c>
      <c r="D310" s="556"/>
      <c r="H310" s="890" t="s">
        <v>6093</v>
      </c>
      <c r="I310" s="890">
        <v>5</v>
      </c>
      <c r="K310" s="890" t="s">
        <v>6036</v>
      </c>
      <c r="L310" s="890">
        <v>2</v>
      </c>
      <c r="P310" s="890" t="s">
        <v>5872</v>
      </c>
      <c r="Q310" s="890">
        <v>2</v>
      </c>
    </row>
    <row r="311" spans="2:17">
      <c r="B311" s="890" t="s">
        <v>6094</v>
      </c>
      <c r="C311" s="890">
        <v>8</v>
      </c>
      <c r="D311" s="556"/>
      <c r="H311" s="890" t="s">
        <v>6095</v>
      </c>
      <c r="I311" s="890">
        <v>5</v>
      </c>
      <c r="K311" s="890" t="s">
        <v>6096</v>
      </c>
      <c r="L311" s="890">
        <v>4</v>
      </c>
      <c r="P311" s="890" t="s">
        <v>6097</v>
      </c>
      <c r="Q311" s="890">
        <v>1</v>
      </c>
    </row>
    <row r="312" spans="2:17">
      <c r="B312" s="890" t="s">
        <v>5927</v>
      </c>
      <c r="C312" s="890">
        <v>10</v>
      </c>
      <c r="D312" s="556"/>
      <c r="H312" s="890" t="s">
        <v>6098</v>
      </c>
      <c r="I312" s="890">
        <v>1</v>
      </c>
      <c r="K312" s="890" t="s">
        <v>5909</v>
      </c>
      <c r="L312" s="890">
        <v>2</v>
      </c>
      <c r="P312" s="890" t="s">
        <v>6099</v>
      </c>
      <c r="Q312" s="890">
        <v>2</v>
      </c>
    </row>
    <row r="313" spans="2:17">
      <c r="B313" s="890" t="s">
        <v>5929</v>
      </c>
      <c r="C313" s="890">
        <v>8</v>
      </c>
      <c r="D313" s="556"/>
      <c r="H313" s="890" t="s">
        <v>6100</v>
      </c>
      <c r="I313" s="890">
        <v>1</v>
      </c>
      <c r="K313" s="890" t="s">
        <v>5913</v>
      </c>
      <c r="L313" s="890">
        <v>4</v>
      </c>
      <c r="P313" s="890" t="s">
        <v>5876</v>
      </c>
      <c r="Q313" s="890">
        <v>1</v>
      </c>
    </row>
    <row r="314" spans="2:17">
      <c r="B314" s="890" t="s">
        <v>5930</v>
      </c>
      <c r="C314" s="890">
        <v>8</v>
      </c>
      <c r="D314" s="556"/>
      <c r="H314" s="890" t="s">
        <v>6101</v>
      </c>
      <c r="I314" s="890">
        <v>1</v>
      </c>
      <c r="K314" s="890" t="s">
        <v>5916</v>
      </c>
      <c r="L314" s="890">
        <v>2</v>
      </c>
      <c r="P314" s="890" t="s">
        <v>5879</v>
      </c>
      <c r="Q314" s="890">
        <v>2</v>
      </c>
    </row>
    <row r="315" spans="2:17">
      <c r="B315" s="890" t="s">
        <v>5932</v>
      </c>
      <c r="C315" s="890">
        <v>10</v>
      </c>
      <c r="D315" s="556"/>
      <c r="H315" s="890" t="s">
        <v>6102</v>
      </c>
      <c r="I315" s="890">
        <v>5</v>
      </c>
      <c r="K315" s="890" t="s">
        <v>5920</v>
      </c>
      <c r="L315" s="890">
        <v>2</v>
      </c>
      <c r="P315" s="890" t="s">
        <v>6103</v>
      </c>
      <c r="Q315" s="890">
        <v>3</v>
      </c>
    </row>
    <row r="316" spans="2:17">
      <c r="B316" s="890" t="s">
        <v>6104</v>
      </c>
      <c r="C316" s="890">
        <v>10</v>
      </c>
      <c r="D316" s="556"/>
      <c r="H316" s="890" t="s">
        <v>6105</v>
      </c>
      <c r="I316" s="890">
        <v>3</v>
      </c>
      <c r="K316" s="890" t="s">
        <v>6106</v>
      </c>
      <c r="L316" s="890">
        <v>4</v>
      </c>
      <c r="P316" s="890" t="s">
        <v>5914</v>
      </c>
      <c r="Q316" s="890">
        <v>2</v>
      </c>
    </row>
    <row r="317" spans="2:17">
      <c r="B317" s="890" t="s">
        <v>6107</v>
      </c>
      <c r="C317" s="890">
        <v>8</v>
      </c>
      <c r="D317" s="556"/>
      <c r="H317" s="890" t="s">
        <v>6108</v>
      </c>
      <c r="I317" s="890">
        <v>3</v>
      </c>
      <c r="K317" s="890" t="s">
        <v>6109</v>
      </c>
      <c r="L317" s="890">
        <v>2</v>
      </c>
      <c r="P317" s="890" t="s">
        <v>6110</v>
      </c>
      <c r="Q317" s="890">
        <v>1</v>
      </c>
    </row>
    <row r="318" spans="2:17">
      <c r="B318" s="890" t="s">
        <v>6111</v>
      </c>
      <c r="C318" s="890">
        <v>10</v>
      </c>
      <c r="D318" s="556"/>
      <c r="H318" s="890" t="s">
        <v>6112</v>
      </c>
      <c r="I318" s="890">
        <v>1</v>
      </c>
      <c r="K318" s="890" t="s">
        <v>6113</v>
      </c>
      <c r="L318" s="890">
        <v>2</v>
      </c>
      <c r="P318" s="890" t="s">
        <v>5881</v>
      </c>
      <c r="Q318" s="890">
        <v>1</v>
      </c>
    </row>
    <row r="319" spans="2:17">
      <c r="B319" s="890" t="s">
        <v>6114</v>
      </c>
      <c r="C319" s="890">
        <v>8</v>
      </c>
      <c r="D319" s="556"/>
      <c r="H319" s="890" t="s">
        <v>6115</v>
      </c>
      <c r="I319" s="890">
        <v>1</v>
      </c>
      <c r="K319" s="890" t="s">
        <v>6044</v>
      </c>
      <c r="L319" s="890">
        <v>4</v>
      </c>
      <c r="P319" s="890" t="s">
        <v>5884</v>
      </c>
      <c r="Q319" s="890">
        <v>1</v>
      </c>
    </row>
    <row r="320" spans="2:17">
      <c r="B320" s="890" t="s">
        <v>6116</v>
      </c>
      <c r="C320" s="890">
        <v>8</v>
      </c>
      <c r="D320" s="556"/>
      <c r="H320" s="890" t="s">
        <v>6117</v>
      </c>
      <c r="I320" s="890">
        <v>1</v>
      </c>
      <c r="K320" s="890" t="s">
        <v>6047</v>
      </c>
      <c r="L320" s="890">
        <v>4</v>
      </c>
      <c r="P320" s="890" t="s">
        <v>5887</v>
      </c>
      <c r="Q320" s="890">
        <v>4</v>
      </c>
    </row>
    <row r="321" spans="2:17">
      <c r="B321" s="890" t="s">
        <v>6118</v>
      </c>
      <c r="C321" s="890">
        <v>8</v>
      </c>
      <c r="D321" s="556"/>
      <c r="H321" s="890" t="s">
        <v>6119</v>
      </c>
      <c r="I321" s="890">
        <v>3</v>
      </c>
      <c r="K321" s="890" t="s">
        <v>6120</v>
      </c>
      <c r="L321" s="890">
        <v>1</v>
      </c>
      <c r="P321" s="890" t="s">
        <v>5925</v>
      </c>
      <c r="Q321" s="890">
        <v>4</v>
      </c>
    </row>
    <row r="322" spans="2:17">
      <c r="B322" s="890" t="s">
        <v>5935</v>
      </c>
      <c r="C322" s="890">
        <v>10</v>
      </c>
      <c r="D322" s="556"/>
      <c r="H322" s="890" t="s">
        <v>6121</v>
      </c>
      <c r="I322" s="890">
        <v>5</v>
      </c>
      <c r="K322" s="890" t="s">
        <v>6051</v>
      </c>
      <c r="L322" s="890">
        <v>2</v>
      </c>
      <c r="P322" s="890" t="s">
        <v>6122</v>
      </c>
      <c r="Q322" s="890">
        <v>2</v>
      </c>
    </row>
    <row r="323" spans="2:17">
      <c r="B323" s="890" t="s">
        <v>6123</v>
      </c>
      <c r="C323" s="890">
        <v>8</v>
      </c>
      <c r="D323" s="556"/>
      <c r="H323" s="890" t="s">
        <v>6124</v>
      </c>
      <c r="I323" s="890">
        <v>1</v>
      </c>
      <c r="K323" s="890" t="s">
        <v>6125</v>
      </c>
      <c r="L323" s="890">
        <v>3</v>
      </c>
      <c r="P323" s="890" t="s">
        <v>5892</v>
      </c>
      <c r="Q323" s="890">
        <v>2</v>
      </c>
    </row>
    <row r="324" spans="2:17">
      <c r="B324" s="890" t="s">
        <v>5938</v>
      </c>
      <c r="C324" s="890">
        <v>8</v>
      </c>
      <c r="D324" s="556"/>
      <c r="H324" s="890" t="s">
        <v>6126</v>
      </c>
      <c r="I324" s="890">
        <v>5</v>
      </c>
      <c r="K324" s="890" t="s">
        <v>6127</v>
      </c>
      <c r="L324" s="890">
        <v>2</v>
      </c>
      <c r="P324" s="890" t="s">
        <v>5894</v>
      </c>
      <c r="Q324" s="890">
        <v>1</v>
      </c>
    </row>
    <row r="325" spans="2:17">
      <c r="B325" s="890" t="s">
        <v>6128</v>
      </c>
      <c r="C325" s="890">
        <v>8</v>
      </c>
      <c r="D325" s="556"/>
      <c r="H325" s="890" t="s">
        <v>6129</v>
      </c>
      <c r="I325" s="890">
        <v>1</v>
      </c>
      <c r="K325" s="890" t="s">
        <v>6053</v>
      </c>
      <c r="L325" s="890">
        <v>2</v>
      </c>
      <c r="P325" s="890" t="s">
        <v>5896</v>
      </c>
      <c r="Q325" s="890">
        <v>1</v>
      </c>
    </row>
    <row r="326" spans="2:17">
      <c r="B326" s="890" t="s">
        <v>6130</v>
      </c>
      <c r="C326" s="890">
        <v>8</v>
      </c>
      <c r="D326" s="556"/>
      <c r="H326" s="890" t="s">
        <v>6131</v>
      </c>
      <c r="I326" s="890">
        <v>1</v>
      </c>
      <c r="K326" s="890" t="s">
        <v>6056</v>
      </c>
      <c r="L326" s="890">
        <v>2</v>
      </c>
      <c r="P326" s="890" t="s">
        <v>5899</v>
      </c>
      <c r="Q326" s="890">
        <v>3</v>
      </c>
    </row>
    <row r="327" spans="2:17">
      <c r="B327" s="890" t="s">
        <v>6132</v>
      </c>
      <c r="C327" s="890">
        <v>8</v>
      </c>
      <c r="D327" s="556"/>
      <c r="H327" s="890" t="s">
        <v>6133</v>
      </c>
      <c r="I327" s="890">
        <v>3</v>
      </c>
      <c r="K327" s="890" t="s">
        <v>6065</v>
      </c>
      <c r="L327" s="890">
        <v>2</v>
      </c>
      <c r="P327" s="890" t="s">
        <v>5902</v>
      </c>
      <c r="Q327" s="890">
        <v>1</v>
      </c>
    </row>
    <row r="328" spans="2:17">
      <c r="B328" s="890" t="s">
        <v>6134</v>
      </c>
      <c r="C328" s="890">
        <v>8</v>
      </c>
      <c r="D328" s="556"/>
      <c r="H328" s="890" t="s">
        <v>6135</v>
      </c>
      <c r="I328" s="890">
        <v>1</v>
      </c>
      <c r="K328" s="890" t="s">
        <v>6136</v>
      </c>
      <c r="L328" s="890">
        <v>2</v>
      </c>
      <c r="P328" s="890" t="s">
        <v>6137</v>
      </c>
      <c r="Q328" s="890">
        <v>4</v>
      </c>
    </row>
    <row r="329" spans="2:17">
      <c r="B329" s="890" t="s">
        <v>5951</v>
      </c>
      <c r="C329" s="890">
        <v>8</v>
      </c>
      <c r="D329" s="556"/>
      <c r="H329" s="890" t="s">
        <v>6138</v>
      </c>
      <c r="I329" s="890">
        <v>1</v>
      </c>
      <c r="K329" s="890" t="s">
        <v>6139</v>
      </c>
      <c r="L329" s="890">
        <v>4</v>
      </c>
      <c r="P329" s="890" t="s">
        <v>5931</v>
      </c>
      <c r="Q329" s="890">
        <v>4</v>
      </c>
    </row>
    <row r="330" spans="2:17">
      <c r="B330" s="890" t="s">
        <v>6140</v>
      </c>
      <c r="C330" s="890">
        <v>8</v>
      </c>
      <c r="D330" s="556"/>
      <c r="H330" s="890" t="s">
        <v>6141</v>
      </c>
      <c r="I330" s="890">
        <v>5</v>
      </c>
      <c r="K330" s="890" t="s">
        <v>6142</v>
      </c>
      <c r="L330" s="890">
        <v>1</v>
      </c>
      <c r="P330" s="890" t="s">
        <v>5936</v>
      </c>
      <c r="Q330" s="890">
        <v>1</v>
      </c>
    </row>
    <row r="331" spans="2:17">
      <c r="B331" s="890" t="s">
        <v>6143</v>
      </c>
      <c r="C331" s="890">
        <v>8</v>
      </c>
      <c r="D331" s="556"/>
      <c r="H331" s="890" t="s">
        <v>6144</v>
      </c>
      <c r="I331" s="890">
        <v>1</v>
      </c>
      <c r="K331" s="890" t="s">
        <v>6145</v>
      </c>
      <c r="L331" s="890">
        <v>2</v>
      </c>
      <c r="P331" s="890" t="s">
        <v>6146</v>
      </c>
      <c r="Q331" s="890">
        <v>2</v>
      </c>
    </row>
    <row r="332" spans="2:17">
      <c r="B332" s="890" t="s">
        <v>6147</v>
      </c>
      <c r="C332" s="890">
        <v>8</v>
      </c>
      <c r="D332" s="556"/>
      <c r="H332" s="890" t="s">
        <v>6148</v>
      </c>
      <c r="I332" s="890">
        <v>5</v>
      </c>
      <c r="K332" s="890" t="s">
        <v>6070</v>
      </c>
      <c r="L332" s="890">
        <v>4</v>
      </c>
      <c r="P332" s="890" t="s">
        <v>5904</v>
      </c>
      <c r="Q332" s="890">
        <v>2</v>
      </c>
    </row>
    <row r="333" spans="2:17">
      <c r="B333" s="890" t="s">
        <v>6149</v>
      </c>
      <c r="C333" s="890">
        <v>8</v>
      </c>
      <c r="D333" s="556"/>
      <c r="H333" s="890" t="s">
        <v>6150</v>
      </c>
      <c r="I333" s="890">
        <v>1</v>
      </c>
      <c r="K333" s="890" t="s">
        <v>6079</v>
      </c>
      <c r="L333" s="890">
        <v>2</v>
      </c>
      <c r="P333" s="890" t="s">
        <v>6151</v>
      </c>
      <c r="Q333" s="890">
        <v>1</v>
      </c>
    </row>
    <row r="334" spans="2:17">
      <c r="B334" s="890" t="s">
        <v>6152</v>
      </c>
      <c r="C334" s="890">
        <v>8</v>
      </c>
      <c r="D334" s="556"/>
      <c r="H334" s="890" t="s">
        <v>6153</v>
      </c>
      <c r="I334" s="890">
        <v>1</v>
      </c>
      <c r="K334" s="890" t="s">
        <v>6081</v>
      </c>
      <c r="L334" s="890">
        <v>2</v>
      </c>
      <c r="P334" s="890" t="s">
        <v>5939</v>
      </c>
      <c r="Q334" s="890">
        <v>1</v>
      </c>
    </row>
    <row r="335" spans="2:17">
      <c r="B335" s="890" t="s">
        <v>6154</v>
      </c>
      <c r="C335" s="890">
        <v>10</v>
      </c>
      <c r="D335" s="556"/>
      <c r="H335" s="890" t="s">
        <v>6155</v>
      </c>
      <c r="I335" s="890">
        <v>1</v>
      </c>
      <c r="K335" s="890" t="s">
        <v>6084</v>
      </c>
      <c r="L335" s="890">
        <v>2</v>
      </c>
      <c r="P335" s="890" t="s">
        <v>5906</v>
      </c>
      <c r="Q335" s="890">
        <v>2</v>
      </c>
    </row>
    <row r="336" spans="2:17">
      <c r="B336" s="890" t="s">
        <v>5959</v>
      </c>
      <c r="C336" s="890">
        <v>8</v>
      </c>
      <c r="D336" s="556"/>
      <c r="H336" s="890" t="s">
        <v>6156</v>
      </c>
      <c r="I336" s="890">
        <v>3</v>
      </c>
      <c r="K336" s="890" t="s">
        <v>6086</v>
      </c>
      <c r="L336" s="890">
        <v>4</v>
      </c>
      <c r="P336" s="890" t="s">
        <v>5910</v>
      </c>
      <c r="Q336" s="890">
        <v>2</v>
      </c>
    </row>
    <row r="337" spans="2:17">
      <c r="B337" s="890" t="s">
        <v>6157</v>
      </c>
      <c r="C337" s="890">
        <v>8</v>
      </c>
      <c r="D337" s="556"/>
      <c r="H337" s="890" t="s">
        <v>6158</v>
      </c>
      <c r="I337" s="890">
        <v>3</v>
      </c>
      <c r="K337" s="890" t="s">
        <v>6159</v>
      </c>
      <c r="L337" s="890">
        <v>1</v>
      </c>
      <c r="P337" s="890" t="s">
        <v>5912</v>
      </c>
      <c r="Q337" s="890">
        <v>1</v>
      </c>
    </row>
    <row r="338" spans="2:17">
      <c r="B338" s="890" t="s">
        <v>6160</v>
      </c>
      <c r="C338" s="890">
        <v>8</v>
      </c>
      <c r="D338" s="556"/>
      <c r="H338" s="890" t="s">
        <v>6161</v>
      </c>
      <c r="I338" s="890">
        <v>1</v>
      </c>
      <c r="K338" s="890" t="s">
        <v>6162</v>
      </c>
      <c r="L338" s="890">
        <v>4</v>
      </c>
      <c r="P338" s="890" t="s">
        <v>5945</v>
      </c>
      <c r="Q338" s="890">
        <v>1</v>
      </c>
    </row>
    <row r="339" spans="2:17">
      <c r="B339" s="890" t="s">
        <v>5966</v>
      </c>
      <c r="C339" s="890">
        <v>10</v>
      </c>
      <c r="D339" s="556"/>
      <c r="H339" s="890" t="s">
        <v>6163</v>
      </c>
      <c r="I339" s="890">
        <v>3</v>
      </c>
      <c r="K339" s="890" t="s">
        <v>6164</v>
      </c>
      <c r="L339" s="890">
        <v>2</v>
      </c>
      <c r="P339" s="890" t="s">
        <v>5805</v>
      </c>
      <c r="Q339" s="890">
        <v>4</v>
      </c>
    </row>
    <row r="340" spans="2:17">
      <c r="B340" s="890" t="s">
        <v>5968</v>
      </c>
      <c r="C340" s="890">
        <v>10</v>
      </c>
      <c r="D340" s="556"/>
      <c r="H340" s="890" t="s">
        <v>6165</v>
      </c>
      <c r="I340" s="890">
        <v>5</v>
      </c>
      <c r="K340" s="890" t="s">
        <v>6166</v>
      </c>
      <c r="L340" s="890">
        <v>2</v>
      </c>
      <c r="P340" s="890" t="s">
        <v>5915</v>
      </c>
      <c r="Q340" s="890">
        <v>2</v>
      </c>
    </row>
    <row r="341" spans="2:17">
      <c r="B341" s="890" t="s">
        <v>6167</v>
      </c>
      <c r="C341" s="890">
        <v>8</v>
      </c>
      <c r="D341" s="556"/>
      <c r="H341" s="890" t="s">
        <v>6168</v>
      </c>
      <c r="I341" s="890">
        <v>5</v>
      </c>
      <c r="K341" s="890" t="s">
        <v>5929</v>
      </c>
      <c r="L341" s="890">
        <v>4</v>
      </c>
      <c r="P341" s="890" t="s">
        <v>6169</v>
      </c>
      <c r="Q341" s="890">
        <v>2</v>
      </c>
    </row>
    <row r="342" spans="2:17">
      <c r="B342" s="890" t="s">
        <v>5970</v>
      </c>
      <c r="C342" s="890">
        <v>8</v>
      </c>
      <c r="D342" s="556"/>
      <c r="H342" s="890" t="s">
        <v>6170</v>
      </c>
      <c r="I342" s="890">
        <v>3</v>
      </c>
      <c r="K342" s="890" t="s">
        <v>5930</v>
      </c>
      <c r="L342" s="890">
        <v>2</v>
      </c>
      <c r="P342" s="890" t="s">
        <v>5949</v>
      </c>
      <c r="Q342" s="890">
        <v>2</v>
      </c>
    </row>
    <row r="343" spans="2:17">
      <c r="B343" s="890" t="s">
        <v>5972</v>
      </c>
      <c r="C343" s="890">
        <v>10</v>
      </c>
      <c r="D343" s="556"/>
      <c r="H343" s="890" t="s">
        <v>6171</v>
      </c>
      <c r="I343" s="890">
        <v>5</v>
      </c>
      <c r="K343" s="890" t="s">
        <v>5932</v>
      </c>
      <c r="L343" s="890">
        <v>1</v>
      </c>
      <c r="P343" s="890" t="s">
        <v>6172</v>
      </c>
      <c r="Q343" s="890">
        <v>4</v>
      </c>
    </row>
    <row r="344" spans="2:17">
      <c r="B344" s="890" t="s">
        <v>5974</v>
      </c>
      <c r="C344" s="890">
        <v>10</v>
      </c>
      <c r="D344" s="556"/>
      <c r="H344" s="890" t="s">
        <v>6173</v>
      </c>
      <c r="I344" s="890">
        <v>3</v>
      </c>
      <c r="K344" s="890" t="s">
        <v>6174</v>
      </c>
      <c r="L344" s="890">
        <v>2</v>
      </c>
      <c r="P344" s="890" t="s">
        <v>5923</v>
      </c>
      <c r="Q344" s="890">
        <v>1</v>
      </c>
    </row>
    <row r="345" spans="2:17">
      <c r="B345" s="890" t="s">
        <v>6175</v>
      </c>
      <c r="C345" s="890">
        <v>8</v>
      </c>
      <c r="D345" s="556"/>
      <c r="H345" s="890" t="s">
        <v>6176</v>
      </c>
      <c r="I345" s="890">
        <v>5</v>
      </c>
      <c r="K345" s="890" t="s">
        <v>6104</v>
      </c>
      <c r="L345" s="890">
        <v>3</v>
      </c>
      <c r="P345" s="890" t="s">
        <v>6177</v>
      </c>
      <c r="Q345" s="890">
        <v>4</v>
      </c>
    </row>
    <row r="346" spans="2:17">
      <c r="B346" s="890" t="s">
        <v>5975</v>
      </c>
      <c r="C346" s="890">
        <v>10</v>
      </c>
      <c r="D346" s="556"/>
      <c r="H346" s="890" t="s">
        <v>6178</v>
      </c>
      <c r="I346" s="890">
        <v>5</v>
      </c>
      <c r="K346" s="890" t="s">
        <v>6107</v>
      </c>
      <c r="L346" s="890">
        <v>4</v>
      </c>
      <c r="P346" s="890" t="s">
        <v>5808</v>
      </c>
      <c r="Q346" s="890">
        <v>4</v>
      </c>
    </row>
    <row r="347" spans="2:17">
      <c r="B347" s="890" t="s">
        <v>6179</v>
      </c>
      <c r="C347" s="890">
        <v>10</v>
      </c>
      <c r="D347" s="556"/>
      <c r="H347" s="890" t="s">
        <v>6180</v>
      </c>
      <c r="I347" s="890">
        <v>5</v>
      </c>
      <c r="K347" s="890" t="s">
        <v>6111</v>
      </c>
      <c r="L347" s="890">
        <v>2</v>
      </c>
      <c r="P347" s="890" t="s">
        <v>5957</v>
      </c>
      <c r="Q347" s="890">
        <v>3</v>
      </c>
    </row>
    <row r="348" spans="2:17">
      <c r="B348" s="890" t="s">
        <v>6181</v>
      </c>
      <c r="C348" s="890">
        <v>8</v>
      </c>
      <c r="D348" s="556"/>
      <c r="H348" s="890" t="s">
        <v>6182</v>
      </c>
      <c r="I348" s="890">
        <v>5</v>
      </c>
      <c r="K348" s="890" t="s">
        <v>6114</v>
      </c>
      <c r="L348" s="890">
        <v>2</v>
      </c>
      <c r="P348" s="890" t="s">
        <v>5928</v>
      </c>
      <c r="Q348" s="890">
        <v>2</v>
      </c>
    </row>
    <row r="349" spans="2:17">
      <c r="B349" s="890" t="s">
        <v>5979</v>
      </c>
      <c r="C349" s="890">
        <v>8</v>
      </c>
      <c r="D349" s="556"/>
      <c r="H349" s="890" t="s">
        <v>6183</v>
      </c>
      <c r="I349" s="890">
        <v>5</v>
      </c>
      <c r="K349" s="890" t="s">
        <v>6184</v>
      </c>
      <c r="L349" s="890">
        <v>2</v>
      </c>
      <c r="P349" s="890" t="s">
        <v>5810</v>
      </c>
      <c r="Q349" s="890">
        <v>2</v>
      </c>
    </row>
    <row r="350" spans="2:17">
      <c r="B350" s="890" t="s">
        <v>6185</v>
      </c>
      <c r="C350" s="890">
        <v>10</v>
      </c>
      <c r="D350" s="556"/>
      <c r="H350" s="890" t="s">
        <v>6186</v>
      </c>
      <c r="I350" s="890">
        <v>3</v>
      </c>
      <c r="K350" s="890" t="s">
        <v>6118</v>
      </c>
      <c r="L350" s="890">
        <v>2</v>
      </c>
      <c r="P350" s="890" t="s">
        <v>5812</v>
      </c>
      <c r="Q350" s="890">
        <v>4</v>
      </c>
    </row>
    <row r="351" spans="2:17">
      <c r="B351" s="890" t="s">
        <v>5986</v>
      </c>
      <c r="C351" s="890">
        <v>8</v>
      </c>
      <c r="D351" s="556"/>
      <c r="H351" s="890" t="s">
        <v>6187</v>
      </c>
      <c r="I351" s="890">
        <v>1</v>
      </c>
      <c r="K351" s="890" t="s">
        <v>6188</v>
      </c>
      <c r="L351" s="890">
        <v>2</v>
      </c>
      <c r="P351" s="890" t="s">
        <v>5814</v>
      </c>
      <c r="Q351" s="890">
        <v>4</v>
      </c>
    </row>
    <row r="352" spans="2:17">
      <c r="B352" s="890" t="s">
        <v>5990</v>
      </c>
      <c r="C352" s="890">
        <v>8</v>
      </c>
      <c r="D352" s="556"/>
      <c r="H352" s="890" t="s">
        <v>6189</v>
      </c>
      <c r="I352" s="890">
        <v>3</v>
      </c>
      <c r="K352" s="890" t="s">
        <v>6190</v>
      </c>
      <c r="L352" s="890">
        <v>3</v>
      </c>
      <c r="P352" s="890" t="s">
        <v>5940</v>
      </c>
      <c r="Q352" s="890">
        <v>2</v>
      </c>
    </row>
    <row r="353" spans="2:17">
      <c r="B353" s="890" t="s">
        <v>5992</v>
      </c>
      <c r="C353" s="890">
        <v>10</v>
      </c>
      <c r="D353" s="556"/>
      <c r="H353" s="890" t="s">
        <v>6191</v>
      </c>
      <c r="I353" s="890">
        <v>3</v>
      </c>
      <c r="K353" s="890" t="s">
        <v>6123</v>
      </c>
      <c r="L353" s="890">
        <v>4</v>
      </c>
      <c r="P353" s="890" t="s">
        <v>5943</v>
      </c>
      <c r="Q353" s="890">
        <v>1</v>
      </c>
    </row>
    <row r="354" spans="2:17">
      <c r="B354" s="890" t="s">
        <v>6192</v>
      </c>
      <c r="C354" s="890">
        <v>8</v>
      </c>
      <c r="D354" s="556"/>
      <c r="H354" s="890" t="s">
        <v>6193</v>
      </c>
      <c r="I354" s="890">
        <v>5</v>
      </c>
      <c r="K354" s="890" t="s">
        <v>5941</v>
      </c>
      <c r="L354" s="890">
        <v>2</v>
      </c>
      <c r="P354" s="890" t="s">
        <v>5817</v>
      </c>
      <c r="Q354" s="890">
        <v>2</v>
      </c>
    </row>
    <row r="355" spans="2:17">
      <c r="B355" s="890" t="s">
        <v>6194</v>
      </c>
      <c r="C355" s="890">
        <v>8</v>
      </c>
      <c r="D355" s="556"/>
      <c r="H355" s="890" t="s">
        <v>6195</v>
      </c>
      <c r="I355" s="890">
        <v>5</v>
      </c>
      <c r="K355" s="890" t="s">
        <v>5944</v>
      </c>
      <c r="L355" s="890">
        <v>2</v>
      </c>
      <c r="P355" s="890" t="s">
        <v>5818</v>
      </c>
      <c r="Q355" s="890">
        <v>4</v>
      </c>
    </row>
    <row r="356" spans="2:17">
      <c r="B356" s="890" t="s">
        <v>5995</v>
      </c>
      <c r="C356" s="890">
        <v>10</v>
      </c>
      <c r="D356" s="556"/>
      <c r="H356" s="890" t="s">
        <v>6196</v>
      </c>
      <c r="I356" s="890">
        <v>3</v>
      </c>
      <c r="K356" s="890" t="s">
        <v>6197</v>
      </c>
      <c r="L356" s="890">
        <v>4</v>
      </c>
      <c r="P356" s="890" t="s">
        <v>5952</v>
      </c>
      <c r="Q356" s="890">
        <v>4</v>
      </c>
    </row>
    <row r="357" spans="2:17">
      <c r="B357" s="890" t="s">
        <v>6198</v>
      </c>
      <c r="C357" s="890">
        <v>10</v>
      </c>
      <c r="D357" s="556"/>
      <c r="H357" s="890" t="s">
        <v>6199</v>
      </c>
      <c r="I357" s="890">
        <v>5</v>
      </c>
      <c r="K357" s="890" t="s">
        <v>5947</v>
      </c>
      <c r="L357" s="890">
        <v>3</v>
      </c>
      <c r="P357" s="890" t="s">
        <v>5822</v>
      </c>
      <c r="Q357" s="890">
        <v>4</v>
      </c>
    </row>
    <row r="358" spans="2:17">
      <c r="B358" s="890" t="s">
        <v>6200</v>
      </c>
      <c r="C358" s="890">
        <v>10</v>
      </c>
      <c r="D358" s="556"/>
      <c r="H358" s="890" t="s">
        <v>6201</v>
      </c>
      <c r="I358" s="890">
        <v>5</v>
      </c>
      <c r="K358" s="890" t="s">
        <v>6202</v>
      </c>
      <c r="L358" s="890">
        <v>4</v>
      </c>
      <c r="P358" s="890" t="s">
        <v>5983</v>
      </c>
      <c r="Q358" s="890">
        <v>4</v>
      </c>
    </row>
    <row r="359" spans="2:17">
      <c r="B359" s="890" t="s">
        <v>6001</v>
      </c>
      <c r="C359" s="890">
        <v>10</v>
      </c>
      <c r="D359" s="556"/>
      <c r="H359" s="890" t="s">
        <v>6203</v>
      </c>
      <c r="I359" s="890">
        <v>5</v>
      </c>
      <c r="K359" s="890" t="s">
        <v>6204</v>
      </c>
      <c r="L359" s="890">
        <v>2</v>
      </c>
      <c r="P359" s="890" t="s">
        <v>5985</v>
      </c>
      <c r="Q359" s="890">
        <v>4</v>
      </c>
    </row>
    <row r="360" spans="2:17">
      <c r="B360" s="890" t="s">
        <v>6003</v>
      </c>
      <c r="C360" s="890">
        <v>8</v>
      </c>
      <c r="D360" s="556"/>
      <c r="H360" s="890" t="s">
        <v>6205</v>
      </c>
      <c r="I360" s="890">
        <v>3</v>
      </c>
      <c r="K360" s="890" t="s">
        <v>6206</v>
      </c>
      <c r="L360" s="890">
        <v>1</v>
      </c>
      <c r="P360" s="890" t="s">
        <v>5824</v>
      </c>
      <c r="Q360" s="890">
        <v>2</v>
      </c>
    </row>
    <row r="361" spans="2:17">
      <c r="B361" s="890" t="s">
        <v>6005</v>
      </c>
      <c r="C361" s="890">
        <v>8</v>
      </c>
      <c r="D361" s="556"/>
      <c r="H361" s="890" t="s">
        <v>6207</v>
      </c>
      <c r="I361" s="890">
        <v>3</v>
      </c>
      <c r="K361" s="890" t="s">
        <v>6128</v>
      </c>
      <c r="L361" s="890">
        <v>2</v>
      </c>
      <c r="P361" s="890" t="s">
        <v>5955</v>
      </c>
      <c r="Q361" s="890">
        <v>2</v>
      </c>
    </row>
    <row r="362" spans="2:17">
      <c r="B362" s="890" t="s">
        <v>6208</v>
      </c>
      <c r="C362" s="890">
        <v>8</v>
      </c>
      <c r="D362" s="556"/>
      <c r="H362" s="890" t="s">
        <v>6209</v>
      </c>
      <c r="I362" s="890">
        <v>5</v>
      </c>
      <c r="K362" s="890" t="s">
        <v>6130</v>
      </c>
      <c r="L362" s="890">
        <v>2</v>
      </c>
      <c r="P362" s="890" t="s">
        <v>5991</v>
      </c>
      <c r="Q362" s="890">
        <v>1</v>
      </c>
    </row>
    <row r="363" spans="2:17">
      <c r="B363" s="890" t="s">
        <v>6008</v>
      </c>
      <c r="C363" s="890">
        <v>10</v>
      </c>
      <c r="D363" s="556"/>
      <c r="H363" s="890" t="s">
        <v>6210</v>
      </c>
      <c r="I363" s="890">
        <v>5</v>
      </c>
      <c r="K363" s="890" t="s">
        <v>6132</v>
      </c>
      <c r="L363" s="890">
        <v>3</v>
      </c>
      <c r="P363" s="890" t="s">
        <v>6211</v>
      </c>
      <c r="Q363" s="890">
        <v>4</v>
      </c>
    </row>
    <row r="364" spans="2:17">
      <c r="B364" s="890" t="s">
        <v>6010</v>
      </c>
      <c r="C364" s="890">
        <v>10</v>
      </c>
      <c r="D364" s="556"/>
      <c r="H364" s="890" t="s">
        <v>6212</v>
      </c>
      <c r="I364" s="890">
        <v>5</v>
      </c>
      <c r="K364" s="890" t="s">
        <v>6140</v>
      </c>
      <c r="L364" s="890">
        <v>2</v>
      </c>
      <c r="P364" s="890" t="s">
        <v>6213</v>
      </c>
      <c r="Q364" s="890">
        <v>4</v>
      </c>
    </row>
    <row r="365" spans="2:17">
      <c r="B365" s="890" t="s">
        <v>6018</v>
      </c>
      <c r="C365" s="890">
        <v>10</v>
      </c>
      <c r="D365" s="556"/>
      <c r="H365" s="890" t="s">
        <v>6214</v>
      </c>
      <c r="I365" s="890">
        <v>5</v>
      </c>
      <c r="K365" s="890" t="s">
        <v>6215</v>
      </c>
      <c r="L365" s="890">
        <v>2</v>
      </c>
      <c r="P365" s="890" t="s">
        <v>5996</v>
      </c>
      <c r="Q365" s="890">
        <v>2</v>
      </c>
    </row>
    <row r="366" spans="2:17">
      <c r="B366" s="890" t="s">
        <v>6020</v>
      </c>
      <c r="C366" s="890">
        <v>10</v>
      </c>
      <c r="D366" s="556"/>
      <c r="H366" s="890" t="s">
        <v>6216</v>
      </c>
      <c r="I366" s="890">
        <v>1</v>
      </c>
      <c r="K366" s="890" t="s">
        <v>6217</v>
      </c>
      <c r="L366" s="890">
        <v>4</v>
      </c>
      <c r="P366" s="890" t="s">
        <v>6004</v>
      </c>
      <c r="Q366" s="890">
        <v>4</v>
      </c>
    </row>
    <row r="367" spans="2:17">
      <c r="B367" s="890" t="s">
        <v>6022</v>
      </c>
      <c r="C367" s="890">
        <v>10</v>
      </c>
      <c r="D367" s="556"/>
      <c r="H367" s="890" t="s">
        <v>6218</v>
      </c>
      <c r="I367" s="890">
        <v>1</v>
      </c>
      <c r="K367" s="890" t="s">
        <v>6152</v>
      </c>
      <c r="L367" s="890">
        <v>1</v>
      </c>
      <c r="P367" s="890" t="s">
        <v>5832</v>
      </c>
      <c r="Q367" s="890">
        <v>1</v>
      </c>
    </row>
    <row r="368" spans="2:17">
      <c r="B368" s="890" t="s">
        <v>6025</v>
      </c>
      <c r="C368" s="890">
        <v>8</v>
      </c>
      <c r="D368" s="556"/>
      <c r="H368" s="890" t="s">
        <v>6219</v>
      </c>
      <c r="I368" s="890">
        <v>5</v>
      </c>
      <c r="K368" s="890" t="s">
        <v>6220</v>
      </c>
      <c r="L368" s="890">
        <v>3</v>
      </c>
      <c r="P368" s="890" t="s">
        <v>5833</v>
      </c>
      <c r="Q368" s="890">
        <v>2</v>
      </c>
    </row>
    <row r="369" spans="2:17">
      <c r="B369" s="890" t="s">
        <v>6027</v>
      </c>
      <c r="C369" s="890">
        <v>8</v>
      </c>
      <c r="D369" s="556"/>
      <c r="H369" s="890" t="s">
        <v>6221</v>
      </c>
      <c r="I369" s="890">
        <v>3</v>
      </c>
      <c r="K369" s="890" t="s">
        <v>6154</v>
      </c>
      <c r="L369" s="890">
        <v>4</v>
      </c>
      <c r="P369" s="890" t="s">
        <v>5834</v>
      </c>
      <c r="Q369" s="890">
        <v>2</v>
      </c>
    </row>
    <row r="370" spans="2:17">
      <c r="B370" s="890" t="s">
        <v>6030</v>
      </c>
      <c r="C370" s="890">
        <v>10</v>
      </c>
      <c r="D370" s="556"/>
      <c r="H370" s="890" t="s">
        <v>6222</v>
      </c>
      <c r="I370" s="890">
        <v>3</v>
      </c>
      <c r="K370" s="890" t="s">
        <v>6223</v>
      </c>
      <c r="L370" s="890">
        <v>2</v>
      </c>
      <c r="P370" s="890" t="s">
        <v>5969</v>
      </c>
      <c r="Q370" s="890">
        <v>1</v>
      </c>
    </row>
    <row r="371" spans="2:17">
      <c r="B371" s="890" t="s">
        <v>6032</v>
      </c>
      <c r="C371" s="890">
        <v>10</v>
      </c>
      <c r="D371" s="556"/>
      <c r="H371" s="890" t="s">
        <v>6224</v>
      </c>
      <c r="I371" s="890">
        <v>5</v>
      </c>
      <c r="K371" s="890" t="s">
        <v>5954</v>
      </c>
      <c r="L371" s="890">
        <v>2</v>
      </c>
      <c r="P371" s="890" t="s">
        <v>5971</v>
      </c>
      <c r="Q371" s="890">
        <v>1</v>
      </c>
    </row>
    <row r="372" spans="2:17">
      <c r="B372" s="890" t="s">
        <v>6034</v>
      </c>
      <c r="C372" s="890">
        <v>10</v>
      </c>
      <c r="D372" s="556"/>
      <c r="H372" s="890" t="s">
        <v>6225</v>
      </c>
      <c r="I372" s="890">
        <v>5</v>
      </c>
      <c r="K372" s="890" t="s">
        <v>5959</v>
      </c>
      <c r="L372" s="890">
        <v>2</v>
      </c>
      <c r="P372" s="890" t="s">
        <v>5840</v>
      </c>
      <c r="Q372" s="890">
        <v>2</v>
      </c>
    </row>
    <row r="373" spans="2:17">
      <c r="B373" s="890" t="s">
        <v>6037</v>
      </c>
      <c r="C373" s="890">
        <v>10</v>
      </c>
      <c r="D373" s="556"/>
      <c r="H373" s="890" t="s">
        <v>6226</v>
      </c>
      <c r="I373" s="890">
        <v>5</v>
      </c>
      <c r="K373" s="890" t="s">
        <v>5961</v>
      </c>
      <c r="L373" s="890">
        <v>4</v>
      </c>
      <c r="P373" s="890" t="s">
        <v>5842</v>
      </c>
      <c r="Q373" s="890">
        <v>1</v>
      </c>
    </row>
    <row r="374" spans="2:17">
      <c r="B374" s="890" t="s">
        <v>6227</v>
      </c>
      <c r="C374" s="890">
        <v>10</v>
      </c>
      <c r="D374" s="556"/>
      <c r="H374" s="890" t="s">
        <v>6228</v>
      </c>
      <c r="I374" s="890">
        <v>5</v>
      </c>
      <c r="K374" s="890" t="s">
        <v>5966</v>
      </c>
      <c r="L374" s="890">
        <v>2</v>
      </c>
      <c r="P374" s="890" t="s">
        <v>5844</v>
      </c>
      <c r="Q374" s="890">
        <v>1</v>
      </c>
    </row>
    <row r="375" spans="2:17">
      <c r="B375" s="890" t="s">
        <v>6229</v>
      </c>
      <c r="C375" s="890">
        <v>8</v>
      </c>
      <c r="D375" s="556"/>
      <c r="H375" s="890" t="s">
        <v>6230</v>
      </c>
      <c r="I375" s="890">
        <v>5</v>
      </c>
      <c r="K375" s="890" t="s">
        <v>6167</v>
      </c>
      <c r="L375" s="890">
        <v>2</v>
      </c>
      <c r="P375" s="890" t="s">
        <v>6019</v>
      </c>
      <c r="Q375" s="890">
        <v>1</v>
      </c>
    </row>
    <row r="376" spans="2:17">
      <c r="B376" s="890" t="s">
        <v>6041</v>
      </c>
      <c r="C376" s="890">
        <v>10</v>
      </c>
      <c r="D376" s="556"/>
      <c r="H376" s="890" t="s">
        <v>6231</v>
      </c>
      <c r="I376" s="890">
        <v>1</v>
      </c>
      <c r="K376" s="890" t="s">
        <v>5970</v>
      </c>
      <c r="L376" s="890">
        <v>4</v>
      </c>
      <c r="P376" s="890" t="s">
        <v>5976</v>
      </c>
      <c r="Q376" s="890">
        <v>3</v>
      </c>
    </row>
    <row r="377" spans="2:17">
      <c r="B377" s="890" t="s">
        <v>6043</v>
      </c>
      <c r="C377" s="890">
        <v>10</v>
      </c>
      <c r="D377" s="556"/>
      <c r="H377" s="890" t="s">
        <v>6232</v>
      </c>
      <c r="I377" s="890">
        <v>5</v>
      </c>
      <c r="K377" s="890" t="s">
        <v>6179</v>
      </c>
      <c r="L377" s="890">
        <v>3</v>
      </c>
      <c r="P377" s="890" t="s">
        <v>5978</v>
      </c>
      <c r="Q377" s="890">
        <v>2</v>
      </c>
    </row>
    <row r="378" spans="2:17">
      <c r="B378" s="890" t="s">
        <v>6233</v>
      </c>
      <c r="C378" s="890">
        <v>10</v>
      </c>
      <c r="D378" s="556"/>
      <c r="H378" s="890" t="s">
        <v>6234</v>
      </c>
      <c r="I378" s="890">
        <v>5</v>
      </c>
      <c r="K378" s="890" t="s">
        <v>5979</v>
      </c>
      <c r="L378" s="890">
        <v>4</v>
      </c>
      <c r="P378" s="890" t="s">
        <v>5980</v>
      </c>
      <c r="Q378" s="890">
        <v>2</v>
      </c>
    </row>
    <row r="379" spans="2:17">
      <c r="B379" s="890" t="s">
        <v>6235</v>
      </c>
      <c r="C379" s="890">
        <v>10</v>
      </c>
      <c r="D379" s="556"/>
      <c r="H379" s="890" t="s">
        <v>6236</v>
      </c>
      <c r="I379" s="890">
        <v>3</v>
      </c>
      <c r="K379" s="890" t="s">
        <v>5981</v>
      </c>
      <c r="L379" s="890">
        <v>1</v>
      </c>
      <c r="P379" s="890" t="s">
        <v>5846</v>
      </c>
      <c r="Q379" s="890">
        <v>4</v>
      </c>
    </row>
    <row r="380" spans="2:17">
      <c r="B380" s="890" t="s">
        <v>6237</v>
      </c>
      <c r="C380" s="890">
        <v>10</v>
      </c>
      <c r="D380" s="556"/>
      <c r="H380" s="890" t="s">
        <v>6238</v>
      </c>
      <c r="I380" s="890">
        <v>1</v>
      </c>
      <c r="K380" s="890" t="s">
        <v>6239</v>
      </c>
      <c r="L380" s="890">
        <v>3</v>
      </c>
      <c r="P380" s="890" t="s">
        <v>5848</v>
      </c>
      <c r="Q380" s="890">
        <v>4</v>
      </c>
    </row>
    <row r="381" spans="2:17">
      <c r="B381" s="890" t="s">
        <v>6240</v>
      </c>
      <c r="C381" s="890">
        <v>10</v>
      </c>
      <c r="D381" s="556"/>
      <c r="H381" s="890" t="s">
        <v>6241</v>
      </c>
      <c r="I381" s="890">
        <v>5</v>
      </c>
      <c r="K381" s="890" t="s">
        <v>6242</v>
      </c>
      <c r="L381" s="890">
        <v>2</v>
      </c>
      <c r="P381" s="890" t="s">
        <v>5849</v>
      </c>
      <c r="Q381" s="890">
        <v>4</v>
      </c>
    </row>
    <row r="382" spans="2:17">
      <c r="B382" s="890" t="s">
        <v>6243</v>
      </c>
      <c r="C382" s="890">
        <v>10</v>
      </c>
      <c r="D382" s="556"/>
      <c r="H382" s="890" t="s">
        <v>6244</v>
      </c>
      <c r="I382" s="890">
        <v>3</v>
      </c>
      <c r="K382" s="890" t="s">
        <v>5984</v>
      </c>
      <c r="L382" s="890">
        <v>3</v>
      </c>
      <c r="P382" s="890" t="s">
        <v>5989</v>
      </c>
      <c r="Q382" s="890">
        <v>4</v>
      </c>
    </row>
    <row r="383" spans="2:17">
      <c r="B383" s="890" t="s">
        <v>6057</v>
      </c>
      <c r="C383" s="890">
        <v>8</v>
      </c>
      <c r="D383" s="556"/>
      <c r="H383" s="890" t="s">
        <v>6245</v>
      </c>
      <c r="I383" s="890">
        <v>1</v>
      </c>
      <c r="K383" s="890" t="s">
        <v>5988</v>
      </c>
      <c r="L383" s="890">
        <v>3</v>
      </c>
      <c r="P383" s="890" t="s">
        <v>5851</v>
      </c>
      <c r="Q383" s="890">
        <v>1</v>
      </c>
    </row>
    <row r="384" spans="2:17">
      <c r="B384" s="890" t="s">
        <v>6059</v>
      </c>
      <c r="C384" s="890">
        <v>10</v>
      </c>
      <c r="D384" s="556"/>
      <c r="H384" s="890" t="s">
        <v>6246</v>
      </c>
      <c r="I384" s="890">
        <v>3</v>
      </c>
      <c r="K384" s="890" t="s">
        <v>5992</v>
      </c>
      <c r="L384" s="890">
        <v>2</v>
      </c>
      <c r="P384" s="890" t="s">
        <v>5993</v>
      </c>
      <c r="Q384" s="890">
        <v>2</v>
      </c>
    </row>
    <row r="385" spans="2:17">
      <c r="B385" s="890" t="s">
        <v>6247</v>
      </c>
      <c r="C385" s="890">
        <v>10</v>
      </c>
      <c r="D385" s="556"/>
      <c r="H385" s="890" t="s">
        <v>6248</v>
      </c>
      <c r="I385" s="890">
        <v>3</v>
      </c>
      <c r="K385" s="890" t="s">
        <v>5994</v>
      </c>
      <c r="L385" s="890">
        <v>4</v>
      </c>
      <c r="P385" s="890" t="s">
        <v>5854</v>
      </c>
      <c r="Q385" s="890">
        <v>1</v>
      </c>
    </row>
    <row r="386" spans="2:17">
      <c r="B386" s="890" t="s">
        <v>6061</v>
      </c>
      <c r="C386" s="890">
        <v>8</v>
      </c>
      <c r="D386" s="556"/>
      <c r="H386" s="890" t="s">
        <v>6249</v>
      </c>
      <c r="I386" s="890">
        <v>1</v>
      </c>
      <c r="K386" s="890" t="s">
        <v>6192</v>
      </c>
      <c r="L386" s="890">
        <v>2</v>
      </c>
      <c r="P386" s="890" t="s">
        <v>5857</v>
      </c>
      <c r="Q386" s="890">
        <v>3</v>
      </c>
    </row>
    <row r="387" spans="2:17">
      <c r="B387" s="890" t="s">
        <v>6066</v>
      </c>
      <c r="C387" s="890">
        <v>10</v>
      </c>
      <c r="D387" s="556"/>
      <c r="H387" s="890" t="s">
        <v>6250</v>
      </c>
      <c r="I387" s="890">
        <v>3</v>
      </c>
      <c r="K387" s="890" t="s">
        <v>6194</v>
      </c>
      <c r="L387" s="890">
        <v>2</v>
      </c>
      <c r="P387" s="890" t="s">
        <v>5998</v>
      </c>
      <c r="Q387" s="890">
        <v>1</v>
      </c>
    </row>
    <row r="388" spans="2:17">
      <c r="B388" s="890" t="s">
        <v>6251</v>
      </c>
      <c r="C388" s="890">
        <v>8</v>
      </c>
      <c r="D388" s="556"/>
      <c r="H388" s="890" t="s">
        <v>6252</v>
      </c>
      <c r="I388" s="890">
        <v>5</v>
      </c>
      <c r="K388" s="890" t="s">
        <v>5999</v>
      </c>
      <c r="L388" s="890">
        <v>2</v>
      </c>
      <c r="P388" s="890" t="s">
        <v>5862</v>
      </c>
      <c r="Q388" s="890">
        <v>2</v>
      </c>
    </row>
    <row r="389" spans="2:17">
      <c r="B389" s="890" t="s">
        <v>6069</v>
      </c>
      <c r="C389" s="890">
        <v>8</v>
      </c>
      <c r="D389" s="556"/>
      <c r="H389" s="890" t="s">
        <v>6253</v>
      </c>
      <c r="I389" s="890">
        <v>5</v>
      </c>
      <c r="K389" s="890" t="s">
        <v>6003</v>
      </c>
      <c r="L389" s="890">
        <v>4</v>
      </c>
      <c r="P389" s="890" t="s">
        <v>5864</v>
      </c>
      <c r="Q389" s="890">
        <v>1</v>
      </c>
    </row>
    <row r="390" spans="2:17">
      <c r="B390" s="890" t="s">
        <v>6254</v>
      </c>
      <c r="C390" s="890">
        <v>10</v>
      </c>
      <c r="D390" s="556"/>
      <c r="H390" s="890" t="s">
        <v>6255</v>
      </c>
      <c r="I390" s="890">
        <v>5</v>
      </c>
      <c r="K390" s="890" t="s">
        <v>6256</v>
      </c>
      <c r="L390" s="890">
        <v>1</v>
      </c>
      <c r="P390" s="890" t="s">
        <v>5866</v>
      </c>
      <c r="Q390" s="890">
        <v>1</v>
      </c>
    </row>
    <row r="391" spans="2:17">
      <c r="B391" s="890" t="s">
        <v>6257</v>
      </c>
      <c r="C391" s="890">
        <v>10</v>
      </c>
      <c r="D391" s="556"/>
      <c r="H391" s="890" t="s">
        <v>6258</v>
      </c>
      <c r="I391" s="890">
        <v>5</v>
      </c>
      <c r="K391" s="890" t="s">
        <v>6008</v>
      </c>
      <c r="L391" s="890">
        <v>3</v>
      </c>
      <c r="P391" s="890" t="s">
        <v>5870</v>
      </c>
      <c r="Q391" s="890">
        <v>1</v>
      </c>
    </row>
    <row r="392" spans="2:17">
      <c r="B392" s="890" t="s">
        <v>6076</v>
      </c>
      <c r="C392" s="890">
        <v>8</v>
      </c>
      <c r="D392" s="556"/>
      <c r="H392" s="890" t="s">
        <v>6259</v>
      </c>
      <c r="I392" s="890">
        <v>3</v>
      </c>
      <c r="K392" s="890" t="s">
        <v>6010</v>
      </c>
      <c r="L392" s="890">
        <v>4</v>
      </c>
      <c r="P392" s="890" t="s">
        <v>5873</v>
      </c>
      <c r="Q392" s="890">
        <v>4</v>
      </c>
    </row>
    <row r="393" spans="2:17">
      <c r="B393" s="890" t="s">
        <v>6078</v>
      </c>
      <c r="C393" s="890">
        <v>8</v>
      </c>
      <c r="D393" s="556"/>
      <c r="H393" s="890" t="s">
        <v>6260</v>
      </c>
      <c r="I393" s="890">
        <v>3</v>
      </c>
      <c r="K393" s="890" t="s">
        <v>6012</v>
      </c>
      <c r="L393" s="890">
        <v>4</v>
      </c>
      <c r="P393" s="890" t="s">
        <v>5875</v>
      </c>
      <c r="Q393" s="890">
        <v>2</v>
      </c>
    </row>
    <row r="394" spans="2:17">
      <c r="B394" s="890" t="s">
        <v>6080</v>
      </c>
      <c r="C394" s="890">
        <v>8</v>
      </c>
      <c r="D394" s="556"/>
      <c r="H394" s="890" t="s">
        <v>6261</v>
      </c>
      <c r="I394" s="890">
        <v>5</v>
      </c>
      <c r="K394" s="890" t="s">
        <v>6015</v>
      </c>
      <c r="L394" s="890">
        <v>4</v>
      </c>
      <c r="P394" s="890" t="s">
        <v>5880</v>
      </c>
      <c r="Q394" s="890">
        <v>4</v>
      </c>
    </row>
    <row r="395" spans="2:17">
      <c r="B395" s="890" t="s">
        <v>6082</v>
      </c>
      <c r="C395" s="890">
        <v>8</v>
      </c>
      <c r="D395" s="556"/>
      <c r="H395" s="890" t="s">
        <v>6262</v>
      </c>
      <c r="I395" s="890">
        <v>5</v>
      </c>
      <c r="K395" s="890" t="s">
        <v>6017</v>
      </c>
      <c r="L395" s="890">
        <v>2</v>
      </c>
      <c r="P395" s="890" t="s">
        <v>6263</v>
      </c>
      <c r="Q395" s="890">
        <v>2</v>
      </c>
    </row>
    <row r="396" spans="2:17">
      <c r="B396" s="890" t="s">
        <v>6264</v>
      </c>
      <c r="C396" s="890">
        <v>10</v>
      </c>
      <c r="D396" s="556"/>
      <c r="H396" s="890" t="s">
        <v>6265</v>
      </c>
      <c r="I396" s="890">
        <v>5</v>
      </c>
      <c r="K396" s="890" t="s">
        <v>6018</v>
      </c>
      <c r="L396" s="890">
        <v>2</v>
      </c>
      <c r="P396" s="890" t="s">
        <v>6067</v>
      </c>
      <c r="Q396" s="890">
        <v>2</v>
      </c>
    </row>
    <row r="397" spans="2:17">
      <c r="B397" s="890" t="s">
        <v>6266</v>
      </c>
      <c r="C397" s="890">
        <v>10</v>
      </c>
      <c r="D397" s="556"/>
      <c r="H397" s="890" t="s">
        <v>6267</v>
      </c>
      <c r="I397" s="890">
        <v>5</v>
      </c>
      <c r="K397" s="890" t="s">
        <v>6022</v>
      </c>
      <c r="L397" s="890">
        <v>2</v>
      </c>
      <c r="P397" s="890" t="s">
        <v>6009</v>
      </c>
      <c r="Q397" s="890">
        <v>2</v>
      </c>
    </row>
    <row r="398" spans="2:17">
      <c r="B398" s="890" t="s">
        <v>6085</v>
      </c>
      <c r="C398" s="890">
        <v>10</v>
      </c>
      <c r="D398" s="556"/>
      <c r="H398" s="890" t="s">
        <v>6268</v>
      </c>
      <c r="I398" s="890">
        <v>5</v>
      </c>
      <c r="K398" s="890" t="s">
        <v>6024</v>
      </c>
      <c r="L398" s="890">
        <v>2</v>
      </c>
      <c r="P398" s="890" t="s">
        <v>6011</v>
      </c>
      <c r="Q398" s="890">
        <v>3</v>
      </c>
    </row>
    <row r="399" spans="2:17">
      <c r="B399" s="890" t="s">
        <v>6269</v>
      </c>
      <c r="C399" s="890">
        <v>10</v>
      </c>
      <c r="D399" s="556"/>
      <c r="H399" s="890" t="s">
        <v>6270</v>
      </c>
      <c r="I399" s="890">
        <v>5</v>
      </c>
      <c r="K399" s="890" t="s">
        <v>6271</v>
      </c>
      <c r="L399" s="890">
        <v>4</v>
      </c>
      <c r="P399" s="890" t="s">
        <v>5888</v>
      </c>
      <c r="Q399" s="890">
        <v>4</v>
      </c>
    </row>
    <row r="400" spans="2:17">
      <c r="B400" s="890" t="s">
        <v>6087</v>
      </c>
      <c r="C400" s="890">
        <v>8</v>
      </c>
      <c r="D400" s="556"/>
      <c r="H400" s="890" t="s">
        <v>6272</v>
      </c>
      <c r="I400" s="890">
        <v>5</v>
      </c>
      <c r="K400" s="890" t="s">
        <v>6030</v>
      </c>
      <c r="L400" s="890">
        <v>2</v>
      </c>
      <c r="P400" s="890" t="s">
        <v>5890</v>
      </c>
      <c r="Q400" s="890">
        <v>1</v>
      </c>
    </row>
    <row r="401" spans="2:17">
      <c r="B401" s="890" t="s">
        <v>6091</v>
      </c>
      <c r="C401" s="890">
        <v>8</v>
      </c>
      <c r="D401" s="556"/>
      <c r="H401" s="890" t="s">
        <v>6273</v>
      </c>
      <c r="I401" s="890">
        <v>5</v>
      </c>
      <c r="K401" s="890" t="s">
        <v>6032</v>
      </c>
      <c r="L401" s="890">
        <v>1</v>
      </c>
      <c r="P401" s="890" t="s">
        <v>6014</v>
      </c>
      <c r="Q401" s="890">
        <v>1</v>
      </c>
    </row>
    <row r="402" spans="2:17">
      <c r="B402" s="890" t="s">
        <v>6098</v>
      </c>
      <c r="C402" s="890">
        <v>10</v>
      </c>
      <c r="D402" s="556"/>
      <c r="H402" s="890" t="s">
        <v>6274</v>
      </c>
      <c r="I402" s="890">
        <v>1</v>
      </c>
      <c r="K402" s="890" t="s">
        <v>6034</v>
      </c>
      <c r="L402" s="890">
        <v>4</v>
      </c>
      <c r="P402" s="890" t="s">
        <v>6016</v>
      </c>
      <c r="Q402" s="890">
        <v>4</v>
      </c>
    </row>
    <row r="403" spans="2:17">
      <c r="B403" s="890" t="s">
        <v>6105</v>
      </c>
      <c r="C403" s="890">
        <v>10</v>
      </c>
      <c r="D403" s="556"/>
      <c r="H403" s="890" t="s">
        <v>6275</v>
      </c>
      <c r="I403" s="890">
        <v>1</v>
      </c>
      <c r="K403" s="890" t="s">
        <v>6037</v>
      </c>
      <c r="L403" s="890">
        <v>4</v>
      </c>
      <c r="P403" s="890" t="s">
        <v>5893</v>
      </c>
      <c r="Q403" s="890">
        <v>2</v>
      </c>
    </row>
    <row r="404" spans="2:17">
      <c r="B404" s="890" t="s">
        <v>6108</v>
      </c>
      <c r="C404" s="890">
        <v>8</v>
      </c>
      <c r="D404" s="556"/>
      <c r="H404" s="890" t="s">
        <v>6276</v>
      </c>
      <c r="I404" s="890">
        <v>3</v>
      </c>
      <c r="K404" s="890" t="s">
        <v>6277</v>
      </c>
      <c r="L404" s="890">
        <v>4</v>
      </c>
      <c r="P404" s="890" t="s">
        <v>5895</v>
      </c>
      <c r="Q404" s="890">
        <v>1</v>
      </c>
    </row>
    <row r="405" spans="2:17">
      <c r="B405" s="890" t="s">
        <v>6112</v>
      </c>
      <c r="C405" s="890">
        <v>10</v>
      </c>
      <c r="D405" s="556"/>
      <c r="H405" s="890" t="s">
        <v>6278</v>
      </c>
      <c r="I405" s="890">
        <v>5</v>
      </c>
      <c r="K405" s="890" t="s">
        <v>6038</v>
      </c>
      <c r="L405" s="890">
        <v>3</v>
      </c>
      <c r="P405" s="890" t="s">
        <v>5897</v>
      </c>
      <c r="Q405" s="890">
        <v>2</v>
      </c>
    </row>
    <row r="406" spans="2:17">
      <c r="B406" s="890" t="s">
        <v>6115</v>
      </c>
      <c r="C406" s="890">
        <v>10</v>
      </c>
      <c r="D406" s="556"/>
      <c r="H406" s="890" t="s">
        <v>6279</v>
      </c>
      <c r="I406" s="890">
        <v>3</v>
      </c>
      <c r="K406" s="890" t="s">
        <v>6227</v>
      </c>
      <c r="L406" s="890">
        <v>2</v>
      </c>
      <c r="P406" s="890" t="s">
        <v>6023</v>
      </c>
      <c r="Q406" s="890">
        <v>1</v>
      </c>
    </row>
    <row r="407" spans="2:17">
      <c r="B407" s="890" t="s">
        <v>6117</v>
      </c>
      <c r="C407" s="890">
        <v>10</v>
      </c>
      <c r="D407" s="556"/>
      <c r="H407" s="890" t="s">
        <v>6280</v>
      </c>
      <c r="I407" s="890">
        <v>3</v>
      </c>
      <c r="K407" s="890" t="s">
        <v>6041</v>
      </c>
      <c r="L407" s="890">
        <v>4</v>
      </c>
      <c r="P407" s="890" t="s">
        <v>6083</v>
      </c>
      <c r="Q407" s="890">
        <v>3</v>
      </c>
    </row>
    <row r="408" spans="2:17">
      <c r="B408" s="890" t="s">
        <v>6124</v>
      </c>
      <c r="C408" s="890">
        <v>10</v>
      </c>
      <c r="D408" s="556"/>
      <c r="H408" s="890" t="s">
        <v>6281</v>
      </c>
      <c r="I408" s="890">
        <v>1</v>
      </c>
      <c r="K408" s="890" t="s">
        <v>6043</v>
      </c>
      <c r="L408" s="890">
        <v>2</v>
      </c>
      <c r="P408" s="890" t="s">
        <v>5900</v>
      </c>
      <c r="Q408" s="890">
        <v>4</v>
      </c>
    </row>
    <row r="409" spans="2:17">
      <c r="B409" s="890" t="s">
        <v>6129</v>
      </c>
      <c r="C409" s="890">
        <v>8</v>
      </c>
      <c r="D409" s="556"/>
      <c r="H409" s="890" t="s">
        <v>6282</v>
      </c>
      <c r="I409" s="890">
        <v>3</v>
      </c>
      <c r="K409" s="890" t="s">
        <v>6233</v>
      </c>
      <c r="L409" s="890">
        <v>3</v>
      </c>
      <c r="P409" s="890" t="s">
        <v>6026</v>
      </c>
      <c r="Q409" s="890">
        <v>3</v>
      </c>
    </row>
    <row r="410" spans="2:17">
      <c r="B410" s="890" t="s">
        <v>6283</v>
      </c>
      <c r="C410" s="890">
        <v>10</v>
      </c>
      <c r="D410" s="556"/>
      <c r="H410" s="890" t="s">
        <v>6284</v>
      </c>
      <c r="I410" s="890">
        <v>5</v>
      </c>
      <c r="K410" s="890" t="s">
        <v>6235</v>
      </c>
      <c r="L410" s="890">
        <v>4</v>
      </c>
      <c r="P410" s="890" t="s">
        <v>5903</v>
      </c>
      <c r="Q410" s="890">
        <v>2</v>
      </c>
    </row>
    <row r="411" spans="2:17">
      <c r="B411" s="890" t="s">
        <v>6131</v>
      </c>
      <c r="C411" s="890">
        <v>8</v>
      </c>
      <c r="D411" s="556"/>
      <c r="H411" s="890" t="s">
        <v>6285</v>
      </c>
      <c r="I411" s="890">
        <v>1</v>
      </c>
      <c r="K411" s="890" t="s">
        <v>6237</v>
      </c>
      <c r="L411" s="890">
        <v>4</v>
      </c>
      <c r="P411" s="890" t="s">
        <v>6286</v>
      </c>
      <c r="Q411" s="890">
        <v>4</v>
      </c>
    </row>
    <row r="412" spans="2:17">
      <c r="B412" s="890" t="s">
        <v>6133</v>
      </c>
      <c r="C412" s="890">
        <v>10</v>
      </c>
      <c r="D412" s="556"/>
      <c r="H412" s="890" t="s">
        <v>6287</v>
      </c>
      <c r="I412" s="890">
        <v>3</v>
      </c>
      <c r="K412" s="890" t="s">
        <v>6240</v>
      </c>
      <c r="L412" s="890">
        <v>4</v>
      </c>
      <c r="P412" s="890" t="s">
        <v>6031</v>
      </c>
      <c r="Q412" s="890">
        <v>2</v>
      </c>
    </row>
    <row r="413" spans="2:17">
      <c r="B413" s="890" t="s">
        <v>6288</v>
      </c>
      <c r="C413" s="890">
        <v>8</v>
      </c>
      <c r="D413" s="556"/>
      <c r="H413" s="890" t="s">
        <v>6289</v>
      </c>
      <c r="I413" s="890">
        <v>5</v>
      </c>
      <c r="K413" s="890" t="s">
        <v>6290</v>
      </c>
      <c r="L413" s="890">
        <v>2</v>
      </c>
      <c r="P413" s="890" t="s">
        <v>5905</v>
      </c>
      <c r="Q413" s="890">
        <v>3</v>
      </c>
    </row>
    <row r="414" spans="2:17">
      <c r="B414" s="890" t="s">
        <v>6135</v>
      </c>
      <c r="C414" s="890">
        <v>10</v>
      </c>
      <c r="D414" s="556"/>
      <c r="H414" s="890" t="s">
        <v>6291</v>
      </c>
      <c r="I414" s="890">
        <v>5</v>
      </c>
      <c r="K414" s="890" t="s">
        <v>6045</v>
      </c>
      <c r="L414" s="890">
        <v>2</v>
      </c>
      <c r="P414" s="890" t="s">
        <v>6092</v>
      </c>
      <c r="Q414" s="890">
        <v>4</v>
      </c>
    </row>
    <row r="415" spans="2:17">
      <c r="B415" s="890" t="s">
        <v>6138</v>
      </c>
      <c r="C415" s="890">
        <v>10</v>
      </c>
      <c r="D415" s="556"/>
      <c r="H415" s="890" t="s">
        <v>6292</v>
      </c>
      <c r="I415" s="890">
        <v>5</v>
      </c>
      <c r="K415" s="890" t="s">
        <v>6293</v>
      </c>
      <c r="L415" s="890">
        <v>4</v>
      </c>
      <c r="P415" s="890" t="s">
        <v>6036</v>
      </c>
      <c r="Q415" s="890">
        <v>2</v>
      </c>
    </row>
    <row r="416" spans="2:17">
      <c r="B416" s="890" t="s">
        <v>6294</v>
      </c>
      <c r="C416" s="890">
        <v>10</v>
      </c>
      <c r="D416" s="556"/>
      <c r="H416" s="890" t="s">
        <v>6295</v>
      </c>
      <c r="I416" s="890">
        <v>3</v>
      </c>
      <c r="K416" s="890" t="s">
        <v>6048</v>
      </c>
      <c r="L416" s="890">
        <v>4</v>
      </c>
      <c r="P416" s="890" t="s">
        <v>6296</v>
      </c>
      <c r="Q416" s="890">
        <v>4</v>
      </c>
    </row>
    <row r="417" spans="2:17">
      <c r="B417" s="890" t="s">
        <v>6144</v>
      </c>
      <c r="C417" s="890">
        <v>10</v>
      </c>
      <c r="D417" s="556"/>
      <c r="H417" s="890" t="s">
        <v>6297</v>
      </c>
      <c r="I417" s="890">
        <v>5</v>
      </c>
      <c r="K417" s="890" t="s">
        <v>6298</v>
      </c>
      <c r="L417" s="890">
        <v>4</v>
      </c>
      <c r="P417" s="890" t="s">
        <v>6096</v>
      </c>
      <c r="Q417" s="890">
        <v>4</v>
      </c>
    </row>
    <row r="418" spans="2:17">
      <c r="B418" s="890" t="s">
        <v>6155</v>
      </c>
      <c r="C418" s="890">
        <v>10</v>
      </c>
      <c r="D418" s="556"/>
      <c r="H418" s="890" t="s">
        <v>6299</v>
      </c>
      <c r="I418" s="890">
        <v>5</v>
      </c>
      <c r="K418" s="890" t="s">
        <v>6052</v>
      </c>
      <c r="L418" s="890">
        <v>2</v>
      </c>
      <c r="P418" s="890" t="s">
        <v>5907</v>
      </c>
      <c r="Q418" s="890">
        <v>4</v>
      </c>
    </row>
    <row r="419" spans="2:17">
      <c r="B419" s="890" t="s">
        <v>6158</v>
      </c>
      <c r="C419" s="890">
        <v>10</v>
      </c>
      <c r="D419" s="556"/>
      <c r="H419" s="890" t="s">
        <v>6300</v>
      </c>
      <c r="I419" s="890">
        <v>5</v>
      </c>
      <c r="K419" s="890" t="s">
        <v>6243</v>
      </c>
      <c r="L419" s="890">
        <v>2</v>
      </c>
      <c r="P419" s="890" t="s">
        <v>5909</v>
      </c>
      <c r="Q419" s="890">
        <v>1</v>
      </c>
    </row>
    <row r="420" spans="2:17">
      <c r="B420" s="890" t="s">
        <v>6161</v>
      </c>
      <c r="C420" s="890">
        <v>8</v>
      </c>
      <c r="D420" s="556"/>
      <c r="H420" s="890" t="s">
        <v>6301</v>
      </c>
      <c r="I420" s="890">
        <v>5</v>
      </c>
      <c r="K420" s="890" t="s">
        <v>6059</v>
      </c>
      <c r="L420" s="890">
        <v>2</v>
      </c>
      <c r="P420" s="890" t="s">
        <v>5911</v>
      </c>
      <c r="Q420" s="890">
        <v>3</v>
      </c>
    </row>
    <row r="421" spans="2:17">
      <c r="B421" s="890" t="s">
        <v>6302</v>
      </c>
      <c r="C421" s="890">
        <v>10</v>
      </c>
      <c r="D421" s="556"/>
      <c r="H421" s="890" t="s">
        <v>6303</v>
      </c>
      <c r="I421" s="890">
        <v>3</v>
      </c>
      <c r="K421" s="890" t="s">
        <v>6063</v>
      </c>
      <c r="L421" s="890">
        <v>2</v>
      </c>
      <c r="P421" s="890" t="s">
        <v>5916</v>
      </c>
      <c r="Q421" s="890">
        <v>1</v>
      </c>
    </row>
    <row r="422" spans="2:17">
      <c r="B422" s="890" t="s">
        <v>6304</v>
      </c>
      <c r="C422" s="890">
        <v>10</v>
      </c>
      <c r="D422" s="556"/>
      <c r="H422" s="890" t="s">
        <v>6305</v>
      </c>
      <c r="I422" s="890">
        <v>3</v>
      </c>
      <c r="K422" s="890" t="s">
        <v>6251</v>
      </c>
      <c r="L422" s="890">
        <v>4</v>
      </c>
      <c r="P422" s="890" t="s">
        <v>5918</v>
      </c>
      <c r="Q422" s="890">
        <v>1</v>
      </c>
    </row>
    <row r="423" spans="2:17">
      <c r="B423" s="890" t="s">
        <v>6306</v>
      </c>
      <c r="C423" s="890">
        <v>8</v>
      </c>
      <c r="D423" s="556"/>
      <c r="H423" s="890" t="s">
        <v>6307</v>
      </c>
      <c r="I423" s="890">
        <v>5</v>
      </c>
      <c r="K423" s="890" t="s">
        <v>6069</v>
      </c>
      <c r="L423" s="890">
        <v>2</v>
      </c>
      <c r="P423" s="890" t="s">
        <v>5920</v>
      </c>
      <c r="Q423" s="890">
        <v>4</v>
      </c>
    </row>
    <row r="424" spans="2:17">
      <c r="B424" s="890" t="s">
        <v>6163</v>
      </c>
      <c r="C424" s="890">
        <v>10</v>
      </c>
      <c r="D424" s="556"/>
      <c r="H424" s="890" t="s">
        <v>6308</v>
      </c>
      <c r="I424" s="890">
        <v>1</v>
      </c>
      <c r="K424" s="890" t="s">
        <v>6071</v>
      </c>
      <c r="L424" s="890">
        <v>3</v>
      </c>
      <c r="P424" s="890" t="s">
        <v>6106</v>
      </c>
      <c r="Q424" s="890">
        <v>1</v>
      </c>
    </row>
    <row r="425" spans="2:17">
      <c r="B425" s="890" t="s">
        <v>6309</v>
      </c>
      <c r="C425" s="890">
        <v>8</v>
      </c>
      <c r="D425" s="556"/>
      <c r="H425" s="890" t="s">
        <v>6310</v>
      </c>
      <c r="I425" s="890">
        <v>5</v>
      </c>
      <c r="K425" s="890" t="s">
        <v>6311</v>
      </c>
      <c r="L425" s="890">
        <v>2</v>
      </c>
      <c r="P425" s="890" t="s">
        <v>6109</v>
      </c>
      <c r="Q425" s="890">
        <v>2</v>
      </c>
    </row>
    <row r="426" spans="2:17">
      <c r="B426" s="890" t="s">
        <v>6312</v>
      </c>
      <c r="C426" s="890">
        <v>10</v>
      </c>
      <c r="D426" s="556"/>
      <c r="H426" s="890" t="s">
        <v>6313</v>
      </c>
      <c r="I426" s="890">
        <v>5</v>
      </c>
      <c r="K426" s="890" t="s">
        <v>6073</v>
      </c>
      <c r="L426" s="890">
        <v>4</v>
      </c>
      <c r="P426" s="890" t="s">
        <v>6042</v>
      </c>
      <c r="Q426" s="890">
        <v>2</v>
      </c>
    </row>
    <row r="427" spans="2:17">
      <c r="B427" s="890" t="s">
        <v>6187</v>
      </c>
      <c r="C427" s="890">
        <v>10</v>
      </c>
      <c r="D427" s="556"/>
      <c r="H427" s="890" t="s">
        <v>6314</v>
      </c>
      <c r="I427" s="890">
        <v>1</v>
      </c>
      <c r="K427" s="890" t="s">
        <v>6254</v>
      </c>
      <c r="L427" s="890">
        <v>3</v>
      </c>
      <c r="P427" s="890" t="s">
        <v>6113</v>
      </c>
      <c r="Q427" s="890">
        <v>1</v>
      </c>
    </row>
    <row r="428" spans="2:17">
      <c r="B428" s="890" t="s">
        <v>6191</v>
      </c>
      <c r="C428" s="890">
        <v>8</v>
      </c>
      <c r="D428" s="556"/>
      <c r="H428" s="890" t="s">
        <v>6315</v>
      </c>
      <c r="I428" s="890">
        <v>1</v>
      </c>
      <c r="K428" s="890" t="s">
        <v>6316</v>
      </c>
      <c r="L428" s="890">
        <v>2</v>
      </c>
      <c r="P428" s="890" t="s">
        <v>6044</v>
      </c>
      <c r="Q428" s="890">
        <v>2</v>
      </c>
    </row>
    <row r="429" spans="2:17">
      <c r="B429" s="890" t="s">
        <v>6193</v>
      </c>
      <c r="C429" s="890">
        <v>10</v>
      </c>
      <c r="D429" s="556"/>
      <c r="H429" s="890" t="s">
        <v>6317</v>
      </c>
      <c r="I429" s="890">
        <v>5</v>
      </c>
      <c r="K429" s="890" t="s">
        <v>6257</v>
      </c>
      <c r="L429" s="890">
        <v>4</v>
      </c>
      <c r="P429" s="890" t="s">
        <v>6049</v>
      </c>
      <c r="Q429" s="890">
        <v>1</v>
      </c>
    </row>
    <row r="430" spans="2:17">
      <c r="B430" s="890" t="s">
        <v>6196</v>
      </c>
      <c r="C430" s="890">
        <v>10</v>
      </c>
      <c r="D430" s="556"/>
      <c r="H430" s="890" t="s">
        <v>6318</v>
      </c>
      <c r="I430" s="890">
        <v>5</v>
      </c>
      <c r="K430" s="890" t="s">
        <v>6078</v>
      </c>
      <c r="L430" s="890">
        <v>1</v>
      </c>
      <c r="P430" s="890" t="s">
        <v>6051</v>
      </c>
      <c r="Q430" s="890">
        <v>1</v>
      </c>
    </row>
    <row r="431" spans="2:17">
      <c r="B431" s="890" t="s">
        <v>6319</v>
      </c>
      <c r="C431" s="890">
        <v>10</v>
      </c>
      <c r="D431" s="556"/>
      <c r="H431" s="890" t="s">
        <v>6320</v>
      </c>
      <c r="I431" s="890">
        <v>5</v>
      </c>
      <c r="K431" s="890" t="s">
        <v>6321</v>
      </c>
      <c r="L431" s="890">
        <v>2</v>
      </c>
      <c r="P431" s="890" t="s">
        <v>6127</v>
      </c>
      <c r="Q431" s="890">
        <v>4</v>
      </c>
    </row>
    <row r="432" spans="2:17">
      <c r="B432" s="890" t="s">
        <v>6322</v>
      </c>
      <c r="C432" s="890">
        <v>10</v>
      </c>
      <c r="D432" s="556"/>
      <c r="H432" s="890" t="s">
        <v>6323</v>
      </c>
      <c r="I432" s="890">
        <v>1</v>
      </c>
      <c r="K432" s="890" t="s">
        <v>6082</v>
      </c>
      <c r="L432" s="890">
        <v>2</v>
      </c>
      <c r="P432" s="890" t="s">
        <v>6324</v>
      </c>
      <c r="Q432" s="890">
        <v>4</v>
      </c>
    </row>
    <row r="433" spans="2:17">
      <c r="B433" s="890" t="s">
        <v>6218</v>
      </c>
      <c r="C433" s="890">
        <v>10</v>
      </c>
      <c r="D433" s="556"/>
      <c r="H433" s="890" t="s">
        <v>6325</v>
      </c>
      <c r="I433" s="890">
        <v>3</v>
      </c>
      <c r="K433" s="890" t="s">
        <v>6264</v>
      </c>
      <c r="L433" s="890">
        <v>4</v>
      </c>
      <c r="P433" s="890" t="s">
        <v>6326</v>
      </c>
      <c r="Q433" s="890">
        <v>3</v>
      </c>
    </row>
    <row r="434" spans="2:17">
      <c r="B434" s="890" t="s">
        <v>6231</v>
      </c>
      <c r="C434" s="890">
        <v>8</v>
      </c>
      <c r="D434" s="556"/>
      <c r="H434" s="890" t="s">
        <v>6327</v>
      </c>
      <c r="I434" s="890">
        <v>3</v>
      </c>
      <c r="K434" s="890" t="s">
        <v>6085</v>
      </c>
      <c r="L434" s="890">
        <v>3</v>
      </c>
      <c r="P434" s="890" t="s">
        <v>6056</v>
      </c>
      <c r="Q434" s="890">
        <v>1</v>
      </c>
    </row>
    <row r="435" spans="2:17">
      <c r="B435" s="890" t="s">
        <v>6236</v>
      </c>
      <c r="C435" s="890">
        <v>10</v>
      </c>
      <c r="D435" s="556"/>
      <c r="H435" s="890" t="s">
        <v>6328</v>
      </c>
      <c r="I435" s="890">
        <v>3</v>
      </c>
      <c r="K435" s="890" t="s">
        <v>6269</v>
      </c>
      <c r="L435" s="890">
        <v>1</v>
      </c>
      <c r="P435" s="890" t="s">
        <v>6062</v>
      </c>
      <c r="Q435" s="890">
        <v>1</v>
      </c>
    </row>
    <row r="436" spans="2:17">
      <c r="B436" s="890" t="s">
        <v>6238</v>
      </c>
      <c r="C436" s="890">
        <v>10</v>
      </c>
      <c r="D436" s="556"/>
      <c r="H436" s="890" t="s">
        <v>6329</v>
      </c>
      <c r="I436" s="890">
        <v>3</v>
      </c>
      <c r="K436" s="890" t="s">
        <v>6087</v>
      </c>
      <c r="L436" s="890">
        <v>2</v>
      </c>
      <c r="P436" s="890" t="s">
        <v>6065</v>
      </c>
      <c r="Q436" s="890">
        <v>2</v>
      </c>
    </row>
    <row r="437" spans="2:17">
      <c r="B437" s="890" t="s">
        <v>6241</v>
      </c>
      <c r="C437" s="890">
        <v>10</v>
      </c>
      <c r="D437" s="556"/>
      <c r="H437" s="890" t="s">
        <v>6330</v>
      </c>
      <c r="I437" s="890">
        <v>3</v>
      </c>
      <c r="K437" s="890" t="s">
        <v>6089</v>
      </c>
      <c r="L437" s="890">
        <v>4</v>
      </c>
      <c r="P437" s="890" t="s">
        <v>6136</v>
      </c>
      <c r="Q437" s="890">
        <v>1</v>
      </c>
    </row>
    <row r="438" spans="2:17">
      <c r="B438" s="890" t="s">
        <v>6244</v>
      </c>
      <c r="C438" s="890">
        <v>8</v>
      </c>
      <c r="D438" s="556"/>
      <c r="H438" s="890" t="s">
        <v>6331</v>
      </c>
      <c r="I438" s="890">
        <v>1</v>
      </c>
      <c r="K438" s="890" t="s">
        <v>6332</v>
      </c>
      <c r="L438" s="890">
        <v>2</v>
      </c>
      <c r="P438" s="890" t="s">
        <v>6139</v>
      </c>
      <c r="Q438" s="890">
        <v>2</v>
      </c>
    </row>
    <row r="439" spans="2:17">
      <c r="B439" s="890" t="s">
        <v>6245</v>
      </c>
      <c r="C439" s="890">
        <v>8</v>
      </c>
      <c r="D439" s="556"/>
      <c r="H439" s="890" t="s">
        <v>6333</v>
      </c>
      <c r="I439" s="890">
        <v>1</v>
      </c>
      <c r="K439" s="890" t="s">
        <v>6093</v>
      </c>
      <c r="L439" s="890">
        <v>2</v>
      </c>
      <c r="P439" s="890" t="s">
        <v>6142</v>
      </c>
      <c r="Q439" s="890">
        <v>4</v>
      </c>
    </row>
    <row r="440" spans="2:17">
      <c r="B440" s="890" t="s">
        <v>6246</v>
      </c>
      <c r="C440" s="890">
        <v>8</v>
      </c>
      <c r="D440" s="556"/>
      <c r="H440" s="890" t="s">
        <v>6334</v>
      </c>
      <c r="I440" s="890">
        <v>5</v>
      </c>
      <c r="K440" s="890" t="s">
        <v>6095</v>
      </c>
      <c r="L440" s="890">
        <v>4</v>
      </c>
      <c r="P440" s="890" t="s">
        <v>6145</v>
      </c>
      <c r="Q440" s="890">
        <v>3</v>
      </c>
    </row>
    <row r="441" spans="2:17">
      <c r="B441" s="890" t="s">
        <v>6248</v>
      </c>
      <c r="C441" s="890">
        <v>10</v>
      </c>
      <c r="D441" s="556"/>
      <c r="H441" s="890" t="s">
        <v>6335</v>
      </c>
      <c r="I441" s="890">
        <v>5</v>
      </c>
      <c r="K441" s="890" t="s">
        <v>6336</v>
      </c>
      <c r="L441" s="890">
        <v>2</v>
      </c>
      <c r="P441" s="890" t="s">
        <v>6068</v>
      </c>
      <c r="Q441" s="890">
        <v>2</v>
      </c>
    </row>
    <row r="442" spans="2:17">
      <c r="B442" s="890" t="s">
        <v>6337</v>
      </c>
      <c r="C442" s="890">
        <v>10</v>
      </c>
      <c r="D442" s="556"/>
      <c r="H442" s="890" t="s">
        <v>6338</v>
      </c>
      <c r="I442" s="890">
        <v>3</v>
      </c>
      <c r="K442" s="890" t="s">
        <v>6339</v>
      </c>
      <c r="L442" s="890">
        <v>4</v>
      </c>
      <c r="P442" s="890" t="s">
        <v>6070</v>
      </c>
      <c r="Q442" s="890">
        <v>1</v>
      </c>
    </row>
    <row r="443" spans="2:17">
      <c r="B443" s="890" t="s">
        <v>6340</v>
      </c>
      <c r="C443" s="890">
        <v>10</v>
      </c>
      <c r="D443" s="556"/>
      <c r="H443" s="890" t="s">
        <v>6341</v>
      </c>
      <c r="I443" s="890">
        <v>5</v>
      </c>
      <c r="K443" s="890" t="s">
        <v>6342</v>
      </c>
      <c r="L443" s="890">
        <v>1</v>
      </c>
      <c r="P443" s="890" t="s">
        <v>6072</v>
      </c>
      <c r="Q443" s="890">
        <v>1</v>
      </c>
    </row>
    <row r="444" spans="2:17">
      <c r="B444" s="890" t="s">
        <v>6249</v>
      </c>
      <c r="C444" s="890">
        <v>8</v>
      </c>
      <c r="D444" s="556"/>
      <c r="H444" s="890" t="s">
        <v>6343</v>
      </c>
      <c r="I444" s="890">
        <v>3</v>
      </c>
      <c r="K444" s="890" t="s">
        <v>6344</v>
      </c>
      <c r="L444" s="890">
        <v>4</v>
      </c>
      <c r="P444" s="890" t="s">
        <v>6075</v>
      </c>
      <c r="Q444" s="890">
        <v>2</v>
      </c>
    </row>
    <row r="445" spans="2:17">
      <c r="B445" s="890" t="s">
        <v>6255</v>
      </c>
      <c r="C445" s="890">
        <v>10</v>
      </c>
      <c r="D445" s="556"/>
      <c r="H445" s="890" t="s">
        <v>6345</v>
      </c>
      <c r="I445" s="890">
        <v>1</v>
      </c>
      <c r="K445" s="890" t="s">
        <v>6346</v>
      </c>
      <c r="L445" s="890">
        <v>4</v>
      </c>
      <c r="P445" s="890" t="s">
        <v>6077</v>
      </c>
      <c r="Q445" s="890">
        <v>2</v>
      </c>
    </row>
    <row r="446" spans="2:17">
      <c r="B446" s="890" t="s">
        <v>6347</v>
      </c>
      <c r="C446" s="890">
        <v>10</v>
      </c>
      <c r="D446" s="556"/>
      <c r="H446" s="890" t="s">
        <v>6348</v>
      </c>
      <c r="I446" s="890">
        <v>5</v>
      </c>
      <c r="K446" s="890" t="s">
        <v>6101</v>
      </c>
      <c r="L446" s="890">
        <v>2</v>
      </c>
      <c r="P446" s="890" t="s">
        <v>6079</v>
      </c>
      <c r="Q446" s="890">
        <v>2</v>
      </c>
    </row>
    <row r="447" spans="2:17">
      <c r="B447" s="890" t="s">
        <v>6258</v>
      </c>
      <c r="C447" s="890">
        <v>8</v>
      </c>
      <c r="D447" s="556"/>
      <c r="H447" s="890" t="s">
        <v>6349</v>
      </c>
      <c r="I447" s="890">
        <v>1</v>
      </c>
      <c r="K447" s="890" t="s">
        <v>6102</v>
      </c>
      <c r="L447" s="890">
        <v>3</v>
      </c>
      <c r="P447" s="890" t="s">
        <v>6081</v>
      </c>
      <c r="Q447" s="890">
        <v>3</v>
      </c>
    </row>
    <row r="448" spans="2:17">
      <c r="B448" s="890" t="s">
        <v>6273</v>
      </c>
      <c r="C448" s="890">
        <v>10</v>
      </c>
      <c r="D448" s="556"/>
      <c r="H448" s="890" t="s">
        <v>6350</v>
      </c>
      <c r="I448" s="890">
        <v>1</v>
      </c>
      <c r="K448" s="890" t="s">
        <v>6351</v>
      </c>
      <c r="L448" s="890">
        <v>2</v>
      </c>
      <c r="P448" s="890" t="s">
        <v>6352</v>
      </c>
      <c r="Q448" s="890">
        <v>2</v>
      </c>
    </row>
    <row r="449" spans="2:17">
      <c r="B449" s="890" t="s">
        <v>6353</v>
      </c>
      <c r="C449" s="890">
        <v>10</v>
      </c>
      <c r="D449" s="556"/>
      <c r="H449" s="890" t="s">
        <v>6354</v>
      </c>
      <c r="I449" s="890">
        <v>5</v>
      </c>
      <c r="K449" s="890" t="s">
        <v>6108</v>
      </c>
      <c r="L449" s="890">
        <v>2</v>
      </c>
      <c r="P449" s="890" t="s">
        <v>6084</v>
      </c>
      <c r="Q449" s="890">
        <v>1</v>
      </c>
    </row>
    <row r="450" spans="2:17">
      <c r="B450" s="890" t="s">
        <v>6274</v>
      </c>
      <c r="C450" s="890">
        <v>10</v>
      </c>
      <c r="D450" s="556"/>
      <c r="H450" s="890" t="s">
        <v>6355</v>
      </c>
      <c r="I450" s="890">
        <v>1</v>
      </c>
      <c r="K450" s="890" t="s">
        <v>6356</v>
      </c>
      <c r="L450" s="890">
        <v>1</v>
      </c>
      <c r="P450" s="890" t="s">
        <v>6357</v>
      </c>
      <c r="Q450" s="890">
        <v>4</v>
      </c>
    </row>
    <row r="451" spans="2:17">
      <c r="B451" s="890" t="s">
        <v>6279</v>
      </c>
      <c r="C451" s="890">
        <v>10</v>
      </c>
      <c r="D451" s="556"/>
      <c r="H451" s="890" t="s">
        <v>6358</v>
      </c>
      <c r="I451" s="890">
        <v>3</v>
      </c>
      <c r="K451" s="890" t="s">
        <v>6126</v>
      </c>
      <c r="L451" s="890">
        <v>2</v>
      </c>
      <c r="P451" s="890" t="s">
        <v>6359</v>
      </c>
      <c r="Q451" s="890">
        <v>3</v>
      </c>
    </row>
    <row r="452" spans="2:17">
      <c r="B452" s="890" t="s">
        <v>6280</v>
      </c>
      <c r="C452" s="890">
        <v>10</v>
      </c>
      <c r="D452" s="556"/>
      <c r="H452" s="890" t="s">
        <v>6360</v>
      </c>
      <c r="I452" s="890">
        <v>3</v>
      </c>
      <c r="K452" s="890" t="s">
        <v>6129</v>
      </c>
      <c r="L452" s="890">
        <v>2</v>
      </c>
      <c r="P452" s="890" t="s">
        <v>6361</v>
      </c>
      <c r="Q452" s="890">
        <v>2</v>
      </c>
    </row>
    <row r="453" spans="2:17">
      <c r="B453" s="890" t="s">
        <v>6362</v>
      </c>
      <c r="C453" s="890">
        <v>8</v>
      </c>
      <c r="D453" s="556"/>
      <c r="H453" s="890" t="s">
        <v>6363</v>
      </c>
      <c r="I453" s="890">
        <v>1</v>
      </c>
      <c r="K453" s="890" t="s">
        <v>6283</v>
      </c>
      <c r="L453" s="890">
        <v>4</v>
      </c>
      <c r="P453" s="890" t="s">
        <v>6159</v>
      </c>
      <c r="Q453" s="890">
        <v>1</v>
      </c>
    </row>
    <row r="454" spans="2:17">
      <c r="B454" s="890" t="s">
        <v>6364</v>
      </c>
      <c r="C454" s="890">
        <v>8</v>
      </c>
      <c r="D454" s="556"/>
      <c r="H454" s="890" t="s">
        <v>6365</v>
      </c>
      <c r="I454" s="890">
        <v>3</v>
      </c>
      <c r="K454" s="890" t="s">
        <v>6131</v>
      </c>
      <c r="L454" s="890">
        <v>4</v>
      </c>
      <c r="P454" s="890" t="s">
        <v>6162</v>
      </c>
      <c r="Q454" s="890">
        <v>2</v>
      </c>
    </row>
    <row r="455" spans="2:17">
      <c r="B455" s="890" t="s">
        <v>6366</v>
      </c>
      <c r="C455" s="890">
        <v>10</v>
      </c>
      <c r="D455" s="556"/>
      <c r="H455" s="890" t="s">
        <v>6367</v>
      </c>
      <c r="I455" s="890">
        <v>3</v>
      </c>
      <c r="K455" s="890" t="s">
        <v>6133</v>
      </c>
      <c r="L455" s="890">
        <v>4</v>
      </c>
      <c r="P455" s="890" t="s">
        <v>6164</v>
      </c>
      <c r="Q455" s="890">
        <v>4</v>
      </c>
    </row>
    <row r="456" spans="2:17">
      <c r="B456" s="890" t="s">
        <v>6287</v>
      </c>
      <c r="C456" s="890">
        <v>10</v>
      </c>
      <c r="D456" s="556"/>
      <c r="H456" s="890" t="s">
        <v>6368</v>
      </c>
      <c r="I456" s="890">
        <v>1</v>
      </c>
      <c r="K456" s="890" t="s">
        <v>6288</v>
      </c>
      <c r="L456" s="890">
        <v>2</v>
      </c>
      <c r="P456" s="890" t="s">
        <v>6369</v>
      </c>
      <c r="Q456" s="890">
        <v>2</v>
      </c>
    </row>
    <row r="457" spans="2:17">
      <c r="B457" s="890" t="s">
        <v>6370</v>
      </c>
      <c r="C457" s="890">
        <v>10</v>
      </c>
      <c r="D457" s="556"/>
      <c r="H457" s="890" t="s">
        <v>6371</v>
      </c>
      <c r="I457" s="890">
        <v>5</v>
      </c>
      <c r="K457" s="890" t="s">
        <v>6135</v>
      </c>
      <c r="L457" s="890">
        <v>4</v>
      </c>
      <c r="P457" s="890" t="s">
        <v>6166</v>
      </c>
      <c r="Q457" s="890">
        <v>4</v>
      </c>
    </row>
    <row r="458" spans="2:17">
      <c r="B458" s="890" t="s">
        <v>6301</v>
      </c>
      <c r="C458" s="890">
        <v>10</v>
      </c>
      <c r="D458" s="556"/>
      <c r="H458" s="890" t="s">
        <v>6372</v>
      </c>
      <c r="I458" s="890">
        <v>3</v>
      </c>
      <c r="K458" s="890" t="s">
        <v>6294</v>
      </c>
      <c r="L458" s="890">
        <v>3</v>
      </c>
      <c r="P458" s="890" t="s">
        <v>6373</v>
      </c>
      <c r="Q458" s="890">
        <v>4</v>
      </c>
    </row>
    <row r="459" spans="2:17">
      <c r="B459" s="890" t="s">
        <v>6303</v>
      </c>
      <c r="C459" s="890">
        <v>10</v>
      </c>
      <c r="D459" s="556"/>
      <c r="H459" s="890" t="s">
        <v>6374</v>
      </c>
      <c r="I459" s="890">
        <v>5</v>
      </c>
      <c r="K459" s="890" t="s">
        <v>6148</v>
      </c>
      <c r="L459" s="890">
        <v>4</v>
      </c>
      <c r="P459" s="890" t="s">
        <v>6088</v>
      </c>
      <c r="Q459" s="890">
        <v>3</v>
      </c>
    </row>
    <row r="460" spans="2:17">
      <c r="B460" s="890" t="s">
        <v>6305</v>
      </c>
      <c r="C460" s="890">
        <v>10</v>
      </c>
      <c r="D460" s="556"/>
      <c r="H460" s="890" t="s">
        <v>6375</v>
      </c>
      <c r="I460" s="890">
        <v>1</v>
      </c>
      <c r="K460" s="890" t="s">
        <v>6150</v>
      </c>
      <c r="L460" s="890">
        <v>2</v>
      </c>
      <c r="P460" s="890" t="s">
        <v>5922</v>
      </c>
      <c r="Q460" s="890">
        <v>4</v>
      </c>
    </row>
    <row r="461" spans="2:17">
      <c r="B461" s="890" t="s">
        <v>6307</v>
      </c>
      <c r="C461" s="890">
        <v>10</v>
      </c>
      <c r="D461" s="556"/>
      <c r="H461" s="890" t="s">
        <v>6376</v>
      </c>
      <c r="I461" s="890">
        <v>5</v>
      </c>
      <c r="K461" s="890" t="s">
        <v>6153</v>
      </c>
      <c r="L461" s="890">
        <v>3</v>
      </c>
      <c r="P461" s="890" t="s">
        <v>6377</v>
      </c>
      <c r="Q461" s="890">
        <v>4</v>
      </c>
    </row>
    <row r="462" spans="2:17">
      <c r="B462" s="890" t="s">
        <v>6308</v>
      </c>
      <c r="C462" s="890">
        <v>10</v>
      </c>
      <c r="D462" s="556"/>
      <c r="H462" s="890" t="s">
        <v>6378</v>
      </c>
      <c r="I462" s="890">
        <v>3</v>
      </c>
      <c r="K462" s="890" t="s">
        <v>6155</v>
      </c>
      <c r="L462" s="890">
        <v>4</v>
      </c>
      <c r="P462" s="890" t="s">
        <v>5924</v>
      </c>
      <c r="Q462" s="890">
        <v>4</v>
      </c>
    </row>
    <row r="463" spans="2:17">
      <c r="B463" s="890" t="s">
        <v>6310</v>
      </c>
      <c r="C463" s="890">
        <v>10</v>
      </c>
      <c r="D463" s="556"/>
      <c r="H463" s="890" t="s">
        <v>6379</v>
      </c>
      <c r="I463" s="890">
        <v>1</v>
      </c>
      <c r="K463" s="890" t="s">
        <v>6380</v>
      </c>
      <c r="L463" s="890">
        <v>4</v>
      </c>
      <c r="P463" s="890" t="s">
        <v>6094</v>
      </c>
      <c r="Q463" s="890">
        <v>2</v>
      </c>
    </row>
    <row r="464" spans="2:17">
      <c r="B464" s="890" t="s">
        <v>6381</v>
      </c>
      <c r="C464" s="890">
        <v>10</v>
      </c>
      <c r="D464" s="556"/>
      <c r="H464" s="890" t="s">
        <v>6382</v>
      </c>
      <c r="I464" s="890">
        <v>3</v>
      </c>
      <c r="K464" s="890" t="s">
        <v>6158</v>
      </c>
      <c r="L464" s="890">
        <v>4</v>
      </c>
      <c r="P464" s="890" t="s">
        <v>5929</v>
      </c>
      <c r="Q464" s="890">
        <v>4</v>
      </c>
    </row>
    <row r="465" spans="2:17">
      <c r="B465" s="890" t="s">
        <v>6314</v>
      </c>
      <c r="C465" s="890">
        <v>10</v>
      </c>
      <c r="D465" s="556"/>
      <c r="H465" s="890" t="s">
        <v>6383</v>
      </c>
      <c r="I465" s="890">
        <v>5</v>
      </c>
      <c r="K465" s="890" t="s">
        <v>6306</v>
      </c>
      <c r="L465" s="890">
        <v>2</v>
      </c>
      <c r="P465" s="890" t="s">
        <v>5930</v>
      </c>
      <c r="Q465" s="890">
        <v>4</v>
      </c>
    </row>
    <row r="466" spans="2:17">
      <c r="B466" s="890" t="s">
        <v>6384</v>
      </c>
      <c r="C466" s="890">
        <v>10</v>
      </c>
      <c r="D466" s="556"/>
      <c r="H466" s="890" t="s">
        <v>6385</v>
      </c>
      <c r="I466" s="890">
        <v>3</v>
      </c>
      <c r="K466" s="890" t="s">
        <v>6163</v>
      </c>
      <c r="L466" s="890">
        <v>4</v>
      </c>
      <c r="P466" s="890" t="s">
        <v>5932</v>
      </c>
      <c r="Q466" s="890">
        <v>3</v>
      </c>
    </row>
    <row r="467" spans="2:17">
      <c r="B467" s="890" t="s">
        <v>6315</v>
      </c>
      <c r="C467" s="890">
        <v>8</v>
      </c>
      <c r="D467" s="556"/>
      <c r="H467" s="890" t="s">
        <v>6386</v>
      </c>
      <c r="I467" s="890">
        <v>3</v>
      </c>
      <c r="K467" s="890" t="s">
        <v>6387</v>
      </c>
      <c r="L467" s="890">
        <v>2</v>
      </c>
      <c r="P467" s="890" t="s">
        <v>6174</v>
      </c>
      <c r="Q467" s="890">
        <v>4</v>
      </c>
    </row>
    <row r="468" spans="2:17">
      <c r="B468" s="890" t="s">
        <v>6317</v>
      </c>
      <c r="C468" s="890">
        <v>10</v>
      </c>
      <c r="D468" s="556"/>
      <c r="H468" s="890" t="s">
        <v>6388</v>
      </c>
      <c r="I468" s="890">
        <v>3</v>
      </c>
      <c r="K468" s="890" t="s">
        <v>6165</v>
      </c>
      <c r="L468" s="890">
        <v>3</v>
      </c>
      <c r="P468" s="890" t="s">
        <v>6104</v>
      </c>
      <c r="Q468" s="890">
        <v>2</v>
      </c>
    </row>
    <row r="469" spans="2:17">
      <c r="B469" s="890" t="s">
        <v>6389</v>
      </c>
      <c r="C469" s="890">
        <v>10</v>
      </c>
      <c r="D469" s="556"/>
      <c r="H469" s="890" t="s">
        <v>6390</v>
      </c>
      <c r="I469" s="890">
        <v>3</v>
      </c>
      <c r="K469" s="890" t="s">
        <v>6168</v>
      </c>
      <c r="L469" s="890">
        <v>4</v>
      </c>
      <c r="P469" s="890" t="s">
        <v>6107</v>
      </c>
      <c r="Q469" s="890">
        <v>1</v>
      </c>
    </row>
    <row r="470" spans="2:17">
      <c r="B470" s="890" t="s">
        <v>6320</v>
      </c>
      <c r="C470" s="890">
        <v>10</v>
      </c>
      <c r="D470" s="556"/>
      <c r="H470" s="890" t="s">
        <v>6391</v>
      </c>
      <c r="I470" s="890">
        <v>1</v>
      </c>
      <c r="K470" s="890" t="s">
        <v>6309</v>
      </c>
      <c r="L470" s="890">
        <v>3</v>
      </c>
      <c r="P470" s="890" t="s">
        <v>6111</v>
      </c>
      <c r="Q470" s="890">
        <v>1</v>
      </c>
    </row>
    <row r="471" spans="2:17">
      <c r="B471" s="890" t="s">
        <v>6323</v>
      </c>
      <c r="C471" s="890">
        <v>10</v>
      </c>
      <c r="D471" s="556"/>
      <c r="H471" s="890" t="s">
        <v>6392</v>
      </c>
      <c r="I471" s="890">
        <v>1</v>
      </c>
      <c r="K471" s="890" t="s">
        <v>6171</v>
      </c>
      <c r="L471" s="890">
        <v>4</v>
      </c>
      <c r="P471" s="890" t="s">
        <v>6114</v>
      </c>
      <c r="Q471" s="890">
        <v>4</v>
      </c>
    </row>
    <row r="472" spans="2:17">
      <c r="B472" s="890" t="s">
        <v>6325</v>
      </c>
      <c r="C472" s="890">
        <v>10</v>
      </c>
      <c r="D472" s="556"/>
      <c r="H472" s="890" t="s">
        <v>6393</v>
      </c>
      <c r="I472" s="890">
        <v>3</v>
      </c>
      <c r="K472" s="890" t="s">
        <v>6173</v>
      </c>
      <c r="L472" s="890">
        <v>2</v>
      </c>
      <c r="P472" s="890" t="s">
        <v>6184</v>
      </c>
      <c r="Q472" s="890">
        <v>2</v>
      </c>
    </row>
    <row r="473" spans="2:17">
      <c r="B473" s="890" t="s">
        <v>6394</v>
      </c>
      <c r="C473" s="890">
        <v>10</v>
      </c>
      <c r="D473" s="556"/>
      <c r="H473" s="890" t="s">
        <v>6395</v>
      </c>
      <c r="I473" s="890">
        <v>3</v>
      </c>
      <c r="K473" s="890" t="s">
        <v>6180</v>
      </c>
      <c r="L473" s="890">
        <v>4</v>
      </c>
      <c r="P473" s="890" t="s">
        <v>6118</v>
      </c>
      <c r="Q473" s="890">
        <v>2</v>
      </c>
    </row>
    <row r="474" spans="2:17">
      <c r="B474" s="890" t="s">
        <v>6329</v>
      </c>
      <c r="C474" s="890">
        <v>10</v>
      </c>
      <c r="D474" s="556"/>
      <c r="H474" s="890" t="s">
        <v>6396</v>
      </c>
      <c r="I474" s="890">
        <v>1</v>
      </c>
      <c r="K474" s="890" t="s">
        <v>6182</v>
      </c>
      <c r="L474" s="890">
        <v>2</v>
      </c>
      <c r="P474" s="890" t="s">
        <v>5935</v>
      </c>
      <c r="Q474" s="890">
        <v>2</v>
      </c>
    </row>
    <row r="475" spans="2:17">
      <c r="B475" s="890" t="s">
        <v>6330</v>
      </c>
      <c r="C475" s="890">
        <v>8</v>
      </c>
      <c r="D475" s="556"/>
      <c r="H475" s="890" t="s">
        <v>6397</v>
      </c>
      <c r="I475" s="890">
        <v>1</v>
      </c>
      <c r="K475" s="890" t="s">
        <v>6186</v>
      </c>
      <c r="L475" s="890">
        <v>4</v>
      </c>
      <c r="P475" s="890" t="s">
        <v>6188</v>
      </c>
      <c r="Q475" s="890">
        <v>4</v>
      </c>
    </row>
    <row r="476" spans="2:17">
      <c r="B476" s="890" t="s">
        <v>6398</v>
      </c>
      <c r="C476" s="890">
        <v>8</v>
      </c>
      <c r="D476" s="556"/>
      <c r="H476" s="890" t="s">
        <v>6399</v>
      </c>
      <c r="I476" s="890">
        <v>1</v>
      </c>
      <c r="K476" s="890" t="s">
        <v>6189</v>
      </c>
      <c r="L476" s="890">
        <v>4</v>
      </c>
      <c r="P476" s="890" t="s">
        <v>6190</v>
      </c>
      <c r="Q476" s="890">
        <v>1</v>
      </c>
    </row>
    <row r="477" spans="2:17">
      <c r="B477" s="890" t="s">
        <v>6400</v>
      </c>
      <c r="C477" s="890">
        <v>8</v>
      </c>
      <c r="D477" s="556"/>
      <c r="H477" s="890" t="s">
        <v>6401</v>
      </c>
      <c r="I477" s="890">
        <v>1</v>
      </c>
      <c r="K477" s="890" t="s">
        <v>6191</v>
      </c>
      <c r="L477" s="890">
        <v>4</v>
      </c>
      <c r="P477" s="890" t="s">
        <v>5938</v>
      </c>
      <c r="Q477" s="890">
        <v>2</v>
      </c>
    </row>
    <row r="478" spans="2:17">
      <c r="B478" s="890" t="s">
        <v>6402</v>
      </c>
      <c r="C478" s="890">
        <v>8</v>
      </c>
      <c r="D478" s="556"/>
      <c r="H478" s="890" t="s">
        <v>6403</v>
      </c>
      <c r="I478" s="890">
        <v>1</v>
      </c>
      <c r="K478" s="890" t="s">
        <v>6193</v>
      </c>
      <c r="L478" s="890">
        <v>2</v>
      </c>
      <c r="P478" s="890" t="s">
        <v>6404</v>
      </c>
      <c r="Q478" s="890">
        <v>4</v>
      </c>
    </row>
    <row r="479" spans="2:17">
      <c r="B479" s="890" t="s">
        <v>6405</v>
      </c>
      <c r="C479" s="890">
        <v>8</v>
      </c>
      <c r="D479" s="556"/>
      <c r="H479" s="890" t="s">
        <v>6406</v>
      </c>
      <c r="I479" s="890">
        <v>5</v>
      </c>
      <c r="K479" s="890" t="s">
        <v>6201</v>
      </c>
      <c r="L479" s="890">
        <v>2</v>
      </c>
      <c r="P479" s="890" t="s">
        <v>5941</v>
      </c>
      <c r="Q479" s="890">
        <v>2</v>
      </c>
    </row>
    <row r="480" spans="2:17">
      <c r="B480" s="890" t="s">
        <v>6407</v>
      </c>
      <c r="C480" s="890">
        <v>8</v>
      </c>
      <c r="D480" s="556"/>
      <c r="H480" s="890" t="s">
        <v>6408</v>
      </c>
      <c r="I480" s="890">
        <v>5</v>
      </c>
      <c r="K480" s="890" t="s">
        <v>6205</v>
      </c>
      <c r="L480" s="890">
        <v>3</v>
      </c>
      <c r="P480" s="890" t="s">
        <v>5944</v>
      </c>
      <c r="Q480" s="890">
        <v>4</v>
      </c>
    </row>
    <row r="481" spans="2:17">
      <c r="B481" s="890" t="s">
        <v>6409</v>
      </c>
      <c r="C481" s="890">
        <v>8</v>
      </c>
      <c r="D481" s="556"/>
      <c r="H481" s="890" t="s">
        <v>6410</v>
      </c>
      <c r="I481" s="890">
        <v>3</v>
      </c>
      <c r="K481" s="890" t="s">
        <v>6207</v>
      </c>
      <c r="L481" s="890">
        <v>1</v>
      </c>
      <c r="P481" s="890" t="s">
        <v>6411</v>
      </c>
      <c r="Q481" s="890">
        <v>2</v>
      </c>
    </row>
    <row r="482" spans="2:17">
      <c r="B482" s="890" t="s">
        <v>6333</v>
      </c>
      <c r="C482" s="890">
        <v>10</v>
      </c>
      <c r="D482" s="556"/>
      <c r="H482" s="890" t="s">
        <v>6412</v>
      </c>
      <c r="I482" s="890">
        <v>5</v>
      </c>
      <c r="K482" s="890" t="s">
        <v>6319</v>
      </c>
      <c r="L482" s="890">
        <v>2</v>
      </c>
      <c r="P482" s="890" t="s">
        <v>6197</v>
      </c>
      <c r="Q482" s="890">
        <v>3</v>
      </c>
    </row>
    <row r="483" spans="2:17">
      <c r="B483" s="890" t="s">
        <v>6413</v>
      </c>
      <c r="C483" s="890">
        <v>10</v>
      </c>
      <c r="D483" s="556"/>
      <c r="H483" s="890" t="s">
        <v>6414</v>
      </c>
      <c r="I483" s="890">
        <v>5</v>
      </c>
      <c r="K483" s="890" t="s">
        <v>6209</v>
      </c>
      <c r="L483" s="890">
        <v>2</v>
      </c>
      <c r="P483" s="890" t="s">
        <v>5947</v>
      </c>
      <c r="Q483" s="890">
        <v>2</v>
      </c>
    </row>
    <row r="484" spans="2:17">
      <c r="B484" s="890" t="s">
        <v>6415</v>
      </c>
      <c r="C484" s="890">
        <v>10</v>
      </c>
      <c r="D484" s="556"/>
      <c r="H484" s="890" t="s">
        <v>6416</v>
      </c>
      <c r="I484" s="890">
        <v>5</v>
      </c>
      <c r="K484" s="890" t="s">
        <v>6210</v>
      </c>
      <c r="L484" s="890">
        <v>4</v>
      </c>
      <c r="P484" s="890" t="s">
        <v>5948</v>
      </c>
      <c r="Q484" s="890">
        <v>4</v>
      </c>
    </row>
    <row r="485" spans="2:17">
      <c r="B485" s="890" t="s">
        <v>6417</v>
      </c>
      <c r="C485" s="890">
        <v>8</v>
      </c>
      <c r="D485" s="556"/>
      <c r="H485" s="890" t="s">
        <v>6418</v>
      </c>
      <c r="I485" s="890">
        <v>3</v>
      </c>
      <c r="K485" s="890" t="s">
        <v>6212</v>
      </c>
      <c r="L485" s="890">
        <v>2</v>
      </c>
      <c r="P485" s="890" t="s">
        <v>6202</v>
      </c>
      <c r="Q485" s="890">
        <v>1</v>
      </c>
    </row>
    <row r="486" spans="2:17">
      <c r="B486" s="890" t="s">
        <v>6419</v>
      </c>
      <c r="C486" s="890">
        <v>8</v>
      </c>
      <c r="D486" s="556"/>
      <c r="H486" s="890" t="s">
        <v>6420</v>
      </c>
      <c r="I486" s="890">
        <v>3</v>
      </c>
      <c r="K486" s="890" t="s">
        <v>6214</v>
      </c>
      <c r="L486" s="890">
        <v>4</v>
      </c>
      <c r="P486" s="890" t="s">
        <v>6204</v>
      </c>
      <c r="Q486" s="890">
        <v>1</v>
      </c>
    </row>
    <row r="487" spans="2:17">
      <c r="B487" s="890" t="s">
        <v>6421</v>
      </c>
      <c r="C487" s="890">
        <v>10</v>
      </c>
      <c r="D487" s="556"/>
      <c r="H487" s="890" t="s">
        <v>6422</v>
      </c>
      <c r="I487" s="890">
        <v>3</v>
      </c>
      <c r="K487" s="890" t="s">
        <v>6216</v>
      </c>
      <c r="L487" s="890">
        <v>2</v>
      </c>
      <c r="P487" s="890" t="s">
        <v>6423</v>
      </c>
      <c r="Q487" s="890">
        <v>1</v>
      </c>
    </row>
    <row r="488" spans="2:17">
      <c r="B488" s="890" t="s">
        <v>6424</v>
      </c>
      <c r="C488" s="890">
        <v>8</v>
      </c>
      <c r="D488" s="556"/>
      <c r="H488" s="890" t="s">
        <v>6425</v>
      </c>
      <c r="I488" s="890">
        <v>1</v>
      </c>
      <c r="K488" s="890" t="s">
        <v>6221</v>
      </c>
      <c r="L488" s="890">
        <v>2</v>
      </c>
      <c r="P488" s="890" t="s">
        <v>6128</v>
      </c>
      <c r="Q488" s="890">
        <v>2</v>
      </c>
    </row>
    <row r="489" spans="2:17">
      <c r="B489" s="890" t="s">
        <v>6426</v>
      </c>
      <c r="C489" s="890">
        <v>8</v>
      </c>
      <c r="D489" s="556"/>
      <c r="H489" s="890" t="s">
        <v>6427</v>
      </c>
      <c r="I489" s="890">
        <v>3</v>
      </c>
      <c r="K489" s="890" t="s">
        <v>6222</v>
      </c>
      <c r="L489" s="890">
        <v>4</v>
      </c>
      <c r="P489" s="890" t="s">
        <v>6132</v>
      </c>
      <c r="Q489" s="890">
        <v>1</v>
      </c>
    </row>
    <row r="490" spans="2:17">
      <c r="B490" s="890" t="s">
        <v>6428</v>
      </c>
      <c r="C490" s="890">
        <v>8</v>
      </c>
      <c r="D490" s="556"/>
      <c r="H490" s="890" t="s">
        <v>6429</v>
      </c>
      <c r="I490" s="890">
        <v>1</v>
      </c>
      <c r="K490" s="890" t="s">
        <v>6224</v>
      </c>
      <c r="L490" s="890">
        <v>2</v>
      </c>
      <c r="P490" s="890" t="s">
        <v>6134</v>
      </c>
      <c r="Q490" s="890">
        <v>3</v>
      </c>
    </row>
    <row r="491" spans="2:17">
      <c r="B491" s="890" t="s">
        <v>6430</v>
      </c>
      <c r="C491" s="890">
        <v>10</v>
      </c>
      <c r="D491" s="556"/>
      <c r="H491" s="890" t="s">
        <v>6431</v>
      </c>
      <c r="I491" s="890">
        <v>5</v>
      </c>
      <c r="K491" s="890" t="s">
        <v>6226</v>
      </c>
      <c r="L491" s="890">
        <v>4</v>
      </c>
      <c r="P491" s="890" t="s">
        <v>6140</v>
      </c>
      <c r="Q491" s="890">
        <v>4</v>
      </c>
    </row>
    <row r="492" spans="2:17">
      <c r="B492" s="890" t="s">
        <v>6334</v>
      </c>
      <c r="C492" s="890">
        <v>8</v>
      </c>
      <c r="D492" s="556"/>
      <c r="H492" s="890" t="s">
        <v>6432</v>
      </c>
      <c r="I492" s="890">
        <v>1</v>
      </c>
      <c r="K492" s="890" t="s">
        <v>6228</v>
      </c>
      <c r="L492" s="890">
        <v>4</v>
      </c>
      <c r="P492" s="890" t="s">
        <v>6215</v>
      </c>
      <c r="Q492" s="890">
        <v>4</v>
      </c>
    </row>
    <row r="493" spans="2:17">
      <c r="B493" s="890" t="s">
        <v>6335</v>
      </c>
      <c r="C493" s="890">
        <v>8</v>
      </c>
      <c r="D493" s="556"/>
      <c r="H493" s="890" t="s">
        <v>6433</v>
      </c>
      <c r="I493" s="890">
        <v>1</v>
      </c>
      <c r="K493" s="890" t="s">
        <v>6230</v>
      </c>
      <c r="L493" s="890">
        <v>2</v>
      </c>
      <c r="P493" s="890" t="s">
        <v>6143</v>
      </c>
      <c r="Q493" s="890">
        <v>4</v>
      </c>
    </row>
    <row r="494" spans="2:17">
      <c r="B494" s="890" t="s">
        <v>6343</v>
      </c>
      <c r="C494" s="890">
        <v>8</v>
      </c>
      <c r="D494" s="556"/>
      <c r="H494" s="890" t="s">
        <v>6434</v>
      </c>
      <c r="I494" s="890">
        <v>1</v>
      </c>
      <c r="K494" s="890" t="s">
        <v>6234</v>
      </c>
      <c r="L494" s="890">
        <v>2</v>
      </c>
      <c r="P494" s="890" t="s">
        <v>6147</v>
      </c>
      <c r="Q494" s="890">
        <v>2</v>
      </c>
    </row>
    <row r="495" spans="2:17">
      <c r="B495" s="890" t="s">
        <v>6435</v>
      </c>
      <c r="C495" s="890">
        <v>10</v>
      </c>
      <c r="D495" s="556"/>
      <c r="H495" s="890" t="s">
        <v>6436</v>
      </c>
      <c r="I495" s="890">
        <v>3</v>
      </c>
      <c r="K495" s="890" t="s">
        <v>6236</v>
      </c>
      <c r="L495" s="890">
        <v>3</v>
      </c>
      <c r="P495" s="890" t="s">
        <v>6152</v>
      </c>
      <c r="Q495" s="890">
        <v>2</v>
      </c>
    </row>
    <row r="496" spans="2:17">
      <c r="B496" s="890" t="s">
        <v>6437</v>
      </c>
      <c r="C496" s="890">
        <v>8</v>
      </c>
      <c r="D496" s="556"/>
      <c r="H496" s="890" t="s">
        <v>6438</v>
      </c>
      <c r="I496" s="890">
        <v>5</v>
      </c>
      <c r="K496" s="890" t="s">
        <v>6238</v>
      </c>
      <c r="L496" s="890">
        <v>3</v>
      </c>
      <c r="P496" s="890" t="s">
        <v>6220</v>
      </c>
      <c r="Q496" s="890">
        <v>1</v>
      </c>
    </row>
    <row r="497" spans="2:17">
      <c r="B497" s="890" t="s">
        <v>6354</v>
      </c>
      <c r="C497" s="890">
        <v>8</v>
      </c>
      <c r="D497" s="556"/>
      <c r="H497" s="890" t="s">
        <v>6439</v>
      </c>
      <c r="I497" s="890">
        <v>1</v>
      </c>
      <c r="K497" s="890" t="s">
        <v>6241</v>
      </c>
      <c r="L497" s="890">
        <v>4</v>
      </c>
      <c r="P497" s="890" t="s">
        <v>6440</v>
      </c>
      <c r="Q497" s="890">
        <v>1</v>
      </c>
    </row>
    <row r="498" spans="2:17">
      <c r="B498" s="890" t="s">
        <v>6441</v>
      </c>
      <c r="C498" s="890">
        <v>10</v>
      </c>
      <c r="D498" s="556"/>
      <c r="H498" s="890" t="s">
        <v>6442</v>
      </c>
      <c r="I498" s="890">
        <v>5</v>
      </c>
      <c r="K498" s="890" t="s">
        <v>6443</v>
      </c>
      <c r="L498" s="890">
        <v>3</v>
      </c>
      <c r="P498" s="890" t="s">
        <v>6223</v>
      </c>
      <c r="Q498" s="890">
        <v>2</v>
      </c>
    </row>
    <row r="499" spans="2:17">
      <c r="B499" s="890" t="s">
        <v>6444</v>
      </c>
      <c r="C499" s="890">
        <v>10</v>
      </c>
      <c r="D499" s="556"/>
      <c r="H499" s="890" t="s">
        <v>6445</v>
      </c>
      <c r="I499" s="890">
        <v>3</v>
      </c>
      <c r="K499" s="890" t="s">
        <v>6245</v>
      </c>
      <c r="L499" s="890">
        <v>4</v>
      </c>
      <c r="P499" s="890" t="s">
        <v>5953</v>
      </c>
      <c r="Q499" s="890">
        <v>4</v>
      </c>
    </row>
    <row r="500" spans="2:17">
      <c r="B500" s="890" t="s">
        <v>6446</v>
      </c>
      <c r="C500" s="890">
        <v>8</v>
      </c>
      <c r="D500" s="556"/>
      <c r="H500" s="890" t="s">
        <v>6447</v>
      </c>
      <c r="I500" s="890">
        <v>1</v>
      </c>
      <c r="K500" s="890" t="s">
        <v>6246</v>
      </c>
      <c r="L500" s="890">
        <v>4</v>
      </c>
      <c r="P500" s="890" t="s">
        <v>5954</v>
      </c>
      <c r="Q500" s="890">
        <v>2</v>
      </c>
    </row>
    <row r="501" spans="2:17">
      <c r="B501" s="890" t="s">
        <v>6448</v>
      </c>
      <c r="C501" s="890">
        <v>10</v>
      </c>
      <c r="D501" s="556"/>
      <c r="H501" s="890" t="s">
        <v>6449</v>
      </c>
      <c r="I501" s="890">
        <v>1</v>
      </c>
      <c r="K501" s="890" t="s">
        <v>6337</v>
      </c>
      <c r="L501" s="890">
        <v>4</v>
      </c>
      <c r="P501" s="890" t="s">
        <v>5956</v>
      </c>
      <c r="Q501" s="890">
        <v>1</v>
      </c>
    </row>
    <row r="502" spans="2:17">
      <c r="B502" s="890" t="s">
        <v>6450</v>
      </c>
      <c r="C502" s="890">
        <v>10</v>
      </c>
      <c r="D502" s="556"/>
      <c r="H502" s="890" t="s">
        <v>6451</v>
      </c>
      <c r="I502" s="890">
        <v>1</v>
      </c>
      <c r="K502" s="890" t="s">
        <v>6340</v>
      </c>
      <c r="L502" s="890">
        <v>3</v>
      </c>
      <c r="P502" s="890" t="s">
        <v>5959</v>
      </c>
      <c r="Q502" s="890">
        <v>4</v>
      </c>
    </row>
    <row r="503" spans="2:17">
      <c r="B503" s="890" t="s">
        <v>6358</v>
      </c>
      <c r="C503" s="890">
        <v>8</v>
      </c>
      <c r="D503" s="556"/>
      <c r="H503" s="890" t="s">
        <v>6452</v>
      </c>
      <c r="I503" s="890">
        <v>3</v>
      </c>
      <c r="K503" s="890" t="s">
        <v>6249</v>
      </c>
      <c r="L503" s="890">
        <v>3</v>
      </c>
      <c r="P503" s="890" t="s">
        <v>5961</v>
      </c>
      <c r="Q503" s="890">
        <v>3</v>
      </c>
    </row>
    <row r="504" spans="2:17">
      <c r="B504" s="890" t="s">
        <v>6453</v>
      </c>
      <c r="C504" s="890">
        <v>8</v>
      </c>
      <c r="D504" s="556"/>
      <c r="H504" s="890" t="s">
        <v>6454</v>
      </c>
      <c r="I504" s="890">
        <v>5</v>
      </c>
      <c r="K504" s="890" t="s">
        <v>6250</v>
      </c>
      <c r="L504" s="890">
        <v>4</v>
      </c>
      <c r="P504" s="890" t="s">
        <v>5964</v>
      </c>
      <c r="Q504" s="890">
        <v>2</v>
      </c>
    </row>
    <row r="505" spans="2:17">
      <c r="B505" s="890" t="s">
        <v>6360</v>
      </c>
      <c r="C505" s="890">
        <v>10</v>
      </c>
      <c r="D505" s="556"/>
      <c r="H505" s="890" t="s">
        <v>6455</v>
      </c>
      <c r="I505" s="890">
        <v>3</v>
      </c>
      <c r="K505" s="890" t="s">
        <v>6252</v>
      </c>
      <c r="L505" s="890">
        <v>1</v>
      </c>
      <c r="P505" s="890" t="s">
        <v>6157</v>
      </c>
      <c r="Q505" s="890">
        <v>1</v>
      </c>
    </row>
    <row r="506" spans="2:17">
      <c r="B506" s="890" t="s">
        <v>6456</v>
      </c>
      <c r="C506" s="890">
        <v>10</v>
      </c>
      <c r="D506" s="556"/>
      <c r="H506" s="890" t="s">
        <v>6457</v>
      </c>
      <c r="I506" s="890">
        <v>3</v>
      </c>
      <c r="K506" s="890" t="s">
        <v>6253</v>
      </c>
      <c r="L506" s="890">
        <v>3</v>
      </c>
      <c r="P506" s="890" t="s">
        <v>5966</v>
      </c>
      <c r="Q506" s="890">
        <v>1</v>
      </c>
    </row>
    <row r="507" spans="2:17">
      <c r="B507" s="890" t="s">
        <v>6458</v>
      </c>
      <c r="C507" s="890">
        <v>10</v>
      </c>
      <c r="D507" s="556"/>
      <c r="H507" s="890" t="s">
        <v>6459</v>
      </c>
      <c r="I507" s="890">
        <v>1</v>
      </c>
      <c r="K507" s="890" t="s">
        <v>6262</v>
      </c>
      <c r="L507" s="890">
        <v>4</v>
      </c>
      <c r="P507" s="890" t="s">
        <v>5968</v>
      </c>
      <c r="Q507" s="890">
        <v>4</v>
      </c>
    </row>
    <row r="508" spans="2:17">
      <c r="B508" s="890" t="s">
        <v>6460</v>
      </c>
      <c r="C508" s="890">
        <v>10</v>
      </c>
      <c r="D508" s="556"/>
      <c r="H508" s="890" t="s">
        <v>6461</v>
      </c>
      <c r="I508" s="890">
        <v>5</v>
      </c>
      <c r="K508" s="890" t="s">
        <v>6267</v>
      </c>
      <c r="L508" s="890">
        <v>4</v>
      </c>
      <c r="P508" s="890" t="s">
        <v>6167</v>
      </c>
      <c r="Q508" s="890">
        <v>4</v>
      </c>
    </row>
    <row r="509" spans="2:17">
      <c r="B509" s="890" t="s">
        <v>6462</v>
      </c>
      <c r="C509" s="890">
        <v>8</v>
      </c>
      <c r="D509" s="556"/>
      <c r="H509" s="890" t="s">
        <v>6463</v>
      </c>
      <c r="I509" s="890">
        <v>3</v>
      </c>
      <c r="K509" s="890" t="s">
        <v>6464</v>
      </c>
      <c r="L509" s="890">
        <v>4</v>
      </c>
      <c r="P509" s="890" t="s">
        <v>5970</v>
      </c>
      <c r="Q509" s="890">
        <v>4</v>
      </c>
    </row>
    <row r="510" spans="2:17">
      <c r="B510" s="890" t="s">
        <v>6374</v>
      </c>
      <c r="C510" s="890">
        <v>8</v>
      </c>
      <c r="D510" s="556"/>
      <c r="H510" s="890" t="s">
        <v>6465</v>
      </c>
      <c r="I510" s="890">
        <v>5</v>
      </c>
      <c r="K510" s="890" t="s">
        <v>6268</v>
      </c>
      <c r="L510" s="890">
        <v>2</v>
      </c>
      <c r="P510" s="890" t="s">
        <v>6466</v>
      </c>
      <c r="Q510" s="890">
        <v>4</v>
      </c>
    </row>
    <row r="511" spans="2:17">
      <c r="B511" s="890" t="s">
        <v>6376</v>
      </c>
      <c r="C511" s="890">
        <v>10</v>
      </c>
      <c r="D511" s="556"/>
      <c r="H511" s="890" t="s">
        <v>6467</v>
      </c>
      <c r="I511" s="890">
        <v>1</v>
      </c>
      <c r="K511" s="890" t="s">
        <v>6272</v>
      </c>
      <c r="L511" s="890">
        <v>3</v>
      </c>
      <c r="P511" s="890" t="s">
        <v>5972</v>
      </c>
      <c r="Q511" s="890">
        <v>1</v>
      </c>
    </row>
    <row r="512" spans="2:17">
      <c r="B512" s="890" t="s">
        <v>6468</v>
      </c>
      <c r="C512" s="890">
        <v>10</v>
      </c>
      <c r="D512" s="556"/>
      <c r="H512" s="890" t="s">
        <v>6469</v>
      </c>
      <c r="I512" s="890">
        <v>1</v>
      </c>
      <c r="K512" s="890" t="s">
        <v>6353</v>
      </c>
      <c r="L512" s="890">
        <v>2</v>
      </c>
      <c r="P512" s="890" t="s">
        <v>5974</v>
      </c>
      <c r="Q512" s="890">
        <v>4</v>
      </c>
    </row>
    <row r="513" spans="2:17">
      <c r="B513" s="890" t="s">
        <v>6379</v>
      </c>
      <c r="C513" s="890">
        <v>10</v>
      </c>
      <c r="D513" s="556"/>
      <c r="H513" s="890" t="s">
        <v>6470</v>
      </c>
      <c r="I513" s="890">
        <v>5</v>
      </c>
      <c r="K513" s="890" t="s">
        <v>6274</v>
      </c>
      <c r="L513" s="890">
        <v>4</v>
      </c>
      <c r="P513" s="890" t="s">
        <v>6175</v>
      </c>
      <c r="Q513" s="890">
        <v>1</v>
      </c>
    </row>
    <row r="514" spans="2:17">
      <c r="B514" s="890" t="s">
        <v>6382</v>
      </c>
      <c r="C514" s="890">
        <v>10</v>
      </c>
      <c r="D514" s="556"/>
      <c r="H514" s="890" t="s">
        <v>6471</v>
      </c>
      <c r="I514" s="890">
        <v>3</v>
      </c>
      <c r="K514" s="890" t="s">
        <v>6281</v>
      </c>
      <c r="L514" s="890">
        <v>2</v>
      </c>
      <c r="P514" s="890" t="s">
        <v>6472</v>
      </c>
      <c r="Q514" s="890">
        <v>1</v>
      </c>
    </row>
    <row r="515" spans="2:17">
      <c r="B515" s="890" t="s">
        <v>6383</v>
      </c>
      <c r="C515" s="890">
        <v>10</v>
      </c>
      <c r="D515" s="556"/>
      <c r="H515" s="890" t="s">
        <v>6473</v>
      </c>
      <c r="I515" s="890">
        <v>5</v>
      </c>
      <c r="K515" s="890" t="s">
        <v>6362</v>
      </c>
      <c r="L515" s="890">
        <v>2</v>
      </c>
      <c r="P515" s="890" t="s">
        <v>5975</v>
      </c>
      <c r="Q515" s="890">
        <v>1</v>
      </c>
    </row>
    <row r="516" spans="2:17">
      <c r="B516" s="890" t="s">
        <v>6385</v>
      </c>
      <c r="C516" s="890">
        <v>10</v>
      </c>
      <c r="D516" s="556"/>
      <c r="H516" s="890" t="s">
        <v>6474</v>
      </c>
      <c r="I516" s="890">
        <v>1</v>
      </c>
      <c r="K516" s="890" t="s">
        <v>6364</v>
      </c>
      <c r="L516" s="890">
        <v>2</v>
      </c>
      <c r="P516" s="890" t="s">
        <v>5981</v>
      </c>
      <c r="Q516" s="890">
        <v>2</v>
      </c>
    </row>
    <row r="517" spans="2:17">
      <c r="B517" s="890" t="s">
        <v>6475</v>
      </c>
      <c r="C517" s="890">
        <v>8</v>
      </c>
      <c r="D517" s="556"/>
      <c r="H517" s="890" t="s">
        <v>6476</v>
      </c>
      <c r="I517" s="890">
        <v>3</v>
      </c>
      <c r="K517" s="890" t="s">
        <v>6366</v>
      </c>
      <c r="L517" s="890">
        <v>4</v>
      </c>
      <c r="P517" s="890" t="s">
        <v>6477</v>
      </c>
      <c r="Q517" s="890">
        <v>1</v>
      </c>
    </row>
    <row r="518" spans="2:17">
      <c r="B518" s="890" t="s">
        <v>6386</v>
      </c>
      <c r="C518" s="890">
        <v>8</v>
      </c>
      <c r="D518" s="556"/>
      <c r="H518" s="890" t="s">
        <v>6478</v>
      </c>
      <c r="I518" s="890">
        <v>3</v>
      </c>
      <c r="K518" s="890" t="s">
        <v>6287</v>
      </c>
      <c r="L518" s="890">
        <v>4</v>
      </c>
      <c r="P518" s="890" t="s">
        <v>6239</v>
      </c>
      <c r="Q518" s="890">
        <v>1</v>
      </c>
    </row>
    <row r="519" spans="2:17">
      <c r="B519" s="890" t="s">
        <v>6390</v>
      </c>
      <c r="C519" s="890">
        <v>8</v>
      </c>
      <c r="D519" s="556"/>
      <c r="H519" s="890" t="s">
        <v>6479</v>
      </c>
      <c r="I519" s="890">
        <v>5</v>
      </c>
      <c r="K519" s="890" t="s">
        <v>6292</v>
      </c>
      <c r="L519" s="890">
        <v>4</v>
      </c>
      <c r="P519" s="890" t="s">
        <v>6242</v>
      </c>
      <c r="Q519" s="890">
        <v>4</v>
      </c>
    </row>
    <row r="520" spans="2:17">
      <c r="B520" s="890" t="s">
        <v>6480</v>
      </c>
      <c r="C520" s="890">
        <v>10</v>
      </c>
      <c r="D520" s="556"/>
      <c r="H520" s="890" t="s">
        <v>6481</v>
      </c>
      <c r="I520" s="890">
        <v>1</v>
      </c>
      <c r="K520" s="890" t="s">
        <v>6295</v>
      </c>
      <c r="L520" s="890">
        <v>4</v>
      </c>
      <c r="P520" s="890" t="s">
        <v>6185</v>
      </c>
      <c r="Q520" s="890">
        <v>3</v>
      </c>
    </row>
    <row r="521" spans="2:17">
      <c r="B521" s="890" t="s">
        <v>6482</v>
      </c>
      <c r="C521" s="890">
        <v>8</v>
      </c>
      <c r="D521" s="556"/>
      <c r="H521" s="890" t="s">
        <v>6483</v>
      </c>
      <c r="I521" s="890">
        <v>5</v>
      </c>
      <c r="K521" s="890" t="s">
        <v>6484</v>
      </c>
      <c r="L521" s="890">
        <v>4</v>
      </c>
      <c r="P521" s="890" t="s">
        <v>5986</v>
      </c>
      <c r="Q521" s="890">
        <v>4</v>
      </c>
    </row>
    <row r="522" spans="2:17">
      <c r="B522" s="890" t="s">
        <v>6485</v>
      </c>
      <c r="C522" s="890">
        <v>8</v>
      </c>
      <c r="D522" s="556"/>
      <c r="H522" s="890" t="s">
        <v>6486</v>
      </c>
      <c r="I522" s="890">
        <v>1</v>
      </c>
      <c r="K522" s="890" t="s">
        <v>6297</v>
      </c>
      <c r="L522" s="890">
        <v>2</v>
      </c>
      <c r="P522" s="890" t="s">
        <v>5988</v>
      </c>
      <c r="Q522" s="890">
        <v>2</v>
      </c>
    </row>
    <row r="523" spans="2:17">
      <c r="B523" s="890" t="s">
        <v>6393</v>
      </c>
      <c r="C523" s="890">
        <v>8</v>
      </c>
      <c r="D523" s="556"/>
      <c r="H523" s="890" t="s">
        <v>6487</v>
      </c>
      <c r="I523" s="890">
        <v>5</v>
      </c>
      <c r="K523" s="890" t="s">
        <v>6299</v>
      </c>
      <c r="L523" s="890">
        <v>4</v>
      </c>
      <c r="P523" s="890" t="s">
        <v>5990</v>
      </c>
      <c r="Q523" s="890">
        <v>2</v>
      </c>
    </row>
    <row r="524" spans="2:17">
      <c r="B524" s="890" t="s">
        <v>6395</v>
      </c>
      <c r="C524" s="890">
        <v>10</v>
      </c>
      <c r="D524" s="556"/>
      <c r="H524" s="890" t="s">
        <v>6488</v>
      </c>
      <c r="I524" s="890">
        <v>5</v>
      </c>
      <c r="K524" s="890" t="s">
        <v>6489</v>
      </c>
      <c r="L524" s="890">
        <v>1</v>
      </c>
      <c r="P524" s="890" t="s">
        <v>5992</v>
      </c>
      <c r="Q524" s="890">
        <v>3</v>
      </c>
    </row>
    <row r="525" spans="2:17">
      <c r="B525" s="890" t="s">
        <v>6490</v>
      </c>
      <c r="C525" s="890">
        <v>10</v>
      </c>
      <c r="D525" s="556"/>
      <c r="H525" s="890" t="s">
        <v>6491</v>
      </c>
      <c r="I525" s="890">
        <v>1</v>
      </c>
      <c r="K525" s="890" t="s">
        <v>6300</v>
      </c>
      <c r="L525" s="890">
        <v>3</v>
      </c>
      <c r="P525" s="890" t="s">
        <v>5994</v>
      </c>
      <c r="Q525" s="890">
        <v>1</v>
      </c>
    </row>
    <row r="526" spans="2:17">
      <c r="B526" s="890" t="s">
        <v>6396</v>
      </c>
      <c r="C526" s="890">
        <v>8</v>
      </c>
      <c r="D526" s="556"/>
      <c r="H526" s="890" t="s">
        <v>6492</v>
      </c>
      <c r="I526" s="890">
        <v>3</v>
      </c>
      <c r="K526" s="890" t="s">
        <v>6301</v>
      </c>
      <c r="L526" s="890">
        <v>2</v>
      </c>
      <c r="P526" s="890" t="s">
        <v>6192</v>
      </c>
      <c r="Q526" s="890">
        <v>2</v>
      </c>
    </row>
    <row r="527" spans="2:17">
      <c r="B527" s="890" t="s">
        <v>6493</v>
      </c>
      <c r="C527" s="890">
        <v>8</v>
      </c>
      <c r="D527" s="556"/>
      <c r="H527" s="890" t="s">
        <v>6494</v>
      </c>
      <c r="I527" s="890">
        <v>5</v>
      </c>
      <c r="K527" s="890" t="s">
        <v>6303</v>
      </c>
      <c r="L527" s="890">
        <v>4</v>
      </c>
      <c r="P527" s="890" t="s">
        <v>6194</v>
      </c>
      <c r="Q527" s="890">
        <v>4</v>
      </c>
    </row>
    <row r="528" spans="2:17">
      <c r="B528" s="890" t="s">
        <v>6495</v>
      </c>
      <c r="C528" s="890">
        <v>8</v>
      </c>
      <c r="D528" s="556"/>
      <c r="H528" s="890" t="s">
        <v>6496</v>
      </c>
      <c r="I528" s="890">
        <v>1</v>
      </c>
      <c r="K528" s="890" t="s">
        <v>6305</v>
      </c>
      <c r="L528" s="890">
        <v>1</v>
      </c>
      <c r="P528" s="890" t="s">
        <v>5997</v>
      </c>
      <c r="Q528" s="890">
        <v>2</v>
      </c>
    </row>
    <row r="529" spans="2:17">
      <c r="B529" s="890" t="s">
        <v>6497</v>
      </c>
      <c r="C529" s="890">
        <v>8</v>
      </c>
      <c r="D529" s="556"/>
      <c r="H529" s="890" t="s">
        <v>6498</v>
      </c>
      <c r="I529" s="890">
        <v>3</v>
      </c>
      <c r="K529" s="890" t="s">
        <v>6307</v>
      </c>
      <c r="L529" s="890">
        <v>2</v>
      </c>
      <c r="P529" s="890" t="s">
        <v>6198</v>
      </c>
      <c r="Q529" s="890">
        <v>1</v>
      </c>
    </row>
    <row r="530" spans="2:17">
      <c r="B530" s="890" t="s">
        <v>6397</v>
      </c>
      <c r="C530" s="890">
        <v>10</v>
      </c>
      <c r="D530" s="556"/>
      <c r="H530" s="890" t="s">
        <v>6499</v>
      </c>
      <c r="I530" s="890">
        <v>3</v>
      </c>
      <c r="K530" s="890" t="s">
        <v>6310</v>
      </c>
      <c r="L530" s="890">
        <v>2</v>
      </c>
      <c r="P530" s="890" t="s">
        <v>6200</v>
      </c>
      <c r="Q530" s="890">
        <v>2</v>
      </c>
    </row>
    <row r="531" spans="2:17">
      <c r="B531" s="890" t="s">
        <v>6500</v>
      </c>
      <c r="C531" s="890">
        <v>8</v>
      </c>
      <c r="D531" s="556"/>
      <c r="H531" s="890" t="s">
        <v>6501</v>
      </c>
      <c r="I531" s="890">
        <v>1</v>
      </c>
      <c r="K531" s="890" t="s">
        <v>6381</v>
      </c>
      <c r="L531" s="890">
        <v>2</v>
      </c>
      <c r="P531" s="890" t="s">
        <v>6502</v>
      </c>
      <c r="Q531" s="890">
        <v>4</v>
      </c>
    </row>
    <row r="532" spans="2:17">
      <c r="B532" s="890" t="s">
        <v>6503</v>
      </c>
      <c r="C532" s="890">
        <v>8</v>
      </c>
      <c r="D532" s="556"/>
      <c r="H532" s="890" t="s">
        <v>6504</v>
      </c>
      <c r="I532" s="890">
        <v>1</v>
      </c>
      <c r="K532" s="890" t="s">
        <v>6314</v>
      </c>
      <c r="L532" s="890">
        <v>2</v>
      </c>
      <c r="P532" s="890" t="s">
        <v>5999</v>
      </c>
      <c r="Q532" s="890">
        <v>4</v>
      </c>
    </row>
    <row r="533" spans="2:17">
      <c r="B533" s="890" t="s">
        <v>6399</v>
      </c>
      <c r="C533" s="890">
        <v>8</v>
      </c>
      <c r="D533" s="556"/>
      <c r="H533" s="890" t="s">
        <v>6505</v>
      </c>
      <c r="I533" s="890">
        <v>1</v>
      </c>
      <c r="K533" s="890" t="s">
        <v>6317</v>
      </c>
      <c r="L533" s="890">
        <v>4</v>
      </c>
      <c r="P533" s="890" t="s">
        <v>6001</v>
      </c>
      <c r="Q533" s="890">
        <v>1</v>
      </c>
    </row>
    <row r="534" spans="2:17">
      <c r="B534" s="890" t="s">
        <v>6506</v>
      </c>
      <c r="C534" s="890">
        <v>8</v>
      </c>
      <c r="D534" s="556"/>
      <c r="H534" s="890" t="s">
        <v>6507</v>
      </c>
      <c r="I534" s="890">
        <v>1</v>
      </c>
      <c r="K534" s="890" t="s">
        <v>6389</v>
      </c>
      <c r="L534" s="890">
        <v>2</v>
      </c>
      <c r="P534" s="890" t="s">
        <v>6003</v>
      </c>
      <c r="Q534" s="890">
        <v>1</v>
      </c>
    </row>
    <row r="535" spans="2:17">
      <c r="B535" s="890" t="s">
        <v>6401</v>
      </c>
      <c r="C535" s="890">
        <v>8</v>
      </c>
      <c r="D535" s="556"/>
      <c r="H535" s="890" t="s">
        <v>6508</v>
      </c>
      <c r="I535" s="890">
        <v>1</v>
      </c>
      <c r="K535" s="890" t="s">
        <v>6323</v>
      </c>
      <c r="L535" s="890">
        <v>2</v>
      </c>
      <c r="P535" s="890" t="s">
        <v>6256</v>
      </c>
      <c r="Q535" s="890">
        <v>1</v>
      </c>
    </row>
    <row r="536" spans="2:17">
      <c r="B536" s="890" t="s">
        <v>6509</v>
      </c>
      <c r="C536" s="890">
        <v>8</v>
      </c>
      <c r="D536" s="556"/>
      <c r="H536" s="890" t="s">
        <v>6510</v>
      </c>
      <c r="I536" s="890">
        <v>1</v>
      </c>
      <c r="K536" s="890" t="s">
        <v>6325</v>
      </c>
      <c r="L536" s="890">
        <v>4</v>
      </c>
      <c r="P536" s="890" t="s">
        <v>6005</v>
      </c>
      <c r="Q536" s="890">
        <v>4</v>
      </c>
    </row>
    <row r="537" spans="2:17">
      <c r="B537" s="890" t="s">
        <v>6511</v>
      </c>
      <c r="C537" s="890">
        <v>8</v>
      </c>
      <c r="D537" s="556"/>
      <c r="H537" s="890" t="s">
        <v>6512</v>
      </c>
      <c r="I537" s="890">
        <v>1</v>
      </c>
      <c r="K537" s="890" t="s">
        <v>6513</v>
      </c>
      <c r="L537" s="890">
        <v>4</v>
      </c>
      <c r="P537" s="890" t="s">
        <v>6006</v>
      </c>
      <c r="Q537" s="890">
        <v>2</v>
      </c>
    </row>
    <row r="538" spans="2:17">
      <c r="B538" s="890" t="s">
        <v>6514</v>
      </c>
      <c r="C538" s="890">
        <v>8</v>
      </c>
      <c r="D538" s="556"/>
      <c r="H538" s="890" t="s">
        <v>6515</v>
      </c>
      <c r="I538" s="890">
        <v>5</v>
      </c>
      <c r="K538" s="890" t="s">
        <v>6516</v>
      </c>
      <c r="L538" s="890">
        <v>2</v>
      </c>
      <c r="P538" s="890" t="s">
        <v>6007</v>
      </c>
      <c r="Q538" s="890">
        <v>1</v>
      </c>
    </row>
    <row r="539" spans="2:17">
      <c r="B539" s="890" t="s">
        <v>6517</v>
      </c>
      <c r="C539" s="890">
        <v>8</v>
      </c>
      <c r="D539" s="556"/>
      <c r="H539" s="890" t="s">
        <v>6518</v>
      </c>
      <c r="I539" s="890">
        <v>3</v>
      </c>
      <c r="K539" s="890" t="s">
        <v>6331</v>
      </c>
      <c r="L539" s="890">
        <v>4</v>
      </c>
      <c r="P539" s="890" t="s">
        <v>6008</v>
      </c>
      <c r="Q539" s="890">
        <v>4</v>
      </c>
    </row>
    <row r="540" spans="2:17">
      <c r="B540" s="890" t="s">
        <v>6519</v>
      </c>
      <c r="C540" s="890">
        <v>8</v>
      </c>
      <c r="D540" s="556"/>
      <c r="H540" s="890" t="s">
        <v>6520</v>
      </c>
      <c r="I540" s="890">
        <v>5</v>
      </c>
      <c r="K540" s="890" t="s">
        <v>6402</v>
      </c>
      <c r="L540" s="890">
        <v>3</v>
      </c>
      <c r="P540" s="890" t="s">
        <v>6010</v>
      </c>
      <c r="Q540" s="890">
        <v>2</v>
      </c>
    </row>
    <row r="541" spans="2:17">
      <c r="B541" s="890" t="s">
        <v>6521</v>
      </c>
      <c r="C541" s="890">
        <v>8</v>
      </c>
      <c r="D541" s="556"/>
      <c r="H541" s="890" t="s">
        <v>6522</v>
      </c>
      <c r="I541" s="890">
        <v>3</v>
      </c>
      <c r="K541" s="890" t="s">
        <v>6523</v>
      </c>
      <c r="L541" s="890">
        <v>2</v>
      </c>
      <c r="P541" s="890" t="s">
        <v>6012</v>
      </c>
      <c r="Q541" s="890">
        <v>1</v>
      </c>
    </row>
    <row r="542" spans="2:17">
      <c r="B542" s="890" t="s">
        <v>6416</v>
      </c>
      <c r="C542" s="890">
        <v>10</v>
      </c>
      <c r="D542" s="556"/>
      <c r="H542" s="890" t="s">
        <v>6524</v>
      </c>
      <c r="I542" s="890">
        <v>3</v>
      </c>
      <c r="K542" s="890" t="s">
        <v>6525</v>
      </c>
      <c r="L542" s="890">
        <v>4</v>
      </c>
      <c r="P542" s="890" t="s">
        <v>6015</v>
      </c>
      <c r="Q542" s="890">
        <v>2</v>
      </c>
    </row>
    <row r="543" spans="2:17">
      <c r="B543" s="890" t="s">
        <v>6418</v>
      </c>
      <c r="C543" s="890">
        <v>8</v>
      </c>
      <c r="D543" s="556"/>
      <c r="H543" s="890" t="s">
        <v>6526</v>
      </c>
      <c r="I543" s="890">
        <v>1</v>
      </c>
      <c r="K543" s="890" t="s">
        <v>6527</v>
      </c>
      <c r="L543" s="890">
        <v>4</v>
      </c>
      <c r="P543" s="890" t="s">
        <v>6528</v>
      </c>
      <c r="Q543" s="890">
        <v>1</v>
      </c>
    </row>
    <row r="544" spans="2:17">
      <c r="B544" s="890" t="s">
        <v>6529</v>
      </c>
      <c r="C544" s="890">
        <v>10</v>
      </c>
      <c r="D544" s="556"/>
      <c r="H544" s="890" t="s">
        <v>6530</v>
      </c>
      <c r="I544" s="890">
        <v>1</v>
      </c>
      <c r="K544" s="890" t="s">
        <v>6531</v>
      </c>
      <c r="L544" s="890">
        <v>2</v>
      </c>
      <c r="P544" s="890" t="s">
        <v>6020</v>
      </c>
      <c r="Q544" s="890">
        <v>4</v>
      </c>
    </row>
    <row r="545" spans="2:17">
      <c r="B545" s="890" t="s">
        <v>6532</v>
      </c>
      <c r="C545" s="890">
        <v>10</v>
      </c>
      <c r="D545" s="556"/>
      <c r="H545" s="890" t="s">
        <v>6533</v>
      </c>
      <c r="I545" s="890">
        <v>5</v>
      </c>
      <c r="K545" s="890" t="s">
        <v>6405</v>
      </c>
      <c r="L545" s="890">
        <v>2</v>
      </c>
      <c r="P545" s="890" t="s">
        <v>6022</v>
      </c>
      <c r="Q545" s="890">
        <v>1</v>
      </c>
    </row>
    <row r="546" spans="2:17">
      <c r="B546" s="890" t="s">
        <v>6422</v>
      </c>
      <c r="C546" s="890">
        <v>10</v>
      </c>
      <c r="D546" s="556"/>
      <c r="H546" s="890" t="s">
        <v>6534</v>
      </c>
      <c r="I546" s="890">
        <v>1</v>
      </c>
      <c r="K546" s="890" t="s">
        <v>6535</v>
      </c>
      <c r="L546" s="890">
        <v>2</v>
      </c>
      <c r="P546" s="890" t="s">
        <v>6024</v>
      </c>
      <c r="Q546" s="890">
        <v>2</v>
      </c>
    </row>
    <row r="547" spans="2:17">
      <c r="B547" s="890" t="s">
        <v>6425</v>
      </c>
      <c r="C547" s="890">
        <v>8</v>
      </c>
      <c r="D547" s="556"/>
      <c r="H547" s="890" t="s">
        <v>6536</v>
      </c>
      <c r="I547" s="890">
        <v>1</v>
      </c>
      <c r="K547" s="890" t="s">
        <v>6333</v>
      </c>
      <c r="L547" s="890">
        <v>4</v>
      </c>
      <c r="P547" s="890" t="s">
        <v>6025</v>
      </c>
      <c r="Q547" s="890">
        <v>4</v>
      </c>
    </row>
    <row r="548" spans="2:17">
      <c r="B548" s="890" t="s">
        <v>6427</v>
      </c>
      <c r="C548" s="890">
        <v>10</v>
      </c>
      <c r="D548" s="556"/>
      <c r="H548" s="890" t="s">
        <v>6537</v>
      </c>
      <c r="I548" s="890">
        <v>1</v>
      </c>
      <c r="K548" s="890" t="s">
        <v>6413</v>
      </c>
      <c r="L548" s="890">
        <v>2</v>
      </c>
      <c r="P548" s="890" t="s">
        <v>6027</v>
      </c>
      <c r="Q548" s="890">
        <v>4</v>
      </c>
    </row>
    <row r="549" spans="2:17">
      <c r="B549" s="890" t="s">
        <v>6538</v>
      </c>
      <c r="C549" s="890">
        <v>10</v>
      </c>
      <c r="D549" s="556"/>
      <c r="H549" s="890" t="s">
        <v>6539</v>
      </c>
      <c r="I549" s="890">
        <v>1</v>
      </c>
      <c r="K549" s="890" t="s">
        <v>6415</v>
      </c>
      <c r="L549" s="890">
        <v>2</v>
      </c>
      <c r="P549" s="890" t="s">
        <v>6271</v>
      </c>
      <c r="Q549" s="890">
        <v>1</v>
      </c>
    </row>
    <row r="550" spans="2:17">
      <c r="B550" s="890" t="s">
        <v>6429</v>
      </c>
      <c r="C550" s="890">
        <v>8</v>
      </c>
      <c r="D550" s="556"/>
      <c r="H550" s="890" t="s">
        <v>6540</v>
      </c>
      <c r="I550" s="890">
        <v>3</v>
      </c>
      <c r="K550" s="890" t="s">
        <v>6417</v>
      </c>
      <c r="L550" s="890">
        <v>2</v>
      </c>
      <c r="P550" s="890" t="s">
        <v>6541</v>
      </c>
      <c r="Q550" s="890">
        <v>4</v>
      </c>
    </row>
    <row r="551" spans="2:17">
      <c r="B551" s="890" t="s">
        <v>6542</v>
      </c>
      <c r="C551" s="890">
        <v>10</v>
      </c>
      <c r="D551" s="556"/>
      <c r="H551" s="890" t="s">
        <v>6543</v>
      </c>
      <c r="I551" s="890">
        <v>1</v>
      </c>
      <c r="K551" s="890" t="s">
        <v>6421</v>
      </c>
      <c r="L551" s="890">
        <v>2</v>
      </c>
      <c r="P551" s="890" t="s">
        <v>6544</v>
      </c>
      <c r="Q551" s="890">
        <v>1</v>
      </c>
    </row>
    <row r="552" spans="2:17">
      <c r="B552" s="890" t="s">
        <v>6545</v>
      </c>
      <c r="C552" s="890">
        <v>10</v>
      </c>
      <c r="D552" s="556"/>
      <c r="H552" s="890" t="s">
        <v>6546</v>
      </c>
      <c r="I552" s="890">
        <v>1</v>
      </c>
      <c r="K552" s="890" t="s">
        <v>6426</v>
      </c>
      <c r="L552" s="890">
        <v>2</v>
      </c>
      <c r="P552" s="890" t="s">
        <v>6028</v>
      </c>
      <c r="Q552" s="890">
        <v>1</v>
      </c>
    </row>
    <row r="553" spans="2:17">
      <c r="B553" s="890" t="s">
        <v>6547</v>
      </c>
      <c r="C553" s="890">
        <v>10</v>
      </c>
      <c r="D553" s="556"/>
      <c r="H553" s="890" t="s">
        <v>6548</v>
      </c>
      <c r="I553" s="890">
        <v>1</v>
      </c>
      <c r="K553" s="890" t="s">
        <v>6549</v>
      </c>
      <c r="L553" s="890">
        <v>2</v>
      </c>
      <c r="P553" s="890" t="s">
        <v>6030</v>
      </c>
      <c r="Q553" s="890">
        <v>4</v>
      </c>
    </row>
    <row r="554" spans="2:17">
      <c r="B554" s="890" t="s">
        <v>6550</v>
      </c>
      <c r="C554" s="890">
        <v>10</v>
      </c>
      <c r="D554" s="556"/>
      <c r="H554" s="890" t="s">
        <v>6551</v>
      </c>
      <c r="I554" s="890">
        <v>5</v>
      </c>
      <c r="K554" s="890" t="s">
        <v>6428</v>
      </c>
      <c r="L554" s="890">
        <v>2</v>
      </c>
      <c r="P554" s="890" t="s">
        <v>6032</v>
      </c>
      <c r="Q554" s="890">
        <v>2</v>
      </c>
    </row>
    <row r="555" spans="2:17">
      <c r="B555" s="890" t="s">
        <v>6432</v>
      </c>
      <c r="C555" s="890">
        <v>10</v>
      </c>
      <c r="D555" s="556"/>
      <c r="H555" s="890" t="s">
        <v>6552</v>
      </c>
      <c r="I555" s="890">
        <v>5</v>
      </c>
      <c r="K555" s="890" t="s">
        <v>6553</v>
      </c>
      <c r="L555" s="890">
        <v>3</v>
      </c>
      <c r="P555" s="890" t="s">
        <v>6034</v>
      </c>
      <c r="Q555" s="890">
        <v>2</v>
      </c>
    </row>
    <row r="556" spans="2:17">
      <c r="B556" s="890" t="s">
        <v>6433</v>
      </c>
      <c r="C556" s="890">
        <v>10</v>
      </c>
      <c r="D556" s="556"/>
      <c r="H556" s="890" t="s">
        <v>6554</v>
      </c>
      <c r="I556" s="890">
        <v>3</v>
      </c>
      <c r="K556" s="890" t="s">
        <v>6555</v>
      </c>
      <c r="L556" s="890">
        <v>3</v>
      </c>
      <c r="P556" s="890" t="s">
        <v>6037</v>
      </c>
      <c r="Q556" s="890">
        <v>2</v>
      </c>
    </row>
    <row r="557" spans="2:17">
      <c r="B557" s="890" t="s">
        <v>6556</v>
      </c>
      <c r="C557" s="890">
        <v>10</v>
      </c>
      <c r="D557" s="556"/>
      <c r="H557" s="890" t="s">
        <v>6557</v>
      </c>
      <c r="I557" s="890">
        <v>3</v>
      </c>
      <c r="K557" s="890" t="s">
        <v>6558</v>
      </c>
      <c r="L557" s="890">
        <v>2</v>
      </c>
      <c r="P557" s="890" t="s">
        <v>6277</v>
      </c>
      <c r="Q557" s="890">
        <v>3</v>
      </c>
    </row>
    <row r="558" spans="2:17">
      <c r="B558" s="890" t="s">
        <v>6559</v>
      </c>
      <c r="C558" s="890">
        <v>8</v>
      </c>
      <c r="D558" s="556"/>
      <c r="H558" s="890" t="s">
        <v>6560</v>
      </c>
      <c r="I558" s="890">
        <v>1</v>
      </c>
      <c r="K558" s="890" t="s">
        <v>6561</v>
      </c>
      <c r="L558" s="890">
        <v>3</v>
      </c>
      <c r="P558" s="890" t="s">
        <v>6039</v>
      </c>
      <c r="Q558" s="890">
        <v>1</v>
      </c>
    </row>
    <row r="559" spans="2:17">
      <c r="B559" s="890" t="s">
        <v>6562</v>
      </c>
      <c r="C559" s="890">
        <v>10</v>
      </c>
      <c r="D559" s="556"/>
      <c r="H559" s="890" t="s">
        <v>6563</v>
      </c>
      <c r="I559" s="890">
        <v>1</v>
      </c>
      <c r="K559" s="890" t="s">
        <v>6564</v>
      </c>
      <c r="L559" s="890">
        <v>1</v>
      </c>
      <c r="P559" s="890" t="s">
        <v>6227</v>
      </c>
      <c r="Q559" s="890">
        <v>1</v>
      </c>
    </row>
    <row r="560" spans="2:17">
      <c r="B560" s="890" t="s">
        <v>6434</v>
      </c>
      <c r="C560" s="890">
        <v>8</v>
      </c>
      <c r="D560" s="556"/>
      <c r="H560" s="890" t="s">
        <v>6565</v>
      </c>
      <c r="I560" s="890">
        <v>5</v>
      </c>
      <c r="K560" s="890" t="s">
        <v>6566</v>
      </c>
      <c r="L560" s="890">
        <v>2</v>
      </c>
      <c r="P560" s="890" t="s">
        <v>6229</v>
      </c>
      <c r="Q560" s="890">
        <v>4</v>
      </c>
    </row>
    <row r="561" spans="2:17">
      <c r="B561" s="890" t="s">
        <v>6436</v>
      </c>
      <c r="C561" s="890">
        <v>8</v>
      </c>
      <c r="D561" s="556"/>
      <c r="H561" s="890" t="s">
        <v>6567</v>
      </c>
      <c r="I561" s="890">
        <v>3</v>
      </c>
      <c r="K561" s="890" t="s">
        <v>6335</v>
      </c>
      <c r="L561" s="890">
        <v>4</v>
      </c>
      <c r="P561" s="890" t="s">
        <v>6041</v>
      </c>
      <c r="Q561" s="890">
        <v>2</v>
      </c>
    </row>
    <row r="562" spans="2:17">
      <c r="B562" s="890" t="s">
        <v>6568</v>
      </c>
      <c r="C562" s="890">
        <v>10</v>
      </c>
      <c r="D562" s="556"/>
      <c r="H562" s="890" t="s">
        <v>6569</v>
      </c>
      <c r="I562" s="890">
        <v>1</v>
      </c>
      <c r="K562" s="890" t="s">
        <v>6338</v>
      </c>
      <c r="L562" s="890">
        <v>4</v>
      </c>
      <c r="P562" s="890" t="s">
        <v>6043</v>
      </c>
      <c r="Q562" s="890">
        <v>4</v>
      </c>
    </row>
    <row r="563" spans="2:17">
      <c r="B563" s="890" t="s">
        <v>6570</v>
      </c>
      <c r="C563" s="890">
        <v>8</v>
      </c>
      <c r="D563" s="556"/>
      <c r="H563" s="890" t="s">
        <v>6571</v>
      </c>
      <c r="I563" s="890">
        <v>1</v>
      </c>
      <c r="K563" s="890" t="s">
        <v>6341</v>
      </c>
      <c r="L563" s="890">
        <v>4</v>
      </c>
      <c r="P563" s="890" t="s">
        <v>6233</v>
      </c>
      <c r="Q563" s="890">
        <v>2</v>
      </c>
    </row>
    <row r="564" spans="2:17">
      <c r="B564" s="890" t="s">
        <v>6572</v>
      </c>
      <c r="C564" s="890">
        <v>10</v>
      </c>
      <c r="D564" s="556"/>
      <c r="H564" s="890" t="s">
        <v>6573</v>
      </c>
      <c r="I564" s="890">
        <v>1</v>
      </c>
      <c r="K564" s="890" t="s">
        <v>6343</v>
      </c>
      <c r="L564" s="890">
        <v>3</v>
      </c>
      <c r="P564" s="890" t="s">
        <v>6235</v>
      </c>
      <c r="Q564" s="890">
        <v>1</v>
      </c>
    </row>
    <row r="565" spans="2:17">
      <c r="B565" s="890" t="s">
        <v>6574</v>
      </c>
      <c r="C565" s="890">
        <v>8</v>
      </c>
      <c r="D565" s="556"/>
      <c r="H565" s="890" t="s">
        <v>6575</v>
      </c>
      <c r="I565" s="890">
        <v>1</v>
      </c>
      <c r="K565" s="890" t="s">
        <v>6576</v>
      </c>
      <c r="L565" s="890">
        <v>4</v>
      </c>
      <c r="P565" s="890" t="s">
        <v>6237</v>
      </c>
      <c r="Q565" s="890">
        <v>1</v>
      </c>
    </row>
    <row r="566" spans="2:17">
      <c r="B566" s="890" t="s">
        <v>6577</v>
      </c>
      <c r="C566" s="890">
        <v>8</v>
      </c>
      <c r="D566" s="556"/>
      <c r="H566" s="890" t="s">
        <v>6578</v>
      </c>
      <c r="I566" s="890">
        <v>1</v>
      </c>
      <c r="K566" s="890" t="s">
        <v>6579</v>
      </c>
      <c r="L566" s="890">
        <v>2</v>
      </c>
      <c r="P566" s="890" t="s">
        <v>6240</v>
      </c>
      <c r="Q566" s="890">
        <v>4</v>
      </c>
    </row>
    <row r="567" spans="2:17">
      <c r="B567" s="890" t="s">
        <v>6580</v>
      </c>
      <c r="C567" s="890">
        <v>8</v>
      </c>
      <c r="D567" s="556"/>
      <c r="H567" s="890" t="s">
        <v>6581</v>
      </c>
      <c r="I567" s="890">
        <v>5</v>
      </c>
      <c r="K567" s="890" t="s">
        <v>6348</v>
      </c>
      <c r="L567" s="890">
        <v>2</v>
      </c>
      <c r="P567" s="890" t="s">
        <v>6290</v>
      </c>
      <c r="Q567" s="890">
        <v>1</v>
      </c>
    </row>
    <row r="568" spans="2:17">
      <c r="B568" s="890" t="s">
        <v>6582</v>
      </c>
      <c r="C568" s="890">
        <v>8</v>
      </c>
      <c r="D568" s="556"/>
      <c r="H568" s="890" t="s">
        <v>6583</v>
      </c>
      <c r="I568" s="890">
        <v>3</v>
      </c>
      <c r="K568" s="890" t="s">
        <v>6584</v>
      </c>
      <c r="L568" s="890">
        <v>1</v>
      </c>
      <c r="P568" s="890" t="s">
        <v>6045</v>
      </c>
      <c r="Q568" s="890">
        <v>1</v>
      </c>
    </row>
    <row r="569" spans="2:17">
      <c r="B569" s="890" t="s">
        <v>6585</v>
      </c>
      <c r="C569" s="890">
        <v>10</v>
      </c>
      <c r="D569" s="556"/>
      <c r="H569" s="890" t="s">
        <v>6586</v>
      </c>
      <c r="I569" s="890">
        <v>3</v>
      </c>
      <c r="K569" s="890" t="s">
        <v>6587</v>
      </c>
      <c r="L569" s="890">
        <v>2</v>
      </c>
      <c r="P569" s="890" t="s">
        <v>6588</v>
      </c>
      <c r="Q569" s="890">
        <v>4</v>
      </c>
    </row>
    <row r="570" spans="2:17">
      <c r="B570" s="890" t="s">
        <v>6589</v>
      </c>
      <c r="C570" s="890">
        <v>8</v>
      </c>
      <c r="D570" s="556"/>
      <c r="H570" s="890" t="s">
        <v>6590</v>
      </c>
      <c r="I570" s="890">
        <v>3</v>
      </c>
      <c r="K570" s="890" t="s">
        <v>6591</v>
      </c>
      <c r="L570" s="890">
        <v>2</v>
      </c>
      <c r="P570" s="890" t="s">
        <v>6050</v>
      </c>
      <c r="Q570" s="890">
        <v>1</v>
      </c>
    </row>
    <row r="571" spans="2:17">
      <c r="B571" s="890" t="s">
        <v>6451</v>
      </c>
      <c r="C571" s="890">
        <v>8</v>
      </c>
      <c r="D571" s="556"/>
      <c r="H571" s="890" t="s">
        <v>6592</v>
      </c>
      <c r="I571" s="890">
        <v>3</v>
      </c>
      <c r="K571" s="890" t="s">
        <v>6350</v>
      </c>
      <c r="L571" s="890">
        <v>1</v>
      </c>
      <c r="P571" s="890" t="s">
        <v>6298</v>
      </c>
      <c r="Q571" s="890">
        <v>4</v>
      </c>
    </row>
    <row r="572" spans="2:17">
      <c r="B572" s="890" t="s">
        <v>6593</v>
      </c>
      <c r="C572" s="890">
        <v>10</v>
      </c>
      <c r="D572" s="556"/>
      <c r="H572" s="890" t="s">
        <v>6594</v>
      </c>
      <c r="I572" s="890">
        <v>1</v>
      </c>
      <c r="K572" s="890" t="s">
        <v>6595</v>
      </c>
      <c r="L572" s="890">
        <v>2</v>
      </c>
      <c r="P572" s="890" t="s">
        <v>6596</v>
      </c>
      <c r="Q572" s="890">
        <v>1</v>
      </c>
    </row>
    <row r="573" spans="2:17">
      <c r="B573" s="890" t="s">
        <v>6452</v>
      </c>
      <c r="C573" s="890">
        <v>10</v>
      </c>
      <c r="D573" s="556"/>
      <c r="H573" s="890" t="s">
        <v>6597</v>
      </c>
      <c r="I573" s="890">
        <v>1</v>
      </c>
      <c r="K573" s="890" t="s">
        <v>6437</v>
      </c>
      <c r="L573" s="890">
        <v>3</v>
      </c>
      <c r="P573" s="890" t="s">
        <v>6057</v>
      </c>
      <c r="Q573" s="890">
        <v>1</v>
      </c>
    </row>
    <row r="574" spans="2:17">
      <c r="B574" s="890" t="s">
        <v>6459</v>
      </c>
      <c r="C574" s="890">
        <v>8</v>
      </c>
      <c r="D574" s="556"/>
      <c r="H574" s="890" t="s">
        <v>6598</v>
      </c>
      <c r="I574" s="890">
        <v>3</v>
      </c>
      <c r="K574" s="890" t="s">
        <v>6599</v>
      </c>
      <c r="L574" s="890">
        <v>1</v>
      </c>
      <c r="P574" s="890" t="s">
        <v>6061</v>
      </c>
      <c r="Q574" s="890">
        <v>1</v>
      </c>
    </row>
    <row r="575" spans="2:17">
      <c r="B575" s="890" t="s">
        <v>6463</v>
      </c>
      <c r="C575" s="890">
        <v>10</v>
      </c>
      <c r="D575" s="556"/>
      <c r="H575" s="890" t="s">
        <v>6600</v>
      </c>
      <c r="I575" s="890">
        <v>5</v>
      </c>
      <c r="K575" s="890" t="s">
        <v>6601</v>
      </c>
      <c r="L575" s="890">
        <v>2</v>
      </c>
      <c r="P575" s="890" t="s">
        <v>6063</v>
      </c>
      <c r="Q575" s="890">
        <v>2</v>
      </c>
    </row>
    <row r="576" spans="2:17">
      <c r="B576" s="890" t="s">
        <v>6467</v>
      </c>
      <c r="C576" s="890">
        <v>8</v>
      </c>
      <c r="D576" s="556"/>
      <c r="H576" s="890" t="s">
        <v>6602</v>
      </c>
      <c r="I576" s="890">
        <v>3</v>
      </c>
      <c r="K576" s="890" t="s">
        <v>6441</v>
      </c>
      <c r="L576" s="890">
        <v>4</v>
      </c>
      <c r="P576" s="890" t="s">
        <v>6251</v>
      </c>
      <c r="Q576" s="890">
        <v>4</v>
      </c>
    </row>
    <row r="577" spans="2:17">
      <c r="B577" s="890" t="s">
        <v>6469</v>
      </c>
      <c r="C577" s="890">
        <v>8</v>
      </c>
      <c r="D577" s="556"/>
      <c r="H577" s="890" t="s">
        <v>6603</v>
      </c>
      <c r="I577" s="890">
        <v>1</v>
      </c>
      <c r="K577" s="890" t="s">
        <v>6448</v>
      </c>
      <c r="L577" s="890">
        <v>2</v>
      </c>
      <c r="P577" s="890" t="s">
        <v>6604</v>
      </c>
      <c r="Q577" s="890">
        <v>1</v>
      </c>
    </row>
    <row r="578" spans="2:17">
      <c r="B578" s="890" t="s">
        <v>6470</v>
      </c>
      <c r="C578" s="890">
        <v>8</v>
      </c>
      <c r="D578" s="556"/>
      <c r="H578" s="890" t="s">
        <v>6605</v>
      </c>
      <c r="I578" s="890">
        <v>1</v>
      </c>
      <c r="K578" s="890" t="s">
        <v>6450</v>
      </c>
      <c r="L578" s="890">
        <v>4</v>
      </c>
      <c r="P578" s="890" t="s">
        <v>6254</v>
      </c>
      <c r="Q578" s="890">
        <v>2</v>
      </c>
    </row>
    <row r="579" spans="2:17">
      <c r="B579" s="890" t="s">
        <v>6471</v>
      </c>
      <c r="C579" s="890">
        <v>8</v>
      </c>
      <c r="D579" s="556"/>
      <c r="H579" s="890" t="s">
        <v>6606</v>
      </c>
      <c r="I579" s="890">
        <v>5</v>
      </c>
      <c r="K579" s="890" t="s">
        <v>6607</v>
      </c>
      <c r="L579" s="890">
        <v>2</v>
      </c>
      <c r="P579" s="890" t="s">
        <v>6257</v>
      </c>
      <c r="Q579" s="890">
        <v>2</v>
      </c>
    </row>
    <row r="580" spans="2:17">
      <c r="B580" s="890" t="s">
        <v>6608</v>
      </c>
      <c r="C580" s="890">
        <v>10</v>
      </c>
      <c r="D580" s="556"/>
      <c r="H580" s="890" t="s">
        <v>6609</v>
      </c>
      <c r="I580" s="890">
        <v>1</v>
      </c>
      <c r="K580" s="890" t="s">
        <v>6453</v>
      </c>
      <c r="L580" s="890">
        <v>2</v>
      </c>
      <c r="P580" s="890" t="s">
        <v>6078</v>
      </c>
      <c r="Q580" s="890">
        <v>1</v>
      </c>
    </row>
    <row r="581" spans="2:17">
      <c r="B581" s="890" t="s">
        <v>6610</v>
      </c>
      <c r="C581" s="890">
        <v>8</v>
      </c>
      <c r="D581" s="556"/>
      <c r="H581" s="890" t="s">
        <v>6611</v>
      </c>
      <c r="I581" s="890">
        <v>1</v>
      </c>
      <c r="K581" s="890" t="s">
        <v>6360</v>
      </c>
      <c r="L581" s="890">
        <v>2</v>
      </c>
      <c r="P581" s="890" t="s">
        <v>6080</v>
      </c>
      <c r="Q581" s="890">
        <v>4</v>
      </c>
    </row>
    <row r="582" spans="2:17">
      <c r="B582" s="890" t="s">
        <v>6612</v>
      </c>
      <c r="C582" s="890">
        <v>8</v>
      </c>
      <c r="D582" s="556"/>
      <c r="H582" s="890" t="s">
        <v>6613</v>
      </c>
      <c r="I582" s="890">
        <v>5</v>
      </c>
      <c r="K582" s="890" t="s">
        <v>6456</v>
      </c>
      <c r="L582" s="890">
        <v>1</v>
      </c>
      <c r="P582" s="890" t="s">
        <v>6321</v>
      </c>
      <c r="Q582" s="890">
        <v>1</v>
      </c>
    </row>
    <row r="583" spans="2:17">
      <c r="B583" s="890" t="s">
        <v>6614</v>
      </c>
      <c r="C583" s="890">
        <v>8</v>
      </c>
      <c r="D583" s="556"/>
      <c r="H583" s="890" t="s">
        <v>6615</v>
      </c>
      <c r="I583" s="890">
        <v>3</v>
      </c>
      <c r="K583" s="890" t="s">
        <v>6458</v>
      </c>
      <c r="L583" s="890">
        <v>2</v>
      </c>
      <c r="P583" s="890" t="s">
        <v>6082</v>
      </c>
      <c r="Q583" s="890">
        <v>2</v>
      </c>
    </row>
    <row r="584" spans="2:17">
      <c r="B584" s="890" t="s">
        <v>6616</v>
      </c>
      <c r="C584" s="890">
        <v>8</v>
      </c>
      <c r="D584" s="556"/>
      <c r="H584" s="890" t="s">
        <v>6617</v>
      </c>
      <c r="I584" s="890">
        <v>1</v>
      </c>
      <c r="K584" s="890" t="s">
        <v>6460</v>
      </c>
      <c r="L584" s="890">
        <v>2</v>
      </c>
      <c r="P584" s="890" t="s">
        <v>6269</v>
      </c>
      <c r="Q584" s="890">
        <v>1</v>
      </c>
    </row>
    <row r="585" spans="2:17">
      <c r="B585" s="890" t="s">
        <v>6473</v>
      </c>
      <c r="C585" s="890">
        <v>10</v>
      </c>
      <c r="D585" s="556"/>
      <c r="H585" s="890" t="s">
        <v>6618</v>
      </c>
      <c r="I585" s="890">
        <v>5</v>
      </c>
      <c r="K585" s="890" t="s">
        <v>6619</v>
      </c>
      <c r="L585" s="890">
        <v>4</v>
      </c>
      <c r="P585" s="890" t="s">
        <v>6087</v>
      </c>
      <c r="Q585" s="890">
        <v>3</v>
      </c>
    </row>
    <row r="586" spans="2:17">
      <c r="B586" s="890" t="s">
        <v>6620</v>
      </c>
      <c r="C586" s="890">
        <v>8</v>
      </c>
      <c r="D586" s="556"/>
      <c r="H586" s="890" t="s">
        <v>6621</v>
      </c>
      <c r="I586" s="890">
        <v>3</v>
      </c>
      <c r="K586" s="890" t="s">
        <v>6363</v>
      </c>
      <c r="L586" s="890">
        <v>4</v>
      </c>
      <c r="P586" s="890" t="s">
        <v>6089</v>
      </c>
      <c r="Q586" s="890">
        <v>1</v>
      </c>
    </row>
    <row r="587" spans="2:17">
      <c r="B587" s="890" t="s">
        <v>6622</v>
      </c>
      <c r="C587" s="890">
        <v>8</v>
      </c>
      <c r="D587" s="556"/>
      <c r="H587" s="890" t="s">
        <v>6623</v>
      </c>
      <c r="I587" s="890">
        <v>5</v>
      </c>
      <c r="K587" s="890" t="s">
        <v>6365</v>
      </c>
      <c r="L587" s="890">
        <v>3</v>
      </c>
      <c r="P587" s="890" t="s">
        <v>6332</v>
      </c>
      <c r="Q587" s="890">
        <v>2</v>
      </c>
    </row>
    <row r="588" spans="2:17">
      <c r="B588" s="890" t="s">
        <v>6474</v>
      </c>
      <c r="C588" s="890">
        <v>8</v>
      </c>
      <c r="D588" s="556"/>
      <c r="H588" s="890" t="s">
        <v>6624</v>
      </c>
      <c r="I588" s="890">
        <v>1</v>
      </c>
      <c r="K588" s="890" t="s">
        <v>6368</v>
      </c>
      <c r="L588" s="890">
        <v>2</v>
      </c>
      <c r="P588" s="890" t="s">
        <v>6091</v>
      </c>
      <c r="Q588" s="890">
        <v>4</v>
      </c>
    </row>
    <row r="589" spans="2:17">
      <c r="B589" s="890" t="s">
        <v>6625</v>
      </c>
      <c r="C589" s="890">
        <v>8</v>
      </c>
      <c r="D589" s="556"/>
      <c r="H589" s="890" t="s">
        <v>6626</v>
      </c>
      <c r="I589" s="890">
        <v>1</v>
      </c>
      <c r="K589" s="890" t="s">
        <v>6627</v>
      </c>
      <c r="L589" s="890">
        <v>4</v>
      </c>
      <c r="P589" s="890" t="s">
        <v>6093</v>
      </c>
      <c r="Q589" s="890">
        <v>1</v>
      </c>
    </row>
    <row r="590" spans="2:17">
      <c r="B590" s="890" t="s">
        <v>6483</v>
      </c>
      <c r="C590" s="890">
        <v>8</v>
      </c>
      <c r="D590" s="556"/>
      <c r="H590" s="890" t="s">
        <v>6628</v>
      </c>
      <c r="I590" s="890">
        <v>1</v>
      </c>
      <c r="K590" s="890" t="s">
        <v>6462</v>
      </c>
      <c r="L590" s="890">
        <v>2</v>
      </c>
      <c r="P590" s="890" t="s">
        <v>6629</v>
      </c>
      <c r="Q590" s="890">
        <v>1</v>
      </c>
    </row>
    <row r="591" spans="2:17">
      <c r="B591" s="890" t="s">
        <v>6630</v>
      </c>
      <c r="C591" s="890">
        <v>8</v>
      </c>
      <c r="D591" s="556"/>
      <c r="H591" s="890" t="s">
        <v>6631</v>
      </c>
      <c r="I591" s="890">
        <v>5</v>
      </c>
      <c r="K591" s="890" t="s">
        <v>6372</v>
      </c>
      <c r="L591" s="890">
        <v>4</v>
      </c>
      <c r="P591" s="890" t="s">
        <v>6342</v>
      </c>
      <c r="Q591" s="890">
        <v>1</v>
      </c>
    </row>
    <row r="592" spans="2:17">
      <c r="B592" s="890" t="s">
        <v>6632</v>
      </c>
      <c r="C592" s="890">
        <v>8</v>
      </c>
      <c r="D592" s="556"/>
      <c r="H592" s="890" t="s">
        <v>6633</v>
      </c>
      <c r="I592" s="890">
        <v>1</v>
      </c>
      <c r="K592" s="890" t="s">
        <v>6634</v>
      </c>
      <c r="L592" s="890">
        <v>2</v>
      </c>
      <c r="P592" s="890" t="s">
        <v>6346</v>
      </c>
      <c r="Q592" s="890">
        <v>1</v>
      </c>
    </row>
    <row r="593" spans="2:17">
      <c r="B593" s="890" t="s">
        <v>6635</v>
      </c>
      <c r="C593" s="890">
        <v>8</v>
      </c>
      <c r="D593" s="556"/>
      <c r="H593" s="890" t="s">
        <v>6636</v>
      </c>
      <c r="I593" s="890">
        <v>3</v>
      </c>
      <c r="K593" s="890" t="s">
        <v>6374</v>
      </c>
      <c r="L593" s="890">
        <v>2</v>
      </c>
      <c r="P593" s="890" t="s">
        <v>6098</v>
      </c>
      <c r="Q593" s="890">
        <v>4</v>
      </c>
    </row>
    <row r="594" spans="2:17">
      <c r="B594" s="890" t="s">
        <v>6637</v>
      </c>
      <c r="C594" s="890">
        <v>8</v>
      </c>
      <c r="D594" s="556"/>
      <c r="H594" s="890" t="s">
        <v>6638</v>
      </c>
      <c r="I594" s="890">
        <v>5</v>
      </c>
      <c r="K594" s="890" t="s">
        <v>6376</v>
      </c>
      <c r="L594" s="890">
        <v>4</v>
      </c>
      <c r="P594" s="890" t="s">
        <v>6100</v>
      </c>
      <c r="Q594" s="890">
        <v>4</v>
      </c>
    </row>
    <row r="595" spans="2:17">
      <c r="B595" s="890" t="s">
        <v>6486</v>
      </c>
      <c r="C595" s="890">
        <v>8</v>
      </c>
      <c r="D595" s="556"/>
      <c r="H595" s="890" t="s">
        <v>6639</v>
      </c>
      <c r="I595" s="890">
        <v>3</v>
      </c>
      <c r="K595" s="890" t="s">
        <v>6378</v>
      </c>
      <c r="L595" s="890">
        <v>2</v>
      </c>
      <c r="P595" s="890" t="s">
        <v>6101</v>
      </c>
      <c r="Q595" s="890">
        <v>4</v>
      </c>
    </row>
    <row r="596" spans="2:17">
      <c r="B596" s="890" t="s">
        <v>6640</v>
      </c>
      <c r="C596" s="890">
        <v>8</v>
      </c>
      <c r="D596" s="556"/>
      <c r="H596" s="890" t="s">
        <v>6641</v>
      </c>
      <c r="I596" s="890">
        <v>3</v>
      </c>
      <c r="K596" s="890" t="s">
        <v>6468</v>
      </c>
      <c r="L596" s="890">
        <v>2</v>
      </c>
      <c r="P596" s="890" t="s">
        <v>6102</v>
      </c>
      <c r="Q596" s="890">
        <v>1</v>
      </c>
    </row>
    <row r="597" spans="2:17">
      <c r="B597" s="890" t="s">
        <v>6642</v>
      </c>
      <c r="C597" s="890">
        <v>8</v>
      </c>
      <c r="D597" s="556"/>
      <c r="H597" s="890" t="s">
        <v>6643</v>
      </c>
      <c r="I597" s="890">
        <v>1</v>
      </c>
      <c r="K597" s="890" t="s">
        <v>6379</v>
      </c>
      <c r="L597" s="890">
        <v>1</v>
      </c>
      <c r="P597" s="890" t="s">
        <v>6644</v>
      </c>
      <c r="Q597" s="890">
        <v>4</v>
      </c>
    </row>
    <row r="598" spans="2:17">
      <c r="B598" s="890" t="s">
        <v>6645</v>
      </c>
      <c r="C598" s="890">
        <v>10</v>
      </c>
      <c r="D598" s="556"/>
      <c r="H598" s="890" t="s">
        <v>6646</v>
      </c>
      <c r="I598" s="890">
        <v>1</v>
      </c>
      <c r="K598" s="890" t="s">
        <v>6382</v>
      </c>
      <c r="L598" s="890">
        <v>2</v>
      </c>
      <c r="P598" s="890" t="s">
        <v>6105</v>
      </c>
      <c r="Q598" s="890">
        <v>1</v>
      </c>
    </row>
    <row r="599" spans="2:17">
      <c r="B599" s="890" t="s">
        <v>6647</v>
      </c>
      <c r="C599" s="890">
        <v>8</v>
      </c>
      <c r="D599" s="556"/>
      <c r="H599" s="890" t="s">
        <v>6648</v>
      </c>
      <c r="I599" s="890">
        <v>5</v>
      </c>
      <c r="K599" s="890" t="s">
        <v>6383</v>
      </c>
      <c r="L599" s="890">
        <v>2</v>
      </c>
      <c r="P599" s="890" t="s">
        <v>6108</v>
      </c>
      <c r="Q599" s="890">
        <v>1</v>
      </c>
    </row>
    <row r="600" spans="2:17">
      <c r="B600" s="890" t="s">
        <v>6649</v>
      </c>
      <c r="C600" s="890">
        <v>8</v>
      </c>
      <c r="D600" s="556"/>
      <c r="H600" s="890" t="s">
        <v>6650</v>
      </c>
      <c r="I600" s="890">
        <v>5</v>
      </c>
      <c r="K600" s="890" t="s">
        <v>6385</v>
      </c>
      <c r="L600" s="890">
        <v>2</v>
      </c>
      <c r="P600" s="890" t="s">
        <v>6112</v>
      </c>
      <c r="Q600" s="890">
        <v>4</v>
      </c>
    </row>
    <row r="601" spans="2:17">
      <c r="B601" s="890" t="s">
        <v>6651</v>
      </c>
      <c r="C601" s="890">
        <v>8</v>
      </c>
      <c r="D601" s="556"/>
      <c r="H601" s="890" t="s">
        <v>6652</v>
      </c>
      <c r="I601" s="890">
        <v>5</v>
      </c>
      <c r="K601" s="890" t="s">
        <v>6653</v>
      </c>
      <c r="L601" s="890">
        <v>1</v>
      </c>
      <c r="P601" s="890" t="s">
        <v>6117</v>
      </c>
      <c r="Q601" s="890">
        <v>4</v>
      </c>
    </row>
    <row r="602" spans="2:17">
      <c r="B602" s="890" t="s">
        <v>6494</v>
      </c>
      <c r="C602" s="890">
        <v>8</v>
      </c>
      <c r="D602" s="556"/>
      <c r="H602" s="890" t="s">
        <v>6654</v>
      </c>
      <c r="I602" s="890">
        <v>5</v>
      </c>
      <c r="K602" s="890" t="s">
        <v>6655</v>
      </c>
      <c r="L602" s="890">
        <v>2</v>
      </c>
      <c r="P602" s="890" t="s">
        <v>6356</v>
      </c>
      <c r="Q602" s="890">
        <v>2</v>
      </c>
    </row>
    <row r="603" spans="2:17">
      <c r="B603" s="890" t="s">
        <v>6496</v>
      </c>
      <c r="C603" s="890">
        <v>8</v>
      </c>
      <c r="D603" s="556"/>
      <c r="H603" s="890" t="s">
        <v>6656</v>
      </c>
      <c r="I603" s="890">
        <v>3</v>
      </c>
      <c r="K603" s="890" t="s">
        <v>6386</v>
      </c>
      <c r="L603" s="890">
        <v>4</v>
      </c>
      <c r="P603" s="890" t="s">
        <v>6124</v>
      </c>
      <c r="Q603" s="890">
        <v>1</v>
      </c>
    </row>
    <row r="604" spans="2:17">
      <c r="B604" s="890" t="s">
        <v>6657</v>
      </c>
      <c r="C604" s="890">
        <v>10</v>
      </c>
      <c r="D604" s="556"/>
      <c r="H604" s="890" t="s">
        <v>6658</v>
      </c>
      <c r="I604" s="890">
        <v>5</v>
      </c>
      <c r="K604" s="890" t="s">
        <v>6659</v>
      </c>
      <c r="L604" s="890">
        <v>1</v>
      </c>
      <c r="P604" s="890" t="s">
        <v>6126</v>
      </c>
      <c r="Q604" s="890">
        <v>2</v>
      </c>
    </row>
    <row r="605" spans="2:17">
      <c r="B605" s="890" t="s">
        <v>6660</v>
      </c>
      <c r="C605" s="890">
        <v>8</v>
      </c>
      <c r="D605" s="556"/>
      <c r="H605" s="890" t="s">
        <v>6661</v>
      </c>
      <c r="I605" s="890">
        <v>5</v>
      </c>
      <c r="K605" s="890" t="s">
        <v>6390</v>
      </c>
      <c r="L605" s="890">
        <v>3</v>
      </c>
      <c r="P605" s="890" t="s">
        <v>6138</v>
      </c>
      <c r="Q605" s="890">
        <v>1</v>
      </c>
    </row>
    <row r="606" spans="2:17">
      <c r="B606" s="890" t="s">
        <v>6498</v>
      </c>
      <c r="C606" s="890">
        <v>8</v>
      </c>
      <c r="D606" s="556"/>
      <c r="H606" s="890" t="s">
        <v>6662</v>
      </c>
      <c r="I606" s="890">
        <v>5</v>
      </c>
      <c r="K606" s="890" t="s">
        <v>6480</v>
      </c>
      <c r="L606" s="890">
        <v>4</v>
      </c>
      <c r="P606" s="890" t="s">
        <v>6294</v>
      </c>
      <c r="Q606" s="890">
        <v>1</v>
      </c>
    </row>
    <row r="607" spans="2:17">
      <c r="B607" s="890" t="s">
        <v>6499</v>
      </c>
      <c r="C607" s="890">
        <v>8</v>
      </c>
      <c r="D607" s="556"/>
      <c r="H607" s="890" t="s">
        <v>6663</v>
      </c>
      <c r="I607" s="890">
        <v>5</v>
      </c>
      <c r="K607" s="890" t="s">
        <v>6391</v>
      </c>
      <c r="L607" s="890">
        <v>2</v>
      </c>
      <c r="P607" s="890" t="s">
        <v>6141</v>
      </c>
      <c r="Q607" s="890">
        <v>3</v>
      </c>
    </row>
    <row r="608" spans="2:17">
      <c r="B608" s="890" t="s">
        <v>6501</v>
      </c>
      <c r="C608" s="890">
        <v>8</v>
      </c>
      <c r="D608" s="556"/>
      <c r="H608" s="890" t="s">
        <v>6664</v>
      </c>
      <c r="I608" s="890">
        <v>5</v>
      </c>
      <c r="K608" s="890" t="s">
        <v>6665</v>
      </c>
      <c r="L608" s="890">
        <v>2</v>
      </c>
      <c r="P608" s="890" t="s">
        <v>6144</v>
      </c>
      <c r="Q608" s="890">
        <v>4</v>
      </c>
    </row>
    <row r="609" spans="2:17">
      <c r="B609" s="890" t="s">
        <v>6666</v>
      </c>
      <c r="C609" s="890">
        <v>8</v>
      </c>
      <c r="D609" s="556"/>
      <c r="H609" s="890" t="s">
        <v>6667</v>
      </c>
      <c r="I609" s="890">
        <v>5</v>
      </c>
      <c r="K609" s="890" t="s">
        <v>6482</v>
      </c>
      <c r="L609" s="890">
        <v>4</v>
      </c>
      <c r="P609" s="890" t="s">
        <v>6150</v>
      </c>
      <c r="Q609" s="890">
        <v>4</v>
      </c>
    </row>
    <row r="610" spans="2:17">
      <c r="B610" s="890" t="s">
        <v>6668</v>
      </c>
      <c r="C610" s="890">
        <v>8</v>
      </c>
      <c r="D610" s="556"/>
      <c r="H610" s="890" t="s">
        <v>6669</v>
      </c>
      <c r="I610" s="890">
        <v>5</v>
      </c>
      <c r="K610" s="890" t="s">
        <v>6670</v>
      </c>
      <c r="L610" s="890">
        <v>4</v>
      </c>
      <c r="P610" s="890" t="s">
        <v>6671</v>
      </c>
      <c r="Q610" s="890">
        <v>4</v>
      </c>
    </row>
    <row r="611" spans="2:17">
      <c r="B611" s="890" t="s">
        <v>6672</v>
      </c>
      <c r="C611" s="890">
        <v>10</v>
      </c>
      <c r="D611" s="556"/>
      <c r="H611" s="890" t="s">
        <v>6673</v>
      </c>
      <c r="I611" s="890">
        <v>1</v>
      </c>
      <c r="K611" s="890" t="s">
        <v>6674</v>
      </c>
      <c r="L611" s="890">
        <v>2</v>
      </c>
      <c r="P611" s="890" t="s">
        <v>6153</v>
      </c>
      <c r="Q611" s="890">
        <v>1</v>
      </c>
    </row>
    <row r="612" spans="2:17">
      <c r="B612" s="890" t="s">
        <v>6675</v>
      </c>
      <c r="C612" s="890">
        <v>8</v>
      </c>
      <c r="D612" s="556"/>
      <c r="H612" s="890" t="s">
        <v>6676</v>
      </c>
      <c r="I612" s="890">
        <v>1</v>
      </c>
      <c r="K612" s="890" t="s">
        <v>6485</v>
      </c>
      <c r="L612" s="890">
        <v>2</v>
      </c>
      <c r="P612" s="890" t="s">
        <v>6158</v>
      </c>
      <c r="Q612" s="890">
        <v>1</v>
      </c>
    </row>
    <row r="613" spans="2:17">
      <c r="B613" s="890" t="s">
        <v>6677</v>
      </c>
      <c r="C613" s="890">
        <v>10</v>
      </c>
      <c r="D613" s="556"/>
      <c r="H613" s="890" t="s">
        <v>6678</v>
      </c>
      <c r="I613" s="890">
        <v>5</v>
      </c>
      <c r="K613" s="890" t="s">
        <v>6392</v>
      </c>
      <c r="L613" s="890">
        <v>2</v>
      </c>
      <c r="P613" s="890" t="s">
        <v>6679</v>
      </c>
      <c r="Q613" s="890">
        <v>1</v>
      </c>
    </row>
    <row r="614" spans="2:17">
      <c r="B614" s="890" t="s">
        <v>6680</v>
      </c>
      <c r="C614" s="890">
        <v>8</v>
      </c>
      <c r="D614" s="556"/>
      <c r="H614" s="890" t="s">
        <v>6681</v>
      </c>
      <c r="I614" s="890">
        <v>1</v>
      </c>
      <c r="K614" s="890" t="s">
        <v>6395</v>
      </c>
      <c r="L614" s="890">
        <v>4</v>
      </c>
      <c r="P614" s="890" t="s">
        <v>6387</v>
      </c>
      <c r="Q614" s="890">
        <v>2</v>
      </c>
    </row>
    <row r="615" spans="2:17">
      <c r="B615" s="890" t="s">
        <v>6682</v>
      </c>
      <c r="C615" s="890">
        <v>8</v>
      </c>
      <c r="D615" s="556"/>
      <c r="H615" s="890" t="s">
        <v>6683</v>
      </c>
      <c r="I615" s="890">
        <v>5</v>
      </c>
      <c r="K615" s="890" t="s">
        <v>6490</v>
      </c>
      <c r="L615" s="890">
        <v>2</v>
      </c>
      <c r="P615" s="890" t="s">
        <v>6168</v>
      </c>
      <c r="Q615" s="890">
        <v>1</v>
      </c>
    </row>
    <row r="616" spans="2:17">
      <c r="B616" s="890" t="s">
        <v>6505</v>
      </c>
      <c r="C616" s="890">
        <v>8</v>
      </c>
      <c r="D616" s="556"/>
      <c r="H616" s="890" t="s">
        <v>6684</v>
      </c>
      <c r="I616" s="890">
        <v>5</v>
      </c>
      <c r="K616" s="890" t="s">
        <v>6497</v>
      </c>
      <c r="L616" s="890">
        <v>1</v>
      </c>
      <c r="P616" s="890" t="s">
        <v>6309</v>
      </c>
      <c r="Q616" s="890">
        <v>1</v>
      </c>
    </row>
    <row r="617" spans="2:17">
      <c r="B617" s="890" t="s">
        <v>6685</v>
      </c>
      <c r="C617" s="890">
        <v>8</v>
      </c>
      <c r="D617" s="556"/>
      <c r="H617" s="890" t="s">
        <v>6686</v>
      </c>
      <c r="I617" s="890">
        <v>3</v>
      </c>
      <c r="K617" s="890" t="s">
        <v>6687</v>
      </c>
      <c r="L617" s="890">
        <v>1</v>
      </c>
      <c r="P617" s="890" t="s">
        <v>6170</v>
      </c>
      <c r="Q617" s="890">
        <v>4</v>
      </c>
    </row>
    <row r="618" spans="2:17">
      <c r="B618" s="890" t="s">
        <v>6688</v>
      </c>
      <c r="C618" s="890">
        <v>10</v>
      </c>
      <c r="D618" s="556"/>
      <c r="H618" s="890" t="s">
        <v>6689</v>
      </c>
      <c r="I618" s="890">
        <v>5</v>
      </c>
      <c r="K618" s="890" t="s">
        <v>6397</v>
      </c>
      <c r="L618" s="890">
        <v>2</v>
      </c>
      <c r="P618" s="890" t="s">
        <v>6312</v>
      </c>
      <c r="Q618" s="890">
        <v>4</v>
      </c>
    </row>
    <row r="619" spans="2:17">
      <c r="B619" s="890" t="s">
        <v>6507</v>
      </c>
      <c r="C619" s="890">
        <v>8</v>
      </c>
      <c r="D619" s="556"/>
      <c r="H619" s="890" t="s">
        <v>6690</v>
      </c>
      <c r="I619" s="890">
        <v>3</v>
      </c>
      <c r="K619" s="890" t="s">
        <v>6399</v>
      </c>
      <c r="L619" s="890">
        <v>2</v>
      </c>
      <c r="P619" s="890" t="s">
        <v>6171</v>
      </c>
      <c r="Q619" s="890">
        <v>1</v>
      </c>
    </row>
    <row r="620" spans="2:17">
      <c r="B620" s="890" t="s">
        <v>6691</v>
      </c>
      <c r="C620" s="890">
        <v>10</v>
      </c>
      <c r="D620" s="556"/>
      <c r="H620" s="890" t="s">
        <v>6692</v>
      </c>
      <c r="I620" s="890">
        <v>5</v>
      </c>
      <c r="K620" s="890" t="s">
        <v>6506</v>
      </c>
      <c r="L620" s="890">
        <v>2</v>
      </c>
      <c r="P620" s="890" t="s">
        <v>6173</v>
      </c>
      <c r="Q620" s="890">
        <v>1</v>
      </c>
    </row>
    <row r="621" spans="2:17">
      <c r="B621" s="890" t="s">
        <v>6693</v>
      </c>
      <c r="C621" s="890">
        <v>8</v>
      </c>
      <c r="D621" s="556"/>
      <c r="H621" s="890" t="s">
        <v>6694</v>
      </c>
      <c r="I621" s="890">
        <v>5</v>
      </c>
      <c r="K621" s="890" t="s">
        <v>6695</v>
      </c>
      <c r="L621" s="890">
        <v>2</v>
      </c>
      <c r="P621" s="890" t="s">
        <v>6196</v>
      </c>
      <c r="Q621" s="890">
        <v>2</v>
      </c>
    </row>
    <row r="622" spans="2:17">
      <c r="B622" s="890" t="s">
        <v>6696</v>
      </c>
      <c r="C622" s="890">
        <v>10</v>
      </c>
      <c r="D622" s="556"/>
      <c r="H622" s="890" t="s">
        <v>6697</v>
      </c>
      <c r="I622" s="890">
        <v>1</v>
      </c>
      <c r="K622" s="890" t="s">
        <v>6698</v>
      </c>
      <c r="L622" s="890">
        <v>2</v>
      </c>
      <c r="P622" s="890" t="s">
        <v>6203</v>
      </c>
      <c r="Q622" s="890">
        <v>1</v>
      </c>
    </row>
    <row r="623" spans="2:17">
      <c r="B623" s="890" t="s">
        <v>6699</v>
      </c>
      <c r="C623" s="890">
        <v>8</v>
      </c>
      <c r="D623" s="556"/>
      <c r="H623" s="890" t="s">
        <v>6700</v>
      </c>
      <c r="I623" s="890">
        <v>3</v>
      </c>
      <c r="K623" s="890" t="s">
        <v>6403</v>
      </c>
      <c r="L623" s="890">
        <v>2</v>
      </c>
      <c r="P623" s="890" t="s">
        <v>6205</v>
      </c>
      <c r="Q623" s="890">
        <v>2</v>
      </c>
    </row>
    <row r="624" spans="2:17">
      <c r="B624" s="890" t="s">
        <v>6508</v>
      </c>
      <c r="C624" s="890">
        <v>10</v>
      </c>
      <c r="D624" s="556"/>
      <c r="H624" s="890" t="s">
        <v>6701</v>
      </c>
      <c r="I624" s="890">
        <v>1</v>
      </c>
      <c r="K624" s="890" t="s">
        <v>6702</v>
      </c>
      <c r="L624" s="890">
        <v>2</v>
      </c>
      <c r="P624" s="890" t="s">
        <v>6207</v>
      </c>
      <c r="Q624" s="890">
        <v>1</v>
      </c>
    </row>
    <row r="625" spans="2:17">
      <c r="B625" s="890" t="s">
        <v>6703</v>
      </c>
      <c r="C625" s="890">
        <v>10</v>
      </c>
      <c r="D625" s="556"/>
      <c r="H625" s="890" t="s">
        <v>6704</v>
      </c>
      <c r="I625" s="890">
        <v>5</v>
      </c>
      <c r="K625" s="890" t="s">
        <v>6509</v>
      </c>
      <c r="L625" s="890">
        <v>2</v>
      </c>
      <c r="P625" s="890" t="s">
        <v>6322</v>
      </c>
      <c r="Q625" s="890">
        <v>2</v>
      </c>
    </row>
    <row r="626" spans="2:17">
      <c r="B626" s="890" t="s">
        <v>6510</v>
      </c>
      <c r="C626" s="890">
        <v>10</v>
      </c>
      <c r="D626" s="556"/>
      <c r="H626" s="890" t="s">
        <v>6705</v>
      </c>
      <c r="I626" s="890">
        <v>3</v>
      </c>
      <c r="K626" s="890" t="s">
        <v>6511</v>
      </c>
      <c r="L626" s="890">
        <v>4</v>
      </c>
      <c r="P626" s="890" t="s">
        <v>6209</v>
      </c>
      <c r="Q626" s="890">
        <v>2</v>
      </c>
    </row>
    <row r="627" spans="2:17">
      <c r="B627" s="890" t="s">
        <v>6706</v>
      </c>
      <c r="C627" s="890">
        <v>10</v>
      </c>
      <c r="D627" s="556"/>
      <c r="H627" s="890" t="s">
        <v>6707</v>
      </c>
      <c r="I627" s="890">
        <v>3</v>
      </c>
      <c r="K627" s="890" t="s">
        <v>6514</v>
      </c>
      <c r="L627" s="890">
        <v>4</v>
      </c>
      <c r="P627" s="890" t="s">
        <v>6216</v>
      </c>
      <c r="Q627" s="890">
        <v>2</v>
      </c>
    </row>
    <row r="628" spans="2:17">
      <c r="B628" s="890" t="s">
        <v>6708</v>
      </c>
      <c r="C628" s="890">
        <v>10</v>
      </c>
      <c r="D628" s="556"/>
      <c r="H628" s="890" t="s">
        <v>6709</v>
      </c>
      <c r="I628" s="890">
        <v>3</v>
      </c>
      <c r="K628" s="890" t="s">
        <v>6517</v>
      </c>
      <c r="L628" s="890">
        <v>2</v>
      </c>
      <c r="P628" s="890" t="s">
        <v>6218</v>
      </c>
      <c r="Q628" s="890">
        <v>1</v>
      </c>
    </row>
    <row r="629" spans="2:17">
      <c r="B629" s="890" t="s">
        <v>6710</v>
      </c>
      <c r="C629" s="890">
        <v>10</v>
      </c>
      <c r="D629" s="556"/>
      <c r="H629" s="890" t="s">
        <v>6711</v>
      </c>
      <c r="I629" s="890">
        <v>5</v>
      </c>
      <c r="K629" s="890" t="s">
        <v>6712</v>
      </c>
      <c r="L629" s="890">
        <v>4</v>
      </c>
      <c r="P629" s="890" t="s">
        <v>6219</v>
      </c>
      <c r="Q629" s="890">
        <v>2</v>
      </c>
    </row>
    <row r="630" spans="2:17">
      <c r="B630" s="890" t="s">
        <v>6713</v>
      </c>
      <c r="C630" s="890">
        <v>8</v>
      </c>
      <c r="D630" s="556"/>
      <c r="H630" s="890" t="s">
        <v>6714</v>
      </c>
      <c r="I630" s="890">
        <v>3</v>
      </c>
      <c r="K630" s="890" t="s">
        <v>6715</v>
      </c>
      <c r="L630" s="890">
        <v>4</v>
      </c>
      <c r="P630" s="890" t="s">
        <v>6222</v>
      </c>
      <c r="Q630" s="890">
        <v>2</v>
      </c>
    </row>
    <row r="631" spans="2:17">
      <c r="B631" s="890" t="s">
        <v>6512</v>
      </c>
      <c r="C631" s="890">
        <v>8</v>
      </c>
      <c r="D631" s="556"/>
      <c r="H631" s="890" t="s">
        <v>6716</v>
      </c>
      <c r="I631" s="890">
        <v>5</v>
      </c>
      <c r="K631" s="890" t="s">
        <v>6408</v>
      </c>
      <c r="L631" s="890">
        <v>2</v>
      </c>
      <c r="P631" s="890" t="s">
        <v>6224</v>
      </c>
      <c r="Q631" s="890">
        <v>4</v>
      </c>
    </row>
    <row r="632" spans="2:17">
      <c r="B632" s="890" t="s">
        <v>6717</v>
      </c>
      <c r="C632" s="890">
        <v>10</v>
      </c>
      <c r="D632" s="556"/>
      <c r="H632" s="890" t="s">
        <v>6718</v>
      </c>
      <c r="I632" s="890">
        <v>1</v>
      </c>
      <c r="K632" s="890" t="s">
        <v>6412</v>
      </c>
      <c r="L632" s="890">
        <v>3</v>
      </c>
      <c r="P632" s="890" t="s">
        <v>6228</v>
      </c>
      <c r="Q632" s="890">
        <v>1</v>
      </c>
    </row>
    <row r="633" spans="2:17">
      <c r="B633" s="890" t="s">
        <v>6719</v>
      </c>
      <c r="C633" s="890">
        <v>8</v>
      </c>
      <c r="D633" s="556"/>
      <c r="H633" s="890" t="s">
        <v>6720</v>
      </c>
      <c r="I633" s="890">
        <v>5</v>
      </c>
      <c r="K633" s="890" t="s">
        <v>6721</v>
      </c>
      <c r="L633" s="890">
        <v>2</v>
      </c>
      <c r="P633" s="890" t="s">
        <v>6230</v>
      </c>
      <c r="Q633" s="890">
        <v>2</v>
      </c>
    </row>
    <row r="634" spans="2:17">
      <c r="B634" s="890" t="s">
        <v>6518</v>
      </c>
      <c r="C634" s="890">
        <v>10</v>
      </c>
      <c r="D634" s="556"/>
      <c r="H634" s="890" t="s">
        <v>6722</v>
      </c>
      <c r="I634" s="890">
        <v>5</v>
      </c>
      <c r="K634" s="890" t="s">
        <v>6414</v>
      </c>
      <c r="L634" s="890">
        <v>2</v>
      </c>
      <c r="P634" s="890" t="s">
        <v>6231</v>
      </c>
      <c r="Q634" s="890">
        <v>4</v>
      </c>
    </row>
    <row r="635" spans="2:17">
      <c r="B635" s="890" t="s">
        <v>6520</v>
      </c>
      <c r="C635" s="890">
        <v>10</v>
      </c>
      <c r="D635" s="556"/>
      <c r="H635" s="890" t="s">
        <v>6723</v>
      </c>
      <c r="I635" s="890">
        <v>5</v>
      </c>
      <c r="K635" s="890" t="s">
        <v>6521</v>
      </c>
      <c r="L635" s="890">
        <v>2</v>
      </c>
      <c r="P635" s="890" t="s">
        <v>6232</v>
      </c>
      <c r="Q635" s="890">
        <v>2</v>
      </c>
    </row>
    <row r="636" spans="2:17">
      <c r="B636" s="890" t="s">
        <v>6522</v>
      </c>
      <c r="C636" s="890">
        <v>8</v>
      </c>
      <c r="D636" s="556"/>
      <c r="H636" s="890" t="s">
        <v>6724</v>
      </c>
      <c r="I636" s="890">
        <v>5</v>
      </c>
      <c r="K636" s="890" t="s">
        <v>6418</v>
      </c>
      <c r="L636" s="890">
        <v>2</v>
      </c>
      <c r="P636" s="890" t="s">
        <v>6236</v>
      </c>
      <c r="Q636" s="890">
        <v>3</v>
      </c>
    </row>
    <row r="637" spans="2:17">
      <c r="B637" s="890" t="s">
        <v>6725</v>
      </c>
      <c r="C637" s="890">
        <v>10</v>
      </c>
      <c r="D637" s="556"/>
      <c r="H637" s="890" t="s">
        <v>6726</v>
      </c>
      <c r="I637" s="890">
        <v>3</v>
      </c>
      <c r="K637" s="890" t="s">
        <v>6529</v>
      </c>
      <c r="L637" s="890">
        <v>3</v>
      </c>
      <c r="P637" s="890" t="s">
        <v>6238</v>
      </c>
      <c r="Q637" s="890">
        <v>4</v>
      </c>
    </row>
    <row r="638" spans="2:17">
      <c r="B638" s="890" t="s">
        <v>6727</v>
      </c>
      <c r="C638" s="890">
        <v>10</v>
      </c>
      <c r="D638" s="556"/>
      <c r="H638" s="890" t="s">
        <v>6728</v>
      </c>
      <c r="I638" s="890">
        <v>3</v>
      </c>
      <c r="K638" s="890" t="s">
        <v>6729</v>
      </c>
      <c r="L638" s="890">
        <v>1</v>
      </c>
      <c r="P638" s="890" t="s">
        <v>6443</v>
      </c>
      <c r="Q638" s="890">
        <v>1</v>
      </c>
    </row>
    <row r="639" spans="2:17">
      <c r="B639" s="890" t="s">
        <v>6530</v>
      </c>
      <c r="C639" s="890">
        <v>10</v>
      </c>
      <c r="D639" s="556"/>
      <c r="H639" s="890" t="s">
        <v>6730</v>
      </c>
      <c r="I639" s="890">
        <v>5</v>
      </c>
      <c r="K639" s="890" t="s">
        <v>6427</v>
      </c>
      <c r="L639" s="890">
        <v>2</v>
      </c>
      <c r="P639" s="890" t="s">
        <v>6244</v>
      </c>
      <c r="Q639" s="890">
        <v>1</v>
      </c>
    </row>
    <row r="640" spans="2:17">
      <c r="B640" s="890" t="s">
        <v>6731</v>
      </c>
      <c r="C640" s="890">
        <v>10</v>
      </c>
      <c r="D640" s="556"/>
      <c r="H640" s="890" t="s">
        <v>6732</v>
      </c>
      <c r="I640" s="890">
        <v>5</v>
      </c>
      <c r="K640" s="890" t="s">
        <v>6538</v>
      </c>
      <c r="L640" s="890">
        <v>2</v>
      </c>
      <c r="P640" s="890" t="s">
        <v>6245</v>
      </c>
      <c r="Q640" s="890">
        <v>1</v>
      </c>
    </row>
    <row r="641" spans="2:17">
      <c r="B641" s="890" t="s">
        <v>6534</v>
      </c>
      <c r="C641" s="890">
        <v>8</v>
      </c>
      <c r="D641" s="556"/>
      <c r="H641" s="890" t="s">
        <v>6733</v>
      </c>
      <c r="I641" s="890">
        <v>3</v>
      </c>
      <c r="K641" s="890" t="s">
        <v>6429</v>
      </c>
      <c r="L641" s="890">
        <v>2</v>
      </c>
      <c r="P641" s="890" t="s">
        <v>6246</v>
      </c>
      <c r="Q641" s="890">
        <v>1</v>
      </c>
    </row>
    <row r="642" spans="2:17">
      <c r="B642" s="890" t="s">
        <v>6734</v>
      </c>
      <c r="C642" s="890">
        <v>8</v>
      </c>
      <c r="D642" s="556"/>
      <c r="H642" s="890" t="s">
        <v>6735</v>
      </c>
      <c r="I642" s="890">
        <v>3</v>
      </c>
      <c r="K642" s="890" t="s">
        <v>6545</v>
      </c>
      <c r="L642" s="890">
        <v>2</v>
      </c>
      <c r="P642" s="890" t="s">
        <v>6337</v>
      </c>
      <c r="Q642" s="890">
        <v>1</v>
      </c>
    </row>
    <row r="643" spans="2:17">
      <c r="B643" s="890" t="s">
        <v>6736</v>
      </c>
      <c r="C643" s="890">
        <v>8</v>
      </c>
      <c r="D643" s="556"/>
      <c r="H643" s="890" t="s">
        <v>6737</v>
      </c>
      <c r="I643" s="890">
        <v>3</v>
      </c>
      <c r="K643" s="890" t="s">
        <v>6431</v>
      </c>
      <c r="L643" s="890">
        <v>4</v>
      </c>
      <c r="P643" s="890" t="s">
        <v>6250</v>
      </c>
      <c r="Q643" s="890">
        <v>1</v>
      </c>
    </row>
    <row r="644" spans="2:17">
      <c r="B644" s="890" t="s">
        <v>6738</v>
      </c>
      <c r="C644" s="890">
        <v>8</v>
      </c>
      <c r="D644" s="556"/>
      <c r="H644" s="890" t="s">
        <v>6739</v>
      </c>
      <c r="I644" s="890">
        <v>5</v>
      </c>
      <c r="K644" s="890" t="s">
        <v>6550</v>
      </c>
      <c r="L644" s="890">
        <v>2</v>
      </c>
      <c r="P644" s="890" t="s">
        <v>6252</v>
      </c>
      <c r="Q644" s="890">
        <v>4</v>
      </c>
    </row>
    <row r="645" spans="2:17">
      <c r="B645" s="890" t="s">
        <v>6740</v>
      </c>
      <c r="C645" s="890">
        <v>8</v>
      </c>
      <c r="D645" s="556"/>
      <c r="H645" s="890" t="s">
        <v>6741</v>
      </c>
      <c r="I645" s="890">
        <v>1</v>
      </c>
      <c r="K645" s="890" t="s">
        <v>6432</v>
      </c>
      <c r="L645" s="890">
        <v>4</v>
      </c>
      <c r="P645" s="890" t="s">
        <v>6255</v>
      </c>
      <c r="Q645" s="890">
        <v>4</v>
      </c>
    </row>
    <row r="646" spans="2:17">
      <c r="B646" s="890" t="s">
        <v>6742</v>
      </c>
      <c r="C646" s="890">
        <v>8</v>
      </c>
      <c r="D646" s="556"/>
      <c r="H646" s="890" t="s">
        <v>6743</v>
      </c>
      <c r="I646" s="890">
        <v>5</v>
      </c>
      <c r="K646" s="890" t="s">
        <v>6556</v>
      </c>
      <c r="L646" s="890">
        <v>2</v>
      </c>
      <c r="P646" s="890" t="s">
        <v>6347</v>
      </c>
      <c r="Q646" s="890">
        <v>2</v>
      </c>
    </row>
    <row r="647" spans="2:17">
      <c r="B647" s="890" t="s">
        <v>6744</v>
      </c>
      <c r="C647" s="890">
        <v>8</v>
      </c>
      <c r="D647" s="556"/>
      <c r="H647" s="890" t="s">
        <v>6745</v>
      </c>
      <c r="I647" s="890">
        <v>3</v>
      </c>
      <c r="K647" s="890" t="s">
        <v>6559</v>
      </c>
      <c r="L647" s="890">
        <v>3</v>
      </c>
      <c r="P647" s="890" t="s">
        <v>6258</v>
      </c>
      <c r="Q647" s="890">
        <v>4</v>
      </c>
    </row>
    <row r="648" spans="2:17">
      <c r="B648" s="890" t="s">
        <v>6746</v>
      </c>
      <c r="C648" s="890">
        <v>8</v>
      </c>
      <c r="D648" s="556"/>
      <c r="H648" s="890" t="s">
        <v>6747</v>
      </c>
      <c r="I648" s="890">
        <v>1</v>
      </c>
      <c r="K648" s="890" t="s">
        <v>6562</v>
      </c>
      <c r="L648" s="890">
        <v>1</v>
      </c>
      <c r="P648" s="890" t="s">
        <v>6748</v>
      </c>
      <c r="Q648" s="890">
        <v>1</v>
      </c>
    </row>
    <row r="649" spans="2:17">
      <c r="B649" s="890" t="s">
        <v>6537</v>
      </c>
      <c r="C649" s="890">
        <v>8</v>
      </c>
      <c r="D649" s="556"/>
      <c r="H649" s="890" t="s">
        <v>6749</v>
      </c>
      <c r="I649" s="890">
        <v>1</v>
      </c>
      <c r="K649" s="890" t="s">
        <v>6436</v>
      </c>
      <c r="L649" s="890">
        <v>2</v>
      </c>
      <c r="P649" s="890" t="s">
        <v>6270</v>
      </c>
      <c r="Q649" s="890">
        <v>3</v>
      </c>
    </row>
    <row r="650" spans="2:17">
      <c r="B650" s="890" t="s">
        <v>6539</v>
      </c>
      <c r="C650" s="890">
        <v>8</v>
      </c>
      <c r="D650" s="556"/>
      <c r="H650" s="890" t="s">
        <v>6750</v>
      </c>
      <c r="I650" s="890">
        <v>3</v>
      </c>
      <c r="K650" s="890" t="s">
        <v>6568</v>
      </c>
      <c r="L650" s="890">
        <v>4</v>
      </c>
      <c r="P650" s="890" t="s">
        <v>6273</v>
      </c>
      <c r="Q650" s="890">
        <v>2</v>
      </c>
    </row>
    <row r="651" spans="2:17">
      <c r="B651" s="890" t="s">
        <v>6540</v>
      </c>
      <c r="C651" s="890">
        <v>8</v>
      </c>
      <c r="D651" s="556"/>
      <c r="H651" s="890" t="s">
        <v>6751</v>
      </c>
      <c r="I651" s="890">
        <v>5</v>
      </c>
      <c r="K651" s="890" t="s">
        <v>6752</v>
      </c>
      <c r="L651" s="890">
        <v>4</v>
      </c>
      <c r="P651" s="890" t="s">
        <v>6353</v>
      </c>
      <c r="Q651" s="890">
        <v>1</v>
      </c>
    </row>
    <row r="652" spans="2:17">
      <c r="B652" s="890" t="s">
        <v>6753</v>
      </c>
      <c r="C652" s="890">
        <v>8</v>
      </c>
      <c r="D652" s="556"/>
      <c r="H652" s="890" t="s">
        <v>6754</v>
      </c>
      <c r="I652" s="890">
        <v>3</v>
      </c>
      <c r="K652" s="890" t="s">
        <v>6570</v>
      </c>
      <c r="L652" s="890">
        <v>4</v>
      </c>
      <c r="P652" s="890" t="s">
        <v>6275</v>
      </c>
      <c r="Q652" s="890">
        <v>1</v>
      </c>
    </row>
    <row r="653" spans="2:17">
      <c r="B653" s="890" t="s">
        <v>6543</v>
      </c>
      <c r="C653" s="890">
        <v>10</v>
      </c>
      <c r="D653" s="556"/>
      <c r="H653" s="890" t="s">
        <v>6755</v>
      </c>
      <c r="I653" s="890">
        <v>3</v>
      </c>
      <c r="K653" s="890" t="s">
        <v>6572</v>
      </c>
      <c r="L653" s="890">
        <v>1</v>
      </c>
      <c r="P653" s="890" t="s">
        <v>6278</v>
      </c>
      <c r="Q653" s="890">
        <v>1</v>
      </c>
    </row>
    <row r="654" spans="2:17">
      <c r="B654" s="890" t="s">
        <v>6756</v>
      </c>
      <c r="C654" s="890">
        <v>8</v>
      </c>
      <c r="D654" s="556"/>
      <c r="H654" s="890" t="s">
        <v>6757</v>
      </c>
      <c r="I654" s="890">
        <v>1</v>
      </c>
      <c r="K654" s="890" t="s">
        <v>6758</v>
      </c>
      <c r="L654" s="890">
        <v>4</v>
      </c>
      <c r="P654" s="890" t="s">
        <v>6279</v>
      </c>
      <c r="Q654" s="890">
        <v>4</v>
      </c>
    </row>
    <row r="655" spans="2:17">
      <c r="B655" s="890" t="s">
        <v>6759</v>
      </c>
      <c r="C655" s="890">
        <v>8</v>
      </c>
      <c r="D655" s="556"/>
      <c r="H655" s="890" t="s">
        <v>6760</v>
      </c>
      <c r="I655" s="890">
        <v>3</v>
      </c>
      <c r="K655" s="890" t="s">
        <v>6577</v>
      </c>
      <c r="L655" s="890">
        <v>2</v>
      </c>
      <c r="P655" s="890" t="s">
        <v>6281</v>
      </c>
      <c r="Q655" s="890">
        <v>4</v>
      </c>
    </row>
    <row r="656" spans="2:17">
      <c r="B656" s="890" t="s">
        <v>6761</v>
      </c>
      <c r="C656" s="890">
        <v>8</v>
      </c>
      <c r="D656" s="556"/>
      <c r="K656" s="890" t="s">
        <v>6580</v>
      </c>
      <c r="L656" s="890">
        <v>2</v>
      </c>
      <c r="P656" s="890" t="s">
        <v>6282</v>
      </c>
      <c r="Q656" s="890">
        <v>2</v>
      </c>
    </row>
    <row r="657" spans="2:17">
      <c r="B657" s="890" t="s">
        <v>6762</v>
      </c>
      <c r="C657" s="890">
        <v>8</v>
      </c>
      <c r="D657" s="556"/>
      <c r="K657" s="890" t="s">
        <v>6763</v>
      </c>
      <c r="L657" s="890">
        <v>2</v>
      </c>
      <c r="P657" s="890" t="s">
        <v>6364</v>
      </c>
      <c r="Q657" s="890">
        <v>1</v>
      </c>
    </row>
    <row r="658" spans="2:17">
      <c r="B658" s="890" t="s">
        <v>6546</v>
      </c>
      <c r="C658" s="890">
        <v>8</v>
      </c>
      <c r="D658" s="556"/>
      <c r="K658" s="890" t="s">
        <v>6449</v>
      </c>
      <c r="L658" s="890">
        <v>1</v>
      </c>
      <c r="P658" s="890" t="s">
        <v>6287</v>
      </c>
      <c r="Q658" s="890">
        <v>2</v>
      </c>
    </row>
    <row r="659" spans="2:17">
      <c r="B659" s="890" t="s">
        <v>6764</v>
      </c>
      <c r="C659" s="890">
        <v>8</v>
      </c>
      <c r="D659" s="556"/>
      <c r="K659" s="890" t="s">
        <v>6765</v>
      </c>
      <c r="L659" s="890">
        <v>2</v>
      </c>
      <c r="P659" s="890" t="s">
        <v>6289</v>
      </c>
      <c r="Q659" s="890">
        <v>1</v>
      </c>
    </row>
    <row r="660" spans="2:17">
      <c r="B660" s="890" t="s">
        <v>6766</v>
      </c>
      <c r="C660" s="890">
        <v>10</v>
      </c>
      <c r="D660" s="556"/>
      <c r="K660" s="890" t="s">
        <v>6593</v>
      </c>
      <c r="L660" s="890">
        <v>3</v>
      </c>
      <c r="P660" s="890" t="s">
        <v>6489</v>
      </c>
      <c r="Q660" s="890">
        <v>2</v>
      </c>
    </row>
    <row r="661" spans="2:17">
      <c r="B661" s="890" t="s">
        <v>6767</v>
      </c>
      <c r="C661" s="890">
        <v>10</v>
      </c>
      <c r="D661" s="556"/>
      <c r="K661" s="890" t="s">
        <v>6452</v>
      </c>
      <c r="L661" s="890">
        <v>4</v>
      </c>
      <c r="P661" s="890" t="s">
        <v>6301</v>
      </c>
      <c r="Q661" s="890">
        <v>3</v>
      </c>
    </row>
    <row r="662" spans="2:17">
      <c r="B662" s="890" t="s">
        <v>6768</v>
      </c>
      <c r="C662" s="890">
        <v>8</v>
      </c>
      <c r="D662" s="556"/>
      <c r="K662" s="890" t="s">
        <v>6769</v>
      </c>
      <c r="L662" s="890">
        <v>1</v>
      </c>
      <c r="P662" s="890" t="s">
        <v>6303</v>
      </c>
      <c r="Q662" s="890">
        <v>4</v>
      </c>
    </row>
    <row r="663" spans="2:17">
      <c r="B663" s="890" t="s">
        <v>6548</v>
      </c>
      <c r="C663" s="890">
        <v>10</v>
      </c>
      <c r="D663" s="556"/>
      <c r="K663" s="890" t="s">
        <v>6457</v>
      </c>
      <c r="L663" s="890">
        <v>2</v>
      </c>
      <c r="P663" s="890" t="s">
        <v>6305</v>
      </c>
      <c r="Q663" s="890">
        <v>4</v>
      </c>
    </row>
    <row r="664" spans="2:17">
      <c r="B664" s="890" t="s">
        <v>6551</v>
      </c>
      <c r="C664" s="890">
        <v>8</v>
      </c>
      <c r="D664" s="556"/>
      <c r="K664" s="890" t="s">
        <v>6770</v>
      </c>
      <c r="L664" s="890">
        <v>2</v>
      </c>
      <c r="P664" s="890" t="s">
        <v>6307</v>
      </c>
      <c r="Q664" s="890">
        <v>4</v>
      </c>
    </row>
    <row r="665" spans="2:17">
      <c r="B665" s="890" t="s">
        <v>6771</v>
      </c>
      <c r="C665" s="890">
        <v>10</v>
      </c>
      <c r="D665" s="556"/>
      <c r="K665" s="890" t="s">
        <v>6463</v>
      </c>
      <c r="L665" s="890">
        <v>2</v>
      </c>
      <c r="P665" s="890" t="s">
        <v>6381</v>
      </c>
      <c r="Q665" s="890">
        <v>2</v>
      </c>
    </row>
    <row r="666" spans="2:17">
      <c r="B666" s="890" t="s">
        <v>6554</v>
      </c>
      <c r="C666" s="890">
        <v>10</v>
      </c>
      <c r="D666" s="556"/>
      <c r="K666" s="890" t="s">
        <v>6465</v>
      </c>
      <c r="L666" s="890">
        <v>4</v>
      </c>
      <c r="P666" s="890" t="s">
        <v>6314</v>
      </c>
      <c r="Q666" s="890">
        <v>1</v>
      </c>
    </row>
    <row r="667" spans="2:17">
      <c r="B667" s="890" t="s">
        <v>6772</v>
      </c>
      <c r="C667" s="890">
        <v>8</v>
      </c>
      <c r="D667" s="556"/>
      <c r="K667" s="890" t="s">
        <v>6471</v>
      </c>
      <c r="L667" s="890">
        <v>2</v>
      </c>
      <c r="P667" s="890" t="s">
        <v>6315</v>
      </c>
      <c r="Q667" s="890">
        <v>4</v>
      </c>
    </row>
    <row r="668" spans="2:17">
      <c r="B668" s="890" t="s">
        <v>6560</v>
      </c>
      <c r="C668" s="890">
        <v>8</v>
      </c>
      <c r="D668" s="556"/>
      <c r="K668" s="890" t="s">
        <v>6608</v>
      </c>
      <c r="L668" s="890">
        <v>3</v>
      </c>
      <c r="P668" s="890" t="s">
        <v>6317</v>
      </c>
      <c r="Q668" s="890">
        <v>1</v>
      </c>
    </row>
    <row r="669" spans="2:17">
      <c r="B669" s="890" t="s">
        <v>6773</v>
      </c>
      <c r="C669" s="890">
        <v>10</v>
      </c>
      <c r="D669" s="556"/>
      <c r="K669" s="890" t="s">
        <v>6610</v>
      </c>
      <c r="L669" s="890">
        <v>2</v>
      </c>
      <c r="P669" s="890" t="s">
        <v>6394</v>
      </c>
      <c r="Q669" s="890">
        <v>2</v>
      </c>
    </row>
    <row r="670" spans="2:17">
      <c r="B670" s="890" t="s">
        <v>6563</v>
      </c>
      <c r="C670" s="890">
        <v>10</v>
      </c>
      <c r="D670" s="556"/>
      <c r="K670" s="890" t="s">
        <v>6614</v>
      </c>
      <c r="L670" s="890">
        <v>2</v>
      </c>
      <c r="P670" s="890" t="s">
        <v>6329</v>
      </c>
      <c r="Q670" s="890">
        <v>1</v>
      </c>
    </row>
    <row r="671" spans="2:17">
      <c r="B671" s="890" t="s">
        <v>6774</v>
      </c>
      <c r="C671" s="890">
        <v>8</v>
      </c>
      <c r="D671" s="556"/>
      <c r="K671" s="890" t="s">
        <v>6616</v>
      </c>
      <c r="L671" s="890">
        <v>3</v>
      </c>
      <c r="P671" s="890" t="s">
        <v>6516</v>
      </c>
      <c r="Q671" s="890">
        <v>4</v>
      </c>
    </row>
    <row r="672" spans="2:17">
      <c r="B672" s="890" t="s">
        <v>6775</v>
      </c>
      <c r="C672" s="890">
        <v>10</v>
      </c>
      <c r="D672" s="556"/>
      <c r="K672" s="890" t="s">
        <v>6473</v>
      </c>
      <c r="L672" s="890">
        <v>2</v>
      </c>
      <c r="P672" s="890" t="s">
        <v>6776</v>
      </c>
      <c r="Q672" s="890">
        <v>3</v>
      </c>
    </row>
    <row r="673" spans="2:17">
      <c r="B673" s="890" t="s">
        <v>6565</v>
      </c>
      <c r="C673" s="890">
        <v>8</v>
      </c>
      <c r="D673" s="556"/>
      <c r="K673" s="890" t="s">
        <v>6620</v>
      </c>
      <c r="L673" s="890">
        <v>2</v>
      </c>
      <c r="P673" s="890" t="s">
        <v>6330</v>
      </c>
      <c r="Q673" s="890">
        <v>2</v>
      </c>
    </row>
    <row r="674" spans="2:17">
      <c r="B674" s="890" t="s">
        <v>6573</v>
      </c>
      <c r="C674" s="890">
        <v>8</v>
      </c>
      <c r="D674" s="556"/>
      <c r="K674" s="890" t="s">
        <v>6622</v>
      </c>
      <c r="L674" s="890">
        <v>4</v>
      </c>
      <c r="P674" s="890" t="s">
        <v>6331</v>
      </c>
      <c r="Q674" s="890">
        <v>4</v>
      </c>
    </row>
    <row r="675" spans="2:17">
      <c r="B675" s="890" t="s">
        <v>6777</v>
      </c>
      <c r="C675" s="890">
        <v>8</v>
      </c>
      <c r="D675" s="556"/>
      <c r="K675" s="890" t="s">
        <v>6476</v>
      </c>
      <c r="L675" s="890">
        <v>2</v>
      </c>
      <c r="P675" s="890" t="s">
        <v>6398</v>
      </c>
      <c r="Q675" s="890">
        <v>1</v>
      </c>
    </row>
    <row r="676" spans="2:17">
      <c r="B676" s="890" t="s">
        <v>6778</v>
      </c>
      <c r="C676" s="890">
        <v>8</v>
      </c>
      <c r="D676" s="556"/>
      <c r="K676" s="890" t="s">
        <v>6630</v>
      </c>
      <c r="L676" s="890">
        <v>1</v>
      </c>
      <c r="P676" s="890" t="s">
        <v>6400</v>
      </c>
      <c r="Q676" s="890">
        <v>2</v>
      </c>
    </row>
    <row r="677" spans="2:17">
      <c r="B677" s="890" t="s">
        <v>6779</v>
      </c>
      <c r="C677" s="890">
        <v>8</v>
      </c>
      <c r="D677" s="556"/>
      <c r="K677" s="890" t="s">
        <v>6632</v>
      </c>
      <c r="L677" s="890">
        <v>4</v>
      </c>
      <c r="P677" s="890" t="s">
        <v>6402</v>
      </c>
      <c r="Q677" s="890">
        <v>2</v>
      </c>
    </row>
    <row r="678" spans="2:17">
      <c r="B678" s="890" t="s">
        <v>6780</v>
      </c>
      <c r="C678" s="890">
        <v>8</v>
      </c>
      <c r="D678" s="556"/>
      <c r="K678" s="890" t="s">
        <v>6635</v>
      </c>
      <c r="L678" s="890">
        <v>4</v>
      </c>
      <c r="P678" s="890" t="s">
        <v>6523</v>
      </c>
      <c r="Q678" s="890">
        <v>1</v>
      </c>
    </row>
    <row r="679" spans="2:17">
      <c r="B679" s="890" t="s">
        <v>6781</v>
      </c>
      <c r="C679" s="890">
        <v>8</v>
      </c>
      <c r="D679" s="556"/>
      <c r="K679" s="890" t="s">
        <v>6782</v>
      </c>
      <c r="L679" s="890">
        <v>2</v>
      </c>
      <c r="P679" s="890" t="s">
        <v>6527</v>
      </c>
      <c r="Q679" s="890">
        <v>1</v>
      </c>
    </row>
    <row r="680" spans="2:17">
      <c r="B680" s="890" t="s">
        <v>6783</v>
      </c>
      <c r="C680" s="890">
        <v>8</v>
      </c>
      <c r="D680" s="556"/>
      <c r="K680" s="890" t="s">
        <v>6637</v>
      </c>
      <c r="L680" s="890">
        <v>4</v>
      </c>
      <c r="P680" s="890" t="s">
        <v>6531</v>
      </c>
      <c r="Q680" s="890">
        <v>1</v>
      </c>
    </row>
    <row r="681" spans="2:17">
      <c r="B681" s="890" t="s">
        <v>6784</v>
      </c>
      <c r="C681" s="890">
        <v>8</v>
      </c>
      <c r="D681" s="556"/>
      <c r="K681" s="890" t="s">
        <v>6785</v>
      </c>
      <c r="L681" s="890">
        <v>2</v>
      </c>
      <c r="P681" s="890" t="s">
        <v>6405</v>
      </c>
      <c r="Q681" s="890">
        <v>2</v>
      </c>
    </row>
    <row r="682" spans="2:17">
      <c r="B682" s="890" t="s">
        <v>6592</v>
      </c>
      <c r="C682" s="890">
        <v>10</v>
      </c>
      <c r="D682" s="556"/>
      <c r="K682" s="890" t="s">
        <v>6486</v>
      </c>
      <c r="L682" s="890">
        <v>4</v>
      </c>
      <c r="P682" s="890" t="s">
        <v>6535</v>
      </c>
      <c r="Q682" s="890">
        <v>1</v>
      </c>
    </row>
    <row r="683" spans="2:17">
      <c r="B683" s="890" t="s">
        <v>6597</v>
      </c>
      <c r="C683" s="890">
        <v>8</v>
      </c>
      <c r="D683" s="556"/>
      <c r="K683" s="890" t="s">
        <v>6487</v>
      </c>
      <c r="L683" s="890">
        <v>3</v>
      </c>
      <c r="P683" s="890" t="s">
        <v>6407</v>
      </c>
      <c r="Q683" s="890">
        <v>2</v>
      </c>
    </row>
    <row r="684" spans="2:17">
      <c r="B684" s="890" t="s">
        <v>6786</v>
      </c>
      <c r="C684" s="890">
        <v>8</v>
      </c>
      <c r="D684" s="556"/>
      <c r="K684" s="890" t="s">
        <v>6491</v>
      </c>
      <c r="L684" s="890">
        <v>3</v>
      </c>
      <c r="P684" s="890" t="s">
        <v>6409</v>
      </c>
      <c r="Q684" s="890">
        <v>1</v>
      </c>
    </row>
    <row r="685" spans="2:17">
      <c r="B685" s="890" t="s">
        <v>6787</v>
      </c>
      <c r="C685" s="890">
        <v>8</v>
      </c>
      <c r="D685" s="556"/>
      <c r="K685" s="890" t="s">
        <v>6651</v>
      </c>
      <c r="L685" s="890">
        <v>3</v>
      </c>
      <c r="P685" s="890" t="s">
        <v>6788</v>
      </c>
      <c r="Q685" s="890">
        <v>2</v>
      </c>
    </row>
    <row r="686" spans="2:17">
      <c r="B686" s="890" t="s">
        <v>6603</v>
      </c>
      <c r="C686" s="890">
        <v>8</v>
      </c>
      <c r="D686" s="556"/>
      <c r="K686" s="890" t="s">
        <v>6494</v>
      </c>
      <c r="L686" s="890">
        <v>2</v>
      </c>
      <c r="P686" s="890" t="s">
        <v>6417</v>
      </c>
      <c r="Q686" s="890">
        <v>1</v>
      </c>
    </row>
    <row r="687" spans="2:17">
      <c r="B687" s="890" t="s">
        <v>6789</v>
      </c>
      <c r="C687" s="890">
        <v>8</v>
      </c>
      <c r="D687" s="556"/>
      <c r="K687" s="890" t="s">
        <v>6496</v>
      </c>
      <c r="L687" s="890">
        <v>4</v>
      </c>
      <c r="P687" s="890" t="s">
        <v>6419</v>
      </c>
      <c r="Q687" s="890">
        <v>2</v>
      </c>
    </row>
    <row r="688" spans="2:17">
      <c r="B688" s="890" t="s">
        <v>6605</v>
      </c>
      <c r="C688" s="890">
        <v>8</v>
      </c>
      <c r="D688" s="556"/>
      <c r="K688" s="890" t="s">
        <v>6498</v>
      </c>
      <c r="L688" s="890">
        <v>4</v>
      </c>
      <c r="P688" s="890" t="s">
        <v>6421</v>
      </c>
      <c r="Q688" s="890">
        <v>1</v>
      </c>
    </row>
    <row r="689" spans="2:17">
      <c r="B689" s="890" t="s">
        <v>6790</v>
      </c>
      <c r="C689" s="890">
        <v>8</v>
      </c>
      <c r="D689" s="556"/>
      <c r="K689" s="890" t="s">
        <v>6504</v>
      </c>
      <c r="L689" s="890">
        <v>1</v>
      </c>
      <c r="P689" s="890" t="s">
        <v>6549</v>
      </c>
      <c r="Q689" s="890">
        <v>2</v>
      </c>
    </row>
    <row r="690" spans="2:17">
      <c r="B690" s="890" t="s">
        <v>6606</v>
      </c>
      <c r="C690" s="890">
        <v>8</v>
      </c>
      <c r="D690" s="556"/>
      <c r="K690" s="890" t="s">
        <v>6666</v>
      </c>
      <c r="L690" s="890">
        <v>2</v>
      </c>
      <c r="P690" s="890" t="s">
        <v>6555</v>
      </c>
      <c r="Q690" s="890">
        <v>1</v>
      </c>
    </row>
    <row r="691" spans="2:17">
      <c r="B691" s="890" t="s">
        <v>6791</v>
      </c>
      <c r="C691" s="890">
        <v>10</v>
      </c>
      <c r="D691" s="556"/>
      <c r="K691" s="890" t="s">
        <v>6668</v>
      </c>
      <c r="L691" s="890">
        <v>4</v>
      </c>
      <c r="P691" s="890" t="s">
        <v>6334</v>
      </c>
      <c r="Q691" s="890">
        <v>2</v>
      </c>
    </row>
    <row r="692" spans="2:17">
      <c r="B692" s="890" t="s">
        <v>6792</v>
      </c>
      <c r="C692" s="890">
        <v>10</v>
      </c>
      <c r="D692" s="556"/>
      <c r="K692" s="890" t="s">
        <v>6793</v>
      </c>
      <c r="L692" s="890">
        <v>2</v>
      </c>
      <c r="P692" s="890" t="s">
        <v>6558</v>
      </c>
      <c r="Q692" s="890">
        <v>4</v>
      </c>
    </row>
    <row r="693" spans="2:17">
      <c r="B693" s="890" t="s">
        <v>6794</v>
      </c>
      <c r="C693" s="890">
        <v>8</v>
      </c>
      <c r="D693" s="556"/>
      <c r="K693" s="890" t="s">
        <v>6795</v>
      </c>
      <c r="L693" s="890">
        <v>3</v>
      </c>
      <c r="P693" s="890" t="s">
        <v>6561</v>
      </c>
      <c r="Q693" s="890">
        <v>4</v>
      </c>
    </row>
    <row r="694" spans="2:17">
      <c r="B694" s="890" t="s">
        <v>6609</v>
      </c>
      <c r="C694" s="890">
        <v>10</v>
      </c>
      <c r="D694" s="556"/>
      <c r="K694" s="890" t="s">
        <v>6796</v>
      </c>
      <c r="L694" s="890">
        <v>3</v>
      </c>
      <c r="P694" s="890" t="s">
        <v>6797</v>
      </c>
      <c r="Q694" s="890">
        <v>4</v>
      </c>
    </row>
    <row r="695" spans="2:17">
      <c r="B695" s="890" t="s">
        <v>6613</v>
      </c>
      <c r="C695" s="890">
        <v>10</v>
      </c>
      <c r="D695" s="556"/>
      <c r="K695" s="890" t="s">
        <v>6798</v>
      </c>
      <c r="L695" s="890">
        <v>4</v>
      </c>
      <c r="P695" s="890" t="s">
        <v>6799</v>
      </c>
      <c r="Q695" s="890">
        <v>1</v>
      </c>
    </row>
    <row r="696" spans="2:17">
      <c r="B696" s="890" t="s">
        <v>6800</v>
      </c>
      <c r="C696" s="890">
        <v>8</v>
      </c>
      <c r="D696" s="556"/>
      <c r="K696" s="890" t="s">
        <v>6680</v>
      </c>
      <c r="L696" s="890">
        <v>3</v>
      </c>
      <c r="P696" s="890" t="s">
        <v>6801</v>
      </c>
      <c r="Q696" s="890">
        <v>1</v>
      </c>
    </row>
    <row r="697" spans="2:17">
      <c r="B697" s="890" t="s">
        <v>6802</v>
      </c>
      <c r="C697" s="890">
        <v>8</v>
      </c>
      <c r="D697" s="556"/>
      <c r="K697" s="890" t="s">
        <v>6682</v>
      </c>
      <c r="L697" s="890">
        <v>2</v>
      </c>
      <c r="P697" s="890" t="s">
        <v>6566</v>
      </c>
      <c r="Q697" s="890">
        <v>2</v>
      </c>
    </row>
    <row r="698" spans="2:17">
      <c r="B698" s="890" t="s">
        <v>6621</v>
      </c>
      <c r="C698" s="890">
        <v>10</v>
      </c>
      <c r="D698" s="556"/>
      <c r="K698" s="890" t="s">
        <v>6803</v>
      </c>
      <c r="L698" s="890">
        <v>4</v>
      </c>
      <c r="P698" s="890" t="s">
        <v>6335</v>
      </c>
      <c r="Q698" s="890">
        <v>1</v>
      </c>
    </row>
    <row r="699" spans="2:17">
      <c r="B699" s="890" t="s">
        <v>6623</v>
      </c>
      <c r="C699" s="890">
        <v>10</v>
      </c>
      <c r="D699" s="556"/>
      <c r="K699" s="890" t="s">
        <v>6685</v>
      </c>
      <c r="L699" s="890">
        <v>2</v>
      </c>
      <c r="P699" s="890" t="s">
        <v>6338</v>
      </c>
      <c r="Q699" s="890">
        <v>4</v>
      </c>
    </row>
    <row r="700" spans="2:17">
      <c r="B700" s="890" t="s">
        <v>6626</v>
      </c>
      <c r="C700" s="890">
        <v>8</v>
      </c>
      <c r="D700" s="556"/>
      <c r="K700" s="890" t="s">
        <v>6688</v>
      </c>
      <c r="L700" s="890">
        <v>2</v>
      </c>
      <c r="P700" s="890" t="s">
        <v>6576</v>
      </c>
      <c r="Q700" s="890">
        <v>4</v>
      </c>
    </row>
    <row r="701" spans="2:17">
      <c r="B701" s="890" t="s">
        <v>6804</v>
      </c>
      <c r="C701" s="890">
        <v>10</v>
      </c>
      <c r="D701" s="556"/>
      <c r="K701" s="890" t="s">
        <v>6507</v>
      </c>
      <c r="L701" s="890">
        <v>2</v>
      </c>
      <c r="P701" s="890" t="s">
        <v>6805</v>
      </c>
      <c r="Q701" s="890">
        <v>3</v>
      </c>
    </row>
    <row r="702" spans="2:17">
      <c r="B702" s="890" t="s">
        <v>6628</v>
      </c>
      <c r="C702" s="890">
        <v>10</v>
      </c>
      <c r="D702" s="556"/>
      <c r="K702" s="890" t="s">
        <v>6691</v>
      </c>
      <c r="L702" s="890">
        <v>4</v>
      </c>
      <c r="P702" s="890" t="s">
        <v>6806</v>
      </c>
      <c r="Q702" s="890">
        <v>2</v>
      </c>
    </row>
    <row r="703" spans="2:17">
      <c r="B703" s="890" t="s">
        <v>6633</v>
      </c>
      <c r="C703" s="890">
        <v>8</v>
      </c>
      <c r="D703" s="556"/>
      <c r="K703" s="890" t="s">
        <v>6693</v>
      </c>
      <c r="L703" s="890">
        <v>2</v>
      </c>
      <c r="P703" s="890" t="s">
        <v>6435</v>
      </c>
      <c r="Q703" s="890">
        <v>1</v>
      </c>
    </row>
    <row r="704" spans="2:17">
      <c r="B704" s="890" t="s">
        <v>6807</v>
      </c>
      <c r="C704" s="890">
        <v>10</v>
      </c>
      <c r="D704" s="556"/>
      <c r="K704" s="890" t="s">
        <v>6808</v>
      </c>
      <c r="L704" s="890">
        <v>2</v>
      </c>
      <c r="P704" s="890" t="s">
        <v>6345</v>
      </c>
      <c r="Q704" s="890">
        <v>4</v>
      </c>
    </row>
    <row r="705" spans="2:17">
      <c r="B705" s="890" t="s">
        <v>6809</v>
      </c>
      <c r="C705" s="890">
        <v>8</v>
      </c>
      <c r="D705" s="556"/>
      <c r="K705" s="890" t="s">
        <v>6508</v>
      </c>
      <c r="L705" s="890">
        <v>1</v>
      </c>
      <c r="P705" s="890" t="s">
        <v>6579</v>
      </c>
      <c r="Q705" s="890">
        <v>1</v>
      </c>
    </row>
    <row r="706" spans="2:17">
      <c r="B706" s="890" t="s">
        <v>6810</v>
      </c>
      <c r="C706" s="890">
        <v>10</v>
      </c>
      <c r="D706" s="556"/>
      <c r="K706" s="890" t="s">
        <v>6811</v>
      </c>
      <c r="L706" s="890">
        <v>4</v>
      </c>
      <c r="P706" s="890" t="s">
        <v>6812</v>
      </c>
      <c r="Q706" s="890">
        <v>1</v>
      </c>
    </row>
    <row r="707" spans="2:17">
      <c r="B707" s="890" t="s">
        <v>6813</v>
      </c>
      <c r="C707" s="890">
        <v>8</v>
      </c>
      <c r="D707" s="556"/>
      <c r="K707" s="890" t="s">
        <v>6510</v>
      </c>
      <c r="L707" s="890">
        <v>4</v>
      </c>
      <c r="P707" s="890" t="s">
        <v>6348</v>
      </c>
      <c r="Q707" s="890">
        <v>3</v>
      </c>
    </row>
    <row r="708" spans="2:17">
      <c r="B708" s="890" t="s">
        <v>6636</v>
      </c>
      <c r="C708" s="890">
        <v>8</v>
      </c>
      <c r="D708" s="556"/>
      <c r="K708" s="890" t="s">
        <v>6706</v>
      </c>
      <c r="L708" s="890">
        <v>3</v>
      </c>
      <c r="P708" s="890" t="s">
        <v>6349</v>
      </c>
      <c r="Q708" s="890">
        <v>4</v>
      </c>
    </row>
    <row r="709" spans="2:17">
      <c r="B709" s="890" t="s">
        <v>6638</v>
      </c>
      <c r="C709" s="890">
        <v>8</v>
      </c>
      <c r="D709" s="556"/>
      <c r="K709" s="890" t="s">
        <v>6814</v>
      </c>
      <c r="L709" s="890">
        <v>3</v>
      </c>
      <c r="P709" s="890" t="s">
        <v>6584</v>
      </c>
      <c r="Q709" s="890">
        <v>4</v>
      </c>
    </row>
    <row r="710" spans="2:17">
      <c r="B710" s="890" t="s">
        <v>6641</v>
      </c>
      <c r="C710" s="890">
        <v>10</v>
      </c>
      <c r="D710" s="556"/>
      <c r="K710" s="890" t="s">
        <v>6708</v>
      </c>
      <c r="L710" s="890">
        <v>2</v>
      </c>
      <c r="P710" s="890" t="s">
        <v>6587</v>
      </c>
      <c r="Q710" s="890">
        <v>4</v>
      </c>
    </row>
    <row r="711" spans="2:17">
      <c r="B711" s="890" t="s">
        <v>6815</v>
      </c>
      <c r="C711" s="890">
        <v>8</v>
      </c>
      <c r="D711" s="556"/>
      <c r="K711" s="890" t="s">
        <v>6710</v>
      </c>
      <c r="L711" s="890">
        <v>3</v>
      </c>
      <c r="P711" s="890" t="s">
        <v>6591</v>
      </c>
      <c r="Q711" s="890">
        <v>2</v>
      </c>
    </row>
    <row r="712" spans="2:17">
      <c r="B712" s="890" t="s">
        <v>6816</v>
      </c>
      <c r="C712" s="890">
        <v>8</v>
      </c>
      <c r="D712" s="556"/>
      <c r="K712" s="890" t="s">
        <v>6717</v>
      </c>
      <c r="L712" s="890">
        <v>3</v>
      </c>
      <c r="P712" s="890" t="s">
        <v>6350</v>
      </c>
      <c r="Q712" s="890">
        <v>2</v>
      </c>
    </row>
    <row r="713" spans="2:17">
      <c r="B713" s="890" t="s">
        <v>6650</v>
      </c>
      <c r="C713" s="890">
        <v>8</v>
      </c>
      <c r="D713" s="556"/>
      <c r="K713" s="890" t="s">
        <v>6817</v>
      </c>
      <c r="L713" s="890">
        <v>2</v>
      </c>
      <c r="P713" s="890" t="s">
        <v>6595</v>
      </c>
      <c r="Q713" s="890">
        <v>4</v>
      </c>
    </row>
    <row r="714" spans="2:17">
      <c r="B714" s="890" t="s">
        <v>6818</v>
      </c>
      <c r="C714" s="890">
        <v>8</v>
      </c>
      <c r="D714" s="556"/>
      <c r="K714" s="890" t="s">
        <v>6819</v>
      </c>
      <c r="L714" s="890">
        <v>2</v>
      </c>
      <c r="P714" s="890" t="s">
        <v>6437</v>
      </c>
      <c r="Q714" s="890">
        <v>2</v>
      </c>
    </row>
    <row r="715" spans="2:17">
      <c r="B715" s="890" t="s">
        <v>6820</v>
      </c>
      <c r="C715" s="890">
        <v>8</v>
      </c>
      <c r="D715" s="556"/>
      <c r="K715" s="890" t="s">
        <v>6821</v>
      </c>
      <c r="L715" s="890">
        <v>1</v>
      </c>
      <c r="P715" s="890" t="s">
        <v>6354</v>
      </c>
      <c r="Q715" s="890">
        <v>2</v>
      </c>
    </row>
    <row r="716" spans="2:17">
      <c r="B716" s="890" t="s">
        <v>6654</v>
      </c>
      <c r="C716" s="890">
        <v>8</v>
      </c>
      <c r="D716" s="556"/>
      <c r="K716" s="890" t="s">
        <v>6515</v>
      </c>
      <c r="L716" s="890">
        <v>4</v>
      </c>
      <c r="P716" s="890" t="s">
        <v>6599</v>
      </c>
      <c r="Q716" s="890">
        <v>1</v>
      </c>
    </row>
    <row r="717" spans="2:17">
      <c r="B717" s="890" t="s">
        <v>6822</v>
      </c>
      <c r="C717" s="890">
        <v>8</v>
      </c>
      <c r="D717" s="556"/>
      <c r="K717" s="890" t="s">
        <v>6719</v>
      </c>
      <c r="L717" s="890">
        <v>3</v>
      </c>
      <c r="P717" s="890" t="s">
        <v>6601</v>
      </c>
      <c r="Q717" s="890">
        <v>2</v>
      </c>
    </row>
    <row r="718" spans="2:17">
      <c r="B718" s="890" t="s">
        <v>6823</v>
      </c>
      <c r="C718" s="890">
        <v>8</v>
      </c>
      <c r="D718" s="556"/>
      <c r="K718" s="890" t="s">
        <v>6518</v>
      </c>
      <c r="L718" s="890">
        <v>2</v>
      </c>
      <c r="P718" s="890" t="s">
        <v>6824</v>
      </c>
      <c r="Q718" s="890">
        <v>4</v>
      </c>
    </row>
    <row r="719" spans="2:17">
      <c r="B719" s="890" t="s">
        <v>6825</v>
      </c>
      <c r="C719" s="890">
        <v>10</v>
      </c>
      <c r="D719" s="556"/>
      <c r="K719" s="890" t="s">
        <v>6522</v>
      </c>
      <c r="L719" s="890">
        <v>4</v>
      </c>
      <c r="P719" s="890" t="s">
        <v>6441</v>
      </c>
      <c r="Q719" s="890">
        <v>1</v>
      </c>
    </row>
    <row r="720" spans="2:17">
      <c r="B720" s="890" t="s">
        <v>6826</v>
      </c>
      <c r="C720" s="890">
        <v>8</v>
      </c>
      <c r="D720" s="556"/>
      <c r="K720" s="890" t="s">
        <v>6725</v>
      </c>
      <c r="L720" s="890">
        <v>3</v>
      </c>
      <c r="P720" s="890" t="s">
        <v>6444</v>
      </c>
      <c r="Q720" s="890">
        <v>4</v>
      </c>
    </row>
    <row r="721" spans="2:17">
      <c r="B721" s="890" t="s">
        <v>6658</v>
      </c>
      <c r="C721" s="890">
        <v>10</v>
      </c>
      <c r="D721" s="556"/>
      <c r="K721" s="890" t="s">
        <v>6827</v>
      </c>
      <c r="L721" s="890">
        <v>1</v>
      </c>
      <c r="P721" s="890" t="s">
        <v>6446</v>
      </c>
      <c r="Q721" s="890">
        <v>3</v>
      </c>
    </row>
    <row r="722" spans="2:17">
      <c r="B722" s="890" t="s">
        <v>6828</v>
      </c>
      <c r="C722" s="890">
        <v>10</v>
      </c>
      <c r="D722" s="556"/>
      <c r="K722" s="890" t="s">
        <v>6829</v>
      </c>
      <c r="L722" s="890">
        <v>2</v>
      </c>
      <c r="P722" s="890" t="s">
        <v>6355</v>
      </c>
      <c r="Q722" s="890">
        <v>4</v>
      </c>
    </row>
    <row r="723" spans="2:17">
      <c r="B723" s="890" t="s">
        <v>6830</v>
      </c>
      <c r="C723" s="890">
        <v>8</v>
      </c>
      <c r="D723" s="556"/>
      <c r="K723" s="890" t="s">
        <v>6727</v>
      </c>
      <c r="L723" s="890">
        <v>4</v>
      </c>
      <c r="P723" s="890" t="s">
        <v>6448</v>
      </c>
      <c r="Q723" s="890">
        <v>1</v>
      </c>
    </row>
    <row r="724" spans="2:17">
      <c r="B724" s="890" t="s">
        <v>6831</v>
      </c>
      <c r="C724" s="890">
        <v>8</v>
      </c>
      <c r="D724" s="556"/>
      <c r="K724" s="890" t="s">
        <v>6524</v>
      </c>
      <c r="L724" s="890">
        <v>2</v>
      </c>
      <c r="P724" s="890" t="s">
        <v>6450</v>
      </c>
      <c r="Q724" s="890">
        <v>1</v>
      </c>
    </row>
    <row r="725" spans="2:17">
      <c r="B725" s="890" t="s">
        <v>6661</v>
      </c>
      <c r="C725" s="890">
        <v>10</v>
      </c>
      <c r="D725" s="556"/>
      <c r="K725" s="890" t="s">
        <v>6526</v>
      </c>
      <c r="L725" s="890">
        <v>2</v>
      </c>
      <c r="P725" s="890" t="s">
        <v>6358</v>
      </c>
      <c r="Q725" s="890">
        <v>4</v>
      </c>
    </row>
    <row r="726" spans="2:17">
      <c r="B726" s="890" t="s">
        <v>6690</v>
      </c>
      <c r="C726" s="890">
        <v>10</v>
      </c>
      <c r="D726" s="556"/>
      <c r="K726" s="890" t="s">
        <v>6530</v>
      </c>
      <c r="L726" s="890">
        <v>4</v>
      </c>
      <c r="P726" s="890" t="s">
        <v>6607</v>
      </c>
      <c r="Q726" s="890">
        <v>4</v>
      </c>
    </row>
    <row r="727" spans="2:17">
      <c r="B727" s="890" t="s">
        <v>6694</v>
      </c>
      <c r="C727" s="890">
        <v>8</v>
      </c>
      <c r="D727" s="556"/>
      <c r="K727" s="890" t="s">
        <v>6731</v>
      </c>
      <c r="L727" s="890">
        <v>2</v>
      </c>
      <c r="P727" s="890" t="s">
        <v>6453</v>
      </c>
      <c r="Q727" s="890">
        <v>1</v>
      </c>
    </row>
    <row r="728" spans="2:17">
      <c r="B728" s="890" t="s">
        <v>6832</v>
      </c>
      <c r="C728" s="890">
        <v>8</v>
      </c>
      <c r="K728" s="890" t="s">
        <v>6534</v>
      </c>
      <c r="L728" s="890">
        <v>4</v>
      </c>
      <c r="P728" s="890" t="s">
        <v>6456</v>
      </c>
      <c r="Q728" s="890">
        <v>2</v>
      </c>
    </row>
    <row r="729" spans="2:17">
      <c r="B729" s="890" t="s">
        <v>6833</v>
      </c>
      <c r="C729" s="890">
        <v>10</v>
      </c>
      <c r="K729" s="890" t="s">
        <v>6734</v>
      </c>
      <c r="L729" s="890">
        <v>2</v>
      </c>
      <c r="P729" s="890" t="s">
        <v>6834</v>
      </c>
      <c r="Q729" s="890">
        <v>3</v>
      </c>
    </row>
    <row r="730" spans="2:17">
      <c r="B730" s="890" t="s">
        <v>6835</v>
      </c>
      <c r="C730" s="890">
        <v>10</v>
      </c>
      <c r="K730" s="890" t="s">
        <v>6736</v>
      </c>
      <c r="L730" s="890">
        <v>2</v>
      </c>
      <c r="P730" s="890" t="s">
        <v>6836</v>
      </c>
      <c r="Q730" s="890">
        <v>1</v>
      </c>
    </row>
    <row r="731" spans="2:17">
      <c r="B731" s="890" t="s">
        <v>6837</v>
      </c>
      <c r="C731" s="890">
        <v>8</v>
      </c>
      <c r="K731" s="890" t="s">
        <v>6738</v>
      </c>
      <c r="L731" s="890">
        <v>4</v>
      </c>
      <c r="P731" s="890" t="s">
        <v>6460</v>
      </c>
      <c r="Q731" s="890">
        <v>4</v>
      </c>
    </row>
    <row r="732" spans="2:17">
      <c r="B732" s="890" t="s">
        <v>6704</v>
      </c>
      <c r="C732" s="890">
        <v>10</v>
      </c>
      <c r="K732" s="890" t="s">
        <v>6740</v>
      </c>
      <c r="L732" s="890">
        <v>3</v>
      </c>
      <c r="P732" s="890" t="s">
        <v>6838</v>
      </c>
      <c r="Q732" s="890">
        <v>1</v>
      </c>
    </row>
    <row r="733" spans="2:17">
      <c r="B733" s="890" t="s">
        <v>6709</v>
      </c>
      <c r="C733" s="890">
        <v>10</v>
      </c>
      <c r="K733" s="890" t="s">
        <v>6744</v>
      </c>
      <c r="L733" s="890">
        <v>4</v>
      </c>
      <c r="P733" s="890" t="s">
        <v>6619</v>
      </c>
      <c r="Q733" s="890">
        <v>2</v>
      </c>
    </row>
    <row r="734" spans="2:17">
      <c r="B734" s="890" t="s">
        <v>6839</v>
      </c>
      <c r="C734" s="890">
        <v>10</v>
      </c>
      <c r="K734" s="890" t="s">
        <v>6840</v>
      </c>
      <c r="L734" s="890">
        <v>2</v>
      </c>
      <c r="P734" s="890" t="s">
        <v>6363</v>
      </c>
      <c r="Q734" s="890">
        <v>1</v>
      </c>
    </row>
    <row r="735" spans="2:17">
      <c r="B735" s="890" t="s">
        <v>6711</v>
      </c>
      <c r="C735" s="890">
        <v>8</v>
      </c>
      <c r="K735" s="890" t="s">
        <v>6746</v>
      </c>
      <c r="L735" s="890">
        <v>1</v>
      </c>
      <c r="P735" s="890" t="s">
        <v>6841</v>
      </c>
      <c r="Q735" s="890">
        <v>4</v>
      </c>
    </row>
    <row r="736" spans="2:17">
      <c r="B736" s="890" t="s">
        <v>6842</v>
      </c>
      <c r="C736" s="890">
        <v>10</v>
      </c>
      <c r="K736" s="890" t="s">
        <v>6537</v>
      </c>
      <c r="L736" s="890">
        <v>4</v>
      </c>
      <c r="P736" s="890" t="s">
        <v>6365</v>
      </c>
      <c r="Q736" s="890">
        <v>4</v>
      </c>
    </row>
    <row r="737" spans="2:17">
      <c r="B737" s="890" t="s">
        <v>6843</v>
      </c>
      <c r="C737" s="890">
        <v>10</v>
      </c>
      <c r="K737" s="890" t="s">
        <v>6540</v>
      </c>
      <c r="L737" s="890">
        <v>4</v>
      </c>
      <c r="P737" s="890" t="s">
        <v>6367</v>
      </c>
      <c r="Q737" s="890">
        <v>2</v>
      </c>
    </row>
    <row r="738" spans="2:17">
      <c r="B738" s="890" t="s">
        <v>6714</v>
      </c>
      <c r="C738" s="890">
        <v>8</v>
      </c>
      <c r="K738" s="890" t="s">
        <v>6543</v>
      </c>
      <c r="L738" s="890">
        <v>3</v>
      </c>
      <c r="P738" s="890" t="s">
        <v>6368</v>
      </c>
      <c r="Q738" s="890">
        <v>2</v>
      </c>
    </row>
    <row r="739" spans="2:17">
      <c r="B739" s="890" t="s">
        <v>6844</v>
      </c>
      <c r="C739" s="890">
        <v>8</v>
      </c>
      <c r="K739" s="890" t="s">
        <v>6845</v>
      </c>
      <c r="L739" s="890">
        <v>2</v>
      </c>
      <c r="P739" s="890" t="s">
        <v>6371</v>
      </c>
      <c r="Q739" s="890">
        <v>4</v>
      </c>
    </row>
    <row r="740" spans="2:17">
      <c r="B740" s="890" t="s">
        <v>6716</v>
      </c>
      <c r="C740" s="890">
        <v>8</v>
      </c>
      <c r="K740" s="890" t="s">
        <v>6846</v>
      </c>
      <c r="L740" s="890">
        <v>3</v>
      </c>
      <c r="P740" s="890" t="s">
        <v>6847</v>
      </c>
      <c r="Q740" s="890">
        <v>1</v>
      </c>
    </row>
    <row r="741" spans="2:17">
      <c r="B741" s="890" t="s">
        <v>6848</v>
      </c>
      <c r="C741" s="890">
        <v>8</v>
      </c>
      <c r="K741" s="890" t="s">
        <v>6762</v>
      </c>
      <c r="L741" s="890">
        <v>2</v>
      </c>
      <c r="P741" s="890" t="s">
        <v>6462</v>
      </c>
      <c r="Q741" s="890">
        <v>4</v>
      </c>
    </row>
    <row r="742" spans="2:17">
      <c r="B742" s="890" t="s">
        <v>6720</v>
      </c>
      <c r="C742" s="890">
        <v>10</v>
      </c>
      <c r="K742" s="890" t="s">
        <v>6764</v>
      </c>
      <c r="L742" s="890">
        <v>3</v>
      </c>
      <c r="P742" s="890" t="s">
        <v>6372</v>
      </c>
      <c r="Q742" s="890">
        <v>2</v>
      </c>
    </row>
    <row r="743" spans="2:17">
      <c r="B743" s="890" t="s">
        <v>6849</v>
      </c>
      <c r="C743" s="890">
        <v>8</v>
      </c>
      <c r="K743" s="890" t="s">
        <v>6766</v>
      </c>
      <c r="L743" s="890">
        <v>2</v>
      </c>
      <c r="P743" s="890" t="s">
        <v>6634</v>
      </c>
      <c r="Q743" s="890">
        <v>1</v>
      </c>
    </row>
    <row r="744" spans="2:17">
      <c r="B744" s="890" t="s">
        <v>6722</v>
      </c>
      <c r="C744" s="890">
        <v>10</v>
      </c>
      <c r="K744" s="890" t="s">
        <v>6768</v>
      </c>
      <c r="L744" s="890">
        <v>2</v>
      </c>
      <c r="P744" s="890" t="s">
        <v>6374</v>
      </c>
      <c r="Q744" s="890">
        <v>1</v>
      </c>
    </row>
    <row r="745" spans="2:17">
      <c r="B745" s="890" t="s">
        <v>6724</v>
      </c>
      <c r="C745" s="890">
        <v>10</v>
      </c>
      <c r="K745" s="890" t="s">
        <v>6548</v>
      </c>
      <c r="L745" s="890">
        <v>4</v>
      </c>
      <c r="P745" s="890" t="s">
        <v>6375</v>
      </c>
      <c r="Q745" s="890">
        <v>3</v>
      </c>
    </row>
    <row r="746" spans="2:17">
      <c r="B746" s="890" t="s">
        <v>6726</v>
      </c>
      <c r="C746" s="890">
        <v>8</v>
      </c>
      <c r="K746" s="890" t="s">
        <v>6850</v>
      </c>
      <c r="L746" s="890">
        <v>3</v>
      </c>
      <c r="P746" s="890" t="s">
        <v>6376</v>
      </c>
      <c r="Q746" s="890">
        <v>1</v>
      </c>
    </row>
    <row r="747" spans="2:17">
      <c r="B747" s="890" t="s">
        <v>6730</v>
      </c>
      <c r="C747" s="890">
        <v>8</v>
      </c>
      <c r="K747" s="890" t="s">
        <v>6551</v>
      </c>
      <c r="L747" s="890">
        <v>4</v>
      </c>
      <c r="P747" s="890" t="s">
        <v>6378</v>
      </c>
      <c r="Q747" s="890">
        <v>1</v>
      </c>
    </row>
    <row r="748" spans="2:17">
      <c r="B748" s="890" t="s">
        <v>6851</v>
      </c>
      <c r="C748" s="890">
        <v>8</v>
      </c>
      <c r="K748" s="890" t="s">
        <v>6852</v>
      </c>
      <c r="L748" s="890">
        <v>2</v>
      </c>
      <c r="P748" s="890" t="s">
        <v>6468</v>
      </c>
      <c r="Q748" s="890">
        <v>1</v>
      </c>
    </row>
    <row r="749" spans="2:17">
      <c r="B749" s="890" t="s">
        <v>6853</v>
      </c>
      <c r="C749" s="890">
        <v>10</v>
      </c>
      <c r="K749" s="890" t="s">
        <v>6552</v>
      </c>
      <c r="L749" s="890">
        <v>3</v>
      </c>
      <c r="P749" s="890" t="s">
        <v>6379</v>
      </c>
      <c r="Q749" s="890">
        <v>4</v>
      </c>
    </row>
    <row r="750" spans="2:17">
      <c r="B750" s="890" t="s">
        <v>6854</v>
      </c>
      <c r="C750" s="890">
        <v>8</v>
      </c>
      <c r="K750" s="890" t="s">
        <v>6771</v>
      </c>
      <c r="L750" s="890">
        <v>2</v>
      </c>
      <c r="P750" s="890" t="s">
        <v>6382</v>
      </c>
      <c r="Q750" s="890">
        <v>4</v>
      </c>
    </row>
    <row r="751" spans="2:17">
      <c r="B751" s="890" t="s">
        <v>6732</v>
      </c>
      <c r="C751" s="890">
        <v>8</v>
      </c>
      <c r="K751" s="890" t="s">
        <v>6557</v>
      </c>
      <c r="L751" s="890">
        <v>2</v>
      </c>
      <c r="P751" s="890" t="s">
        <v>6383</v>
      </c>
      <c r="Q751" s="890">
        <v>4</v>
      </c>
    </row>
    <row r="752" spans="2:17">
      <c r="B752" s="890" t="s">
        <v>6855</v>
      </c>
      <c r="C752" s="890">
        <v>8</v>
      </c>
      <c r="K752" s="890" t="s">
        <v>6772</v>
      </c>
      <c r="L752" s="890">
        <v>4</v>
      </c>
      <c r="P752" s="890" t="s">
        <v>6653</v>
      </c>
      <c r="Q752" s="890">
        <v>2</v>
      </c>
    </row>
    <row r="753" spans="2:17">
      <c r="B753" s="890" t="s">
        <v>6856</v>
      </c>
      <c r="C753" s="890">
        <v>8</v>
      </c>
      <c r="K753" s="890" t="s">
        <v>6560</v>
      </c>
      <c r="L753" s="890">
        <v>2</v>
      </c>
      <c r="P753" s="890" t="s">
        <v>6475</v>
      </c>
      <c r="Q753" s="890">
        <v>1</v>
      </c>
    </row>
    <row r="754" spans="2:17">
      <c r="B754" s="890" t="s">
        <v>6857</v>
      </c>
      <c r="C754" s="890">
        <v>8</v>
      </c>
      <c r="K754" s="890" t="s">
        <v>6773</v>
      </c>
      <c r="L754" s="890">
        <v>1</v>
      </c>
      <c r="P754" s="890" t="s">
        <v>6655</v>
      </c>
      <c r="Q754" s="890">
        <v>1</v>
      </c>
    </row>
    <row r="755" spans="2:17">
      <c r="B755" s="890" t="s">
        <v>6858</v>
      </c>
      <c r="C755" s="890">
        <v>10</v>
      </c>
      <c r="K755" s="890" t="s">
        <v>6563</v>
      </c>
      <c r="L755" s="890">
        <v>4</v>
      </c>
      <c r="P755" s="890" t="s">
        <v>6386</v>
      </c>
      <c r="Q755" s="890">
        <v>1</v>
      </c>
    </row>
    <row r="756" spans="2:17">
      <c r="B756" s="890" t="s">
        <v>6859</v>
      </c>
      <c r="C756" s="890">
        <v>8</v>
      </c>
      <c r="K756" s="890" t="s">
        <v>6775</v>
      </c>
      <c r="L756" s="890">
        <v>4</v>
      </c>
      <c r="P756" s="890" t="s">
        <v>6388</v>
      </c>
      <c r="Q756" s="890">
        <v>2</v>
      </c>
    </row>
    <row r="757" spans="2:17">
      <c r="B757" s="890" t="s">
        <v>6860</v>
      </c>
      <c r="C757" s="890">
        <v>8</v>
      </c>
      <c r="K757" s="890" t="s">
        <v>6565</v>
      </c>
      <c r="L757" s="890">
        <v>4</v>
      </c>
      <c r="P757" s="890" t="s">
        <v>6659</v>
      </c>
      <c r="Q757" s="890">
        <v>1</v>
      </c>
    </row>
    <row r="758" spans="2:17">
      <c r="B758" s="890" t="s">
        <v>6861</v>
      </c>
      <c r="C758" s="890">
        <v>8</v>
      </c>
      <c r="K758" s="890" t="s">
        <v>6862</v>
      </c>
      <c r="L758" s="890">
        <v>2</v>
      </c>
      <c r="P758" s="890" t="s">
        <v>6390</v>
      </c>
      <c r="Q758" s="890">
        <v>3</v>
      </c>
    </row>
    <row r="759" spans="2:17">
      <c r="B759" s="890" t="s">
        <v>6863</v>
      </c>
      <c r="C759" s="890">
        <v>8</v>
      </c>
      <c r="K759" s="890" t="s">
        <v>6864</v>
      </c>
      <c r="L759" s="890">
        <v>4</v>
      </c>
      <c r="P759" s="890" t="s">
        <v>6480</v>
      </c>
      <c r="Q759" s="890">
        <v>1</v>
      </c>
    </row>
    <row r="760" spans="2:17">
      <c r="B760" s="890" t="s">
        <v>6865</v>
      </c>
      <c r="C760" s="890">
        <v>8</v>
      </c>
      <c r="K760" s="890" t="s">
        <v>6569</v>
      </c>
      <c r="L760" s="890">
        <v>2</v>
      </c>
      <c r="P760" s="890" t="s">
        <v>6391</v>
      </c>
      <c r="Q760" s="890">
        <v>3</v>
      </c>
    </row>
    <row r="761" spans="2:17">
      <c r="B761" s="890" t="s">
        <v>6735</v>
      </c>
      <c r="C761" s="890">
        <v>8</v>
      </c>
      <c r="K761" s="890" t="s">
        <v>6866</v>
      </c>
      <c r="L761" s="890">
        <v>4</v>
      </c>
      <c r="P761" s="890" t="s">
        <v>6867</v>
      </c>
      <c r="Q761" s="890">
        <v>1</v>
      </c>
    </row>
    <row r="762" spans="2:17">
      <c r="B762" s="890" t="s">
        <v>6868</v>
      </c>
      <c r="C762" s="890">
        <v>8</v>
      </c>
      <c r="K762" s="890" t="s">
        <v>6571</v>
      </c>
      <c r="L762" s="890">
        <v>3</v>
      </c>
      <c r="P762" s="890" t="s">
        <v>6665</v>
      </c>
      <c r="Q762" s="890">
        <v>2</v>
      </c>
    </row>
    <row r="763" spans="2:17">
      <c r="B763" s="890" t="s">
        <v>6869</v>
      </c>
      <c r="C763" s="890">
        <v>8</v>
      </c>
      <c r="K763" s="890" t="s">
        <v>6870</v>
      </c>
      <c r="L763" s="890">
        <v>2</v>
      </c>
      <c r="P763" s="890" t="s">
        <v>6871</v>
      </c>
      <c r="Q763" s="890">
        <v>1</v>
      </c>
    </row>
    <row r="764" spans="2:17">
      <c r="B764" s="890" t="s">
        <v>6872</v>
      </c>
      <c r="C764" s="890">
        <v>8</v>
      </c>
      <c r="K764" s="890" t="s">
        <v>6573</v>
      </c>
      <c r="L764" s="890">
        <v>3</v>
      </c>
      <c r="P764" s="890" t="s">
        <v>6670</v>
      </c>
      <c r="Q764" s="890">
        <v>1</v>
      </c>
    </row>
    <row r="765" spans="2:17">
      <c r="B765" s="890" t="s">
        <v>6873</v>
      </c>
      <c r="C765" s="890">
        <v>8</v>
      </c>
      <c r="K765" s="890" t="s">
        <v>6575</v>
      </c>
      <c r="L765" s="890">
        <v>2</v>
      </c>
      <c r="P765" s="890" t="s">
        <v>6874</v>
      </c>
      <c r="Q765" s="890">
        <v>1</v>
      </c>
    </row>
    <row r="766" spans="2:17">
      <c r="B766" s="890" t="s">
        <v>6739</v>
      </c>
      <c r="C766" s="890">
        <v>8</v>
      </c>
      <c r="K766" s="890" t="s">
        <v>6777</v>
      </c>
      <c r="L766" s="890">
        <v>3</v>
      </c>
      <c r="P766" s="890" t="s">
        <v>6875</v>
      </c>
      <c r="Q766" s="890">
        <v>4</v>
      </c>
    </row>
    <row r="767" spans="2:17">
      <c r="B767" s="890" t="s">
        <v>6876</v>
      </c>
      <c r="C767" s="890">
        <v>10</v>
      </c>
      <c r="K767" s="890" t="s">
        <v>6778</v>
      </c>
      <c r="L767" s="890">
        <v>4</v>
      </c>
      <c r="P767" s="890" t="s">
        <v>6392</v>
      </c>
      <c r="Q767" s="890">
        <v>2</v>
      </c>
    </row>
    <row r="768" spans="2:17">
      <c r="B768" s="890" t="s">
        <v>6743</v>
      </c>
      <c r="C768" s="890">
        <v>10</v>
      </c>
      <c r="K768" s="890" t="s">
        <v>6877</v>
      </c>
      <c r="L768" s="890">
        <v>2</v>
      </c>
      <c r="P768" s="890" t="s">
        <v>6393</v>
      </c>
      <c r="Q768" s="890">
        <v>4</v>
      </c>
    </row>
    <row r="769" spans="2:17">
      <c r="B769" s="890" t="s">
        <v>6745</v>
      </c>
      <c r="C769" s="890">
        <v>8</v>
      </c>
      <c r="K769" s="890" t="s">
        <v>6779</v>
      </c>
      <c r="L769" s="890">
        <v>2</v>
      </c>
      <c r="P769" s="890" t="s">
        <v>6396</v>
      </c>
      <c r="Q769" s="890">
        <v>4</v>
      </c>
    </row>
    <row r="770" spans="2:17">
      <c r="B770" s="890" t="s">
        <v>6747</v>
      </c>
      <c r="C770" s="890">
        <v>8</v>
      </c>
      <c r="K770" s="890" t="s">
        <v>6780</v>
      </c>
      <c r="L770" s="890">
        <v>2</v>
      </c>
      <c r="P770" s="890" t="s">
        <v>6493</v>
      </c>
      <c r="Q770" s="890">
        <v>2</v>
      </c>
    </row>
    <row r="771" spans="2:17">
      <c r="B771" s="890" t="s">
        <v>6878</v>
      </c>
      <c r="C771" s="890">
        <v>10</v>
      </c>
      <c r="K771" s="890" t="s">
        <v>6781</v>
      </c>
      <c r="L771" s="890">
        <v>3</v>
      </c>
      <c r="P771" s="890" t="s">
        <v>6687</v>
      </c>
      <c r="Q771" s="890">
        <v>2</v>
      </c>
    </row>
    <row r="772" spans="2:17">
      <c r="B772" s="890" t="s">
        <v>6879</v>
      </c>
      <c r="C772" s="890">
        <v>8</v>
      </c>
      <c r="K772" s="890" t="s">
        <v>6783</v>
      </c>
      <c r="L772" s="890">
        <v>2</v>
      </c>
      <c r="P772" s="890" t="s">
        <v>6880</v>
      </c>
      <c r="Q772" s="890">
        <v>4</v>
      </c>
    </row>
    <row r="773" spans="2:17">
      <c r="B773" s="890" t="s">
        <v>6881</v>
      </c>
      <c r="C773" s="890">
        <v>10</v>
      </c>
      <c r="K773" s="890" t="s">
        <v>6784</v>
      </c>
      <c r="L773" s="890">
        <v>2</v>
      </c>
      <c r="P773" s="890" t="s">
        <v>6397</v>
      </c>
      <c r="Q773" s="890">
        <v>4</v>
      </c>
    </row>
    <row r="774" spans="2:17">
      <c r="B774" s="890" t="s">
        <v>6882</v>
      </c>
      <c r="C774" s="890">
        <v>10</v>
      </c>
      <c r="K774" s="890" t="s">
        <v>6581</v>
      </c>
      <c r="L774" s="890">
        <v>3</v>
      </c>
      <c r="P774" s="890" t="s">
        <v>6500</v>
      </c>
      <c r="Q774" s="890">
        <v>2</v>
      </c>
    </row>
    <row r="775" spans="2:17">
      <c r="B775" s="890" t="s">
        <v>6883</v>
      </c>
      <c r="C775" s="890">
        <v>10</v>
      </c>
      <c r="K775" s="890" t="s">
        <v>6583</v>
      </c>
      <c r="L775" s="890">
        <v>3</v>
      </c>
      <c r="P775" s="890" t="s">
        <v>6503</v>
      </c>
      <c r="Q775" s="890">
        <v>4</v>
      </c>
    </row>
    <row r="776" spans="2:17">
      <c r="B776" s="890" t="s">
        <v>6884</v>
      </c>
      <c r="C776" s="890">
        <v>8</v>
      </c>
      <c r="K776" s="890" t="s">
        <v>6586</v>
      </c>
      <c r="L776" s="890">
        <v>3</v>
      </c>
      <c r="P776" s="890" t="s">
        <v>6399</v>
      </c>
      <c r="Q776" s="890">
        <v>4</v>
      </c>
    </row>
    <row r="777" spans="2:17">
      <c r="B777" s="890" t="s">
        <v>6885</v>
      </c>
      <c r="C777" s="890">
        <v>10</v>
      </c>
      <c r="K777" s="890" t="s">
        <v>6590</v>
      </c>
      <c r="L777" s="890">
        <v>2</v>
      </c>
      <c r="P777" s="890" t="s">
        <v>6506</v>
      </c>
      <c r="Q777" s="890">
        <v>4</v>
      </c>
    </row>
    <row r="778" spans="2:17">
      <c r="B778" s="890" t="s">
        <v>6886</v>
      </c>
      <c r="C778" s="890">
        <v>8</v>
      </c>
      <c r="K778" s="890" t="s">
        <v>6592</v>
      </c>
      <c r="L778" s="890">
        <v>2</v>
      </c>
      <c r="P778" s="890" t="s">
        <v>6695</v>
      </c>
      <c r="Q778" s="890">
        <v>1</v>
      </c>
    </row>
    <row r="779" spans="2:17">
      <c r="B779" s="890" t="s">
        <v>6887</v>
      </c>
      <c r="C779" s="890">
        <v>8</v>
      </c>
      <c r="K779" s="890" t="s">
        <v>6888</v>
      </c>
      <c r="L779" s="890">
        <v>2</v>
      </c>
      <c r="P779" s="890" t="s">
        <v>6698</v>
      </c>
      <c r="Q779" s="890">
        <v>4</v>
      </c>
    </row>
    <row r="780" spans="2:17">
      <c r="B780" s="890" t="s">
        <v>6889</v>
      </c>
      <c r="C780" s="890">
        <v>8</v>
      </c>
      <c r="K780" s="890" t="s">
        <v>6890</v>
      </c>
      <c r="L780" s="890">
        <v>1</v>
      </c>
      <c r="P780" s="890" t="s">
        <v>6401</v>
      </c>
      <c r="Q780" s="890">
        <v>2</v>
      </c>
    </row>
    <row r="781" spans="2:17">
      <c r="B781" s="890" t="s">
        <v>6891</v>
      </c>
      <c r="C781" s="890">
        <v>10</v>
      </c>
      <c r="K781" s="890" t="s">
        <v>6892</v>
      </c>
      <c r="L781" s="890">
        <v>4</v>
      </c>
      <c r="P781" s="890" t="s">
        <v>6403</v>
      </c>
      <c r="Q781" s="890">
        <v>2</v>
      </c>
    </row>
    <row r="782" spans="2:17">
      <c r="B782" s="890" t="s">
        <v>6893</v>
      </c>
      <c r="C782" s="890">
        <v>10</v>
      </c>
      <c r="K782" s="890" t="s">
        <v>6786</v>
      </c>
      <c r="L782" s="890">
        <v>4</v>
      </c>
      <c r="P782" s="890" t="s">
        <v>6702</v>
      </c>
      <c r="Q782" s="890">
        <v>2</v>
      </c>
    </row>
    <row r="783" spans="2:17">
      <c r="B783" s="890" t="s">
        <v>6750</v>
      </c>
      <c r="C783" s="890">
        <v>10</v>
      </c>
      <c r="K783" s="890" t="s">
        <v>6787</v>
      </c>
      <c r="L783" s="890">
        <v>4</v>
      </c>
      <c r="P783" s="890" t="s">
        <v>6509</v>
      </c>
      <c r="Q783" s="890">
        <v>1</v>
      </c>
    </row>
    <row r="784" spans="2:17">
      <c r="B784" s="890" t="s">
        <v>6751</v>
      </c>
      <c r="C784" s="890">
        <v>10</v>
      </c>
      <c r="K784" s="890" t="s">
        <v>6605</v>
      </c>
      <c r="L784" s="890">
        <v>2</v>
      </c>
      <c r="P784" s="890" t="s">
        <v>6511</v>
      </c>
      <c r="Q784" s="890">
        <v>1</v>
      </c>
    </row>
    <row r="785" spans="2:17">
      <c r="B785" s="890" t="s">
        <v>6894</v>
      </c>
      <c r="C785" s="890">
        <v>10</v>
      </c>
      <c r="K785" s="890" t="s">
        <v>6794</v>
      </c>
      <c r="L785" s="890">
        <v>2</v>
      </c>
      <c r="P785" s="890" t="s">
        <v>6895</v>
      </c>
      <c r="Q785" s="890">
        <v>2</v>
      </c>
    </row>
    <row r="786" spans="2:17">
      <c r="B786" s="890" t="s">
        <v>6896</v>
      </c>
      <c r="C786" s="890">
        <v>8</v>
      </c>
      <c r="K786" s="890" t="s">
        <v>6609</v>
      </c>
      <c r="L786" s="890">
        <v>4</v>
      </c>
      <c r="P786" s="890" t="s">
        <v>6897</v>
      </c>
      <c r="Q786" s="890">
        <v>2</v>
      </c>
    </row>
    <row r="787" spans="2:17">
      <c r="B787" s="890" t="s">
        <v>6898</v>
      </c>
      <c r="C787" s="890">
        <v>8</v>
      </c>
      <c r="K787" s="890" t="s">
        <v>6611</v>
      </c>
      <c r="L787" s="890">
        <v>2</v>
      </c>
      <c r="P787" s="890" t="s">
        <v>6899</v>
      </c>
      <c r="Q787" s="890">
        <v>1</v>
      </c>
    </row>
    <row r="788" spans="2:17">
      <c r="B788" s="890" t="s">
        <v>6900</v>
      </c>
      <c r="C788" s="890">
        <v>8</v>
      </c>
      <c r="K788" s="890" t="s">
        <v>6613</v>
      </c>
      <c r="L788" s="890">
        <v>2</v>
      </c>
      <c r="P788" s="890" t="s">
        <v>6901</v>
      </c>
      <c r="Q788" s="890">
        <v>2</v>
      </c>
    </row>
    <row r="789" spans="2:17">
      <c r="B789" s="890" t="s">
        <v>6757</v>
      </c>
      <c r="C789" s="890">
        <v>10</v>
      </c>
      <c r="K789" s="890" t="s">
        <v>6800</v>
      </c>
      <c r="L789" s="890">
        <v>4</v>
      </c>
      <c r="P789" s="890" t="s">
        <v>6406</v>
      </c>
      <c r="Q789" s="890">
        <v>1</v>
      </c>
    </row>
    <row r="790" spans="2:17">
      <c r="B790" s="890" t="s">
        <v>6902</v>
      </c>
      <c r="C790" s="890">
        <v>8</v>
      </c>
      <c r="K790" s="890" t="s">
        <v>6615</v>
      </c>
      <c r="L790" s="890">
        <v>2</v>
      </c>
      <c r="P790" s="890" t="s">
        <v>6519</v>
      </c>
      <c r="Q790" s="890">
        <v>3</v>
      </c>
    </row>
    <row r="791" spans="2:17">
      <c r="B791" s="890" t="s">
        <v>6903</v>
      </c>
      <c r="C791" s="890">
        <v>8</v>
      </c>
      <c r="K791" s="890" t="s">
        <v>6618</v>
      </c>
      <c r="L791" s="890">
        <v>2</v>
      </c>
      <c r="P791" s="890" t="s">
        <v>6408</v>
      </c>
      <c r="Q791" s="890">
        <v>3</v>
      </c>
    </row>
    <row r="792" spans="2:17">
      <c r="B792" s="890" t="s">
        <v>6904</v>
      </c>
      <c r="C792" s="890">
        <v>10</v>
      </c>
      <c r="K792" s="890" t="s">
        <v>6626</v>
      </c>
      <c r="L792" s="890">
        <v>2</v>
      </c>
      <c r="P792" s="890" t="s">
        <v>6410</v>
      </c>
      <c r="Q792" s="890">
        <v>2</v>
      </c>
    </row>
    <row r="793" spans="2:17">
      <c r="B793" s="890" t="s">
        <v>6905</v>
      </c>
      <c r="C793" s="890">
        <v>8</v>
      </c>
      <c r="K793" s="890" t="s">
        <v>6628</v>
      </c>
      <c r="L793" s="890">
        <v>4</v>
      </c>
      <c r="P793" s="890" t="s">
        <v>6412</v>
      </c>
      <c r="Q793" s="890">
        <v>1</v>
      </c>
    </row>
    <row r="794" spans="2:17">
      <c r="B794" s="890"/>
      <c r="C794" s="890"/>
      <c r="K794" s="890" t="s">
        <v>6631</v>
      </c>
      <c r="L794" s="890">
        <v>3</v>
      </c>
      <c r="P794" s="890" t="s">
        <v>6721</v>
      </c>
      <c r="Q794" s="890">
        <v>1</v>
      </c>
    </row>
    <row r="795" spans="2:17">
      <c r="B795" s="890"/>
      <c r="C795" s="890"/>
      <c r="K795" s="890" t="s">
        <v>6633</v>
      </c>
      <c r="L795" s="890">
        <v>2</v>
      </c>
      <c r="P795" s="890" t="s">
        <v>6416</v>
      </c>
      <c r="Q795" s="890">
        <v>1</v>
      </c>
    </row>
    <row r="796" spans="2:17">
      <c r="B796" s="890"/>
      <c r="C796" s="890"/>
      <c r="K796" s="890" t="s">
        <v>6636</v>
      </c>
      <c r="L796" s="890">
        <v>2</v>
      </c>
      <c r="P796" s="890" t="s">
        <v>6529</v>
      </c>
      <c r="Q796" s="890">
        <v>2</v>
      </c>
    </row>
    <row r="797" spans="2:17">
      <c r="B797" s="890"/>
      <c r="C797" s="890"/>
      <c r="K797" s="890" t="s">
        <v>6906</v>
      </c>
      <c r="L797" s="890">
        <v>1</v>
      </c>
      <c r="P797" s="890" t="s">
        <v>6532</v>
      </c>
      <c r="Q797" s="890">
        <v>3</v>
      </c>
    </row>
    <row r="798" spans="2:17">
      <c r="B798" s="890"/>
      <c r="C798" s="890"/>
      <c r="K798" s="890" t="s">
        <v>6639</v>
      </c>
      <c r="L798" s="890">
        <v>3</v>
      </c>
      <c r="P798" s="890" t="s">
        <v>6729</v>
      </c>
      <c r="Q798" s="890">
        <v>4</v>
      </c>
    </row>
    <row r="799" spans="2:17">
      <c r="B799" s="890"/>
      <c r="C799" s="890"/>
      <c r="K799" s="890" t="s">
        <v>6641</v>
      </c>
      <c r="L799" s="890">
        <v>2</v>
      </c>
      <c r="P799" s="890" t="s">
        <v>6425</v>
      </c>
      <c r="Q799" s="890">
        <v>4</v>
      </c>
    </row>
    <row r="800" spans="2:17">
      <c r="B800" s="890"/>
      <c r="C800" s="890"/>
      <c r="K800" s="890" t="s">
        <v>6646</v>
      </c>
      <c r="L800" s="890">
        <v>2</v>
      </c>
      <c r="P800" s="890" t="s">
        <v>6427</v>
      </c>
      <c r="Q800" s="890">
        <v>4</v>
      </c>
    </row>
    <row r="801" spans="2:17">
      <c r="B801" s="890"/>
      <c r="C801" s="890"/>
      <c r="K801" s="890" t="s">
        <v>6815</v>
      </c>
      <c r="L801" s="890">
        <v>1</v>
      </c>
      <c r="P801" s="890" t="s">
        <v>6429</v>
      </c>
      <c r="Q801" s="890">
        <v>4</v>
      </c>
    </row>
    <row r="802" spans="2:17">
      <c r="B802" s="890"/>
      <c r="C802" s="890"/>
      <c r="K802" s="890" t="s">
        <v>6650</v>
      </c>
      <c r="L802" s="890">
        <v>2</v>
      </c>
      <c r="P802" s="890" t="s">
        <v>6542</v>
      </c>
      <c r="Q802" s="890">
        <v>3</v>
      </c>
    </row>
    <row r="803" spans="2:17">
      <c r="B803" s="890"/>
      <c r="C803" s="890"/>
      <c r="K803" s="890" t="s">
        <v>6818</v>
      </c>
      <c r="L803" s="890">
        <v>4</v>
      </c>
      <c r="P803" s="890" t="s">
        <v>6545</v>
      </c>
      <c r="Q803" s="890">
        <v>4</v>
      </c>
    </row>
    <row r="804" spans="2:17">
      <c r="B804" s="890"/>
      <c r="C804" s="890"/>
      <c r="K804" s="890" t="s">
        <v>6820</v>
      </c>
      <c r="L804" s="890">
        <v>4</v>
      </c>
      <c r="P804" s="890" t="s">
        <v>6547</v>
      </c>
      <c r="Q804" s="890">
        <v>2</v>
      </c>
    </row>
    <row r="805" spans="2:17">
      <c r="B805" s="890"/>
      <c r="C805" s="890"/>
      <c r="K805" s="890" t="s">
        <v>6654</v>
      </c>
      <c r="L805" s="890">
        <v>4</v>
      </c>
      <c r="P805" s="890" t="s">
        <v>6431</v>
      </c>
      <c r="Q805" s="890">
        <v>3</v>
      </c>
    </row>
    <row r="806" spans="2:17">
      <c r="B806" s="890"/>
      <c r="C806" s="890"/>
      <c r="K806" s="890" t="s">
        <v>6656</v>
      </c>
      <c r="L806" s="890">
        <v>4</v>
      </c>
      <c r="P806" s="890" t="s">
        <v>6432</v>
      </c>
      <c r="Q806" s="890">
        <v>1</v>
      </c>
    </row>
    <row r="807" spans="2:17">
      <c r="B807" s="890"/>
      <c r="C807" s="890"/>
      <c r="K807" s="890" t="s">
        <v>6823</v>
      </c>
      <c r="L807" s="890">
        <v>2</v>
      </c>
      <c r="P807" s="890" t="s">
        <v>6433</v>
      </c>
      <c r="Q807" s="890">
        <v>1</v>
      </c>
    </row>
    <row r="808" spans="2:17">
      <c r="B808" s="890"/>
      <c r="C808" s="890"/>
      <c r="K808" s="890" t="s">
        <v>6825</v>
      </c>
      <c r="L808" s="890">
        <v>4</v>
      </c>
      <c r="P808" s="890" t="s">
        <v>6556</v>
      </c>
      <c r="Q808" s="890">
        <v>4</v>
      </c>
    </row>
    <row r="809" spans="2:17">
      <c r="B809" s="890"/>
      <c r="C809" s="890"/>
      <c r="K809" s="890" t="s">
        <v>6826</v>
      </c>
      <c r="L809" s="890">
        <v>4</v>
      </c>
      <c r="P809" s="890" t="s">
        <v>6559</v>
      </c>
      <c r="Q809" s="890">
        <v>4</v>
      </c>
    </row>
    <row r="810" spans="2:17">
      <c r="B810" s="890"/>
      <c r="C810" s="890"/>
      <c r="K810" s="890" t="s">
        <v>6658</v>
      </c>
      <c r="L810" s="890">
        <v>4</v>
      </c>
      <c r="P810" s="890" t="s">
        <v>6562</v>
      </c>
      <c r="Q810" s="890">
        <v>4</v>
      </c>
    </row>
    <row r="811" spans="2:17">
      <c r="B811" s="890"/>
      <c r="C811" s="890"/>
      <c r="K811" s="890" t="s">
        <v>6828</v>
      </c>
      <c r="L811" s="890">
        <v>3</v>
      </c>
      <c r="P811" s="890" t="s">
        <v>6434</v>
      </c>
      <c r="Q811" s="890">
        <v>1</v>
      </c>
    </row>
    <row r="812" spans="2:17">
      <c r="B812" s="890"/>
      <c r="C812" s="890"/>
      <c r="K812" s="890" t="s">
        <v>6830</v>
      </c>
      <c r="L812" s="890">
        <v>4</v>
      </c>
      <c r="P812" s="890" t="s">
        <v>6436</v>
      </c>
      <c r="Q812" s="890">
        <v>3</v>
      </c>
    </row>
    <row r="813" spans="2:17">
      <c r="B813" s="890"/>
      <c r="C813" s="890"/>
      <c r="K813" s="890" t="s">
        <v>6831</v>
      </c>
      <c r="L813" s="890">
        <v>4</v>
      </c>
      <c r="P813" s="890" t="s">
        <v>6568</v>
      </c>
      <c r="Q813" s="890">
        <v>1</v>
      </c>
    </row>
    <row r="814" spans="2:17">
      <c r="B814" s="890"/>
      <c r="C814" s="890"/>
      <c r="K814" s="890" t="s">
        <v>6661</v>
      </c>
      <c r="L814" s="890">
        <v>1</v>
      </c>
      <c r="P814" s="890" t="s">
        <v>6438</v>
      </c>
      <c r="Q814" s="890">
        <v>4</v>
      </c>
    </row>
    <row r="815" spans="2:17">
      <c r="B815" s="890"/>
      <c r="C815" s="890"/>
      <c r="K815" s="890" t="s">
        <v>6907</v>
      </c>
      <c r="L815" s="890">
        <v>2</v>
      </c>
      <c r="P815" s="890" t="s">
        <v>6908</v>
      </c>
      <c r="Q815" s="890">
        <v>2</v>
      </c>
    </row>
    <row r="816" spans="2:17">
      <c r="B816" s="890"/>
      <c r="C816" s="890"/>
      <c r="K816" s="890" t="s">
        <v>6909</v>
      </c>
      <c r="L816" s="890">
        <v>2</v>
      </c>
      <c r="P816" s="890" t="s">
        <v>6752</v>
      </c>
      <c r="Q816" s="890">
        <v>1</v>
      </c>
    </row>
    <row r="817" spans="2:17">
      <c r="B817" s="890"/>
      <c r="C817" s="890"/>
      <c r="K817" s="890" t="s">
        <v>6667</v>
      </c>
      <c r="L817" s="890">
        <v>2</v>
      </c>
      <c r="P817" s="890" t="s">
        <v>6439</v>
      </c>
      <c r="Q817" s="890">
        <v>1</v>
      </c>
    </row>
    <row r="818" spans="2:17">
      <c r="B818" s="890"/>
      <c r="C818" s="890"/>
      <c r="K818" s="890" t="s">
        <v>6910</v>
      </c>
      <c r="L818" s="890">
        <v>3</v>
      </c>
      <c r="P818" s="890" t="s">
        <v>6442</v>
      </c>
      <c r="Q818" s="890">
        <v>2</v>
      </c>
    </row>
    <row r="819" spans="2:17">
      <c r="B819" s="890"/>
      <c r="C819" s="890"/>
      <c r="K819" s="890" t="s">
        <v>6669</v>
      </c>
      <c r="L819" s="890">
        <v>2</v>
      </c>
      <c r="P819" s="890" t="s">
        <v>6570</v>
      </c>
      <c r="Q819" s="890">
        <v>2</v>
      </c>
    </row>
    <row r="820" spans="2:17">
      <c r="B820" s="890"/>
      <c r="C820" s="890"/>
      <c r="K820" s="890" t="s">
        <v>6678</v>
      </c>
      <c r="L820" s="890">
        <v>3</v>
      </c>
      <c r="P820" s="890" t="s">
        <v>6445</v>
      </c>
      <c r="Q820" s="890">
        <v>4</v>
      </c>
    </row>
    <row r="821" spans="2:17">
      <c r="B821" s="890"/>
      <c r="C821" s="890"/>
      <c r="K821" s="890" t="s">
        <v>6911</v>
      </c>
      <c r="L821" s="890">
        <v>2</v>
      </c>
      <c r="P821" s="890" t="s">
        <v>6572</v>
      </c>
      <c r="Q821" s="890">
        <v>1</v>
      </c>
    </row>
    <row r="822" spans="2:17">
      <c r="B822" s="890"/>
      <c r="C822" s="890"/>
      <c r="K822" s="890" t="s">
        <v>6681</v>
      </c>
      <c r="L822" s="890">
        <v>4</v>
      </c>
      <c r="P822" s="890" t="s">
        <v>6447</v>
      </c>
      <c r="Q822" s="890">
        <v>1</v>
      </c>
    </row>
    <row r="823" spans="2:17">
      <c r="B823" s="890"/>
      <c r="C823" s="890"/>
      <c r="K823" s="890" t="s">
        <v>6683</v>
      </c>
      <c r="L823" s="890">
        <v>3</v>
      </c>
      <c r="P823" s="890" t="s">
        <v>6574</v>
      </c>
      <c r="Q823" s="890">
        <v>1</v>
      </c>
    </row>
    <row r="824" spans="2:17">
      <c r="B824" s="890"/>
      <c r="C824" s="890"/>
      <c r="K824" s="890" t="s">
        <v>6684</v>
      </c>
      <c r="L824" s="890">
        <v>4</v>
      </c>
      <c r="P824" s="890" t="s">
        <v>6758</v>
      </c>
      <c r="Q824" s="890">
        <v>1</v>
      </c>
    </row>
    <row r="825" spans="2:17">
      <c r="B825" s="890"/>
      <c r="C825" s="890"/>
      <c r="K825" s="890" t="s">
        <v>6690</v>
      </c>
      <c r="L825" s="890">
        <v>4</v>
      </c>
      <c r="P825" s="890" t="s">
        <v>6577</v>
      </c>
      <c r="Q825" s="890">
        <v>1</v>
      </c>
    </row>
    <row r="826" spans="2:17">
      <c r="B826" s="890"/>
      <c r="C826" s="890"/>
      <c r="K826" s="890" t="s">
        <v>6694</v>
      </c>
      <c r="L826" s="890">
        <v>2</v>
      </c>
      <c r="P826" s="890" t="s">
        <v>6580</v>
      </c>
      <c r="Q826" s="890">
        <v>1</v>
      </c>
    </row>
    <row r="827" spans="2:17">
      <c r="B827" s="890"/>
      <c r="C827" s="890"/>
      <c r="K827" s="890" t="s">
        <v>6912</v>
      </c>
      <c r="L827" s="890">
        <v>2</v>
      </c>
      <c r="P827" s="890" t="s">
        <v>6913</v>
      </c>
      <c r="Q827" s="890">
        <v>4</v>
      </c>
    </row>
    <row r="828" spans="2:17">
      <c r="B828" s="890"/>
      <c r="C828" s="890"/>
      <c r="K828" s="890" t="s">
        <v>6697</v>
      </c>
      <c r="L828" s="890">
        <v>2</v>
      </c>
      <c r="P828" s="890" t="s">
        <v>6582</v>
      </c>
      <c r="Q828" s="890">
        <v>1</v>
      </c>
    </row>
    <row r="829" spans="2:17">
      <c r="B829" s="890"/>
      <c r="C829" s="890"/>
      <c r="K829" s="890" t="s">
        <v>6700</v>
      </c>
      <c r="L829" s="890">
        <v>4</v>
      </c>
      <c r="P829" s="890" t="s">
        <v>6763</v>
      </c>
      <c r="Q829" s="890">
        <v>4</v>
      </c>
    </row>
    <row r="830" spans="2:17">
      <c r="B830" s="890"/>
      <c r="C830" s="890"/>
      <c r="K830" s="890" t="s">
        <v>6832</v>
      </c>
      <c r="L830" s="890">
        <v>3</v>
      </c>
      <c r="P830" s="890" t="s">
        <v>6449</v>
      </c>
      <c r="Q830" s="890">
        <v>2</v>
      </c>
    </row>
    <row r="831" spans="2:17">
      <c r="B831" s="890"/>
      <c r="C831" s="890"/>
      <c r="K831" s="890" t="s">
        <v>6701</v>
      </c>
      <c r="L831" s="890">
        <v>2</v>
      </c>
      <c r="P831" s="890" t="s">
        <v>6765</v>
      </c>
      <c r="Q831" s="890">
        <v>1</v>
      </c>
    </row>
    <row r="832" spans="2:17">
      <c r="B832" s="890"/>
      <c r="C832" s="890"/>
      <c r="K832" s="890" t="s">
        <v>6833</v>
      </c>
      <c r="L832" s="890">
        <v>4</v>
      </c>
      <c r="P832" s="890" t="s">
        <v>6585</v>
      </c>
      <c r="Q832" s="890">
        <v>1</v>
      </c>
    </row>
    <row r="833" spans="2:17">
      <c r="B833" s="890"/>
      <c r="C833" s="890"/>
      <c r="K833" s="890" t="s">
        <v>6835</v>
      </c>
      <c r="L833" s="890">
        <v>2</v>
      </c>
      <c r="P833" s="890" t="s">
        <v>6589</v>
      </c>
      <c r="Q833" s="890">
        <v>4</v>
      </c>
    </row>
    <row r="834" spans="2:17">
      <c r="B834" s="890"/>
      <c r="C834" s="890"/>
      <c r="K834" s="890" t="s">
        <v>6837</v>
      </c>
      <c r="L834" s="890">
        <v>2</v>
      </c>
      <c r="P834" s="890" t="s">
        <v>6451</v>
      </c>
      <c r="Q834" s="890">
        <v>4</v>
      </c>
    </row>
    <row r="835" spans="2:17">
      <c r="B835" s="890"/>
      <c r="C835" s="890"/>
      <c r="K835" s="890" t="s">
        <v>6704</v>
      </c>
      <c r="L835" s="890">
        <v>4</v>
      </c>
      <c r="P835" s="890" t="s">
        <v>6593</v>
      </c>
      <c r="Q835" s="890">
        <v>3</v>
      </c>
    </row>
    <row r="836" spans="2:17">
      <c r="B836" s="890"/>
      <c r="C836" s="890"/>
      <c r="K836" s="890" t="s">
        <v>6707</v>
      </c>
      <c r="L836" s="890">
        <v>3</v>
      </c>
      <c r="P836" s="890" t="s">
        <v>6452</v>
      </c>
      <c r="Q836" s="890">
        <v>2</v>
      </c>
    </row>
    <row r="837" spans="2:17">
      <c r="B837" s="890"/>
      <c r="C837" s="890"/>
      <c r="K837" s="890" t="s">
        <v>6709</v>
      </c>
      <c r="L837" s="890">
        <v>2</v>
      </c>
      <c r="P837" s="890" t="s">
        <v>6454</v>
      </c>
      <c r="Q837" s="890">
        <v>1</v>
      </c>
    </row>
    <row r="838" spans="2:17">
      <c r="B838" s="890"/>
      <c r="C838" s="890"/>
      <c r="K838" s="890" t="s">
        <v>6711</v>
      </c>
      <c r="L838" s="890">
        <v>2</v>
      </c>
      <c r="P838" s="890" t="s">
        <v>6914</v>
      </c>
      <c r="Q838" s="890">
        <v>4</v>
      </c>
    </row>
    <row r="839" spans="2:17">
      <c r="B839" s="890"/>
      <c r="C839" s="890"/>
      <c r="K839" s="890" t="s">
        <v>6842</v>
      </c>
      <c r="L839" s="890">
        <v>4</v>
      </c>
      <c r="P839" s="890" t="s">
        <v>6769</v>
      </c>
      <c r="Q839" s="890">
        <v>4</v>
      </c>
    </row>
    <row r="840" spans="2:17">
      <c r="B840" s="890"/>
      <c r="C840" s="890"/>
      <c r="K840" s="890" t="s">
        <v>6843</v>
      </c>
      <c r="L840" s="890">
        <v>4</v>
      </c>
      <c r="P840" s="890" t="s">
        <v>6455</v>
      </c>
      <c r="Q840" s="890">
        <v>1</v>
      </c>
    </row>
    <row r="841" spans="2:17">
      <c r="B841" s="890"/>
      <c r="C841" s="890"/>
      <c r="K841" s="890" t="s">
        <v>6714</v>
      </c>
      <c r="L841" s="890">
        <v>4</v>
      </c>
      <c r="P841" s="890" t="s">
        <v>6457</v>
      </c>
      <c r="Q841" s="890">
        <v>3</v>
      </c>
    </row>
    <row r="842" spans="2:17">
      <c r="B842" s="890"/>
      <c r="C842" s="890"/>
      <c r="K842" s="890" t="s">
        <v>6844</v>
      </c>
      <c r="L842" s="890">
        <v>4</v>
      </c>
      <c r="P842" s="890" t="s">
        <v>6770</v>
      </c>
      <c r="Q842" s="890">
        <v>2</v>
      </c>
    </row>
    <row r="843" spans="2:17">
      <c r="B843" s="890"/>
      <c r="C843" s="890"/>
      <c r="K843" s="890" t="s">
        <v>6716</v>
      </c>
      <c r="L843" s="890">
        <v>4</v>
      </c>
      <c r="P843" s="890" t="s">
        <v>6461</v>
      </c>
      <c r="Q843" s="890">
        <v>1</v>
      </c>
    </row>
    <row r="844" spans="2:17">
      <c r="B844" s="890"/>
      <c r="C844" s="890"/>
      <c r="K844" s="890" t="s">
        <v>6718</v>
      </c>
      <c r="L844" s="890">
        <v>4</v>
      </c>
      <c r="P844" s="890" t="s">
        <v>6467</v>
      </c>
      <c r="Q844" s="890">
        <v>2</v>
      </c>
    </row>
    <row r="845" spans="2:17">
      <c r="B845" s="890"/>
      <c r="C845" s="890"/>
      <c r="K845" s="890" t="s">
        <v>6848</v>
      </c>
      <c r="L845" s="890">
        <v>4</v>
      </c>
      <c r="P845" s="890" t="s">
        <v>6469</v>
      </c>
      <c r="Q845" s="890">
        <v>1</v>
      </c>
    </row>
    <row r="846" spans="2:17">
      <c r="B846" s="890"/>
      <c r="C846" s="890"/>
      <c r="K846" s="890" t="s">
        <v>6722</v>
      </c>
      <c r="L846" s="890">
        <v>3</v>
      </c>
      <c r="P846" s="890" t="s">
        <v>6470</v>
      </c>
      <c r="Q846" s="890">
        <v>3</v>
      </c>
    </row>
    <row r="847" spans="2:17">
      <c r="B847" s="890"/>
      <c r="C847" s="890"/>
      <c r="K847" s="890" t="s">
        <v>6723</v>
      </c>
      <c r="L847" s="890">
        <v>2</v>
      </c>
      <c r="P847" s="890" t="s">
        <v>6471</v>
      </c>
      <c r="Q847" s="890">
        <v>4</v>
      </c>
    </row>
    <row r="848" spans="2:17">
      <c r="B848" s="890"/>
      <c r="C848" s="890"/>
      <c r="K848" s="890" t="s">
        <v>6726</v>
      </c>
      <c r="L848" s="890">
        <v>2</v>
      </c>
      <c r="P848" s="890" t="s">
        <v>6610</v>
      </c>
      <c r="Q848" s="890">
        <v>1</v>
      </c>
    </row>
    <row r="849" spans="2:17">
      <c r="B849" s="890"/>
      <c r="C849" s="890"/>
      <c r="K849" s="890" t="s">
        <v>6728</v>
      </c>
      <c r="L849" s="890">
        <v>4</v>
      </c>
      <c r="P849" s="890" t="s">
        <v>6612</v>
      </c>
      <c r="Q849" s="890">
        <v>2</v>
      </c>
    </row>
    <row r="850" spans="2:17">
      <c r="B850" s="890"/>
      <c r="C850" s="890"/>
      <c r="K850" s="890" t="s">
        <v>6730</v>
      </c>
      <c r="L850" s="890">
        <v>3</v>
      </c>
      <c r="P850" s="890" t="s">
        <v>6614</v>
      </c>
      <c r="Q850" s="890">
        <v>1</v>
      </c>
    </row>
    <row r="851" spans="2:17">
      <c r="B851" s="890"/>
      <c r="C851" s="890"/>
      <c r="K851" s="890" t="s">
        <v>6851</v>
      </c>
      <c r="L851" s="890">
        <v>4</v>
      </c>
      <c r="P851" s="890" t="s">
        <v>6915</v>
      </c>
      <c r="Q851" s="890">
        <v>1</v>
      </c>
    </row>
    <row r="852" spans="2:17">
      <c r="B852" s="890"/>
      <c r="C852" s="890"/>
      <c r="K852" s="890" t="s">
        <v>6853</v>
      </c>
      <c r="L852" s="890">
        <v>4</v>
      </c>
      <c r="P852" s="890" t="s">
        <v>6616</v>
      </c>
      <c r="Q852" s="890">
        <v>2</v>
      </c>
    </row>
    <row r="853" spans="2:17">
      <c r="B853" s="890"/>
      <c r="C853" s="890"/>
      <c r="K853" s="890" t="s">
        <v>6916</v>
      </c>
      <c r="L853" s="890">
        <v>2</v>
      </c>
      <c r="P853" s="890" t="s">
        <v>6473</v>
      </c>
      <c r="Q853" s="890">
        <v>1</v>
      </c>
    </row>
    <row r="854" spans="2:17">
      <c r="B854" s="890"/>
      <c r="C854" s="890"/>
      <c r="K854" s="890" t="s">
        <v>6732</v>
      </c>
      <c r="L854" s="890">
        <v>4</v>
      </c>
      <c r="P854" s="890" t="s">
        <v>6620</v>
      </c>
      <c r="Q854" s="890">
        <v>1</v>
      </c>
    </row>
    <row r="855" spans="2:17">
      <c r="B855" s="890"/>
      <c r="C855" s="890"/>
      <c r="K855" s="890" t="s">
        <v>6917</v>
      </c>
      <c r="L855" s="890">
        <v>2</v>
      </c>
      <c r="P855" s="890" t="s">
        <v>6622</v>
      </c>
      <c r="Q855" s="890">
        <v>3</v>
      </c>
    </row>
    <row r="856" spans="2:17">
      <c r="B856" s="890"/>
      <c r="C856" s="890"/>
      <c r="K856" s="890" t="s">
        <v>6857</v>
      </c>
      <c r="L856" s="890">
        <v>1</v>
      </c>
      <c r="P856" s="890" t="s">
        <v>6625</v>
      </c>
      <c r="Q856" s="890">
        <v>2</v>
      </c>
    </row>
    <row r="857" spans="2:17">
      <c r="B857" s="890"/>
      <c r="C857" s="890"/>
      <c r="K857" s="890" t="s">
        <v>6858</v>
      </c>
      <c r="L857" s="890">
        <v>2</v>
      </c>
      <c r="P857" s="890" t="s">
        <v>6476</v>
      </c>
      <c r="Q857" s="890">
        <v>2</v>
      </c>
    </row>
    <row r="858" spans="2:17">
      <c r="B858" s="890"/>
      <c r="C858" s="890"/>
      <c r="K858" s="890" t="s">
        <v>6733</v>
      </c>
      <c r="L858" s="890">
        <v>2</v>
      </c>
      <c r="P858" s="890" t="s">
        <v>6478</v>
      </c>
      <c r="Q858" s="890">
        <v>4</v>
      </c>
    </row>
    <row r="859" spans="2:17">
      <c r="B859" s="890"/>
      <c r="C859" s="890"/>
      <c r="K859" s="890" t="s">
        <v>6918</v>
      </c>
      <c r="L859" s="890">
        <v>2</v>
      </c>
      <c r="P859" s="890" t="s">
        <v>6479</v>
      </c>
      <c r="Q859" s="890">
        <v>1</v>
      </c>
    </row>
    <row r="860" spans="2:17">
      <c r="B860" s="890"/>
      <c r="C860" s="890"/>
      <c r="K860" s="890" t="s">
        <v>6859</v>
      </c>
      <c r="L860" s="890">
        <v>2</v>
      </c>
      <c r="P860" s="890" t="s">
        <v>6481</v>
      </c>
      <c r="Q860" s="890">
        <v>4</v>
      </c>
    </row>
    <row r="861" spans="2:17">
      <c r="B861" s="890"/>
      <c r="C861" s="890"/>
      <c r="K861" s="890" t="s">
        <v>6861</v>
      </c>
      <c r="L861" s="890">
        <v>4</v>
      </c>
      <c r="P861" s="890" t="s">
        <v>6632</v>
      </c>
      <c r="Q861" s="890">
        <v>1</v>
      </c>
    </row>
    <row r="862" spans="2:17">
      <c r="B862" s="890"/>
      <c r="C862" s="890"/>
      <c r="K862" s="890" t="s">
        <v>6863</v>
      </c>
      <c r="L862" s="890">
        <v>4</v>
      </c>
      <c r="P862" s="890" t="s">
        <v>6782</v>
      </c>
      <c r="Q862" s="890">
        <v>1</v>
      </c>
    </row>
    <row r="863" spans="2:17">
      <c r="B863" s="890"/>
      <c r="C863" s="890"/>
      <c r="K863" s="890" t="s">
        <v>6919</v>
      </c>
      <c r="L863" s="890">
        <v>2</v>
      </c>
      <c r="P863" s="890" t="s">
        <v>6785</v>
      </c>
      <c r="Q863" s="890">
        <v>4</v>
      </c>
    </row>
    <row r="864" spans="2:17">
      <c r="B864" s="890"/>
      <c r="C864" s="890"/>
      <c r="K864" s="890" t="s">
        <v>6865</v>
      </c>
      <c r="L864" s="890">
        <v>3</v>
      </c>
      <c r="P864" s="890" t="s">
        <v>6920</v>
      </c>
      <c r="Q864" s="890">
        <v>4</v>
      </c>
    </row>
    <row r="865" spans="2:17">
      <c r="B865" s="890"/>
      <c r="C865" s="890"/>
      <c r="K865" s="890" t="s">
        <v>6921</v>
      </c>
      <c r="L865" s="890">
        <v>1</v>
      </c>
      <c r="P865" s="890" t="s">
        <v>6640</v>
      </c>
      <c r="Q865" s="890">
        <v>2</v>
      </c>
    </row>
    <row r="866" spans="2:17">
      <c r="B866" s="890"/>
      <c r="C866" s="890"/>
      <c r="K866" s="890" t="s">
        <v>6922</v>
      </c>
      <c r="L866" s="890">
        <v>3</v>
      </c>
      <c r="P866" s="890" t="s">
        <v>6487</v>
      </c>
      <c r="Q866" s="890">
        <v>4</v>
      </c>
    </row>
    <row r="867" spans="2:17">
      <c r="B867" s="890"/>
      <c r="C867" s="890"/>
      <c r="K867" s="890" t="s">
        <v>6923</v>
      </c>
      <c r="L867" s="890">
        <v>4</v>
      </c>
      <c r="P867" s="890" t="s">
        <v>6488</v>
      </c>
      <c r="Q867" s="890">
        <v>4</v>
      </c>
    </row>
    <row r="868" spans="2:17">
      <c r="B868" s="890"/>
      <c r="C868" s="890"/>
      <c r="K868" s="890" t="s">
        <v>6869</v>
      </c>
      <c r="L868" s="890">
        <v>2</v>
      </c>
      <c r="P868" s="890" t="s">
        <v>6924</v>
      </c>
      <c r="Q868" s="890">
        <v>3</v>
      </c>
    </row>
    <row r="869" spans="2:17">
      <c r="B869" s="890"/>
      <c r="C869" s="890"/>
      <c r="K869" s="890" t="s">
        <v>6872</v>
      </c>
      <c r="L869" s="890">
        <v>4</v>
      </c>
      <c r="P869" s="890" t="s">
        <v>6647</v>
      </c>
      <c r="Q869" s="890">
        <v>1</v>
      </c>
    </row>
    <row r="870" spans="2:17">
      <c r="B870" s="890"/>
      <c r="C870" s="890"/>
      <c r="K870" s="890" t="s">
        <v>6739</v>
      </c>
      <c r="L870" s="890">
        <v>2</v>
      </c>
      <c r="P870" s="890" t="s">
        <v>6649</v>
      </c>
      <c r="Q870" s="890">
        <v>1</v>
      </c>
    </row>
    <row r="871" spans="2:17">
      <c r="B871" s="890"/>
      <c r="C871" s="890"/>
      <c r="K871" s="890" t="s">
        <v>6741</v>
      </c>
      <c r="L871" s="890">
        <v>3</v>
      </c>
      <c r="P871" s="890" t="s">
        <v>6491</v>
      </c>
      <c r="Q871" s="890">
        <v>2</v>
      </c>
    </row>
    <row r="872" spans="2:17">
      <c r="B872" s="890"/>
      <c r="C872" s="890"/>
      <c r="K872" s="890" t="s">
        <v>6745</v>
      </c>
      <c r="L872" s="890">
        <v>2</v>
      </c>
      <c r="P872" s="890" t="s">
        <v>6492</v>
      </c>
      <c r="Q872" s="890">
        <v>4</v>
      </c>
    </row>
    <row r="873" spans="2:17">
      <c r="B873" s="890"/>
      <c r="C873" s="890"/>
      <c r="K873" s="890" t="s">
        <v>6879</v>
      </c>
      <c r="L873" s="890">
        <v>4</v>
      </c>
      <c r="P873" s="890" t="s">
        <v>6494</v>
      </c>
      <c r="Q873" s="890">
        <v>3</v>
      </c>
    </row>
    <row r="874" spans="2:17">
      <c r="B874" s="890"/>
      <c r="C874" s="890"/>
      <c r="K874" s="890" t="s">
        <v>6881</v>
      </c>
      <c r="L874" s="890">
        <v>3</v>
      </c>
      <c r="P874" s="890" t="s">
        <v>6925</v>
      </c>
      <c r="Q874" s="890">
        <v>3</v>
      </c>
    </row>
    <row r="875" spans="2:17">
      <c r="B875" s="890"/>
      <c r="C875" s="890"/>
      <c r="K875" s="890" t="s">
        <v>6882</v>
      </c>
      <c r="L875" s="890">
        <v>2</v>
      </c>
      <c r="P875" s="890" t="s">
        <v>6660</v>
      </c>
      <c r="Q875" s="890">
        <v>1</v>
      </c>
    </row>
    <row r="876" spans="2:17">
      <c r="B876" s="890"/>
      <c r="C876" s="890"/>
      <c r="K876" s="890" t="s">
        <v>6884</v>
      </c>
      <c r="L876" s="890">
        <v>1</v>
      </c>
      <c r="P876" s="890" t="s">
        <v>6498</v>
      </c>
      <c r="Q876" s="890">
        <v>4</v>
      </c>
    </row>
    <row r="877" spans="2:17">
      <c r="B877" s="890"/>
      <c r="C877" s="890"/>
      <c r="K877" s="890" t="s">
        <v>6885</v>
      </c>
      <c r="L877" s="890">
        <v>2</v>
      </c>
      <c r="P877" s="890" t="s">
        <v>6499</v>
      </c>
      <c r="Q877" s="890">
        <v>4</v>
      </c>
    </row>
    <row r="878" spans="2:17">
      <c r="B878" s="890"/>
      <c r="C878" s="890"/>
      <c r="K878" s="890" t="s">
        <v>6926</v>
      </c>
      <c r="L878" s="890">
        <v>3</v>
      </c>
      <c r="P878" s="890" t="s">
        <v>6501</v>
      </c>
      <c r="Q878" s="890">
        <v>4</v>
      </c>
    </row>
    <row r="879" spans="2:17">
      <c r="B879" s="890"/>
      <c r="C879" s="890"/>
      <c r="K879" s="890" t="s">
        <v>6927</v>
      </c>
      <c r="L879" s="890">
        <v>2</v>
      </c>
      <c r="P879" s="890" t="s">
        <v>6793</v>
      </c>
      <c r="Q879" s="890">
        <v>4</v>
      </c>
    </row>
    <row r="880" spans="2:17">
      <c r="B880" s="890"/>
      <c r="C880" s="890"/>
      <c r="K880" s="890" t="s">
        <v>6928</v>
      </c>
      <c r="L880" s="890">
        <v>4</v>
      </c>
      <c r="P880" s="890" t="s">
        <v>6677</v>
      </c>
      <c r="Q880" s="890">
        <v>1</v>
      </c>
    </row>
    <row r="881" spans="2:17">
      <c r="B881" s="890"/>
      <c r="C881" s="890"/>
      <c r="K881" s="890" t="s">
        <v>6929</v>
      </c>
      <c r="L881" s="890">
        <v>4</v>
      </c>
      <c r="P881" s="890" t="s">
        <v>6930</v>
      </c>
      <c r="Q881" s="890">
        <v>2</v>
      </c>
    </row>
    <row r="882" spans="2:17">
      <c r="B882" s="890"/>
      <c r="C882" s="890"/>
      <c r="K882" s="890" t="s">
        <v>6887</v>
      </c>
      <c r="L882" s="890">
        <v>2</v>
      </c>
      <c r="P882" s="890" t="s">
        <v>6682</v>
      </c>
      <c r="Q882" s="890">
        <v>1</v>
      </c>
    </row>
    <row r="883" spans="2:17">
      <c r="B883" s="890"/>
      <c r="C883" s="890"/>
      <c r="K883" s="890" t="s">
        <v>6889</v>
      </c>
      <c r="L883" s="890">
        <v>2</v>
      </c>
      <c r="P883" s="890" t="s">
        <v>6931</v>
      </c>
      <c r="Q883" s="890">
        <v>3</v>
      </c>
    </row>
    <row r="884" spans="2:17">
      <c r="B884" s="890"/>
      <c r="C884" s="890"/>
      <c r="K884" s="890" t="s">
        <v>6893</v>
      </c>
      <c r="L884" s="890">
        <v>3</v>
      </c>
      <c r="P884" s="890" t="s">
        <v>6932</v>
      </c>
      <c r="Q884" s="890">
        <v>4</v>
      </c>
    </row>
    <row r="885" spans="2:17">
      <c r="B885" s="890"/>
      <c r="C885" s="890"/>
      <c r="K885" s="890" t="s">
        <v>6933</v>
      </c>
      <c r="L885" s="890">
        <v>1</v>
      </c>
      <c r="P885" s="890" t="s">
        <v>6934</v>
      </c>
      <c r="Q885" s="890">
        <v>2</v>
      </c>
    </row>
    <row r="886" spans="2:17">
      <c r="B886" s="890"/>
      <c r="C886" s="890"/>
      <c r="K886" s="890" t="s">
        <v>6750</v>
      </c>
      <c r="L886" s="890">
        <v>1</v>
      </c>
      <c r="P886" s="890" t="s">
        <v>6803</v>
      </c>
      <c r="Q886" s="890">
        <v>1</v>
      </c>
    </row>
    <row r="887" spans="2:17">
      <c r="B887" s="890"/>
      <c r="C887" s="890"/>
      <c r="K887" s="890" t="s">
        <v>6894</v>
      </c>
      <c r="L887" s="890">
        <v>1</v>
      </c>
      <c r="P887" s="890" t="s">
        <v>6935</v>
      </c>
      <c r="Q887" s="890">
        <v>2</v>
      </c>
    </row>
    <row r="888" spans="2:17">
      <c r="B888" s="890"/>
      <c r="C888" s="890"/>
      <c r="K888" s="890" t="s">
        <v>6896</v>
      </c>
      <c r="L888" s="890">
        <v>2</v>
      </c>
      <c r="P888" s="890" t="s">
        <v>6685</v>
      </c>
      <c r="Q888" s="890">
        <v>2</v>
      </c>
    </row>
    <row r="889" spans="2:17">
      <c r="B889" s="890"/>
      <c r="C889" s="890"/>
      <c r="K889" s="890" t="s">
        <v>6936</v>
      </c>
      <c r="L889" s="890">
        <v>2</v>
      </c>
      <c r="P889" s="890" t="s">
        <v>6688</v>
      </c>
      <c r="Q889" s="890">
        <v>1</v>
      </c>
    </row>
    <row r="890" spans="2:17">
      <c r="B890" s="890"/>
      <c r="C890" s="890"/>
      <c r="K890" s="890" t="s">
        <v>6937</v>
      </c>
      <c r="L890" s="890">
        <v>2</v>
      </c>
      <c r="P890" s="890" t="s">
        <v>6507</v>
      </c>
      <c r="Q890" s="890">
        <v>2</v>
      </c>
    </row>
    <row r="891" spans="2:17">
      <c r="B891" s="890"/>
      <c r="C891" s="890"/>
      <c r="K891" s="890" t="s">
        <v>6757</v>
      </c>
      <c r="L891" s="890">
        <v>4</v>
      </c>
      <c r="P891" s="890" t="s">
        <v>6938</v>
      </c>
      <c r="Q891" s="890">
        <v>1</v>
      </c>
    </row>
    <row r="892" spans="2:17">
      <c r="B892" s="890"/>
      <c r="C892" s="890"/>
      <c r="K892" s="890" t="s">
        <v>6904</v>
      </c>
      <c r="L892" s="890">
        <v>2</v>
      </c>
      <c r="P892" s="890" t="s">
        <v>6691</v>
      </c>
      <c r="Q892" s="890">
        <v>1</v>
      </c>
    </row>
    <row r="893" spans="2:17">
      <c r="B893" s="890"/>
      <c r="C893" s="890"/>
      <c r="K893" s="890" t="s">
        <v>6905</v>
      </c>
      <c r="L893" s="890">
        <v>4</v>
      </c>
      <c r="P893" s="890" t="s">
        <v>6693</v>
      </c>
      <c r="Q893" s="890">
        <v>2</v>
      </c>
    </row>
    <row r="894" spans="2:17">
      <c r="B894" s="890"/>
      <c r="C894" s="890"/>
      <c r="K894" s="890" t="s">
        <v>6939</v>
      </c>
      <c r="L894" s="890">
        <v>3</v>
      </c>
      <c r="P894" s="890" t="s">
        <v>6696</v>
      </c>
      <c r="Q894" s="890">
        <v>2</v>
      </c>
    </row>
    <row r="895" spans="2:17">
      <c r="B895" s="890"/>
      <c r="C895" s="890"/>
      <c r="P895" s="890" t="s">
        <v>6699</v>
      </c>
      <c r="Q895" s="890">
        <v>1</v>
      </c>
    </row>
    <row r="896" spans="2:17">
      <c r="B896" s="890"/>
      <c r="C896" s="890"/>
      <c r="P896" s="890" t="s">
        <v>6808</v>
      </c>
      <c r="Q896" s="890">
        <v>4</v>
      </c>
    </row>
    <row r="897" spans="2:17">
      <c r="B897" s="890"/>
      <c r="C897" s="890"/>
      <c r="P897" s="890" t="s">
        <v>6940</v>
      </c>
      <c r="Q897" s="890">
        <v>3</v>
      </c>
    </row>
    <row r="898" spans="2:17">
      <c r="B898" s="890"/>
      <c r="C898" s="890"/>
      <c r="P898" s="890" t="s">
        <v>6508</v>
      </c>
      <c r="Q898" s="890">
        <v>2</v>
      </c>
    </row>
    <row r="899" spans="2:17">
      <c r="B899" s="890"/>
      <c r="C899" s="890"/>
      <c r="P899" s="890" t="s">
        <v>6941</v>
      </c>
      <c r="Q899" s="890">
        <v>4</v>
      </c>
    </row>
    <row r="900" spans="2:17">
      <c r="B900" s="890"/>
      <c r="C900" s="890"/>
      <c r="P900" s="890" t="s">
        <v>6811</v>
      </c>
      <c r="Q900" s="890">
        <v>4</v>
      </c>
    </row>
    <row r="901" spans="2:17">
      <c r="B901" s="890"/>
      <c r="C901" s="890"/>
      <c r="P901" s="890" t="s">
        <v>6703</v>
      </c>
      <c r="Q901" s="890">
        <v>4</v>
      </c>
    </row>
    <row r="902" spans="2:17">
      <c r="B902" s="890"/>
      <c r="C902" s="890"/>
      <c r="P902" s="890" t="s">
        <v>6510</v>
      </c>
      <c r="Q902" s="890">
        <v>2</v>
      </c>
    </row>
    <row r="903" spans="2:17">
      <c r="B903" s="890"/>
      <c r="C903" s="890"/>
      <c r="P903" s="890" t="s">
        <v>6706</v>
      </c>
      <c r="Q903" s="890">
        <v>1</v>
      </c>
    </row>
    <row r="904" spans="2:17">
      <c r="B904" s="890"/>
      <c r="C904" s="890"/>
      <c r="P904" s="890" t="s">
        <v>6713</v>
      </c>
      <c r="Q904" s="890">
        <v>2</v>
      </c>
    </row>
    <row r="905" spans="2:17">
      <c r="B905" s="890"/>
      <c r="C905" s="890"/>
      <c r="P905" s="890" t="s">
        <v>6512</v>
      </c>
      <c r="Q905" s="890">
        <v>2</v>
      </c>
    </row>
    <row r="906" spans="2:17">
      <c r="B906" s="890"/>
      <c r="C906" s="890"/>
      <c r="P906" s="890" t="s">
        <v>6717</v>
      </c>
      <c r="Q906" s="890">
        <v>1</v>
      </c>
    </row>
    <row r="907" spans="2:17">
      <c r="B907" s="890"/>
      <c r="C907" s="890"/>
      <c r="P907" s="890" t="s">
        <v>6817</v>
      </c>
      <c r="Q907" s="890">
        <v>4</v>
      </c>
    </row>
    <row r="908" spans="2:17">
      <c r="B908" s="890"/>
      <c r="C908" s="890"/>
      <c r="P908" s="890" t="s">
        <v>6819</v>
      </c>
      <c r="Q908" s="890">
        <v>1</v>
      </c>
    </row>
    <row r="909" spans="2:17">
      <c r="B909" s="890"/>
      <c r="C909" s="890"/>
      <c r="P909" s="890" t="s">
        <v>6942</v>
      </c>
      <c r="Q909" s="890">
        <v>2</v>
      </c>
    </row>
    <row r="910" spans="2:17">
      <c r="B910" s="890"/>
      <c r="C910" s="890"/>
      <c r="P910" s="890" t="s">
        <v>6821</v>
      </c>
      <c r="Q910" s="890">
        <v>4</v>
      </c>
    </row>
    <row r="911" spans="2:17">
      <c r="B911" s="890"/>
      <c r="C911" s="890"/>
      <c r="P911" s="890" t="s">
        <v>6943</v>
      </c>
      <c r="Q911" s="890">
        <v>1</v>
      </c>
    </row>
    <row r="912" spans="2:17">
      <c r="B912" s="890"/>
      <c r="C912" s="890"/>
      <c r="P912" s="890" t="s">
        <v>6944</v>
      </c>
      <c r="Q912" s="890">
        <v>3</v>
      </c>
    </row>
    <row r="913" spans="2:17">
      <c r="B913" s="890"/>
      <c r="C913" s="890"/>
      <c r="P913" s="890" t="s">
        <v>6945</v>
      </c>
      <c r="Q913" s="890">
        <v>4</v>
      </c>
    </row>
    <row r="914" spans="2:17">
      <c r="B914" s="890"/>
      <c r="C914" s="890"/>
      <c r="P914" s="890" t="s">
        <v>6515</v>
      </c>
      <c r="Q914" s="890">
        <v>3</v>
      </c>
    </row>
    <row r="915" spans="2:17">
      <c r="B915" s="890"/>
      <c r="C915" s="890"/>
      <c r="P915" s="890" t="s">
        <v>6719</v>
      </c>
      <c r="Q915" s="890">
        <v>4</v>
      </c>
    </row>
    <row r="916" spans="2:17">
      <c r="B916" s="890"/>
      <c r="C916" s="890"/>
      <c r="P916" s="890" t="s">
        <v>6518</v>
      </c>
      <c r="Q916" s="890">
        <v>3</v>
      </c>
    </row>
    <row r="917" spans="2:17">
      <c r="B917" s="890"/>
      <c r="C917" s="890"/>
      <c r="P917" s="890" t="s">
        <v>6522</v>
      </c>
      <c r="Q917" s="890">
        <v>4</v>
      </c>
    </row>
    <row r="918" spans="2:17">
      <c r="B918" s="890"/>
      <c r="C918" s="890"/>
      <c r="P918" s="890" t="s">
        <v>6725</v>
      </c>
      <c r="Q918" s="890">
        <v>1</v>
      </c>
    </row>
    <row r="919" spans="2:17">
      <c r="B919" s="890"/>
      <c r="C919" s="890"/>
      <c r="P919" s="890" t="s">
        <v>6827</v>
      </c>
      <c r="Q919" s="890">
        <v>4</v>
      </c>
    </row>
    <row r="920" spans="2:17">
      <c r="B920" s="890"/>
      <c r="C920" s="890"/>
      <c r="P920" s="890" t="s">
        <v>6829</v>
      </c>
      <c r="Q920" s="890">
        <v>4</v>
      </c>
    </row>
    <row r="921" spans="2:17">
      <c r="B921" s="890"/>
      <c r="C921" s="890"/>
      <c r="P921" s="890" t="s">
        <v>6946</v>
      </c>
      <c r="Q921" s="890">
        <v>1</v>
      </c>
    </row>
    <row r="922" spans="2:17">
      <c r="B922" s="890"/>
      <c r="C922" s="890"/>
      <c r="P922" s="890" t="s">
        <v>6524</v>
      </c>
      <c r="Q922" s="890">
        <v>2</v>
      </c>
    </row>
    <row r="923" spans="2:17">
      <c r="B923" s="890"/>
      <c r="C923" s="890"/>
      <c r="P923" s="890" t="s">
        <v>6947</v>
      </c>
      <c r="Q923" s="890">
        <v>4</v>
      </c>
    </row>
    <row r="924" spans="2:17">
      <c r="B924" s="890"/>
      <c r="C924" s="890"/>
      <c r="P924" s="890" t="s">
        <v>6526</v>
      </c>
      <c r="Q924" s="890">
        <v>4</v>
      </c>
    </row>
    <row r="925" spans="2:17">
      <c r="B925" s="890"/>
      <c r="C925" s="890"/>
      <c r="P925" s="890" t="s">
        <v>6530</v>
      </c>
      <c r="Q925" s="890">
        <v>1</v>
      </c>
    </row>
    <row r="926" spans="2:17">
      <c r="B926" s="890"/>
      <c r="C926" s="890"/>
      <c r="P926" s="890" t="s">
        <v>6533</v>
      </c>
      <c r="Q926" s="890">
        <v>4</v>
      </c>
    </row>
    <row r="927" spans="2:17">
      <c r="B927" s="890"/>
      <c r="C927" s="890"/>
      <c r="P927" s="890" t="s">
        <v>6534</v>
      </c>
      <c r="Q927" s="890">
        <v>3</v>
      </c>
    </row>
    <row r="928" spans="2:17">
      <c r="B928" s="890"/>
      <c r="C928" s="890"/>
      <c r="P928" s="890" t="s">
        <v>6734</v>
      </c>
      <c r="Q928" s="890">
        <v>1</v>
      </c>
    </row>
    <row r="929" spans="2:17">
      <c r="B929" s="890"/>
      <c r="C929" s="890"/>
      <c r="P929" s="890" t="s">
        <v>6738</v>
      </c>
      <c r="Q929" s="890">
        <v>1</v>
      </c>
    </row>
    <row r="930" spans="2:17">
      <c r="B930" s="890"/>
      <c r="C930" s="890"/>
      <c r="P930" s="890" t="s">
        <v>6740</v>
      </c>
      <c r="Q930" s="890">
        <v>3</v>
      </c>
    </row>
    <row r="931" spans="2:17">
      <c r="B931" s="890"/>
      <c r="C931" s="890"/>
      <c r="P931" s="890" t="s">
        <v>6948</v>
      </c>
      <c r="Q931" s="890">
        <v>4</v>
      </c>
    </row>
    <row r="932" spans="2:17">
      <c r="B932" s="890"/>
      <c r="C932" s="890"/>
      <c r="P932" s="890" t="s">
        <v>6949</v>
      </c>
      <c r="Q932" s="890">
        <v>2</v>
      </c>
    </row>
    <row r="933" spans="2:17">
      <c r="B933" s="890"/>
      <c r="C933" s="890"/>
      <c r="P933" s="890" t="s">
        <v>6744</v>
      </c>
      <c r="Q933" s="890">
        <v>1</v>
      </c>
    </row>
    <row r="934" spans="2:17">
      <c r="B934" s="890"/>
      <c r="C934" s="890"/>
      <c r="P934" s="890" t="s">
        <v>6840</v>
      </c>
      <c r="Q934" s="890">
        <v>4</v>
      </c>
    </row>
    <row r="935" spans="2:17">
      <c r="B935" s="890"/>
      <c r="C935" s="890"/>
      <c r="P935" s="890" t="s">
        <v>6746</v>
      </c>
      <c r="Q935" s="890">
        <v>1</v>
      </c>
    </row>
    <row r="936" spans="2:17">
      <c r="B936" s="890"/>
      <c r="C936" s="890"/>
      <c r="P936" s="890" t="s">
        <v>6536</v>
      </c>
      <c r="Q936" s="890">
        <v>2</v>
      </c>
    </row>
    <row r="937" spans="2:17">
      <c r="B937" s="890"/>
      <c r="C937" s="890"/>
      <c r="P937" s="890" t="s">
        <v>6537</v>
      </c>
      <c r="Q937" s="890">
        <v>1</v>
      </c>
    </row>
    <row r="938" spans="2:17">
      <c r="B938" s="890"/>
      <c r="C938" s="890"/>
      <c r="P938" s="890" t="s">
        <v>6539</v>
      </c>
      <c r="Q938" s="890">
        <v>1</v>
      </c>
    </row>
    <row r="939" spans="2:17">
      <c r="B939" s="890"/>
      <c r="C939" s="890"/>
      <c r="P939" s="890" t="s">
        <v>6950</v>
      </c>
      <c r="Q939" s="890">
        <v>2</v>
      </c>
    </row>
    <row r="940" spans="2:17">
      <c r="B940" s="890"/>
      <c r="C940" s="890"/>
      <c r="P940" s="890" t="s">
        <v>6951</v>
      </c>
      <c r="Q940" s="890">
        <v>1</v>
      </c>
    </row>
    <row r="941" spans="2:17">
      <c r="B941" s="890"/>
      <c r="C941" s="890"/>
      <c r="P941" s="890" t="s">
        <v>6540</v>
      </c>
      <c r="Q941" s="890">
        <v>2</v>
      </c>
    </row>
    <row r="942" spans="2:17">
      <c r="B942" s="890"/>
      <c r="C942" s="890"/>
      <c r="P942" s="890" t="s">
        <v>6952</v>
      </c>
      <c r="Q942" s="890">
        <v>4</v>
      </c>
    </row>
    <row r="943" spans="2:17">
      <c r="B943" s="890"/>
      <c r="C943" s="890"/>
      <c r="P943" s="890" t="s">
        <v>6543</v>
      </c>
      <c r="Q943" s="890">
        <v>1</v>
      </c>
    </row>
    <row r="944" spans="2:17">
      <c r="B944" s="890"/>
      <c r="C944" s="890"/>
      <c r="P944" s="890" t="s">
        <v>6845</v>
      </c>
      <c r="Q944" s="890">
        <v>2</v>
      </c>
    </row>
    <row r="945" spans="2:17">
      <c r="B945" s="890"/>
      <c r="C945" s="890"/>
      <c r="P945" s="890" t="s">
        <v>6953</v>
      </c>
      <c r="Q945" s="890">
        <v>1</v>
      </c>
    </row>
    <row r="946" spans="2:17">
      <c r="B946" s="890"/>
      <c r="C946" s="890"/>
      <c r="P946" s="890" t="s">
        <v>6846</v>
      </c>
      <c r="Q946" s="890">
        <v>2</v>
      </c>
    </row>
    <row r="947" spans="2:17">
      <c r="B947" s="890"/>
      <c r="C947" s="890"/>
      <c r="P947" s="890" t="s">
        <v>6761</v>
      </c>
      <c r="Q947" s="890">
        <v>2</v>
      </c>
    </row>
    <row r="948" spans="2:17">
      <c r="B948" s="890"/>
      <c r="C948" s="890"/>
      <c r="P948" s="890" t="s">
        <v>6762</v>
      </c>
      <c r="Q948" s="890">
        <v>1</v>
      </c>
    </row>
    <row r="949" spans="2:17">
      <c r="B949" s="890"/>
      <c r="C949" s="890"/>
      <c r="P949" s="890" t="s">
        <v>6764</v>
      </c>
      <c r="Q949" s="890">
        <v>2</v>
      </c>
    </row>
    <row r="950" spans="2:17">
      <c r="B950" s="890"/>
      <c r="C950" s="890"/>
      <c r="P950" s="890" t="s">
        <v>6954</v>
      </c>
      <c r="Q950" s="890">
        <v>2</v>
      </c>
    </row>
    <row r="951" spans="2:17">
      <c r="B951" s="890"/>
      <c r="C951" s="890"/>
      <c r="P951" s="890" t="s">
        <v>6768</v>
      </c>
      <c r="Q951" s="890">
        <v>4</v>
      </c>
    </row>
    <row r="952" spans="2:17">
      <c r="B952" s="890"/>
      <c r="C952" s="890"/>
      <c r="P952" s="890" t="s">
        <v>6850</v>
      </c>
      <c r="Q952" s="890">
        <v>4</v>
      </c>
    </row>
    <row r="953" spans="2:17">
      <c r="B953" s="890"/>
      <c r="C953" s="890"/>
      <c r="P953" s="890" t="s">
        <v>6551</v>
      </c>
      <c r="Q953" s="890">
        <v>1</v>
      </c>
    </row>
    <row r="954" spans="2:17">
      <c r="B954" s="890"/>
      <c r="C954" s="890"/>
      <c r="P954" s="890" t="s">
        <v>6852</v>
      </c>
      <c r="Q954" s="890">
        <v>2</v>
      </c>
    </row>
    <row r="955" spans="2:17">
      <c r="B955" s="890"/>
      <c r="C955" s="890"/>
      <c r="P955" s="890" t="s">
        <v>6552</v>
      </c>
      <c r="Q955" s="890">
        <v>4</v>
      </c>
    </row>
    <row r="956" spans="2:17">
      <c r="B956" s="890"/>
      <c r="C956" s="890"/>
      <c r="P956" s="890" t="s">
        <v>6771</v>
      </c>
      <c r="Q956" s="890">
        <v>1</v>
      </c>
    </row>
    <row r="957" spans="2:17">
      <c r="B957" s="890"/>
      <c r="C957" s="890"/>
      <c r="P957" s="890" t="s">
        <v>6554</v>
      </c>
      <c r="Q957" s="890">
        <v>1</v>
      </c>
    </row>
    <row r="958" spans="2:17">
      <c r="B958" s="890"/>
      <c r="C958" s="890"/>
      <c r="P958" s="890" t="s">
        <v>6557</v>
      </c>
      <c r="Q958" s="890">
        <v>4</v>
      </c>
    </row>
    <row r="959" spans="2:17">
      <c r="B959" s="890"/>
      <c r="C959" s="890"/>
      <c r="P959" s="890" t="s">
        <v>6560</v>
      </c>
      <c r="Q959" s="890">
        <v>2</v>
      </c>
    </row>
    <row r="960" spans="2:17">
      <c r="B960" s="890"/>
      <c r="C960" s="890"/>
      <c r="P960" s="890" t="s">
        <v>6773</v>
      </c>
      <c r="Q960" s="890">
        <v>1</v>
      </c>
    </row>
    <row r="961" spans="2:17">
      <c r="B961" s="890"/>
      <c r="C961" s="890"/>
      <c r="P961" s="890" t="s">
        <v>6565</v>
      </c>
      <c r="Q961" s="890">
        <v>1</v>
      </c>
    </row>
    <row r="962" spans="2:17">
      <c r="B962" s="890"/>
      <c r="C962" s="890"/>
      <c r="P962" s="890" t="s">
        <v>6567</v>
      </c>
      <c r="Q962" s="890">
        <v>4</v>
      </c>
    </row>
    <row r="963" spans="2:17">
      <c r="B963" s="890"/>
      <c r="C963" s="890"/>
      <c r="P963" s="890" t="s">
        <v>6955</v>
      </c>
      <c r="Q963" s="890">
        <v>3</v>
      </c>
    </row>
    <row r="964" spans="2:17">
      <c r="B964" s="890"/>
      <c r="C964" s="890"/>
      <c r="P964" s="890" t="s">
        <v>6862</v>
      </c>
      <c r="Q964" s="890">
        <v>1</v>
      </c>
    </row>
    <row r="965" spans="2:17">
      <c r="B965" s="890"/>
      <c r="C965" s="890"/>
      <c r="P965" s="890" t="s">
        <v>6864</v>
      </c>
      <c r="Q965" s="890">
        <v>4</v>
      </c>
    </row>
    <row r="966" spans="2:17">
      <c r="B966" s="890"/>
      <c r="C966" s="890"/>
      <c r="P966" s="890" t="s">
        <v>6569</v>
      </c>
      <c r="Q966" s="890">
        <v>1</v>
      </c>
    </row>
    <row r="967" spans="2:17">
      <c r="B967" s="890"/>
      <c r="C967" s="890"/>
      <c r="P967" s="890" t="s">
        <v>6866</v>
      </c>
      <c r="Q967" s="890">
        <v>3</v>
      </c>
    </row>
    <row r="968" spans="2:17">
      <c r="B968" s="890"/>
      <c r="C968" s="890"/>
      <c r="P968" s="890" t="s">
        <v>6571</v>
      </c>
      <c r="Q968" s="890">
        <v>4</v>
      </c>
    </row>
    <row r="969" spans="2:17">
      <c r="B969" s="890"/>
      <c r="C969" s="890"/>
      <c r="P969" s="890" t="s">
        <v>6870</v>
      </c>
      <c r="Q969" s="890">
        <v>2</v>
      </c>
    </row>
    <row r="970" spans="2:17">
      <c r="B970" s="890"/>
      <c r="C970" s="890"/>
      <c r="P970" s="890" t="s">
        <v>6573</v>
      </c>
      <c r="Q970" s="890">
        <v>3</v>
      </c>
    </row>
    <row r="971" spans="2:17">
      <c r="B971" s="890"/>
      <c r="C971" s="890"/>
      <c r="P971" s="890" t="s">
        <v>6575</v>
      </c>
      <c r="Q971" s="890">
        <v>2</v>
      </c>
    </row>
    <row r="972" spans="2:17">
      <c r="B972" s="890"/>
      <c r="C972" s="890"/>
      <c r="P972" s="890" t="s">
        <v>6956</v>
      </c>
      <c r="Q972" s="890">
        <v>1</v>
      </c>
    </row>
    <row r="973" spans="2:17">
      <c r="B973" s="890"/>
      <c r="C973" s="890"/>
      <c r="P973" s="890" t="s">
        <v>6778</v>
      </c>
      <c r="Q973" s="890">
        <v>1</v>
      </c>
    </row>
    <row r="974" spans="2:17">
      <c r="B974" s="890"/>
      <c r="C974" s="890"/>
      <c r="P974" s="890" t="s">
        <v>6877</v>
      </c>
      <c r="Q974" s="890">
        <v>2</v>
      </c>
    </row>
    <row r="975" spans="2:17">
      <c r="B975" s="890"/>
      <c r="C975" s="890"/>
      <c r="P975" s="890" t="s">
        <v>6779</v>
      </c>
      <c r="Q975" s="890">
        <v>2</v>
      </c>
    </row>
    <row r="976" spans="2:17">
      <c r="B976" s="890"/>
      <c r="C976" s="890"/>
      <c r="P976" s="890" t="s">
        <v>6780</v>
      </c>
      <c r="Q976" s="890">
        <v>1</v>
      </c>
    </row>
    <row r="977" spans="2:17">
      <c r="B977" s="890"/>
      <c r="C977" s="890"/>
      <c r="P977" s="890" t="s">
        <v>6781</v>
      </c>
      <c r="Q977" s="890">
        <v>1</v>
      </c>
    </row>
    <row r="978" spans="2:17">
      <c r="B978" s="890"/>
      <c r="C978" s="890"/>
      <c r="P978" s="890" t="s">
        <v>6578</v>
      </c>
      <c r="Q978" s="890">
        <v>2</v>
      </c>
    </row>
    <row r="979" spans="2:17">
      <c r="B979" s="890"/>
      <c r="C979" s="890"/>
      <c r="P979" s="890" t="s">
        <v>6784</v>
      </c>
      <c r="Q979" s="890">
        <v>2</v>
      </c>
    </row>
    <row r="980" spans="2:17">
      <c r="B980" s="890"/>
      <c r="C980" s="890"/>
      <c r="P980" s="890" t="s">
        <v>6581</v>
      </c>
      <c r="Q980" s="890">
        <v>2</v>
      </c>
    </row>
    <row r="981" spans="2:17">
      <c r="B981" s="890"/>
      <c r="C981" s="890"/>
      <c r="P981" s="890" t="s">
        <v>6583</v>
      </c>
      <c r="Q981" s="890">
        <v>3</v>
      </c>
    </row>
    <row r="982" spans="2:17">
      <c r="B982" s="890"/>
      <c r="C982" s="890"/>
      <c r="P982" s="890" t="s">
        <v>6590</v>
      </c>
      <c r="Q982" s="890">
        <v>4</v>
      </c>
    </row>
    <row r="983" spans="2:17">
      <c r="B983" s="890"/>
      <c r="C983" s="890"/>
      <c r="P983" s="890" t="s">
        <v>6592</v>
      </c>
      <c r="Q983" s="890">
        <v>1</v>
      </c>
    </row>
    <row r="984" spans="2:17">
      <c r="B984" s="890"/>
      <c r="C984" s="890"/>
      <c r="P984" s="890" t="s">
        <v>6888</v>
      </c>
      <c r="Q984" s="890">
        <v>4</v>
      </c>
    </row>
    <row r="985" spans="2:17">
      <c r="B985" s="890"/>
      <c r="C985" s="890"/>
      <c r="P985" s="890" t="s">
        <v>6890</v>
      </c>
      <c r="Q985" s="890">
        <v>3</v>
      </c>
    </row>
    <row r="986" spans="2:17">
      <c r="B986" s="890"/>
      <c r="C986" s="890"/>
      <c r="P986" s="890" t="s">
        <v>6594</v>
      </c>
      <c r="Q986" s="890">
        <v>3</v>
      </c>
    </row>
    <row r="987" spans="2:17">
      <c r="B987" s="890"/>
      <c r="C987" s="890"/>
      <c r="P987" s="890" t="s">
        <v>6892</v>
      </c>
      <c r="Q987" s="890">
        <v>1</v>
      </c>
    </row>
    <row r="988" spans="2:17">
      <c r="B988" s="890"/>
      <c r="C988" s="890"/>
      <c r="P988" s="890" t="s">
        <v>6597</v>
      </c>
      <c r="Q988" s="890">
        <v>3</v>
      </c>
    </row>
    <row r="989" spans="2:17">
      <c r="B989" s="890"/>
      <c r="C989" s="890"/>
      <c r="P989" s="890" t="s">
        <v>6598</v>
      </c>
      <c r="Q989" s="890">
        <v>4</v>
      </c>
    </row>
    <row r="990" spans="2:17">
      <c r="B990" s="890"/>
      <c r="C990" s="890"/>
      <c r="P990" s="890" t="s">
        <v>6600</v>
      </c>
      <c r="Q990" s="890">
        <v>2</v>
      </c>
    </row>
    <row r="991" spans="2:17">
      <c r="B991" s="890"/>
      <c r="C991" s="890"/>
      <c r="P991" s="890" t="s">
        <v>6786</v>
      </c>
      <c r="Q991" s="890">
        <v>1</v>
      </c>
    </row>
    <row r="992" spans="2:17">
      <c r="B992" s="890"/>
      <c r="C992" s="890"/>
      <c r="P992" s="890" t="s">
        <v>6602</v>
      </c>
      <c r="Q992" s="890">
        <v>2</v>
      </c>
    </row>
    <row r="993" spans="2:17">
      <c r="B993" s="890"/>
      <c r="C993" s="890"/>
      <c r="P993" s="890" t="s">
        <v>6603</v>
      </c>
      <c r="Q993" s="890">
        <v>4</v>
      </c>
    </row>
    <row r="994" spans="2:17">
      <c r="B994" s="890"/>
      <c r="C994" s="890"/>
      <c r="P994" s="890" t="s">
        <v>6789</v>
      </c>
      <c r="Q994" s="890">
        <v>1</v>
      </c>
    </row>
    <row r="995" spans="2:17">
      <c r="B995" s="890"/>
      <c r="C995" s="890"/>
      <c r="P995" s="890" t="s">
        <v>6605</v>
      </c>
      <c r="Q995" s="890">
        <v>4</v>
      </c>
    </row>
    <row r="996" spans="2:17">
      <c r="B996" s="890"/>
      <c r="C996" s="890"/>
      <c r="P996" s="890" t="s">
        <v>6790</v>
      </c>
      <c r="Q996" s="890">
        <v>3</v>
      </c>
    </row>
    <row r="997" spans="2:17">
      <c r="B997" s="890"/>
      <c r="C997" s="890"/>
      <c r="P997" s="890" t="s">
        <v>6791</v>
      </c>
      <c r="Q997" s="890">
        <v>2</v>
      </c>
    </row>
    <row r="998" spans="2:17">
      <c r="B998" s="890"/>
      <c r="C998" s="890"/>
      <c r="P998" s="890" t="s">
        <v>6792</v>
      </c>
      <c r="Q998" s="890">
        <v>2</v>
      </c>
    </row>
    <row r="999" spans="2:17">
      <c r="B999" s="890"/>
      <c r="C999" s="890"/>
      <c r="P999" s="890" t="s">
        <v>6794</v>
      </c>
      <c r="Q999" s="890">
        <v>4</v>
      </c>
    </row>
    <row r="1000" spans="2:17">
      <c r="B1000" s="890"/>
      <c r="C1000" s="890"/>
      <c r="P1000" s="890" t="s">
        <v>6609</v>
      </c>
      <c r="Q1000" s="890">
        <v>1</v>
      </c>
    </row>
    <row r="1001" spans="2:17">
      <c r="B1001" s="890"/>
      <c r="C1001" s="890"/>
      <c r="P1001" s="890" t="s">
        <v>6611</v>
      </c>
      <c r="Q1001" s="890">
        <v>3</v>
      </c>
    </row>
    <row r="1002" spans="2:17">
      <c r="B1002" s="890"/>
      <c r="C1002" s="890"/>
      <c r="P1002" s="890" t="s">
        <v>6613</v>
      </c>
      <c r="Q1002" s="890">
        <v>4</v>
      </c>
    </row>
    <row r="1003" spans="2:17">
      <c r="B1003" s="890"/>
      <c r="C1003" s="890"/>
      <c r="P1003" s="890" t="s">
        <v>6800</v>
      </c>
      <c r="Q1003" s="890">
        <v>4</v>
      </c>
    </row>
    <row r="1004" spans="2:17">
      <c r="B1004" s="890"/>
      <c r="C1004" s="890"/>
      <c r="P1004" s="890" t="s">
        <v>6615</v>
      </c>
      <c r="Q1004" s="890">
        <v>4</v>
      </c>
    </row>
    <row r="1005" spans="2:17">
      <c r="B1005" s="890"/>
      <c r="C1005" s="890"/>
      <c r="P1005" s="890" t="s">
        <v>6617</v>
      </c>
      <c r="Q1005" s="890">
        <v>4</v>
      </c>
    </row>
    <row r="1006" spans="2:17">
      <c r="B1006" s="890"/>
      <c r="C1006" s="890"/>
      <c r="P1006" s="890" t="s">
        <v>6618</v>
      </c>
      <c r="Q1006" s="890">
        <v>3</v>
      </c>
    </row>
    <row r="1007" spans="2:17">
      <c r="B1007" s="890"/>
      <c r="C1007" s="890"/>
      <c r="P1007" s="890" t="s">
        <v>6957</v>
      </c>
      <c r="Q1007" s="890">
        <v>4</v>
      </c>
    </row>
    <row r="1008" spans="2:17">
      <c r="B1008" s="890"/>
      <c r="C1008" s="890"/>
      <c r="P1008" s="890" t="s">
        <v>6802</v>
      </c>
      <c r="Q1008" s="890">
        <v>2</v>
      </c>
    </row>
    <row r="1009" spans="2:17">
      <c r="B1009" s="890"/>
      <c r="C1009" s="890"/>
      <c r="P1009" s="890" t="s">
        <v>6621</v>
      </c>
      <c r="Q1009" s="890">
        <v>4</v>
      </c>
    </row>
    <row r="1010" spans="2:17">
      <c r="B1010" s="890"/>
      <c r="C1010" s="890"/>
      <c r="P1010" s="890" t="s">
        <v>6623</v>
      </c>
      <c r="Q1010" s="890">
        <v>4</v>
      </c>
    </row>
    <row r="1011" spans="2:17">
      <c r="B1011" s="890"/>
      <c r="C1011" s="890"/>
      <c r="P1011" s="890" t="s">
        <v>6624</v>
      </c>
      <c r="Q1011" s="890">
        <v>4</v>
      </c>
    </row>
    <row r="1012" spans="2:17">
      <c r="B1012" s="890"/>
      <c r="C1012" s="890"/>
      <c r="P1012" s="890" t="s">
        <v>6626</v>
      </c>
      <c r="Q1012" s="890">
        <v>4</v>
      </c>
    </row>
    <row r="1013" spans="2:17">
      <c r="B1013" s="890"/>
      <c r="C1013" s="890"/>
      <c r="P1013" s="890" t="s">
        <v>6804</v>
      </c>
      <c r="Q1013" s="890">
        <v>4</v>
      </c>
    </row>
    <row r="1014" spans="2:17">
      <c r="B1014" s="890"/>
      <c r="C1014" s="890"/>
      <c r="P1014" s="890" t="s">
        <v>6628</v>
      </c>
      <c r="Q1014" s="890">
        <v>2</v>
      </c>
    </row>
    <row r="1015" spans="2:17">
      <c r="B1015" s="890"/>
      <c r="C1015" s="890"/>
      <c r="P1015" s="890" t="s">
        <v>6631</v>
      </c>
      <c r="Q1015" s="890">
        <v>2</v>
      </c>
    </row>
    <row r="1016" spans="2:17">
      <c r="B1016" s="890"/>
      <c r="C1016" s="890"/>
      <c r="P1016" s="890" t="s">
        <v>6633</v>
      </c>
      <c r="Q1016" s="890">
        <v>4</v>
      </c>
    </row>
    <row r="1017" spans="2:17">
      <c r="B1017" s="890"/>
      <c r="C1017" s="890"/>
      <c r="P1017" s="890" t="s">
        <v>6807</v>
      </c>
      <c r="Q1017" s="890">
        <v>1</v>
      </c>
    </row>
    <row r="1018" spans="2:17">
      <c r="B1018" s="890"/>
      <c r="C1018" s="890"/>
      <c r="P1018" s="890" t="s">
        <v>6809</v>
      </c>
      <c r="Q1018" s="890">
        <v>4</v>
      </c>
    </row>
    <row r="1019" spans="2:17">
      <c r="B1019" s="890"/>
      <c r="C1019" s="890"/>
      <c r="P1019" s="890" t="s">
        <v>6810</v>
      </c>
      <c r="Q1019" s="890">
        <v>1</v>
      </c>
    </row>
    <row r="1020" spans="2:17">
      <c r="B1020" s="890"/>
      <c r="C1020" s="890"/>
      <c r="P1020" s="890" t="s">
        <v>6813</v>
      </c>
      <c r="Q1020" s="890">
        <v>4</v>
      </c>
    </row>
    <row r="1021" spans="2:17">
      <c r="B1021" s="890"/>
      <c r="C1021" s="890"/>
      <c r="P1021" s="890" t="s">
        <v>6636</v>
      </c>
      <c r="Q1021" s="890">
        <v>4</v>
      </c>
    </row>
    <row r="1022" spans="2:17">
      <c r="B1022" s="890"/>
      <c r="C1022" s="890"/>
      <c r="P1022" s="890" t="s">
        <v>6906</v>
      </c>
      <c r="Q1022" s="890">
        <v>4</v>
      </c>
    </row>
    <row r="1023" spans="2:17">
      <c r="B1023" s="890"/>
      <c r="C1023" s="890"/>
      <c r="P1023" s="890" t="s">
        <v>6638</v>
      </c>
      <c r="Q1023" s="890">
        <v>4</v>
      </c>
    </row>
    <row r="1024" spans="2:17">
      <c r="B1024" s="890"/>
      <c r="C1024" s="890"/>
      <c r="P1024" s="890" t="s">
        <v>6639</v>
      </c>
      <c r="Q1024" s="890">
        <v>4</v>
      </c>
    </row>
    <row r="1025" spans="2:17">
      <c r="B1025" s="890"/>
      <c r="C1025" s="890"/>
      <c r="P1025" s="890" t="s">
        <v>6641</v>
      </c>
      <c r="Q1025" s="890">
        <v>3</v>
      </c>
    </row>
    <row r="1026" spans="2:17">
      <c r="B1026" s="890"/>
      <c r="C1026" s="890"/>
      <c r="P1026" s="890" t="s">
        <v>6958</v>
      </c>
      <c r="Q1026" s="890">
        <v>4</v>
      </c>
    </row>
    <row r="1027" spans="2:17">
      <c r="B1027" s="890"/>
      <c r="C1027" s="890"/>
      <c r="P1027" s="890" t="s">
        <v>6643</v>
      </c>
      <c r="Q1027" s="890">
        <v>1</v>
      </c>
    </row>
    <row r="1028" spans="2:17">
      <c r="B1028" s="890"/>
      <c r="C1028" s="890"/>
      <c r="P1028" s="890" t="s">
        <v>6646</v>
      </c>
      <c r="Q1028" s="890">
        <v>4</v>
      </c>
    </row>
    <row r="1029" spans="2:17">
      <c r="B1029" s="890"/>
      <c r="C1029" s="890"/>
      <c r="P1029" s="890" t="s">
        <v>6648</v>
      </c>
      <c r="Q1029" s="890">
        <v>4</v>
      </c>
    </row>
    <row r="1030" spans="2:17">
      <c r="B1030" s="890"/>
      <c r="C1030" s="890"/>
      <c r="P1030" s="890" t="s">
        <v>6815</v>
      </c>
      <c r="Q1030" s="890">
        <v>1</v>
      </c>
    </row>
    <row r="1031" spans="2:17">
      <c r="B1031" s="890"/>
      <c r="C1031" s="890"/>
      <c r="P1031" s="890" t="s">
        <v>6816</v>
      </c>
      <c r="Q1031" s="890">
        <v>4</v>
      </c>
    </row>
    <row r="1032" spans="2:17">
      <c r="B1032" s="890"/>
      <c r="C1032" s="890"/>
      <c r="P1032" s="890" t="s">
        <v>6650</v>
      </c>
      <c r="Q1032" s="890">
        <v>4</v>
      </c>
    </row>
    <row r="1033" spans="2:17">
      <c r="B1033" s="890"/>
      <c r="C1033" s="890"/>
      <c r="P1033" s="890" t="s">
        <v>6820</v>
      </c>
      <c r="Q1033" s="890">
        <v>1</v>
      </c>
    </row>
    <row r="1034" spans="2:17">
      <c r="B1034" s="890"/>
      <c r="C1034" s="890"/>
      <c r="P1034" s="890" t="s">
        <v>6654</v>
      </c>
      <c r="Q1034" s="890">
        <v>1</v>
      </c>
    </row>
    <row r="1035" spans="2:17">
      <c r="B1035" s="890"/>
      <c r="C1035" s="890"/>
      <c r="P1035" s="890" t="s">
        <v>6656</v>
      </c>
      <c r="Q1035" s="890">
        <v>2</v>
      </c>
    </row>
    <row r="1036" spans="2:17">
      <c r="B1036" s="890"/>
      <c r="C1036" s="890"/>
      <c r="P1036" s="890" t="s">
        <v>6822</v>
      </c>
      <c r="Q1036" s="890">
        <v>4</v>
      </c>
    </row>
    <row r="1037" spans="2:17">
      <c r="B1037" s="890"/>
      <c r="C1037" s="890"/>
      <c r="P1037" s="890" t="s">
        <v>6823</v>
      </c>
      <c r="Q1037" s="890">
        <v>2</v>
      </c>
    </row>
    <row r="1038" spans="2:17">
      <c r="B1038" s="890"/>
      <c r="C1038" s="890"/>
      <c r="P1038" s="890" t="s">
        <v>6825</v>
      </c>
      <c r="Q1038" s="890">
        <v>2</v>
      </c>
    </row>
    <row r="1039" spans="2:17">
      <c r="B1039" s="890"/>
      <c r="C1039" s="890"/>
      <c r="P1039" s="890" t="s">
        <v>6826</v>
      </c>
      <c r="Q1039" s="890">
        <v>2</v>
      </c>
    </row>
    <row r="1040" spans="2:17">
      <c r="B1040" s="890"/>
      <c r="C1040" s="890"/>
      <c r="P1040" s="890" t="s">
        <v>6658</v>
      </c>
      <c r="Q1040" s="890">
        <v>1</v>
      </c>
    </row>
    <row r="1041" spans="2:17">
      <c r="B1041" s="890"/>
      <c r="C1041" s="890"/>
      <c r="P1041" s="890" t="s">
        <v>6661</v>
      </c>
      <c r="Q1041" s="890">
        <v>2</v>
      </c>
    </row>
    <row r="1042" spans="2:17">
      <c r="B1042" s="890"/>
      <c r="C1042" s="890"/>
      <c r="P1042" s="890" t="s">
        <v>6662</v>
      </c>
      <c r="Q1042" s="890">
        <v>1</v>
      </c>
    </row>
    <row r="1043" spans="2:17">
      <c r="B1043" s="890"/>
      <c r="C1043" s="890"/>
      <c r="P1043" s="890" t="s">
        <v>6663</v>
      </c>
      <c r="Q1043" s="890">
        <v>4</v>
      </c>
    </row>
    <row r="1044" spans="2:17">
      <c r="B1044" s="890"/>
      <c r="C1044" s="890"/>
      <c r="P1044" s="890" t="s">
        <v>6664</v>
      </c>
      <c r="Q1044" s="890">
        <v>4</v>
      </c>
    </row>
    <row r="1045" spans="2:17">
      <c r="B1045" s="890"/>
      <c r="C1045" s="890"/>
      <c r="P1045" s="890" t="s">
        <v>6907</v>
      </c>
      <c r="Q1045" s="890">
        <v>4</v>
      </c>
    </row>
    <row r="1046" spans="2:17">
      <c r="B1046" s="890"/>
      <c r="C1046" s="890"/>
      <c r="P1046" s="890" t="s">
        <v>6667</v>
      </c>
      <c r="Q1046" s="890">
        <v>1</v>
      </c>
    </row>
    <row r="1047" spans="2:17">
      <c r="B1047" s="890"/>
      <c r="C1047" s="890"/>
      <c r="P1047" s="890" t="s">
        <v>6959</v>
      </c>
      <c r="Q1047" s="890">
        <v>3</v>
      </c>
    </row>
    <row r="1048" spans="2:17">
      <c r="B1048" s="890"/>
      <c r="C1048" s="890"/>
      <c r="P1048" s="890" t="s">
        <v>6910</v>
      </c>
      <c r="Q1048" s="890">
        <v>3</v>
      </c>
    </row>
    <row r="1049" spans="2:17">
      <c r="B1049" s="890"/>
      <c r="C1049" s="890"/>
      <c r="P1049" s="890" t="s">
        <v>6669</v>
      </c>
      <c r="Q1049" s="890">
        <v>4</v>
      </c>
    </row>
    <row r="1050" spans="2:17">
      <c r="B1050" s="890"/>
      <c r="C1050" s="890"/>
      <c r="P1050" s="890" t="s">
        <v>6673</v>
      </c>
      <c r="Q1050" s="890">
        <v>4</v>
      </c>
    </row>
    <row r="1051" spans="2:17">
      <c r="B1051" s="890"/>
      <c r="C1051" s="890"/>
      <c r="P1051" s="890" t="s">
        <v>6676</v>
      </c>
      <c r="Q1051" s="890">
        <v>4</v>
      </c>
    </row>
    <row r="1052" spans="2:17">
      <c r="B1052" s="890"/>
      <c r="C1052" s="890"/>
      <c r="P1052" s="890" t="s">
        <v>6678</v>
      </c>
      <c r="Q1052" s="890">
        <v>4</v>
      </c>
    </row>
    <row r="1053" spans="2:17">
      <c r="B1053" s="890"/>
      <c r="C1053" s="890"/>
      <c r="P1053" s="890" t="s">
        <v>6911</v>
      </c>
      <c r="Q1053" s="890">
        <v>4</v>
      </c>
    </row>
    <row r="1054" spans="2:17">
      <c r="B1054" s="890"/>
      <c r="C1054" s="890"/>
      <c r="P1054" s="890" t="s">
        <v>6681</v>
      </c>
      <c r="Q1054" s="890">
        <v>1</v>
      </c>
    </row>
    <row r="1055" spans="2:17">
      <c r="B1055" s="890"/>
      <c r="C1055" s="890"/>
      <c r="P1055" s="890" t="s">
        <v>6683</v>
      </c>
      <c r="Q1055" s="890">
        <v>2</v>
      </c>
    </row>
    <row r="1056" spans="2:17">
      <c r="B1056" s="890"/>
      <c r="C1056" s="890"/>
      <c r="P1056" s="890" t="s">
        <v>6684</v>
      </c>
      <c r="Q1056" s="890">
        <v>1</v>
      </c>
    </row>
    <row r="1057" spans="2:17">
      <c r="B1057" s="890"/>
      <c r="C1057" s="890"/>
      <c r="P1057" s="890" t="s">
        <v>6689</v>
      </c>
      <c r="Q1057" s="890">
        <v>1</v>
      </c>
    </row>
    <row r="1058" spans="2:17">
      <c r="B1058" s="890"/>
      <c r="C1058" s="890"/>
      <c r="P1058" s="890" t="s">
        <v>6690</v>
      </c>
      <c r="Q1058" s="890">
        <v>1</v>
      </c>
    </row>
    <row r="1059" spans="2:17">
      <c r="B1059" s="890"/>
      <c r="C1059" s="890"/>
      <c r="P1059" s="890" t="s">
        <v>6692</v>
      </c>
      <c r="Q1059" s="890">
        <v>1</v>
      </c>
    </row>
    <row r="1060" spans="2:17">
      <c r="B1060" s="890"/>
      <c r="C1060" s="890"/>
      <c r="P1060" s="890" t="s">
        <v>6694</v>
      </c>
      <c r="Q1060" s="890">
        <v>4</v>
      </c>
    </row>
    <row r="1061" spans="2:17">
      <c r="B1061" s="890"/>
      <c r="C1061" s="890"/>
      <c r="P1061" s="890" t="s">
        <v>6960</v>
      </c>
      <c r="Q1061" s="890">
        <v>4</v>
      </c>
    </row>
    <row r="1062" spans="2:17">
      <c r="B1062" s="890"/>
      <c r="C1062" s="890"/>
      <c r="P1062" s="890" t="s">
        <v>6912</v>
      </c>
      <c r="Q1062" s="890">
        <v>4</v>
      </c>
    </row>
    <row r="1063" spans="2:17">
      <c r="B1063" s="890"/>
      <c r="C1063" s="890"/>
      <c r="P1063" s="890" t="s">
        <v>6697</v>
      </c>
      <c r="Q1063" s="890">
        <v>4</v>
      </c>
    </row>
    <row r="1064" spans="2:17">
      <c r="B1064" s="890"/>
      <c r="C1064" s="890"/>
      <c r="P1064" s="890" t="s">
        <v>6700</v>
      </c>
      <c r="Q1064" s="890">
        <v>4</v>
      </c>
    </row>
    <row r="1065" spans="2:17">
      <c r="B1065" s="890"/>
      <c r="C1065" s="890"/>
      <c r="P1065" s="890" t="s">
        <v>6701</v>
      </c>
      <c r="Q1065" s="890">
        <v>4</v>
      </c>
    </row>
    <row r="1066" spans="2:17">
      <c r="B1066" s="890"/>
      <c r="C1066" s="890"/>
      <c r="P1066" s="890" t="s">
        <v>6833</v>
      </c>
      <c r="Q1066" s="890">
        <v>1</v>
      </c>
    </row>
    <row r="1067" spans="2:17">
      <c r="B1067" s="890"/>
      <c r="C1067" s="890"/>
      <c r="P1067" s="890" t="s">
        <v>6835</v>
      </c>
      <c r="Q1067" s="890">
        <v>1</v>
      </c>
    </row>
    <row r="1068" spans="2:17">
      <c r="B1068" s="890"/>
      <c r="C1068" s="890"/>
      <c r="P1068" s="890" t="s">
        <v>6837</v>
      </c>
      <c r="Q1068" s="890">
        <v>1</v>
      </c>
    </row>
    <row r="1069" spans="2:17">
      <c r="B1069" s="890"/>
      <c r="C1069" s="890"/>
      <c r="P1069" s="890" t="s">
        <v>6704</v>
      </c>
      <c r="Q1069" s="890">
        <v>1</v>
      </c>
    </row>
    <row r="1070" spans="2:17">
      <c r="B1070" s="890"/>
      <c r="C1070" s="890"/>
      <c r="P1070" s="890" t="s">
        <v>6705</v>
      </c>
      <c r="Q1070" s="890">
        <v>4</v>
      </c>
    </row>
    <row r="1071" spans="2:17">
      <c r="B1071" s="890"/>
      <c r="C1071" s="890"/>
      <c r="P1071" s="890" t="s">
        <v>6707</v>
      </c>
      <c r="Q1071" s="890">
        <v>2</v>
      </c>
    </row>
    <row r="1072" spans="2:17">
      <c r="B1072" s="890"/>
      <c r="C1072" s="890"/>
      <c r="P1072" s="890" t="s">
        <v>6709</v>
      </c>
      <c r="Q1072" s="890">
        <v>4</v>
      </c>
    </row>
    <row r="1073" spans="2:17">
      <c r="B1073" s="890"/>
      <c r="C1073" s="890"/>
      <c r="P1073" s="890" t="s">
        <v>6839</v>
      </c>
      <c r="Q1073" s="890">
        <v>1</v>
      </c>
    </row>
    <row r="1074" spans="2:17">
      <c r="B1074" s="890"/>
      <c r="C1074" s="890"/>
      <c r="P1074" s="890" t="s">
        <v>6711</v>
      </c>
      <c r="Q1074" s="890">
        <v>4</v>
      </c>
    </row>
    <row r="1075" spans="2:17">
      <c r="B1075" s="890"/>
      <c r="C1075" s="890"/>
      <c r="P1075" s="890" t="s">
        <v>6843</v>
      </c>
      <c r="Q1075" s="890">
        <v>1</v>
      </c>
    </row>
    <row r="1076" spans="2:17">
      <c r="B1076" s="890"/>
      <c r="C1076" s="890"/>
      <c r="P1076" s="890" t="s">
        <v>6714</v>
      </c>
      <c r="Q1076" s="890">
        <v>1</v>
      </c>
    </row>
    <row r="1077" spans="2:17">
      <c r="B1077" s="890"/>
      <c r="C1077" s="890"/>
      <c r="P1077" s="890" t="s">
        <v>6844</v>
      </c>
      <c r="Q1077" s="890">
        <v>2</v>
      </c>
    </row>
    <row r="1078" spans="2:17">
      <c r="B1078" s="890"/>
      <c r="C1078" s="890"/>
      <c r="P1078" s="890" t="s">
        <v>6716</v>
      </c>
      <c r="Q1078" s="890">
        <v>3</v>
      </c>
    </row>
    <row r="1079" spans="2:17">
      <c r="B1079" s="890"/>
      <c r="C1079" s="890"/>
      <c r="P1079" s="890" t="s">
        <v>6718</v>
      </c>
      <c r="Q1079" s="890">
        <v>4</v>
      </c>
    </row>
    <row r="1080" spans="2:17">
      <c r="B1080" s="890"/>
      <c r="C1080" s="890"/>
      <c r="P1080" s="890" t="s">
        <v>6848</v>
      </c>
      <c r="Q1080" s="890">
        <v>2</v>
      </c>
    </row>
    <row r="1081" spans="2:17">
      <c r="B1081" s="890"/>
      <c r="C1081" s="890"/>
      <c r="P1081" s="890" t="s">
        <v>6720</v>
      </c>
      <c r="Q1081" s="890">
        <v>1</v>
      </c>
    </row>
    <row r="1082" spans="2:17">
      <c r="B1082" s="890"/>
      <c r="C1082" s="890"/>
      <c r="P1082" s="890" t="s">
        <v>6849</v>
      </c>
      <c r="Q1082" s="890">
        <v>1</v>
      </c>
    </row>
    <row r="1083" spans="2:17">
      <c r="B1083" s="890"/>
      <c r="C1083" s="890"/>
      <c r="P1083" s="890" t="s">
        <v>6722</v>
      </c>
      <c r="Q1083" s="890">
        <v>4</v>
      </c>
    </row>
    <row r="1084" spans="2:17">
      <c r="B1084" s="890"/>
      <c r="C1084" s="890"/>
      <c r="P1084" s="890" t="s">
        <v>6723</v>
      </c>
      <c r="Q1084" s="890">
        <v>2</v>
      </c>
    </row>
    <row r="1085" spans="2:17">
      <c r="B1085" s="890"/>
      <c r="C1085" s="890"/>
      <c r="P1085" s="890" t="s">
        <v>6724</v>
      </c>
      <c r="Q1085" s="890">
        <v>2</v>
      </c>
    </row>
    <row r="1086" spans="2:17">
      <c r="B1086" s="890"/>
      <c r="C1086" s="890"/>
      <c r="P1086" s="890" t="s">
        <v>6726</v>
      </c>
      <c r="Q1086" s="890">
        <v>4</v>
      </c>
    </row>
    <row r="1087" spans="2:17">
      <c r="B1087" s="890"/>
      <c r="C1087" s="890"/>
      <c r="P1087" s="890" t="s">
        <v>6728</v>
      </c>
      <c r="Q1087" s="890">
        <v>4</v>
      </c>
    </row>
    <row r="1088" spans="2:17">
      <c r="B1088" s="890"/>
      <c r="C1088" s="890"/>
      <c r="P1088" s="890" t="s">
        <v>6853</v>
      </c>
      <c r="Q1088" s="890">
        <v>1</v>
      </c>
    </row>
    <row r="1089" spans="2:17">
      <c r="B1089" s="890"/>
      <c r="C1089" s="890"/>
      <c r="P1089" s="890" t="s">
        <v>6916</v>
      </c>
      <c r="Q1089" s="890">
        <v>2</v>
      </c>
    </row>
    <row r="1090" spans="2:17">
      <c r="B1090" s="890"/>
      <c r="C1090" s="890"/>
      <c r="P1090" s="890" t="s">
        <v>6917</v>
      </c>
      <c r="Q1090" s="890">
        <v>1</v>
      </c>
    </row>
    <row r="1091" spans="2:17">
      <c r="B1091" s="890"/>
      <c r="C1091" s="890"/>
      <c r="P1091" s="890" t="s">
        <v>6855</v>
      </c>
      <c r="Q1091" s="890">
        <v>2</v>
      </c>
    </row>
    <row r="1092" spans="2:17">
      <c r="B1092" s="890"/>
      <c r="C1092" s="890"/>
      <c r="P1092" s="890" t="s">
        <v>6856</v>
      </c>
      <c r="Q1092" s="890">
        <v>2</v>
      </c>
    </row>
    <row r="1093" spans="2:17">
      <c r="B1093" s="890"/>
      <c r="C1093" s="890"/>
      <c r="P1093" s="890" t="s">
        <v>6857</v>
      </c>
      <c r="Q1093" s="890">
        <v>1</v>
      </c>
    </row>
    <row r="1094" spans="2:17">
      <c r="B1094" s="890"/>
      <c r="C1094" s="890"/>
      <c r="P1094" s="890" t="s">
        <v>6961</v>
      </c>
      <c r="Q1094" s="890">
        <v>4</v>
      </c>
    </row>
    <row r="1095" spans="2:17">
      <c r="B1095" s="890"/>
      <c r="C1095" s="890"/>
      <c r="P1095" s="890" t="s">
        <v>6858</v>
      </c>
      <c r="Q1095" s="890">
        <v>1</v>
      </c>
    </row>
    <row r="1096" spans="2:17">
      <c r="B1096" s="890"/>
      <c r="C1096" s="890"/>
      <c r="P1096" s="890" t="s">
        <v>6733</v>
      </c>
      <c r="Q1096" s="890">
        <v>3</v>
      </c>
    </row>
    <row r="1097" spans="2:17">
      <c r="B1097" s="890"/>
      <c r="C1097" s="890"/>
      <c r="P1097" s="890" t="s">
        <v>6918</v>
      </c>
      <c r="Q1097" s="890">
        <v>4</v>
      </c>
    </row>
    <row r="1098" spans="2:17">
      <c r="B1098" s="890"/>
      <c r="C1098" s="890"/>
      <c r="P1098" s="890" t="s">
        <v>6962</v>
      </c>
      <c r="Q1098" s="890">
        <v>4</v>
      </c>
    </row>
    <row r="1099" spans="2:17">
      <c r="B1099" s="890"/>
      <c r="C1099" s="890"/>
      <c r="P1099" s="890" t="s">
        <v>6919</v>
      </c>
      <c r="Q1099" s="890">
        <v>1</v>
      </c>
    </row>
    <row r="1100" spans="2:17">
      <c r="B1100" s="890"/>
      <c r="C1100" s="890"/>
      <c r="P1100" s="890" t="s">
        <v>6868</v>
      </c>
      <c r="Q1100" s="890">
        <v>1</v>
      </c>
    </row>
    <row r="1101" spans="2:17">
      <c r="B1101" s="890"/>
      <c r="C1101" s="890"/>
      <c r="P1101" s="890" t="s">
        <v>6921</v>
      </c>
      <c r="Q1101" s="890">
        <v>4</v>
      </c>
    </row>
    <row r="1102" spans="2:17">
      <c r="B1102" s="890"/>
      <c r="C1102" s="890"/>
      <c r="P1102" s="890" t="s">
        <v>6923</v>
      </c>
      <c r="Q1102" s="890">
        <v>3</v>
      </c>
    </row>
    <row r="1103" spans="2:17">
      <c r="B1103" s="890"/>
      <c r="C1103" s="890"/>
      <c r="P1103" s="890" t="s">
        <v>6737</v>
      </c>
      <c r="Q1103" s="890">
        <v>1</v>
      </c>
    </row>
    <row r="1104" spans="2:17">
      <c r="B1104" s="890"/>
      <c r="C1104" s="890"/>
      <c r="P1104" s="890" t="s">
        <v>6869</v>
      </c>
      <c r="Q1104" s="890">
        <v>4</v>
      </c>
    </row>
    <row r="1105" spans="2:17">
      <c r="B1105" s="890"/>
      <c r="C1105" s="890"/>
      <c r="P1105" s="890" t="s">
        <v>6963</v>
      </c>
      <c r="Q1105" s="890">
        <v>2</v>
      </c>
    </row>
    <row r="1106" spans="2:17">
      <c r="B1106" s="890"/>
      <c r="C1106" s="890"/>
      <c r="P1106" s="890" t="s">
        <v>6872</v>
      </c>
      <c r="Q1106" s="890">
        <v>4</v>
      </c>
    </row>
    <row r="1107" spans="2:17">
      <c r="B1107" s="890"/>
      <c r="C1107" s="890"/>
      <c r="P1107" s="890" t="s">
        <v>6873</v>
      </c>
      <c r="Q1107" s="890">
        <v>4</v>
      </c>
    </row>
    <row r="1108" spans="2:17">
      <c r="B1108" s="890"/>
      <c r="C1108" s="890"/>
      <c r="P1108" s="890" t="s">
        <v>6739</v>
      </c>
      <c r="Q1108" s="890">
        <v>4</v>
      </c>
    </row>
    <row r="1109" spans="2:17">
      <c r="B1109" s="890"/>
      <c r="C1109" s="890"/>
      <c r="P1109" s="890" t="s">
        <v>6876</v>
      </c>
      <c r="Q1109" s="890">
        <v>4</v>
      </c>
    </row>
    <row r="1110" spans="2:17">
      <c r="B1110" s="890"/>
      <c r="C1110" s="890"/>
      <c r="P1110" s="890" t="s">
        <v>6741</v>
      </c>
      <c r="Q1110" s="890">
        <v>4</v>
      </c>
    </row>
    <row r="1111" spans="2:17">
      <c r="B1111" s="890"/>
      <c r="C1111" s="890"/>
      <c r="P1111" s="890" t="s">
        <v>6743</v>
      </c>
      <c r="Q1111" s="890">
        <v>1</v>
      </c>
    </row>
    <row r="1112" spans="2:17">
      <c r="B1112" s="890"/>
      <c r="C1112" s="890"/>
      <c r="P1112" s="890" t="s">
        <v>6745</v>
      </c>
      <c r="Q1112" s="890">
        <v>3</v>
      </c>
    </row>
    <row r="1113" spans="2:17">
      <c r="B1113" s="890"/>
      <c r="C1113" s="890"/>
      <c r="P1113" s="890" t="s">
        <v>6878</v>
      </c>
      <c r="Q1113" s="890">
        <v>1</v>
      </c>
    </row>
    <row r="1114" spans="2:17">
      <c r="B1114" s="890"/>
      <c r="C1114" s="890"/>
      <c r="P1114" s="890" t="s">
        <v>6881</v>
      </c>
      <c r="Q1114" s="890">
        <v>2</v>
      </c>
    </row>
    <row r="1115" spans="2:17">
      <c r="B1115" s="890"/>
      <c r="C1115" s="890"/>
      <c r="P1115" s="890" t="s">
        <v>6883</v>
      </c>
      <c r="Q1115" s="890">
        <v>4</v>
      </c>
    </row>
    <row r="1116" spans="2:17">
      <c r="B1116" s="890"/>
      <c r="C1116" s="890"/>
      <c r="P1116" s="890" t="s">
        <v>6884</v>
      </c>
      <c r="Q1116" s="890">
        <v>4</v>
      </c>
    </row>
    <row r="1117" spans="2:17">
      <c r="B1117" s="890"/>
      <c r="C1117" s="890"/>
      <c r="P1117" s="890" t="s">
        <v>6885</v>
      </c>
      <c r="Q1117" s="890">
        <v>4</v>
      </c>
    </row>
    <row r="1118" spans="2:17">
      <c r="B1118" s="890"/>
      <c r="C1118" s="890"/>
      <c r="P1118" s="890" t="s">
        <v>6964</v>
      </c>
      <c r="Q1118" s="890">
        <v>4</v>
      </c>
    </row>
    <row r="1119" spans="2:17">
      <c r="B1119" s="890"/>
      <c r="C1119" s="890"/>
      <c r="P1119" s="890" t="s">
        <v>6926</v>
      </c>
      <c r="Q1119" s="890">
        <v>4</v>
      </c>
    </row>
    <row r="1120" spans="2:17">
      <c r="B1120" s="890"/>
      <c r="C1120" s="890"/>
      <c r="P1120" s="890" t="s">
        <v>6927</v>
      </c>
      <c r="Q1120" s="890">
        <v>2</v>
      </c>
    </row>
    <row r="1121" spans="2:17">
      <c r="B1121" s="890"/>
      <c r="C1121" s="890"/>
      <c r="P1121" s="890" t="s">
        <v>6928</v>
      </c>
      <c r="Q1121" s="890">
        <v>1</v>
      </c>
    </row>
    <row r="1122" spans="2:17">
      <c r="B1122" s="890"/>
      <c r="C1122" s="890"/>
      <c r="P1122" s="890" t="s">
        <v>6929</v>
      </c>
      <c r="Q1122" s="890">
        <v>4</v>
      </c>
    </row>
    <row r="1123" spans="2:17">
      <c r="B1123" s="890"/>
      <c r="C1123" s="890"/>
      <c r="P1123" s="890" t="s">
        <v>6887</v>
      </c>
      <c r="Q1123" s="890">
        <v>1</v>
      </c>
    </row>
    <row r="1124" spans="2:17">
      <c r="B1124" s="890"/>
      <c r="C1124" s="890"/>
      <c r="P1124" s="890" t="s">
        <v>6889</v>
      </c>
      <c r="Q1124" s="890">
        <v>4</v>
      </c>
    </row>
    <row r="1125" spans="2:17">
      <c r="B1125" s="890"/>
      <c r="C1125" s="890"/>
      <c r="P1125" s="890" t="s">
        <v>6965</v>
      </c>
      <c r="Q1125" s="890">
        <v>4</v>
      </c>
    </row>
    <row r="1126" spans="2:17">
      <c r="B1126" s="890"/>
      <c r="C1126" s="890"/>
      <c r="P1126" s="890" t="s">
        <v>6749</v>
      </c>
      <c r="Q1126" s="890">
        <v>4</v>
      </c>
    </row>
    <row r="1127" spans="2:17">
      <c r="B1127" s="890"/>
      <c r="C1127" s="890"/>
      <c r="P1127" s="890" t="s">
        <v>6966</v>
      </c>
      <c r="Q1127" s="890">
        <v>4</v>
      </c>
    </row>
    <row r="1128" spans="2:17">
      <c r="B1128" s="890"/>
      <c r="C1128" s="890"/>
      <c r="P1128" s="890" t="s">
        <v>6893</v>
      </c>
      <c r="Q1128" s="890">
        <v>1</v>
      </c>
    </row>
    <row r="1129" spans="2:17">
      <c r="B1129" s="890"/>
      <c r="C1129" s="890"/>
      <c r="P1129" s="890" t="s">
        <v>6933</v>
      </c>
      <c r="Q1129" s="890">
        <v>2</v>
      </c>
    </row>
    <row r="1130" spans="2:17">
      <c r="B1130" s="890"/>
      <c r="C1130" s="890"/>
      <c r="P1130" s="890" t="s">
        <v>6750</v>
      </c>
      <c r="Q1130" s="890">
        <v>4</v>
      </c>
    </row>
    <row r="1131" spans="2:17">
      <c r="B1131" s="890"/>
      <c r="C1131" s="890"/>
      <c r="P1131" s="890" t="s">
        <v>6751</v>
      </c>
      <c r="Q1131" s="890">
        <v>4</v>
      </c>
    </row>
    <row r="1132" spans="2:17">
      <c r="B1132" s="890"/>
      <c r="C1132" s="890"/>
      <c r="P1132" s="890" t="s">
        <v>6754</v>
      </c>
      <c r="Q1132" s="890">
        <v>3</v>
      </c>
    </row>
    <row r="1133" spans="2:17">
      <c r="B1133" s="890"/>
      <c r="C1133" s="890"/>
      <c r="P1133" s="890" t="s">
        <v>6967</v>
      </c>
      <c r="Q1133" s="890">
        <v>4</v>
      </c>
    </row>
    <row r="1134" spans="2:17">
      <c r="B1134" s="890"/>
      <c r="C1134" s="890"/>
      <c r="P1134" s="890" t="s">
        <v>6968</v>
      </c>
      <c r="Q1134" s="890">
        <v>2</v>
      </c>
    </row>
    <row r="1135" spans="2:17">
      <c r="B1135" s="890"/>
      <c r="C1135" s="890"/>
      <c r="P1135" s="890" t="s">
        <v>6969</v>
      </c>
      <c r="Q1135" s="890">
        <v>1</v>
      </c>
    </row>
    <row r="1136" spans="2:17">
      <c r="B1136" s="890"/>
      <c r="C1136" s="890"/>
      <c r="P1136" s="890" t="s">
        <v>6894</v>
      </c>
      <c r="Q1136" s="890">
        <v>2</v>
      </c>
    </row>
    <row r="1137" spans="2:17">
      <c r="B1137" s="890"/>
      <c r="C1137" s="890"/>
      <c r="P1137" s="890" t="s">
        <v>6896</v>
      </c>
      <c r="Q1137" s="890">
        <v>2</v>
      </c>
    </row>
    <row r="1138" spans="2:17">
      <c r="B1138" s="890"/>
      <c r="C1138" s="890"/>
      <c r="P1138" s="890" t="s">
        <v>6936</v>
      </c>
      <c r="Q1138" s="890">
        <v>2</v>
      </c>
    </row>
    <row r="1139" spans="2:17">
      <c r="B1139" s="890"/>
      <c r="C1139" s="890"/>
      <c r="P1139" s="890" t="s">
        <v>6898</v>
      </c>
      <c r="Q1139" s="890">
        <v>4</v>
      </c>
    </row>
    <row r="1140" spans="2:17">
      <c r="B1140" s="890"/>
      <c r="C1140" s="890"/>
      <c r="P1140" s="890" t="s">
        <v>6900</v>
      </c>
      <c r="Q1140" s="890">
        <v>1</v>
      </c>
    </row>
    <row r="1141" spans="2:17">
      <c r="B1141" s="890"/>
      <c r="C1141" s="890"/>
      <c r="P1141" s="890" t="s">
        <v>6937</v>
      </c>
      <c r="Q1141" s="890">
        <v>4</v>
      </c>
    </row>
    <row r="1142" spans="2:17">
      <c r="B1142" s="890"/>
      <c r="C1142" s="890"/>
      <c r="P1142" s="890" t="s">
        <v>6757</v>
      </c>
      <c r="Q1142" s="890">
        <v>1</v>
      </c>
    </row>
    <row r="1143" spans="2:17">
      <c r="B1143" s="890"/>
      <c r="C1143" s="890"/>
      <c r="P1143" s="890" t="s">
        <v>6902</v>
      </c>
      <c r="Q1143" s="890">
        <v>1</v>
      </c>
    </row>
    <row r="1144" spans="2:17">
      <c r="B1144" s="890"/>
      <c r="C1144" s="890"/>
      <c r="P1144" s="890" t="s">
        <v>6903</v>
      </c>
      <c r="Q1144" s="890">
        <v>1</v>
      </c>
    </row>
    <row r="1145" spans="2:17">
      <c r="B1145" s="890"/>
      <c r="C1145" s="890"/>
      <c r="P1145" s="890" t="s">
        <v>6970</v>
      </c>
      <c r="Q1145" s="890">
        <v>4</v>
      </c>
    </row>
    <row r="1146" spans="2:17">
      <c r="B1146" s="890"/>
      <c r="C1146" s="890"/>
      <c r="P1146" s="890" t="s">
        <v>6971</v>
      </c>
      <c r="Q1146" s="890">
        <v>4</v>
      </c>
    </row>
    <row r="1147" spans="2:17">
      <c r="B1147" s="890"/>
      <c r="C1147" s="890"/>
      <c r="P1147" s="890" t="s">
        <v>6972</v>
      </c>
      <c r="Q1147" s="890">
        <v>1</v>
      </c>
    </row>
    <row r="1148" spans="2:17">
      <c r="B1148" s="890"/>
      <c r="C1148" s="890"/>
      <c r="P1148" s="890" t="s">
        <v>6973</v>
      </c>
      <c r="Q1148" s="890">
        <v>4</v>
      </c>
    </row>
    <row r="1149" spans="2:17">
      <c r="B1149" s="890"/>
      <c r="C1149" s="890"/>
      <c r="P1149" s="890" t="s">
        <v>6760</v>
      </c>
      <c r="Q1149" s="890">
        <v>4</v>
      </c>
    </row>
    <row r="1150" spans="2:17">
      <c r="B1150" s="890"/>
      <c r="C1150" s="890"/>
      <c r="P1150" s="890" t="s">
        <v>6904</v>
      </c>
      <c r="Q1150" s="890">
        <v>1</v>
      </c>
    </row>
    <row r="1151" spans="2:17">
      <c r="B1151" s="890"/>
      <c r="C1151" s="890"/>
      <c r="P1151" s="890" t="s">
        <v>6939</v>
      </c>
      <c r="Q1151" s="890">
        <v>2</v>
      </c>
    </row>
    <row r="1152" spans="2:17">
      <c r="B1152" s="890"/>
      <c r="C1152" s="890"/>
    </row>
    <row r="1153" spans="2:3">
      <c r="B1153" s="890"/>
      <c r="C1153" s="890"/>
    </row>
    <row r="1154" spans="2:3">
      <c r="B1154" s="890"/>
      <c r="C1154" s="890"/>
    </row>
    <row r="1155" spans="2:3">
      <c r="B1155" s="890"/>
      <c r="C1155" s="890"/>
    </row>
    <row r="1156" spans="2:3">
      <c r="B1156" s="890"/>
      <c r="C1156" s="890"/>
    </row>
    <row r="1157" spans="2:3">
      <c r="B1157" s="890"/>
      <c r="C1157" s="890"/>
    </row>
    <row r="1158" spans="2:3">
      <c r="B1158" s="890"/>
      <c r="C1158" s="890"/>
    </row>
    <row r="1159" spans="2:3">
      <c r="B1159" s="890"/>
      <c r="C1159" s="890"/>
    </row>
    <row r="1160" spans="2:3">
      <c r="B1160" s="890"/>
      <c r="C1160" s="890"/>
    </row>
    <row r="1161" spans="2:3">
      <c r="B1161" s="890"/>
      <c r="C1161" s="890"/>
    </row>
    <row r="1162" spans="2:3">
      <c r="B1162" s="890"/>
      <c r="C1162" s="890"/>
    </row>
    <row r="1163" spans="2:3">
      <c r="B1163" s="890"/>
      <c r="C1163" s="890"/>
    </row>
    <row r="1164" spans="2:3">
      <c r="B1164" s="890"/>
      <c r="C1164" s="890"/>
    </row>
    <row r="1165" spans="2:3">
      <c r="B1165" s="890"/>
      <c r="C1165" s="890"/>
    </row>
    <row r="1166" spans="2:3">
      <c r="B1166" s="890"/>
      <c r="C1166" s="890"/>
    </row>
    <row r="1167" spans="2:3">
      <c r="B1167" s="890"/>
      <c r="C1167" s="890"/>
    </row>
    <row r="1168" spans="2:3">
      <c r="B1168" s="890"/>
      <c r="C1168" s="890"/>
    </row>
    <row r="1169" spans="2:3">
      <c r="B1169" s="890"/>
      <c r="C1169" s="890"/>
    </row>
    <row r="1170" spans="2:3">
      <c r="B1170" s="890"/>
      <c r="C1170" s="890"/>
    </row>
    <row r="1171" spans="2:3">
      <c r="B1171" s="890"/>
      <c r="C1171" s="890"/>
    </row>
    <row r="1172" spans="2:3">
      <c r="B1172" s="890"/>
      <c r="C1172" s="890"/>
    </row>
    <row r="1173" spans="2:3">
      <c r="B1173" s="890"/>
      <c r="C1173" s="890"/>
    </row>
    <row r="1174" spans="2:3">
      <c r="B1174" s="890"/>
      <c r="C1174" s="890"/>
    </row>
    <row r="1175" spans="2:3">
      <c r="B1175" s="890"/>
      <c r="C1175" s="890"/>
    </row>
    <row r="1176" spans="2:3">
      <c r="B1176" s="890"/>
      <c r="C1176" s="890"/>
    </row>
    <row r="1177" spans="2:3">
      <c r="B1177" s="890"/>
      <c r="C1177" s="890"/>
    </row>
    <row r="1178" spans="2:3">
      <c r="B1178" s="890"/>
      <c r="C1178" s="890"/>
    </row>
    <row r="1179" spans="2:3">
      <c r="B1179" s="890"/>
      <c r="C1179" s="890"/>
    </row>
    <row r="1180" spans="2:3">
      <c r="B1180" s="890"/>
      <c r="C1180" s="890"/>
    </row>
    <row r="1181" spans="2:3">
      <c r="B1181" s="890"/>
      <c r="C1181" s="890"/>
    </row>
    <row r="1182" spans="2:3">
      <c r="B1182" s="890"/>
      <c r="C1182" s="890"/>
    </row>
    <row r="1183" spans="2:3">
      <c r="B1183" s="890"/>
      <c r="C1183" s="890"/>
    </row>
    <row r="1184" spans="2:3">
      <c r="B1184" s="890"/>
      <c r="C1184" s="890"/>
    </row>
    <row r="1185" spans="2:3">
      <c r="B1185" s="890"/>
      <c r="C1185" s="890"/>
    </row>
    <row r="1186" spans="2:3">
      <c r="B1186" s="890"/>
      <c r="C1186" s="890"/>
    </row>
    <row r="1187" spans="2:3">
      <c r="B1187" s="890"/>
      <c r="C1187" s="890"/>
    </row>
    <row r="1188" spans="2:3">
      <c r="B1188" s="890"/>
      <c r="C1188" s="890"/>
    </row>
    <row r="1189" spans="2:3">
      <c r="B1189" s="890"/>
      <c r="C1189" s="890"/>
    </row>
    <row r="1190" spans="2:3">
      <c r="B1190" s="890"/>
      <c r="C1190" s="890"/>
    </row>
    <row r="1191" spans="2:3">
      <c r="B1191" s="890"/>
      <c r="C1191" s="890"/>
    </row>
    <row r="1192" spans="2:3">
      <c r="B1192" s="890"/>
      <c r="C1192" s="890"/>
    </row>
    <row r="1193" spans="2:3">
      <c r="B1193" s="890"/>
      <c r="C1193" s="890"/>
    </row>
    <row r="1194" spans="2:3">
      <c r="B1194" s="890"/>
      <c r="C1194" s="890"/>
    </row>
    <row r="1195" spans="2:3">
      <c r="B1195" s="890"/>
      <c r="C1195" s="890"/>
    </row>
    <row r="1196" spans="2:3">
      <c r="B1196" s="890"/>
      <c r="C1196" s="890"/>
    </row>
    <row r="1197" spans="2:3">
      <c r="B1197" s="890"/>
      <c r="C1197" s="890"/>
    </row>
    <row r="1198" spans="2:3">
      <c r="B1198" s="890"/>
      <c r="C1198" s="890"/>
    </row>
    <row r="1199" spans="2:3">
      <c r="B1199" s="890"/>
      <c r="C1199" s="890"/>
    </row>
    <row r="1200" spans="2:3">
      <c r="B1200" s="890"/>
      <c r="C1200" s="890"/>
    </row>
    <row r="1201" spans="2:3">
      <c r="B1201" s="890"/>
      <c r="C1201" s="890"/>
    </row>
    <row r="1202" spans="2:3">
      <c r="B1202" s="890"/>
      <c r="C1202" s="890"/>
    </row>
    <row r="1203" spans="2:3">
      <c r="B1203" s="890"/>
      <c r="C1203" s="890"/>
    </row>
    <row r="1204" spans="2:3">
      <c r="B1204" s="890"/>
      <c r="C1204" s="890"/>
    </row>
    <row r="1205" spans="2:3">
      <c r="B1205" s="890"/>
      <c r="C1205" s="890"/>
    </row>
    <row r="1206" spans="2:3">
      <c r="B1206" s="890"/>
      <c r="C1206" s="890"/>
    </row>
    <row r="1207" spans="2:3">
      <c r="B1207" s="890"/>
      <c r="C1207" s="890"/>
    </row>
    <row r="1208" spans="2:3">
      <c r="B1208" s="890"/>
      <c r="C1208" s="890"/>
    </row>
    <row r="1209" spans="2:3">
      <c r="B1209" s="890"/>
      <c r="C1209" s="890"/>
    </row>
    <row r="1210" spans="2:3">
      <c r="B1210" s="890"/>
      <c r="C1210" s="890"/>
    </row>
    <row r="1211" spans="2:3">
      <c r="B1211" s="890"/>
      <c r="C1211" s="890"/>
    </row>
    <row r="1212" spans="2:3">
      <c r="B1212" s="890"/>
      <c r="C1212" s="890"/>
    </row>
    <row r="1213" spans="2:3">
      <c r="B1213" s="890"/>
      <c r="C1213" s="890"/>
    </row>
    <row r="1214" spans="2:3">
      <c r="B1214" s="890"/>
      <c r="C1214" s="890"/>
    </row>
    <row r="1215" spans="2:3">
      <c r="B1215" s="890"/>
      <c r="C1215" s="890"/>
    </row>
    <row r="1216" spans="2:3">
      <c r="B1216" s="890"/>
      <c r="C1216" s="890"/>
    </row>
    <row r="1217" spans="2:3">
      <c r="B1217" s="890"/>
      <c r="C1217" s="890"/>
    </row>
    <row r="1218" spans="2:3">
      <c r="B1218" s="890"/>
      <c r="C1218" s="890"/>
    </row>
    <row r="1219" spans="2:3">
      <c r="B1219" s="890"/>
      <c r="C1219" s="890"/>
    </row>
    <row r="1220" spans="2:3">
      <c r="B1220" s="890"/>
      <c r="C1220" s="890"/>
    </row>
    <row r="1221" spans="2:3">
      <c r="B1221" s="890"/>
      <c r="C1221" s="890"/>
    </row>
    <row r="1222" spans="2:3">
      <c r="B1222" s="890"/>
      <c r="C1222" s="890"/>
    </row>
    <row r="1223" spans="2:3">
      <c r="B1223" s="890"/>
      <c r="C1223" s="890"/>
    </row>
    <row r="1224" spans="2:3">
      <c r="B1224" s="890"/>
      <c r="C1224" s="890"/>
    </row>
    <row r="1225" spans="2:3">
      <c r="B1225" s="890"/>
      <c r="C1225" s="890"/>
    </row>
    <row r="1226" spans="2:3">
      <c r="B1226" s="890"/>
      <c r="C1226" s="890"/>
    </row>
    <row r="1227" spans="2:3">
      <c r="B1227" s="890"/>
      <c r="C1227" s="890"/>
    </row>
    <row r="1228" spans="2:3">
      <c r="B1228" s="890"/>
      <c r="C1228" s="890"/>
    </row>
    <row r="1229" spans="2:3">
      <c r="B1229" s="890"/>
      <c r="C1229" s="890"/>
    </row>
    <row r="1230" spans="2:3">
      <c r="B1230" s="890"/>
      <c r="C1230" s="890"/>
    </row>
    <row r="1231" spans="2:3">
      <c r="B1231" s="890"/>
      <c r="C1231" s="890"/>
    </row>
    <row r="1232" spans="2:3">
      <c r="B1232" s="890"/>
      <c r="C1232" s="890"/>
    </row>
    <row r="1233" spans="2:3">
      <c r="B1233" s="890"/>
      <c r="C1233" s="890"/>
    </row>
    <row r="1234" spans="2:3">
      <c r="B1234" s="890"/>
      <c r="C1234" s="890"/>
    </row>
    <row r="1235" spans="2:3">
      <c r="B1235" s="890"/>
      <c r="C1235" s="890"/>
    </row>
    <row r="1236" spans="2:3">
      <c r="B1236" s="890"/>
      <c r="C1236" s="890"/>
    </row>
    <row r="1237" spans="2:3">
      <c r="B1237" s="890"/>
      <c r="C1237" s="890"/>
    </row>
    <row r="1238" spans="2:3">
      <c r="B1238" s="890"/>
      <c r="C1238" s="890"/>
    </row>
    <row r="1239" spans="2:3">
      <c r="B1239" s="890"/>
      <c r="C1239" s="890"/>
    </row>
    <row r="1240" spans="2:3">
      <c r="B1240" s="890"/>
      <c r="C1240" s="890"/>
    </row>
    <row r="1241" spans="2:3">
      <c r="B1241" s="890"/>
      <c r="C1241" s="890"/>
    </row>
    <row r="1242" spans="2:3">
      <c r="B1242" s="890"/>
      <c r="C1242" s="890"/>
    </row>
    <row r="1243" spans="2:3">
      <c r="B1243" s="890"/>
      <c r="C1243" s="890"/>
    </row>
    <row r="1244" spans="2:3">
      <c r="B1244" s="890"/>
      <c r="C1244" s="890"/>
    </row>
    <row r="1245" spans="2:3">
      <c r="B1245" s="890"/>
      <c r="C1245" s="890"/>
    </row>
    <row r="1246" spans="2:3">
      <c r="B1246" s="890"/>
      <c r="C1246" s="890"/>
    </row>
    <row r="1247" spans="2:3">
      <c r="B1247" s="890"/>
      <c r="C1247" s="890"/>
    </row>
    <row r="1248" spans="2:3">
      <c r="B1248" s="890"/>
      <c r="C1248" s="890"/>
    </row>
    <row r="1249" spans="2:3">
      <c r="B1249" s="890"/>
      <c r="C1249" s="890"/>
    </row>
    <row r="1250" spans="2:3">
      <c r="B1250" s="890"/>
      <c r="C1250" s="890"/>
    </row>
    <row r="1251" spans="2:3">
      <c r="B1251" s="890"/>
      <c r="C1251" s="890"/>
    </row>
    <row r="1252" spans="2:3">
      <c r="B1252" s="890"/>
      <c r="C1252" s="890"/>
    </row>
    <row r="1253" spans="2:3">
      <c r="B1253" s="890"/>
      <c r="C1253" s="890"/>
    </row>
    <row r="1254" spans="2:3">
      <c r="B1254" s="890"/>
      <c r="C1254" s="890"/>
    </row>
    <row r="1255" spans="2:3">
      <c r="B1255" s="890"/>
      <c r="C1255" s="890"/>
    </row>
    <row r="1256" spans="2:3">
      <c r="B1256" s="890"/>
      <c r="C1256" s="890"/>
    </row>
    <row r="1257" spans="2:3">
      <c r="B1257" s="890"/>
      <c r="C1257" s="890"/>
    </row>
    <row r="1258" spans="2:3">
      <c r="B1258" s="890"/>
      <c r="C1258" s="890"/>
    </row>
    <row r="1259" spans="2:3">
      <c r="B1259" s="890"/>
      <c r="C1259" s="890"/>
    </row>
    <row r="1260" spans="2:3">
      <c r="B1260" s="890"/>
      <c r="C1260" s="890"/>
    </row>
    <row r="1261" spans="2:3">
      <c r="B1261" s="890"/>
      <c r="C1261" s="890"/>
    </row>
    <row r="1262" spans="2:3">
      <c r="B1262" s="890"/>
      <c r="C1262" s="890"/>
    </row>
    <row r="1263" spans="2:3">
      <c r="B1263" s="890"/>
      <c r="C1263" s="890"/>
    </row>
    <row r="1264" spans="2:3">
      <c r="B1264" s="890"/>
      <c r="C1264" s="890"/>
    </row>
    <row r="1265" spans="2:3">
      <c r="B1265" s="890"/>
      <c r="C1265" s="890"/>
    </row>
    <row r="1266" spans="2:3">
      <c r="B1266" s="890"/>
      <c r="C1266" s="890"/>
    </row>
    <row r="1267" spans="2:3">
      <c r="B1267" s="890"/>
      <c r="C1267" s="890"/>
    </row>
    <row r="1268" spans="2:3">
      <c r="B1268" s="890"/>
      <c r="C1268" s="890"/>
    </row>
    <row r="1269" spans="2:3">
      <c r="B1269" s="890"/>
      <c r="C1269" s="890"/>
    </row>
    <row r="1270" spans="2:3">
      <c r="B1270" s="890"/>
      <c r="C1270" s="890"/>
    </row>
    <row r="1271" spans="2:3">
      <c r="B1271" s="890"/>
      <c r="C1271" s="890"/>
    </row>
    <row r="1272" spans="2:3">
      <c r="B1272" s="890"/>
      <c r="C1272" s="890"/>
    </row>
    <row r="1273" spans="2:3">
      <c r="B1273" s="890"/>
      <c r="C1273" s="890"/>
    </row>
    <row r="1274" spans="2:3">
      <c r="B1274" s="890"/>
      <c r="C1274" s="890"/>
    </row>
    <row r="1275" spans="2:3">
      <c r="B1275" s="890"/>
      <c r="C1275" s="890"/>
    </row>
    <row r="1276" spans="2:3">
      <c r="B1276" s="890"/>
      <c r="C1276" s="890"/>
    </row>
    <row r="1277" spans="2:3">
      <c r="B1277" s="890"/>
      <c r="C1277" s="890"/>
    </row>
    <row r="1278" spans="2:3">
      <c r="B1278" s="890"/>
      <c r="C1278" s="890"/>
    </row>
    <row r="1279" spans="2:3">
      <c r="B1279" s="890"/>
      <c r="C1279" s="890"/>
    </row>
    <row r="1280" spans="2:3">
      <c r="B1280" s="890"/>
      <c r="C1280" s="890"/>
    </row>
    <row r="1281" spans="2:3">
      <c r="B1281" s="890"/>
      <c r="C1281" s="890"/>
    </row>
    <row r="1282" spans="2:3">
      <c r="B1282" s="890"/>
      <c r="C1282" s="890"/>
    </row>
    <row r="1283" spans="2:3">
      <c r="B1283" s="890"/>
      <c r="C1283" s="890"/>
    </row>
    <row r="1284" spans="2:3">
      <c r="B1284" s="890"/>
      <c r="C1284" s="890"/>
    </row>
    <row r="1285" spans="2:3">
      <c r="B1285" s="890"/>
      <c r="C1285" s="890"/>
    </row>
    <row r="1286" spans="2:3">
      <c r="B1286" s="890"/>
      <c r="C1286" s="890"/>
    </row>
    <row r="1287" spans="2:3">
      <c r="B1287" s="890"/>
      <c r="C1287" s="890"/>
    </row>
    <row r="1288" spans="2:3">
      <c r="B1288" s="890"/>
      <c r="C1288" s="890"/>
    </row>
    <row r="1289" spans="2:3">
      <c r="B1289" s="890"/>
      <c r="C1289" s="890"/>
    </row>
    <row r="1290" spans="2:3">
      <c r="B1290" s="890"/>
      <c r="C1290" s="890"/>
    </row>
    <row r="1291" spans="2:3">
      <c r="B1291" s="890"/>
      <c r="C1291" s="890"/>
    </row>
    <row r="1292" spans="2:3">
      <c r="B1292" s="890"/>
      <c r="C1292" s="890"/>
    </row>
    <row r="1293" spans="2:3">
      <c r="B1293" s="890"/>
      <c r="C1293" s="890"/>
    </row>
    <row r="1294" spans="2:3">
      <c r="B1294" s="890"/>
      <c r="C1294" s="890"/>
    </row>
    <row r="1295" spans="2:3">
      <c r="B1295" s="890"/>
      <c r="C1295" s="890"/>
    </row>
    <row r="1296" spans="2:3">
      <c r="B1296" s="890"/>
      <c r="C1296" s="890"/>
    </row>
    <row r="1297" spans="2:3">
      <c r="B1297" s="890"/>
      <c r="C1297" s="890"/>
    </row>
    <row r="1298" spans="2:3">
      <c r="B1298" s="890"/>
      <c r="C1298" s="890"/>
    </row>
    <row r="1299" spans="2:3">
      <c r="B1299" s="890"/>
      <c r="C1299" s="890"/>
    </row>
    <row r="1300" spans="2:3">
      <c r="B1300" s="890"/>
      <c r="C1300" s="890"/>
    </row>
    <row r="1301" spans="2:3">
      <c r="B1301" s="890"/>
      <c r="C1301" s="890"/>
    </row>
    <row r="1302" spans="2:3">
      <c r="B1302" s="890"/>
      <c r="C1302" s="890"/>
    </row>
    <row r="1303" spans="2:3">
      <c r="B1303" s="890"/>
      <c r="C1303" s="890"/>
    </row>
    <row r="1304" spans="2:3">
      <c r="B1304" s="890"/>
      <c r="C1304" s="890"/>
    </row>
    <row r="1305" spans="2:3">
      <c r="B1305" s="890"/>
      <c r="C1305" s="890"/>
    </row>
    <row r="1306" spans="2:3">
      <c r="B1306" s="890"/>
      <c r="C1306" s="890"/>
    </row>
    <row r="1307" spans="2:3">
      <c r="B1307" s="890"/>
      <c r="C1307" s="890"/>
    </row>
    <row r="1308" spans="2:3">
      <c r="B1308" s="890"/>
      <c r="C1308" s="890"/>
    </row>
    <row r="1309" spans="2:3">
      <c r="B1309" s="890"/>
      <c r="C1309" s="890"/>
    </row>
    <row r="1310" spans="2:3">
      <c r="B1310" s="890"/>
      <c r="C1310" s="890"/>
    </row>
    <row r="1311" spans="2:3">
      <c r="B1311" s="890"/>
      <c r="C1311" s="890"/>
    </row>
    <row r="1312" spans="2:3">
      <c r="B1312" s="890"/>
      <c r="C1312" s="890"/>
    </row>
    <row r="1313" spans="2:3">
      <c r="B1313" s="890"/>
      <c r="C1313" s="890"/>
    </row>
    <row r="1314" spans="2:3">
      <c r="B1314" s="890"/>
      <c r="C1314" s="890"/>
    </row>
    <row r="1315" spans="2:3">
      <c r="B1315" s="890"/>
      <c r="C1315" s="890"/>
    </row>
    <row r="1316" spans="2:3">
      <c r="B1316" s="890"/>
      <c r="C1316" s="890"/>
    </row>
    <row r="1317" spans="2:3">
      <c r="B1317" s="890"/>
      <c r="C1317" s="890"/>
    </row>
    <row r="1318" spans="2:3">
      <c r="B1318" s="890"/>
      <c r="C1318" s="890"/>
    </row>
    <row r="1319" spans="2:3">
      <c r="B1319" s="890"/>
      <c r="C1319" s="890"/>
    </row>
    <row r="1320" spans="2:3">
      <c r="B1320" s="890"/>
      <c r="C1320" s="890"/>
    </row>
    <row r="1321" spans="2:3">
      <c r="B1321" s="890"/>
      <c r="C1321" s="890"/>
    </row>
    <row r="1322" spans="2:3">
      <c r="B1322" s="890"/>
      <c r="C1322" s="890"/>
    </row>
    <row r="1323" spans="2:3">
      <c r="B1323" s="890"/>
      <c r="C1323" s="890"/>
    </row>
    <row r="1324" spans="2:3">
      <c r="B1324" s="890"/>
      <c r="C1324" s="890"/>
    </row>
    <row r="1325" spans="2:3">
      <c r="B1325" s="890"/>
      <c r="C1325" s="890"/>
    </row>
    <row r="1326" spans="2:3">
      <c r="B1326" s="890"/>
      <c r="C1326" s="890"/>
    </row>
    <row r="1327" spans="2:3">
      <c r="B1327" s="890"/>
      <c r="C1327" s="890"/>
    </row>
    <row r="1328" spans="2:3">
      <c r="B1328" s="890"/>
      <c r="C1328" s="890"/>
    </row>
    <row r="1329" spans="2:3">
      <c r="B1329" s="890"/>
      <c r="C1329" s="890"/>
    </row>
    <row r="1330" spans="2:3">
      <c r="B1330" s="890"/>
      <c r="C1330" s="890"/>
    </row>
    <row r="1331" spans="2:3">
      <c r="B1331" s="890"/>
      <c r="C1331" s="890"/>
    </row>
    <row r="1332" spans="2:3">
      <c r="B1332" s="890"/>
      <c r="C1332" s="890"/>
    </row>
    <row r="1333" spans="2:3">
      <c r="B1333" s="890"/>
      <c r="C1333" s="890"/>
    </row>
    <row r="1334" spans="2:3">
      <c r="B1334" s="890"/>
      <c r="C1334" s="890"/>
    </row>
    <row r="1335" spans="2:3">
      <c r="B1335" s="890"/>
      <c r="C1335" s="890"/>
    </row>
    <row r="1336" spans="2:3">
      <c r="B1336" s="890"/>
      <c r="C1336" s="890"/>
    </row>
    <row r="1337" spans="2:3">
      <c r="B1337" s="890"/>
      <c r="C1337" s="890"/>
    </row>
    <row r="1338" spans="2:3">
      <c r="B1338" s="890"/>
      <c r="C1338" s="890"/>
    </row>
    <row r="1339" spans="2:3">
      <c r="B1339" s="890"/>
      <c r="C1339" s="890"/>
    </row>
    <row r="1340" spans="2:3">
      <c r="B1340" s="890"/>
      <c r="C1340" s="890"/>
    </row>
    <row r="1341" spans="2:3">
      <c r="B1341" s="890"/>
      <c r="C1341" s="890"/>
    </row>
    <row r="1342" spans="2:3">
      <c r="B1342" s="890"/>
      <c r="C1342" s="890"/>
    </row>
    <row r="1343" spans="2:3">
      <c r="B1343" s="890"/>
      <c r="C1343" s="890"/>
    </row>
    <row r="1344" spans="2:3">
      <c r="B1344" s="890"/>
      <c r="C1344" s="890"/>
    </row>
    <row r="1345" spans="2:3">
      <c r="B1345" s="890"/>
      <c r="C1345" s="890"/>
    </row>
    <row r="1346" spans="2:3">
      <c r="B1346" s="890"/>
      <c r="C1346" s="890"/>
    </row>
    <row r="1347" spans="2:3">
      <c r="B1347" s="890"/>
      <c r="C1347" s="890"/>
    </row>
    <row r="1348" spans="2:3">
      <c r="B1348" s="890"/>
      <c r="C1348" s="890"/>
    </row>
    <row r="1349" spans="2:3">
      <c r="B1349" s="890"/>
      <c r="C1349" s="890"/>
    </row>
    <row r="1350" spans="2:3">
      <c r="B1350" s="890"/>
      <c r="C1350" s="890"/>
    </row>
    <row r="1351" spans="2:3">
      <c r="B1351" s="890"/>
      <c r="C1351" s="890"/>
    </row>
    <row r="1352" spans="2:3">
      <c r="B1352" s="890"/>
      <c r="C1352" s="890"/>
    </row>
    <row r="1353" spans="2:3">
      <c r="B1353" s="890"/>
      <c r="C1353" s="890"/>
    </row>
    <row r="1354" spans="2:3">
      <c r="B1354" s="890"/>
      <c r="C1354" s="890"/>
    </row>
    <row r="1355" spans="2:3">
      <c r="B1355" s="890"/>
      <c r="C1355" s="890"/>
    </row>
    <row r="1356" spans="2:3">
      <c r="B1356" s="890"/>
      <c r="C1356" s="890"/>
    </row>
    <row r="1357" spans="2:3">
      <c r="B1357" s="890"/>
      <c r="C1357" s="890"/>
    </row>
    <row r="1358" spans="2:3">
      <c r="B1358" s="890"/>
      <c r="C1358" s="890"/>
    </row>
    <row r="1359" spans="2:3">
      <c r="B1359" s="890"/>
      <c r="C1359" s="890"/>
    </row>
    <row r="1360" spans="2:3">
      <c r="B1360" s="890"/>
      <c r="C1360" s="890"/>
    </row>
    <row r="1361" spans="2:3">
      <c r="B1361" s="890"/>
      <c r="C1361" s="890"/>
    </row>
    <row r="1362" spans="2:3">
      <c r="B1362" s="890"/>
      <c r="C1362" s="890"/>
    </row>
    <row r="1363" spans="2:3">
      <c r="B1363" s="890"/>
      <c r="C1363" s="890"/>
    </row>
    <row r="1364" spans="2:3">
      <c r="B1364" s="890"/>
      <c r="C1364" s="890"/>
    </row>
    <row r="1365" spans="2:3">
      <c r="B1365" s="890"/>
      <c r="C1365" s="890"/>
    </row>
    <row r="1366" spans="2:3">
      <c r="B1366" s="890"/>
      <c r="C1366" s="890"/>
    </row>
    <row r="1367" spans="2:3">
      <c r="B1367" s="890"/>
      <c r="C1367" s="890"/>
    </row>
    <row r="1368" spans="2:3">
      <c r="B1368" s="890"/>
      <c r="C1368" s="890"/>
    </row>
    <row r="1369" spans="2:3">
      <c r="B1369" s="890"/>
      <c r="C1369" s="890"/>
    </row>
    <row r="1370" spans="2:3">
      <c r="B1370" s="890"/>
      <c r="C1370" s="890"/>
    </row>
    <row r="1371" spans="2:3">
      <c r="B1371" s="890"/>
      <c r="C1371" s="890"/>
    </row>
    <row r="1372" spans="2:3">
      <c r="B1372" s="890"/>
      <c r="C1372" s="890"/>
    </row>
    <row r="1373" spans="2:3">
      <c r="B1373" s="890"/>
      <c r="C1373" s="890"/>
    </row>
    <row r="1374" spans="2:3">
      <c r="B1374" s="890"/>
      <c r="C1374" s="890"/>
    </row>
    <row r="1375" spans="2:3">
      <c r="B1375" s="890"/>
      <c r="C1375" s="890"/>
    </row>
    <row r="1376" spans="2:3">
      <c r="B1376" s="890"/>
      <c r="C1376" s="890"/>
    </row>
    <row r="1377" spans="2:3">
      <c r="B1377" s="890"/>
      <c r="C1377" s="890"/>
    </row>
    <row r="1378" spans="2:3">
      <c r="B1378" s="890"/>
      <c r="C1378" s="890"/>
    </row>
    <row r="1379" spans="2:3">
      <c r="B1379" s="890"/>
      <c r="C1379" s="890"/>
    </row>
    <row r="1380" spans="2:3">
      <c r="B1380" s="890"/>
      <c r="C1380" s="890"/>
    </row>
    <row r="1381" spans="2:3">
      <c r="B1381" s="890"/>
      <c r="C1381" s="890"/>
    </row>
    <row r="1382" spans="2:3">
      <c r="B1382" s="890"/>
      <c r="C1382" s="890"/>
    </row>
    <row r="1383" spans="2:3">
      <c r="B1383" s="890"/>
      <c r="C1383" s="890"/>
    </row>
    <row r="1384" spans="2:3">
      <c r="B1384" s="890"/>
      <c r="C1384" s="890"/>
    </row>
    <row r="1385" spans="2:3">
      <c r="B1385" s="890"/>
      <c r="C1385" s="890"/>
    </row>
    <row r="1386" spans="2:3">
      <c r="B1386" s="890"/>
      <c r="C1386" s="890"/>
    </row>
    <row r="1387" spans="2:3">
      <c r="B1387" s="890"/>
      <c r="C1387" s="890"/>
    </row>
    <row r="1388" spans="2:3">
      <c r="B1388" s="890"/>
      <c r="C1388" s="890"/>
    </row>
    <row r="1389" spans="2:3">
      <c r="B1389" s="890"/>
      <c r="C1389" s="890"/>
    </row>
    <row r="1390" spans="2:3">
      <c r="B1390" s="890"/>
      <c r="C1390" s="890"/>
    </row>
    <row r="1391" spans="2:3">
      <c r="B1391" s="890"/>
      <c r="C1391" s="890"/>
    </row>
    <row r="1392" spans="2:3">
      <c r="B1392" s="890"/>
      <c r="C1392" s="890"/>
    </row>
    <row r="1393" spans="2:3">
      <c r="B1393" s="890"/>
      <c r="C1393" s="890"/>
    </row>
    <row r="1394" spans="2:3">
      <c r="B1394" s="890"/>
      <c r="C1394" s="890"/>
    </row>
    <row r="1395" spans="2:3">
      <c r="B1395" s="890"/>
      <c r="C1395" s="890"/>
    </row>
    <row r="1396" spans="2:3">
      <c r="B1396" s="890"/>
      <c r="C1396" s="890"/>
    </row>
    <row r="1397" spans="2:3">
      <c r="B1397" s="890"/>
      <c r="C1397" s="890"/>
    </row>
    <row r="1398" spans="2:3">
      <c r="B1398" s="890"/>
      <c r="C1398" s="890"/>
    </row>
    <row r="1399" spans="2:3">
      <c r="B1399" s="890"/>
      <c r="C1399" s="890"/>
    </row>
    <row r="1400" spans="2:3">
      <c r="B1400" s="890"/>
      <c r="C1400" s="890"/>
    </row>
    <row r="1401" spans="2:3">
      <c r="B1401" s="890"/>
      <c r="C1401" s="890"/>
    </row>
    <row r="1402" spans="2:3">
      <c r="B1402" s="890"/>
      <c r="C1402" s="890"/>
    </row>
    <row r="1403" spans="2:3">
      <c r="B1403" s="890"/>
      <c r="C1403" s="890"/>
    </row>
    <row r="1404" spans="2:3">
      <c r="B1404" s="890"/>
      <c r="C1404" s="890"/>
    </row>
    <row r="1405" spans="2:3">
      <c r="B1405" s="890"/>
      <c r="C1405" s="890"/>
    </row>
    <row r="1406" spans="2:3">
      <c r="B1406" s="890"/>
      <c r="C1406" s="890"/>
    </row>
    <row r="1407" spans="2:3">
      <c r="B1407" s="890"/>
      <c r="C1407" s="890"/>
    </row>
    <row r="1408" spans="2:3">
      <c r="B1408" s="890"/>
      <c r="C1408" s="890"/>
    </row>
    <row r="1409" spans="2:3">
      <c r="B1409" s="890"/>
      <c r="C1409" s="890"/>
    </row>
    <row r="1410" spans="2:3">
      <c r="B1410" s="890"/>
      <c r="C1410" s="890"/>
    </row>
    <row r="1411" spans="2:3">
      <c r="B1411" s="890"/>
      <c r="C1411" s="890"/>
    </row>
    <row r="1412" spans="2:3">
      <c r="B1412" s="890"/>
      <c r="C1412" s="890"/>
    </row>
    <row r="1413" spans="2:3">
      <c r="B1413" s="890"/>
      <c r="C1413" s="890"/>
    </row>
    <row r="1414" spans="2:3">
      <c r="B1414" s="890"/>
      <c r="C1414" s="890"/>
    </row>
    <row r="1415" spans="2:3">
      <c r="B1415" s="890"/>
      <c r="C1415" s="890"/>
    </row>
    <row r="1416" spans="2:3">
      <c r="B1416" s="890"/>
      <c r="C1416" s="890"/>
    </row>
    <row r="1417" spans="2:3">
      <c r="B1417" s="890"/>
      <c r="C1417" s="890"/>
    </row>
    <row r="1418" spans="2:3">
      <c r="B1418" s="890"/>
      <c r="C1418" s="890"/>
    </row>
    <row r="1419" spans="2:3">
      <c r="B1419" s="890"/>
      <c r="C1419" s="890"/>
    </row>
    <row r="1420" spans="2:3">
      <c r="B1420" s="890"/>
      <c r="C1420" s="890"/>
    </row>
    <row r="1421" spans="2:3">
      <c r="B1421" s="890"/>
      <c r="C1421" s="890"/>
    </row>
    <row r="1422" spans="2:3">
      <c r="B1422" s="890"/>
      <c r="C1422" s="890"/>
    </row>
    <row r="1423" spans="2:3">
      <c r="B1423" s="890"/>
      <c r="C1423" s="890"/>
    </row>
    <row r="1424" spans="2:3">
      <c r="B1424" s="890"/>
      <c r="C1424" s="890"/>
    </row>
    <row r="1425" spans="2:3">
      <c r="B1425" s="890"/>
      <c r="C1425" s="890"/>
    </row>
    <row r="1426" spans="2:3">
      <c r="B1426" s="890"/>
      <c r="C1426" s="890"/>
    </row>
    <row r="1427" spans="2:3">
      <c r="B1427" s="890"/>
      <c r="C1427" s="890"/>
    </row>
    <row r="1428" spans="2:3">
      <c r="B1428" s="890"/>
      <c r="C1428" s="890"/>
    </row>
    <row r="1429" spans="2:3">
      <c r="B1429" s="890"/>
      <c r="C1429" s="890"/>
    </row>
    <row r="1430" spans="2:3">
      <c r="B1430" s="890"/>
      <c r="C1430" s="890"/>
    </row>
    <row r="1431" spans="2:3">
      <c r="B1431" s="890"/>
      <c r="C1431" s="890"/>
    </row>
    <row r="1432" spans="2:3">
      <c r="B1432" s="890"/>
      <c r="C1432" s="890"/>
    </row>
    <row r="1433" spans="2:3">
      <c r="B1433" s="890"/>
      <c r="C1433" s="890"/>
    </row>
    <row r="1434" spans="2:3">
      <c r="B1434" s="890"/>
      <c r="C1434" s="890"/>
    </row>
    <row r="1435" spans="2:3">
      <c r="B1435" s="890"/>
      <c r="C1435" s="890"/>
    </row>
    <row r="1436" spans="2:3">
      <c r="B1436" s="890"/>
      <c r="C1436" s="890"/>
    </row>
    <row r="1437" spans="2:3">
      <c r="B1437" s="890"/>
      <c r="C1437" s="890"/>
    </row>
    <row r="1438" spans="2:3">
      <c r="B1438" s="890"/>
      <c r="C1438" s="890"/>
    </row>
    <row r="1439" spans="2:3">
      <c r="B1439" s="890"/>
      <c r="C1439" s="890"/>
    </row>
    <row r="1440" spans="2:3">
      <c r="B1440" s="890"/>
      <c r="C1440" s="890"/>
    </row>
    <row r="1441" spans="2:3">
      <c r="B1441" s="890"/>
      <c r="C1441" s="890"/>
    </row>
    <row r="1442" spans="2:3">
      <c r="B1442" s="890"/>
      <c r="C1442" s="890"/>
    </row>
    <row r="1443" spans="2:3">
      <c r="B1443" s="890"/>
      <c r="C1443" s="890"/>
    </row>
    <row r="1444" spans="2:3">
      <c r="B1444" s="890"/>
      <c r="C1444" s="890"/>
    </row>
    <row r="1445" spans="2:3">
      <c r="B1445" s="890"/>
      <c r="C1445" s="890"/>
    </row>
    <row r="1446" spans="2:3">
      <c r="B1446" s="890"/>
      <c r="C1446" s="890"/>
    </row>
    <row r="1447" spans="2:3">
      <c r="B1447" s="890"/>
      <c r="C1447" s="890"/>
    </row>
    <row r="1448" spans="2:3">
      <c r="B1448" s="890"/>
      <c r="C1448" s="890"/>
    </row>
    <row r="1449" spans="2:3">
      <c r="B1449" s="890"/>
      <c r="C1449" s="890"/>
    </row>
    <row r="1450" spans="2:3">
      <c r="B1450" s="890"/>
      <c r="C1450" s="890"/>
    </row>
    <row r="1451" spans="2:3">
      <c r="B1451" s="890"/>
      <c r="C1451" s="890"/>
    </row>
    <row r="1452" spans="2:3">
      <c r="B1452" s="890"/>
      <c r="C1452" s="890"/>
    </row>
    <row r="1453" spans="2:3">
      <c r="B1453" s="890"/>
      <c r="C1453" s="890"/>
    </row>
    <row r="1454" spans="2:3">
      <c r="B1454" s="890"/>
      <c r="C1454" s="890"/>
    </row>
    <row r="1455" spans="2:3">
      <c r="B1455" s="890"/>
      <c r="C1455" s="890"/>
    </row>
    <row r="1456" spans="2:3">
      <c r="B1456" s="890"/>
      <c r="C1456" s="890"/>
    </row>
    <row r="1457" spans="2:3">
      <c r="B1457" s="890"/>
      <c r="C1457" s="890"/>
    </row>
    <row r="1458" spans="2:3">
      <c r="B1458" s="890"/>
      <c r="C1458" s="890"/>
    </row>
    <row r="1459" spans="2:3">
      <c r="B1459" s="890"/>
      <c r="C1459" s="890"/>
    </row>
    <row r="1460" spans="2:3">
      <c r="B1460" s="890"/>
      <c r="C1460" s="890"/>
    </row>
    <row r="1461" spans="2:3">
      <c r="B1461" s="890"/>
      <c r="C1461" s="890"/>
    </row>
    <row r="1462" spans="2:3">
      <c r="B1462" s="890"/>
      <c r="C1462" s="890"/>
    </row>
    <row r="1463" spans="2:3">
      <c r="B1463" s="890"/>
      <c r="C1463" s="890"/>
    </row>
    <row r="1464" spans="2:3">
      <c r="B1464" s="890"/>
      <c r="C1464" s="890"/>
    </row>
    <row r="1465" spans="2:3">
      <c r="B1465" s="890"/>
      <c r="C1465" s="890"/>
    </row>
    <row r="1466" spans="2:3">
      <c r="B1466" s="890"/>
      <c r="C1466" s="890"/>
    </row>
    <row r="1467" spans="2:3">
      <c r="B1467" s="890"/>
      <c r="C1467" s="890"/>
    </row>
    <row r="1468" spans="2:3">
      <c r="B1468" s="890"/>
      <c r="C1468" s="890"/>
    </row>
    <row r="1469" spans="2:3">
      <c r="B1469" s="890"/>
      <c r="C1469" s="890"/>
    </row>
    <row r="1470" spans="2:3">
      <c r="B1470" s="890"/>
      <c r="C1470" s="890"/>
    </row>
    <row r="1471" spans="2:3">
      <c r="B1471" s="890"/>
      <c r="C1471" s="890"/>
    </row>
    <row r="1472" spans="2:3">
      <c r="B1472" s="890"/>
      <c r="C1472" s="890"/>
    </row>
    <row r="1473" spans="2:3">
      <c r="B1473" s="890"/>
      <c r="C1473" s="890"/>
    </row>
    <row r="1474" spans="2:3">
      <c r="B1474" s="890"/>
      <c r="C1474" s="890"/>
    </row>
    <row r="1475" spans="2:3">
      <c r="B1475" s="890"/>
      <c r="C1475" s="890"/>
    </row>
    <row r="1476" spans="2:3">
      <c r="B1476" s="890"/>
      <c r="C1476" s="890"/>
    </row>
    <row r="1477" spans="2:3">
      <c r="B1477" s="890"/>
      <c r="C1477" s="890"/>
    </row>
    <row r="1478" spans="2:3">
      <c r="B1478" s="890"/>
      <c r="C1478" s="890"/>
    </row>
    <row r="1479" spans="2:3">
      <c r="B1479" s="890"/>
      <c r="C1479" s="890"/>
    </row>
    <row r="1480" spans="2:3">
      <c r="B1480" s="890"/>
      <c r="C1480" s="890"/>
    </row>
    <row r="1481" spans="2:3">
      <c r="B1481" s="890"/>
      <c r="C1481" s="890"/>
    </row>
    <row r="1482" spans="2:3">
      <c r="B1482" s="890"/>
      <c r="C1482" s="890"/>
    </row>
    <row r="1483" spans="2:3">
      <c r="B1483" s="890"/>
      <c r="C1483" s="890"/>
    </row>
    <row r="1484" spans="2:3">
      <c r="B1484" s="890"/>
      <c r="C1484" s="890"/>
    </row>
    <row r="1485" spans="2:3">
      <c r="B1485" s="890"/>
      <c r="C1485" s="890"/>
    </row>
    <row r="1486" spans="2:3">
      <c r="B1486" s="890"/>
      <c r="C1486" s="890"/>
    </row>
    <row r="1487" spans="2:3">
      <c r="B1487" s="890"/>
      <c r="C1487" s="890"/>
    </row>
    <row r="1488" spans="2:3">
      <c r="B1488" s="890"/>
      <c r="C1488" s="890"/>
    </row>
    <row r="1489" spans="2:3">
      <c r="B1489" s="890"/>
      <c r="C1489" s="890"/>
    </row>
    <row r="1490" spans="2:3">
      <c r="B1490" s="890"/>
      <c r="C1490" s="890"/>
    </row>
    <row r="1491" spans="2:3">
      <c r="B1491" s="890"/>
      <c r="C1491" s="890"/>
    </row>
    <row r="1492" spans="2:3">
      <c r="B1492" s="890"/>
      <c r="C1492" s="890"/>
    </row>
    <row r="1493" spans="2:3">
      <c r="B1493" s="890"/>
      <c r="C1493" s="890"/>
    </row>
    <row r="1494" spans="2:3">
      <c r="B1494" s="890"/>
      <c r="C1494" s="890"/>
    </row>
    <row r="1495" spans="2:3">
      <c r="B1495" s="890"/>
      <c r="C1495" s="890"/>
    </row>
    <row r="1496" spans="2:3">
      <c r="B1496" s="890"/>
      <c r="C1496" s="890"/>
    </row>
    <row r="1497" spans="2:3">
      <c r="B1497" s="890"/>
      <c r="C1497" s="890"/>
    </row>
    <row r="1498" spans="2:3">
      <c r="B1498" s="890"/>
      <c r="C1498" s="890"/>
    </row>
    <row r="1499" spans="2:3">
      <c r="B1499" s="890"/>
      <c r="C1499" s="890"/>
    </row>
    <row r="1500" spans="2:3">
      <c r="B1500" s="890"/>
      <c r="C1500" s="890"/>
    </row>
    <row r="1501" spans="2:3">
      <c r="B1501" s="890"/>
      <c r="C1501" s="890"/>
    </row>
    <row r="1502" spans="2:3">
      <c r="B1502" s="890"/>
      <c r="C1502" s="890"/>
    </row>
    <row r="1503" spans="2:3">
      <c r="B1503" s="890"/>
      <c r="C1503" s="890"/>
    </row>
    <row r="1504" spans="2:3">
      <c r="B1504" s="890"/>
      <c r="C1504" s="890"/>
    </row>
    <row r="1505" spans="2:3">
      <c r="B1505" s="890"/>
      <c r="C1505" s="890"/>
    </row>
    <row r="1506" spans="2:3">
      <c r="B1506" s="890"/>
      <c r="C1506" s="890"/>
    </row>
    <row r="1507" spans="2:3">
      <c r="B1507" s="890"/>
      <c r="C1507" s="890"/>
    </row>
    <row r="1508" spans="2:3">
      <c r="B1508" s="890"/>
      <c r="C1508" s="890"/>
    </row>
    <row r="1509" spans="2:3">
      <c r="B1509" s="890"/>
      <c r="C1509" s="890"/>
    </row>
    <row r="1510" spans="2:3">
      <c r="B1510" s="890"/>
      <c r="C1510" s="890"/>
    </row>
    <row r="1511" spans="2:3">
      <c r="B1511" s="890"/>
      <c r="C1511" s="890"/>
    </row>
    <row r="1512" spans="2:3">
      <c r="B1512" s="890"/>
      <c r="C1512" s="890"/>
    </row>
    <row r="1513" spans="2:3">
      <c r="B1513" s="890"/>
      <c r="C1513" s="890"/>
    </row>
    <row r="1514" spans="2:3">
      <c r="B1514" s="890"/>
      <c r="C1514" s="890"/>
    </row>
    <row r="1515" spans="2:3">
      <c r="B1515" s="890"/>
      <c r="C1515" s="890"/>
    </row>
    <row r="1516" spans="2:3">
      <c r="B1516" s="890"/>
      <c r="C1516" s="890"/>
    </row>
    <row r="1517" spans="2:3">
      <c r="B1517" s="890"/>
      <c r="C1517" s="890"/>
    </row>
    <row r="1518" spans="2:3">
      <c r="B1518" s="890"/>
      <c r="C1518" s="890"/>
    </row>
    <row r="1519" spans="2:3">
      <c r="B1519" s="890"/>
      <c r="C1519" s="890"/>
    </row>
    <row r="1520" spans="2:3">
      <c r="B1520" s="890"/>
      <c r="C1520" s="890"/>
    </row>
    <row r="1521" spans="2:3">
      <c r="B1521" s="890"/>
      <c r="C1521" s="890"/>
    </row>
    <row r="1522" spans="2:3">
      <c r="B1522" s="890"/>
      <c r="C1522" s="890"/>
    </row>
    <row r="1523" spans="2:3">
      <c r="B1523" s="890"/>
      <c r="C1523" s="890"/>
    </row>
    <row r="1524" spans="2:3">
      <c r="B1524" s="890"/>
      <c r="C1524" s="890"/>
    </row>
    <row r="1525" spans="2:3">
      <c r="B1525" s="890"/>
      <c r="C1525" s="890"/>
    </row>
    <row r="1526" spans="2:3">
      <c r="B1526" s="890"/>
      <c r="C1526" s="890"/>
    </row>
    <row r="1527" spans="2:3">
      <c r="B1527" s="890"/>
      <c r="C1527" s="890"/>
    </row>
    <row r="1528" spans="2:3">
      <c r="B1528" s="890"/>
      <c r="C1528" s="890"/>
    </row>
    <row r="1529" spans="2:3">
      <c r="B1529" s="890"/>
      <c r="C1529" s="890"/>
    </row>
    <row r="1530" spans="2:3">
      <c r="B1530" s="890"/>
      <c r="C1530" s="890"/>
    </row>
    <row r="1531" spans="2:3">
      <c r="B1531" s="890"/>
      <c r="C1531" s="890"/>
    </row>
    <row r="1532" spans="2:3">
      <c r="B1532" s="890"/>
      <c r="C1532" s="890"/>
    </row>
    <row r="1533" spans="2:3">
      <c r="B1533" s="890"/>
      <c r="C1533" s="890"/>
    </row>
  </sheetData>
  <sheetProtection algorithmName="SHA-512" hashValue="g2oxWOld2g7GO54hRe6v9QrNjyYHDBlHTmcXrtdf5/R/VDXbYZuzgCC5Amt6ce7EtSMGWVB2IazEG6pDZGLuEw==" saltValue="Hyc0/e9+Zx9OkB5Co9Oahg==" spinCount="100000" sheet="1" objects="1" scenarios="1" selectLockedCells="1"/>
  <mergeCells count="9">
    <mergeCell ref="B3:C3"/>
    <mergeCell ref="E3:F3"/>
    <mergeCell ref="B4:C4"/>
    <mergeCell ref="E4:F4"/>
    <mergeCell ref="P3:S3"/>
    <mergeCell ref="P4:S4"/>
    <mergeCell ref="K3:N3"/>
    <mergeCell ref="K4:N4"/>
    <mergeCell ref="H4:I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109DC-06F0-44CC-9525-524D313E84FF}">
  <sheetPr codeName="Sheet54"/>
  <dimension ref="C2:CZ73"/>
  <sheetViews>
    <sheetView workbookViewId="0"/>
  </sheetViews>
  <sheetFormatPr baseColWidth="10" defaultColWidth="8.83203125" defaultRowHeight="15"/>
  <sheetData>
    <row r="2" spans="3:104">
      <c r="C2" s="59" t="s">
        <v>282</v>
      </c>
      <c r="D2">
        <v>1</v>
      </c>
      <c r="E2" s="59" t="s">
        <v>6974</v>
      </c>
      <c r="F2">
        <v>1</v>
      </c>
      <c r="G2" s="59" t="s">
        <v>642</v>
      </c>
      <c r="H2">
        <v>20</v>
      </c>
      <c r="I2" s="59" t="s">
        <v>6975</v>
      </c>
      <c r="J2">
        <v>9</v>
      </c>
      <c r="K2" s="59" t="s">
        <v>354</v>
      </c>
      <c r="L2">
        <v>25</v>
      </c>
      <c r="M2" s="59" t="s">
        <v>2567</v>
      </c>
      <c r="N2">
        <v>41</v>
      </c>
      <c r="O2" s="59" t="s">
        <v>19</v>
      </c>
      <c r="P2">
        <v>1</v>
      </c>
      <c r="Q2" s="59" t="s">
        <v>19</v>
      </c>
      <c r="R2">
        <v>3</v>
      </c>
      <c r="S2" s="59" t="s">
        <v>19</v>
      </c>
      <c r="T2">
        <v>38</v>
      </c>
      <c r="U2" s="59" t="s">
        <v>19</v>
      </c>
      <c r="V2">
        <v>40</v>
      </c>
      <c r="W2" s="59" t="s">
        <v>19</v>
      </c>
      <c r="X2">
        <v>42</v>
      </c>
      <c r="Y2" s="59" t="s">
        <v>19</v>
      </c>
      <c r="Z2">
        <v>44</v>
      </c>
      <c r="AA2" s="59" t="s">
        <v>19</v>
      </c>
      <c r="AB2">
        <v>46</v>
      </c>
      <c r="AC2" s="59" t="s">
        <v>19</v>
      </c>
      <c r="AD2">
        <v>48</v>
      </c>
      <c r="AE2" s="59" t="s">
        <v>19</v>
      </c>
      <c r="AF2">
        <v>50</v>
      </c>
      <c r="AG2" s="59" t="s">
        <v>19</v>
      </c>
      <c r="AH2">
        <v>52</v>
      </c>
      <c r="AI2" s="59" t="s">
        <v>19</v>
      </c>
      <c r="AJ2">
        <v>54</v>
      </c>
      <c r="AK2" s="59" t="s">
        <v>19</v>
      </c>
      <c r="AL2">
        <v>56</v>
      </c>
      <c r="AM2" s="59" t="s">
        <v>19</v>
      </c>
      <c r="AN2">
        <v>58</v>
      </c>
      <c r="AO2" s="59" t="s">
        <v>2590</v>
      </c>
      <c r="AP2">
        <v>1</v>
      </c>
      <c r="AQ2" s="59" t="s">
        <v>6976</v>
      </c>
      <c r="AR2">
        <v>-1</v>
      </c>
      <c r="AS2" s="59" t="s">
        <v>256</v>
      </c>
      <c r="AT2">
        <v>1</v>
      </c>
      <c r="AU2" s="59" t="s">
        <v>267</v>
      </c>
      <c r="AV2">
        <v>1</v>
      </c>
      <c r="AW2" s="59" t="s">
        <v>268</v>
      </c>
      <c r="AX2">
        <v>1</v>
      </c>
      <c r="AY2" s="59" t="s">
        <v>268</v>
      </c>
      <c r="AZ2">
        <v>1</v>
      </c>
      <c r="BA2" s="59" t="s">
        <v>1346</v>
      </c>
      <c r="BB2">
        <v>2</v>
      </c>
      <c r="BC2" s="59" t="s">
        <v>6977</v>
      </c>
      <c r="BD2">
        <v>11</v>
      </c>
      <c r="BE2" s="59" t="s">
        <v>2567</v>
      </c>
      <c r="BF2">
        <v>48</v>
      </c>
      <c r="BG2" s="59" t="s">
        <v>6978</v>
      </c>
      <c r="BH2">
        <v>39</v>
      </c>
      <c r="BI2" s="59" t="s">
        <v>6979</v>
      </c>
      <c r="BJ2">
        <v>9</v>
      </c>
      <c r="BK2" s="59" t="s">
        <v>2567</v>
      </c>
      <c r="BL2">
        <v>41</v>
      </c>
      <c r="BM2" s="59" t="s">
        <v>565</v>
      </c>
      <c r="BN2">
        <v>11</v>
      </c>
      <c r="BO2" s="59" t="s">
        <v>6977</v>
      </c>
      <c r="BP2">
        <v>7</v>
      </c>
      <c r="BQ2" s="59" t="s">
        <v>6980</v>
      </c>
      <c r="BR2">
        <v>1</v>
      </c>
      <c r="BS2" s="59" t="s">
        <v>6981</v>
      </c>
      <c r="BT2">
        <v>-1</v>
      </c>
      <c r="BU2" s="59" t="s">
        <v>19</v>
      </c>
      <c r="BV2">
        <v>5</v>
      </c>
      <c r="BW2" s="59" t="s">
        <v>19</v>
      </c>
      <c r="BX2">
        <v>7</v>
      </c>
      <c r="BY2" s="59" t="s">
        <v>17</v>
      </c>
      <c r="BZ2">
        <v>9</v>
      </c>
      <c r="CA2" s="59" t="s">
        <v>6982</v>
      </c>
      <c r="CB2">
        <v>15</v>
      </c>
      <c r="CC2" s="59" t="s">
        <v>19</v>
      </c>
      <c r="CD2">
        <v>20</v>
      </c>
      <c r="CE2" s="59" t="s">
        <v>19</v>
      </c>
      <c r="CF2">
        <v>22</v>
      </c>
      <c r="CG2" s="59" t="s">
        <v>19</v>
      </c>
      <c r="CH2">
        <v>24</v>
      </c>
      <c r="CI2" s="59" t="s">
        <v>19</v>
      </c>
      <c r="CJ2">
        <v>26</v>
      </c>
      <c r="CK2" s="59" t="s">
        <v>19</v>
      </c>
      <c r="CL2">
        <v>28</v>
      </c>
      <c r="CM2" s="59" t="s">
        <v>19</v>
      </c>
      <c r="CN2">
        <v>30</v>
      </c>
      <c r="CO2" s="59" t="s">
        <v>19</v>
      </c>
      <c r="CP2">
        <v>32</v>
      </c>
      <c r="CQ2" s="59" t="s">
        <v>19</v>
      </c>
      <c r="CR2">
        <v>34</v>
      </c>
      <c r="CS2" s="59" t="s">
        <v>19</v>
      </c>
      <c r="CT2">
        <v>36</v>
      </c>
      <c r="CU2" s="59" t="s">
        <v>19</v>
      </c>
      <c r="CV2">
        <v>60</v>
      </c>
      <c r="CW2" s="59" t="s">
        <v>19</v>
      </c>
      <c r="CX2">
        <v>62</v>
      </c>
      <c r="CY2" s="59" t="s">
        <v>19</v>
      </c>
      <c r="CZ2">
        <v>64</v>
      </c>
    </row>
    <row r="3" spans="3:104">
      <c r="C3" s="59" t="s">
        <v>306</v>
      </c>
      <c r="D3">
        <v>2</v>
      </c>
      <c r="E3" s="59" t="s">
        <v>6983</v>
      </c>
      <c r="F3">
        <v>2</v>
      </c>
      <c r="G3" s="59" t="s">
        <v>630</v>
      </c>
      <c r="H3">
        <v>16</v>
      </c>
      <c r="I3" s="59" t="s">
        <v>6984</v>
      </c>
      <c r="J3">
        <v>10</v>
      </c>
      <c r="K3" s="59" t="s">
        <v>270</v>
      </c>
      <c r="L3">
        <v>20</v>
      </c>
      <c r="M3" s="59" t="s">
        <v>2569</v>
      </c>
      <c r="N3">
        <v>42</v>
      </c>
      <c r="O3" s="59" t="s">
        <v>13</v>
      </c>
      <c r="P3">
        <v>2</v>
      </c>
      <c r="Q3" s="59" t="s">
        <v>13</v>
      </c>
      <c r="R3">
        <v>4</v>
      </c>
      <c r="S3" s="59" t="s">
        <v>13</v>
      </c>
      <c r="T3">
        <v>39</v>
      </c>
      <c r="U3" s="59" t="s">
        <v>13</v>
      </c>
      <c r="V3">
        <v>41</v>
      </c>
      <c r="W3" s="59" t="s">
        <v>13</v>
      </c>
      <c r="X3">
        <v>43</v>
      </c>
      <c r="Y3" s="59" t="s">
        <v>13</v>
      </c>
      <c r="Z3">
        <v>45</v>
      </c>
      <c r="AA3" s="59" t="s">
        <v>13</v>
      </c>
      <c r="AB3">
        <v>47</v>
      </c>
      <c r="AC3" s="59" t="s">
        <v>13</v>
      </c>
      <c r="AD3">
        <v>49</v>
      </c>
      <c r="AE3" s="59" t="s">
        <v>13</v>
      </c>
      <c r="AF3">
        <v>51</v>
      </c>
      <c r="AG3" s="59" t="s">
        <v>13</v>
      </c>
      <c r="AH3">
        <v>53</v>
      </c>
      <c r="AI3" s="59" t="s">
        <v>13</v>
      </c>
      <c r="AJ3">
        <v>55</v>
      </c>
      <c r="AK3" s="59" t="s">
        <v>13</v>
      </c>
      <c r="AL3">
        <v>57</v>
      </c>
      <c r="AM3" s="59" t="s">
        <v>13</v>
      </c>
      <c r="AN3">
        <v>59</v>
      </c>
      <c r="AO3" s="59" t="s">
        <v>2683</v>
      </c>
      <c r="AP3">
        <v>2</v>
      </c>
      <c r="AQ3" s="59" t="s">
        <v>557</v>
      </c>
      <c r="AR3">
        <v>-2</v>
      </c>
      <c r="AS3" s="59" t="s">
        <v>281</v>
      </c>
      <c r="AT3">
        <v>2</v>
      </c>
      <c r="AU3" s="59" t="s">
        <v>293</v>
      </c>
      <c r="AV3">
        <v>2</v>
      </c>
      <c r="AW3" s="59" t="s">
        <v>255</v>
      </c>
      <c r="AX3">
        <v>2</v>
      </c>
      <c r="AY3" s="59" t="s">
        <v>255</v>
      </c>
      <c r="AZ3">
        <v>2</v>
      </c>
      <c r="BA3" s="59" t="s">
        <v>274</v>
      </c>
      <c r="BB3">
        <v>7</v>
      </c>
      <c r="BC3" s="59" t="s">
        <v>6985</v>
      </c>
      <c r="BD3">
        <v>12</v>
      </c>
      <c r="BE3" s="59" t="s">
        <v>2569</v>
      </c>
      <c r="BF3">
        <v>49</v>
      </c>
      <c r="BG3" s="59" t="s">
        <v>6986</v>
      </c>
      <c r="BH3">
        <v>37</v>
      </c>
      <c r="BI3" s="59" t="s">
        <v>6987</v>
      </c>
      <c r="BJ3">
        <v>11</v>
      </c>
      <c r="BK3" s="59" t="s">
        <v>2569</v>
      </c>
      <c r="BL3">
        <v>42</v>
      </c>
      <c r="BM3" s="59" t="s">
        <v>248</v>
      </c>
      <c r="BN3">
        <v>7</v>
      </c>
      <c r="BO3" s="59" t="s">
        <v>6985</v>
      </c>
      <c r="BP3">
        <v>8</v>
      </c>
      <c r="BQ3" s="59" t="s">
        <v>6988</v>
      </c>
      <c r="BR3">
        <v>2</v>
      </c>
      <c r="BS3" s="59" t="s">
        <v>6989</v>
      </c>
      <c r="BT3">
        <v>25</v>
      </c>
      <c r="BU3" s="59" t="s">
        <v>13</v>
      </c>
      <c r="BV3">
        <v>6</v>
      </c>
      <c r="BW3" s="59" t="s">
        <v>13</v>
      </c>
      <c r="BX3">
        <v>8</v>
      </c>
      <c r="BY3" s="59" t="s">
        <v>246</v>
      </c>
      <c r="BZ3">
        <v>10</v>
      </c>
      <c r="CA3" s="59" t="s">
        <v>6990</v>
      </c>
      <c r="CB3">
        <v>16</v>
      </c>
      <c r="CC3" s="59" t="s">
        <v>13</v>
      </c>
      <c r="CD3">
        <v>21</v>
      </c>
      <c r="CE3" s="59" t="s">
        <v>13</v>
      </c>
      <c r="CF3">
        <v>23</v>
      </c>
      <c r="CG3" s="59" t="s">
        <v>13</v>
      </c>
      <c r="CH3">
        <v>25</v>
      </c>
      <c r="CI3" s="59" t="s">
        <v>13</v>
      </c>
      <c r="CJ3">
        <v>27</v>
      </c>
      <c r="CK3" s="59" t="s">
        <v>13</v>
      </c>
      <c r="CL3">
        <v>29</v>
      </c>
      <c r="CM3" s="59" t="s">
        <v>13</v>
      </c>
      <c r="CN3">
        <v>31</v>
      </c>
      <c r="CO3" s="59" t="s">
        <v>13</v>
      </c>
      <c r="CP3">
        <v>33</v>
      </c>
      <c r="CQ3" s="59" t="s">
        <v>13</v>
      </c>
      <c r="CR3">
        <v>35</v>
      </c>
      <c r="CS3" s="59" t="s">
        <v>13</v>
      </c>
      <c r="CT3">
        <v>37</v>
      </c>
      <c r="CU3" s="59" t="s">
        <v>13</v>
      </c>
      <c r="CV3">
        <v>61</v>
      </c>
      <c r="CW3" s="59" t="s">
        <v>13</v>
      </c>
      <c r="CX3">
        <v>63</v>
      </c>
      <c r="CY3" s="59" t="s">
        <v>13</v>
      </c>
      <c r="CZ3">
        <v>65</v>
      </c>
    </row>
    <row r="4" spans="3:104">
      <c r="C4" s="59" t="s">
        <v>325</v>
      </c>
      <c r="D4">
        <v>3</v>
      </c>
      <c r="E4" s="59" t="s">
        <v>6991</v>
      </c>
      <c r="F4">
        <v>3</v>
      </c>
      <c r="G4" s="59" t="s">
        <v>261</v>
      </c>
      <c r="H4">
        <v>15</v>
      </c>
      <c r="I4" s="59" t="s">
        <v>6992</v>
      </c>
      <c r="J4">
        <v>11</v>
      </c>
      <c r="K4" s="59" t="s">
        <v>295</v>
      </c>
      <c r="L4">
        <v>21</v>
      </c>
      <c r="M4" s="59" t="s">
        <v>2571</v>
      </c>
      <c r="N4">
        <v>43</v>
      </c>
      <c r="AO4" s="59" t="s">
        <v>404</v>
      </c>
      <c r="AP4">
        <v>3</v>
      </c>
      <c r="AS4" s="59" t="s">
        <v>336</v>
      </c>
      <c r="AT4">
        <v>3</v>
      </c>
      <c r="AU4" s="59" t="s">
        <v>314</v>
      </c>
      <c r="AV4">
        <v>3</v>
      </c>
      <c r="AW4" s="59" t="s">
        <v>316</v>
      </c>
      <c r="AX4">
        <v>3</v>
      </c>
      <c r="AY4" s="59" t="s">
        <v>315</v>
      </c>
      <c r="AZ4">
        <v>3</v>
      </c>
      <c r="BA4" s="59" t="s">
        <v>1349</v>
      </c>
      <c r="BB4">
        <v>8</v>
      </c>
      <c r="BC4" s="59" t="s">
        <v>6993</v>
      </c>
      <c r="BD4">
        <v>13</v>
      </c>
      <c r="BE4" s="59" t="s">
        <v>2571</v>
      </c>
      <c r="BF4">
        <v>50</v>
      </c>
      <c r="BG4" s="59" t="s">
        <v>6994</v>
      </c>
      <c r="BH4">
        <v>38</v>
      </c>
      <c r="BI4" s="59" t="s">
        <v>6995</v>
      </c>
      <c r="BJ4">
        <v>10</v>
      </c>
      <c r="BK4" s="59" t="s">
        <v>2571</v>
      </c>
      <c r="BL4">
        <v>43</v>
      </c>
      <c r="BM4" s="59" t="s">
        <v>274</v>
      </c>
      <c r="BN4">
        <v>8</v>
      </c>
      <c r="BO4" s="59" t="s">
        <v>6993</v>
      </c>
      <c r="BP4">
        <v>9</v>
      </c>
      <c r="BS4" s="59" t="s">
        <v>6996</v>
      </c>
      <c r="BT4">
        <v>6</v>
      </c>
      <c r="BY4" s="59" t="s">
        <v>6997</v>
      </c>
      <c r="BZ4">
        <v>69</v>
      </c>
      <c r="CA4" s="59" t="s">
        <v>296</v>
      </c>
      <c r="CB4">
        <v>66</v>
      </c>
    </row>
    <row r="5" spans="3:104">
      <c r="C5" s="59" t="s">
        <v>337</v>
      </c>
      <c r="D5">
        <v>4</v>
      </c>
      <c r="E5" s="59" t="s">
        <v>6998</v>
      </c>
      <c r="F5">
        <v>4</v>
      </c>
      <c r="G5" s="59" t="s">
        <v>633</v>
      </c>
      <c r="H5">
        <v>17</v>
      </c>
      <c r="I5" s="59" t="s">
        <v>6999</v>
      </c>
      <c r="J5">
        <v>12</v>
      </c>
      <c r="K5" s="59" t="s">
        <v>318</v>
      </c>
      <c r="L5">
        <v>22</v>
      </c>
      <c r="M5" s="59" t="s">
        <v>2573</v>
      </c>
      <c r="N5">
        <v>44</v>
      </c>
      <c r="AS5" s="59" t="s">
        <v>324</v>
      </c>
      <c r="AT5">
        <v>4</v>
      </c>
      <c r="AU5" s="59" t="s">
        <v>332</v>
      </c>
      <c r="AV5">
        <v>4</v>
      </c>
      <c r="AW5" s="59" t="s">
        <v>347</v>
      </c>
      <c r="AX5">
        <v>4</v>
      </c>
      <c r="AY5" s="59" t="s">
        <v>347</v>
      </c>
      <c r="AZ5">
        <v>4</v>
      </c>
      <c r="BA5" s="59" t="s">
        <v>1348</v>
      </c>
      <c r="BB5">
        <v>1</v>
      </c>
      <c r="BC5" s="59" t="s">
        <v>7000</v>
      </c>
      <c r="BD5">
        <v>14</v>
      </c>
      <c r="BE5" s="59" t="s">
        <v>2573</v>
      </c>
      <c r="BF5">
        <v>51</v>
      </c>
      <c r="BG5" s="59" t="s">
        <v>366</v>
      </c>
      <c r="BH5">
        <v>11</v>
      </c>
      <c r="BI5" s="59" t="s">
        <v>7001</v>
      </c>
      <c r="BJ5">
        <v>12</v>
      </c>
      <c r="BK5" s="59" t="s">
        <v>2573</v>
      </c>
      <c r="BL5">
        <v>44</v>
      </c>
      <c r="BM5" s="59" t="s">
        <v>559</v>
      </c>
      <c r="BN5">
        <v>12</v>
      </c>
      <c r="BO5" s="59" t="s">
        <v>7000</v>
      </c>
      <c r="BP5">
        <v>10</v>
      </c>
      <c r="BS5" s="59" t="s">
        <v>3228</v>
      </c>
      <c r="BT5">
        <v>9</v>
      </c>
      <c r="BY5" s="59" t="s">
        <v>272</v>
      </c>
      <c r="BZ5">
        <v>11</v>
      </c>
    </row>
    <row r="6" spans="3:104">
      <c r="C6" s="59" t="s">
        <v>349</v>
      </c>
      <c r="D6">
        <v>5</v>
      </c>
      <c r="E6" s="59" t="s">
        <v>7002</v>
      </c>
      <c r="F6">
        <v>5</v>
      </c>
      <c r="G6" s="59" t="s">
        <v>644</v>
      </c>
      <c r="H6">
        <v>21</v>
      </c>
      <c r="I6" s="59" t="s">
        <v>7003</v>
      </c>
      <c r="J6">
        <v>13</v>
      </c>
      <c r="K6" s="59" t="s">
        <v>7004</v>
      </c>
      <c r="L6">
        <v>23</v>
      </c>
      <c r="M6" s="59" t="s">
        <v>2575</v>
      </c>
      <c r="N6">
        <v>45</v>
      </c>
      <c r="AS6" s="59" t="s">
        <v>348</v>
      </c>
      <c r="AT6">
        <v>5</v>
      </c>
      <c r="AU6" s="59" t="s">
        <v>347</v>
      </c>
      <c r="AV6">
        <v>6</v>
      </c>
      <c r="BA6" s="59" t="s">
        <v>640</v>
      </c>
      <c r="BB6">
        <v>9</v>
      </c>
      <c r="BC6" s="59" t="s">
        <v>7005</v>
      </c>
      <c r="BD6">
        <v>15</v>
      </c>
      <c r="BE6" s="59" t="s">
        <v>2575</v>
      </c>
      <c r="BF6">
        <v>52</v>
      </c>
      <c r="BG6" s="59" t="s">
        <v>357</v>
      </c>
      <c r="BH6">
        <v>12</v>
      </c>
      <c r="BI6" s="59" t="s">
        <v>7006</v>
      </c>
      <c r="BJ6">
        <v>1</v>
      </c>
      <c r="BK6" s="59" t="s">
        <v>2575</v>
      </c>
      <c r="BL6">
        <v>45</v>
      </c>
      <c r="BM6" s="59" t="s">
        <v>7007</v>
      </c>
      <c r="BN6">
        <v>13</v>
      </c>
      <c r="BO6" s="59" t="s">
        <v>7005</v>
      </c>
      <c r="BP6">
        <v>11</v>
      </c>
      <c r="BS6" s="59" t="s">
        <v>3578</v>
      </c>
      <c r="BT6">
        <v>7</v>
      </c>
      <c r="BY6" s="59" t="s">
        <v>7008</v>
      </c>
      <c r="BZ6">
        <v>14</v>
      </c>
    </row>
    <row r="7" spans="3:104">
      <c r="C7" s="59" t="s">
        <v>356</v>
      </c>
      <c r="D7">
        <v>6</v>
      </c>
      <c r="E7" s="59" t="s">
        <v>7009</v>
      </c>
      <c r="F7">
        <v>6</v>
      </c>
      <c r="G7" s="59" t="s">
        <v>640</v>
      </c>
      <c r="H7">
        <v>19</v>
      </c>
      <c r="I7" s="59" t="s">
        <v>7010</v>
      </c>
      <c r="J7">
        <v>8</v>
      </c>
      <c r="K7" s="59" t="s">
        <v>244</v>
      </c>
      <c r="L7">
        <v>19</v>
      </c>
      <c r="M7" s="59" t="s">
        <v>2577</v>
      </c>
      <c r="N7">
        <v>46</v>
      </c>
      <c r="AS7" s="59" t="s">
        <v>355</v>
      </c>
      <c r="AT7">
        <v>6</v>
      </c>
      <c r="BA7" s="59" t="s">
        <v>1347</v>
      </c>
      <c r="BB7">
        <v>6</v>
      </c>
      <c r="BC7" s="59" t="s">
        <v>7011</v>
      </c>
      <c r="BD7">
        <v>16</v>
      </c>
      <c r="BE7" s="59" t="s">
        <v>2577</v>
      </c>
      <c r="BF7">
        <v>53</v>
      </c>
      <c r="BG7" s="59" t="s">
        <v>309</v>
      </c>
      <c r="BH7">
        <v>13</v>
      </c>
      <c r="BI7" s="59" t="s">
        <v>7012</v>
      </c>
      <c r="BJ7">
        <v>2</v>
      </c>
      <c r="BK7" s="59" t="s">
        <v>2577</v>
      </c>
      <c r="BL7">
        <v>46</v>
      </c>
      <c r="BM7" s="59" t="s">
        <v>299</v>
      </c>
      <c r="BN7">
        <v>9</v>
      </c>
      <c r="BO7" s="59" t="s">
        <v>7011</v>
      </c>
      <c r="BP7">
        <v>12</v>
      </c>
      <c r="BS7" s="59" t="s">
        <v>3581</v>
      </c>
      <c r="BT7">
        <v>8</v>
      </c>
      <c r="BY7" s="59" t="s">
        <v>297</v>
      </c>
      <c r="BZ7">
        <v>12</v>
      </c>
    </row>
    <row r="8" spans="3:104">
      <c r="C8" s="59" t="s">
        <v>361</v>
      </c>
      <c r="D8">
        <v>7</v>
      </c>
      <c r="E8" s="59" t="s">
        <v>7013</v>
      </c>
      <c r="F8">
        <v>7</v>
      </c>
      <c r="G8" s="59" t="s">
        <v>636</v>
      </c>
      <c r="H8">
        <v>18</v>
      </c>
      <c r="I8" s="59" t="s">
        <v>7014</v>
      </c>
      <c r="J8">
        <v>14</v>
      </c>
      <c r="K8" s="59" t="s">
        <v>7015</v>
      </c>
      <c r="L8">
        <v>24</v>
      </c>
      <c r="AS8" s="59" t="s">
        <v>360</v>
      </c>
      <c r="AT8">
        <v>7</v>
      </c>
      <c r="BC8" s="59" t="s">
        <v>7016</v>
      </c>
      <c r="BD8">
        <v>17</v>
      </c>
      <c r="BG8" s="59" t="s">
        <v>375</v>
      </c>
      <c r="BH8">
        <v>14</v>
      </c>
      <c r="BI8" s="59" t="s">
        <v>7017</v>
      </c>
      <c r="BJ8">
        <v>3</v>
      </c>
      <c r="BM8" s="59" t="s">
        <v>320</v>
      </c>
      <c r="BN8">
        <v>10</v>
      </c>
      <c r="BO8" s="59" t="s">
        <v>7016</v>
      </c>
      <c r="BP8">
        <v>13</v>
      </c>
      <c r="BS8" s="59" t="s">
        <v>3583</v>
      </c>
      <c r="BT8">
        <v>11</v>
      </c>
      <c r="BY8" s="59" t="s">
        <v>319</v>
      </c>
      <c r="BZ8">
        <v>68</v>
      </c>
    </row>
    <row r="9" spans="3:104">
      <c r="C9" s="59" t="s">
        <v>365</v>
      </c>
      <c r="D9">
        <v>8</v>
      </c>
      <c r="E9" s="59" t="s">
        <v>7018</v>
      </c>
      <c r="F9">
        <v>8</v>
      </c>
      <c r="I9" s="59" t="s">
        <v>7019</v>
      </c>
      <c r="J9">
        <v>6</v>
      </c>
      <c r="AS9" s="59" t="s">
        <v>347</v>
      </c>
      <c r="AT9">
        <v>8</v>
      </c>
      <c r="BG9" s="59" t="s">
        <v>7020</v>
      </c>
      <c r="BH9">
        <v>15</v>
      </c>
      <c r="BI9" s="59" t="s">
        <v>7021</v>
      </c>
      <c r="BJ9">
        <v>4</v>
      </c>
      <c r="BO9" s="59" t="s">
        <v>7022</v>
      </c>
      <c r="BP9">
        <v>14</v>
      </c>
      <c r="BS9" s="59" t="s">
        <v>714</v>
      </c>
      <c r="BT9">
        <v>1</v>
      </c>
      <c r="BY9" s="59" t="s">
        <v>7023</v>
      </c>
      <c r="BZ9">
        <v>13</v>
      </c>
    </row>
    <row r="10" spans="3:104">
      <c r="C10" s="59" t="s">
        <v>370</v>
      </c>
      <c r="D10">
        <v>9</v>
      </c>
      <c r="E10" s="59" t="s">
        <v>7024</v>
      </c>
      <c r="F10">
        <v>9</v>
      </c>
      <c r="I10" s="59" t="s">
        <v>7025</v>
      </c>
      <c r="J10">
        <v>7</v>
      </c>
      <c r="BI10" s="59" t="s">
        <v>7026</v>
      </c>
      <c r="BJ10">
        <v>5</v>
      </c>
      <c r="BO10" s="59" t="s">
        <v>7027</v>
      </c>
      <c r="BP10">
        <v>15</v>
      </c>
      <c r="BS10" s="59" t="s">
        <v>3229</v>
      </c>
      <c r="BT10">
        <v>14</v>
      </c>
    </row>
    <row r="11" spans="3:104">
      <c r="C11" s="59" t="s">
        <v>374</v>
      </c>
      <c r="D11">
        <v>10</v>
      </c>
      <c r="E11" s="59" t="s">
        <v>7028</v>
      </c>
      <c r="F11">
        <v>10</v>
      </c>
      <c r="I11" s="59" t="s">
        <v>3192</v>
      </c>
      <c r="J11">
        <v>1</v>
      </c>
      <c r="BI11" s="59" t="s">
        <v>7029</v>
      </c>
      <c r="BJ11">
        <v>6</v>
      </c>
      <c r="BS11" s="59" t="s">
        <v>264</v>
      </c>
      <c r="BT11">
        <v>16</v>
      </c>
    </row>
    <row r="12" spans="3:104">
      <c r="C12" s="59" t="s">
        <v>379</v>
      </c>
      <c r="D12">
        <v>11</v>
      </c>
      <c r="E12" s="59" t="s">
        <v>7030</v>
      </c>
      <c r="F12">
        <v>11</v>
      </c>
      <c r="I12" s="59" t="s">
        <v>7031</v>
      </c>
      <c r="J12">
        <v>2</v>
      </c>
      <c r="BI12" s="59" t="s">
        <v>275</v>
      </c>
      <c r="BJ12">
        <v>7</v>
      </c>
      <c r="BS12" s="59" t="s">
        <v>7032</v>
      </c>
      <c r="BT12">
        <v>21</v>
      </c>
    </row>
    <row r="13" spans="3:104">
      <c r="C13" s="59" t="s">
        <v>381</v>
      </c>
      <c r="D13">
        <v>12</v>
      </c>
      <c r="E13" s="59" t="s">
        <v>7033</v>
      </c>
      <c r="F13">
        <v>12</v>
      </c>
      <c r="I13" s="59" t="s">
        <v>7034</v>
      </c>
      <c r="J13">
        <v>3</v>
      </c>
      <c r="BI13" s="59" t="s">
        <v>2590</v>
      </c>
      <c r="BJ13">
        <v>8</v>
      </c>
      <c r="BS13" s="59" t="s">
        <v>7035</v>
      </c>
      <c r="BT13">
        <v>28</v>
      </c>
    </row>
    <row r="14" spans="3:104">
      <c r="C14" s="59" t="s">
        <v>384</v>
      </c>
      <c r="D14">
        <v>13</v>
      </c>
      <c r="E14" s="59" t="s">
        <v>7036</v>
      </c>
      <c r="F14">
        <v>13</v>
      </c>
      <c r="I14" s="59" t="s">
        <v>7037</v>
      </c>
      <c r="J14">
        <v>4</v>
      </c>
      <c r="BS14" s="59" t="s">
        <v>7038</v>
      </c>
      <c r="BT14">
        <v>24</v>
      </c>
    </row>
    <row r="15" spans="3:104">
      <c r="C15" s="59" t="s">
        <v>387</v>
      </c>
      <c r="D15">
        <v>14</v>
      </c>
      <c r="E15" s="59" t="s">
        <v>7039</v>
      </c>
      <c r="F15">
        <v>14</v>
      </c>
      <c r="I15" s="59" t="s">
        <v>7040</v>
      </c>
      <c r="J15">
        <v>5</v>
      </c>
      <c r="BS15" s="59" t="s">
        <v>7041</v>
      </c>
      <c r="BT15">
        <v>23</v>
      </c>
    </row>
    <row r="16" spans="3:104">
      <c r="C16" s="59" t="s">
        <v>389</v>
      </c>
      <c r="D16">
        <v>15</v>
      </c>
      <c r="E16" s="59" t="s">
        <v>7042</v>
      </c>
      <c r="F16">
        <v>15</v>
      </c>
      <c r="BS16" s="59" t="s">
        <v>1581</v>
      </c>
      <c r="BT16">
        <v>4</v>
      </c>
    </row>
    <row r="17" spans="3:72">
      <c r="C17" s="59" t="s">
        <v>392</v>
      </c>
      <c r="D17">
        <v>16</v>
      </c>
      <c r="E17" s="59" t="s">
        <v>7043</v>
      </c>
      <c r="F17">
        <v>16</v>
      </c>
      <c r="BS17" s="59" t="s">
        <v>1579</v>
      </c>
      <c r="BT17">
        <v>5</v>
      </c>
    </row>
    <row r="18" spans="3:72">
      <c r="C18" s="59" t="s">
        <v>394</v>
      </c>
      <c r="D18">
        <v>17</v>
      </c>
      <c r="E18" s="59" t="s">
        <v>7044</v>
      </c>
      <c r="F18">
        <v>17</v>
      </c>
      <c r="BS18" s="59" t="s">
        <v>7045</v>
      </c>
      <c r="BT18">
        <v>12</v>
      </c>
    </row>
    <row r="19" spans="3:72">
      <c r="C19" s="59" t="s">
        <v>397</v>
      </c>
      <c r="D19">
        <v>18</v>
      </c>
      <c r="E19" s="59" t="s">
        <v>7046</v>
      </c>
      <c r="F19">
        <v>18</v>
      </c>
      <c r="BS19" s="59" t="s">
        <v>7047</v>
      </c>
      <c r="BT19">
        <v>13</v>
      </c>
    </row>
    <row r="20" spans="3:72">
      <c r="C20" s="59" t="s">
        <v>399</v>
      </c>
      <c r="D20">
        <v>19</v>
      </c>
      <c r="E20" s="59" t="s">
        <v>7048</v>
      </c>
      <c r="F20">
        <v>19</v>
      </c>
      <c r="BS20" s="59" t="s">
        <v>7049</v>
      </c>
      <c r="BT20">
        <v>2</v>
      </c>
    </row>
    <row r="21" spans="3:72">
      <c r="C21" s="59" t="s">
        <v>402</v>
      </c>
      <c r="D21">
        <v>20</v>
      </c>
      <c r="E21" s="59" t="s">
        <v>7050</v>
      </c>
      <c r="F21">
        <v>20</v>
      </c>
      <c r="BS21" s="59" t="s">
        <v>7051</v>
      </c>
      <c r="BT21">
        <v>18</v>
      </c>
    </row>
    <row r="22" spans="3:72">
      <c r="C22" s="59" t="s">
        <v>405</v>
      </c>
      <c r="D22">
        <v>21</v>
      </c>
      <c r="E22" s="59" t="s">
        <v>7052</v>
      </c>
      <c r="F22">
        <v>21</v>
      </c>
    </row>
    <row r="23" spans="3:72">
      <c r="C23" s="59" t="s">
        <v>407</v>
      </c>
      <c r="D23">
        <v>22</v>
      </c>
      <c r="E23" s="59" t="s">
        <v>7053</v>
      </c>
      <c r="F23">
        <v>22</v>
      </c>
    </row>
    <row r="24" spans="3:72">
      <c r="C24" s="59" t="s">
        <v>410</v>
      </c>
      <c r="D24">
        <v>23</v>
      </c>
      <c r="E24" s="59" t="s">
        <v>7054</v>
      </c>
      <c r="F24">
        <v>23</v>
      </c>
    </row>
    <row r="25" spans="3:72">
      <c r="C25" s="59" t="s">
        <v>412</v>
      </c>
      <c r="D25">
        <v>24</v>
      </c>
      <c r="E25" s="59" t="s">
        <v>7055</v>
      </c>
      <c r="F25">
        <v>24</v>
      </c>
    </row>
    <row r="26" spans="3:72">
      <c r="C26" s="59" t="s">
        <v>415</v>
      </c>
      <c r="D26">
        <v>25</v>
      </c>
      <c r="E26" s="59" t="s">
        <v>7056</v>
      </c>
      <c r="F26">
        <v>25</v>
      </c>
    </row>
    <row r="27" spans="3:72">
      <c r="C27" s="59" t="s">
        <v>417</v>
      </c>
      <c r="D27">
        <v>26</v>
      </c>
      <c r="E27" s="59" t="s">
        <v>7057</v>
      </c>
      <c r="F27">
        <v>26</v>
      </c>
    </row>
    <row r="28" spans="3:72">
      <c r="C28" s="59" t="s">
        <v>419</v>
      </c>
      <c r="D28">
        <v>27</v>
      </c>
      <c r="E28" s="59" t="s">
        <v>7058</v>
      </c>
      <c r="F28">
        <v>27</v>
      </c>
    </row>
    <row r="29" spans="3:72">
      <c r="C29" s="59" t="s">
        <v>421</v>
      </c>
      <c r="D29">
        <v>28</v>
      </c>
      <c r="E29" s="59" t="s">
        <v>7059</v>
      </c>
      <c r="F29">
        <v>28</v>
      </c>
    </row>
    <row r="30" spans="3:72">
      <c r="C30" s="59" t="s">
        <v>422</v>
      </c>
      <c r="D30">
        <v>29</v>
      </c>
      <c r="E30" s="59" t="s">
        <v>7060</v>
      </c>
      <c r="F30">
        <v>29</v>
      </c>
    </row>
    <row r="31" spans="3:72">
      <c r="C31" s="59" t="s">
        <v>424</v>
      </c>
      <c r="D31">
        <v>30</v>
      </c>
      <c r="E31" s="59" t="s">
        <v>7061</v>
      </c>
      <c r="F31">
        <v>30</v>
      </c>
    </row>
    <row r="32" spans="3:72">
      <c r="C32" s="59" t="s">
        <v>425</v>
      </c>
      <c r="D32">
        <v>31</v>
      </c>
      <c r="E32" s="59" t="s">
        <v>7062</v>
      </c>
      <c r="F32">
        <v>31</v>
      </c>
    </row>
    <row r="33" spans="3:6">
      <c r="C33" s="59" t="s">
        <v>427</v>
      </c>
      <c r="D33">
        <v>32</v>
      </c>
      <c r="E33" s="59" t="s">
        <v>7063</v>
      </c>
      <c r="F33">
        <v>32</v>
      </c>
    </row>
    <row r="34" spans="3:6">
      <c r="C34" s="59" t="s">
        <v>429</v>
      </c>
      <c r="D34">
        <v>33</v>
      </c>
      <c r="E34" s="59" t="s">
        <v>7064</v>
      </c>
      <c r="F34">
        <v>33</v>
      </c>
    </row>
    <row r="35" spans="3:6">
      <c r="C35" s="59" t="s">
        <v>431</v>
      </c>
      <c r="D35">
        <v>34</v>
      </c>
      <c r="E35" s="59" t="s">
        <v>7065</v>
      </c>
      <c r="F35">
        <v>34</v>
      </c>
    </row>
    <row r="36" spans="3:6">
      <c r="C36" s="59" t="s">
        <v>433</v>
      </c>
      <c r="D36">
        <v>35</v>
      </c>
      <c r="E36" s="59" t="s">
        <v>7066</v>
      </c>
      <c r="F36">
        <v>35</v>
      </c>
    </row>
    <row r="37" spans="3:6">
      <c r="C37" s="59" t="s">
        <v>434</v>
      </c>
      <c r="D37">
        <v>36</v>
      </c>
      <c r="E37" s="59" t="s">
        <v>7067</v>
      </c>
      <c r="F37">
        <v>36</v>
      </c>
    </row>
    <row r="38" spans="3:6">
      <c r="C38" s="59" t="s">
        <v>436</v>
      </c>
      <c r="D38">
        <v>37</v>
      </c>
      <c r="E38" s="59" t="s">
        <v>7068</v>
      </c>
      <c r="F38">
        <v>37</v>
      </c>
    </row>
    <row r="39" spans="3:6">
      <c r="C39" s="59" t="s">
        <v>438</v>
      </c>
      <c r="D39">
        <v>38</v>
      </c>
      <c r="E39" s="59" t="s">
        <v>7069</v>
      </c>
      <c r="F39">
        <v>38</v>
      </c>
    </row>
    <row r="40" spans="3:6">
      <c r="C40" s="59" t="s">
        <v>440</v>
      </c>
      <c r="D40">
        <v>39</v>
      </c>
      <c r="E40" s="59" t="s">
        <v>7070</v>
      </c>
      <c r="F40">
        <v>39</v>
      </c>
    </row>
    <row r="41" spans="3:6">
      <c r="C41" s="59" t="s">
        <v>441</v>
      </c>
      <c r="D41">
        <v>40</v>
      </c>
      <c r="E41" s="59" t="s">
        <v>7071</v>
      </c>
      <c r="F41">
        <v>40</v>
      </c>
    </row>
    <row r="42" spans="3:6">
      <c r="C42" s="59" t="s">
        <v>443</v>
      </c>
      <c r="D42">
        <v>41</v>
      </c>
      <c r="E42" s="59" t="s">
        <v>7072</v>
      </c>
      <c r="F42">
        <v>41</v>
      </c>
    </row>
    <row r="43" spans="3:6">
      <c r="C43" s="59" t="s">
        <v>444</v>
      </c>
      <c r="D43">
        <v>42</v>
      </c>
      <c r="E43" s="59" t="s">
        <v>7073</v>
      </c>
      <c r="F43">
        <v>42</v>
      </c>
    </row>
    <row r="44" spans="3:6">
      <c r="C44" s="59" t="s">
        <v>446</v>
      </c>
      <c r="D44">
        <v>43</v>
      </c>
      <c r="E44" s="59" t="s">
        <v>7074</v>
      </c>
      <c r="F44">
        <v>43</v>
      </c>
    </row>
    <row r="45" spans="3:6">
      <c r="C45" s="59" t="s">
        <v>447</v>
      </c>
      <c r="D45">
        <v>44</v>
      </c>
      <c r="E45" s="59" t="s">
        <v>7075</v>
      </c>
      <c r="F45">
        <v>44</v>
      </c>
    </row>
    <row r="46" spans="3:6">
      <c r="C46" s="59" t="s">
        <v>448</v>
      </c>
      <c r="D46">
        <v>45</v>
      </c>
      <c r="E46" s="59" t="s">
        <v>7076</v>
      </c>
      <c r="F46">
        <v>45</v>
      </c>
    </row>
    <row r="47" spans="3:6">
      <c r="C47" s="59" t="s">
        <v>450</v>
      </c>
      <c r="D47">
        <v>46</v>
      </c>
      <c r="E47" s="59" t="s">
        <v>7077</v>
      </c>
      <c r="F47">
        <v>46</v>
      </c>
    </row>
    <row r="48" spans="3:6">
      <c r="C48" s="59" t="s">
        <v>451</v>
      </c>
      <c r="D48">
        <v>47</v>
      </c>
      <c r="E48" s="59" t="s">
        <v>7078</v>
      </c>
      <c r="F48">
        <v>47</v>
      </c>
    </row>
    <row r="49" spans="3:6">
      <c r="C49" s="59" t="s">
        <v>453</v>
      </c>
      <c r="D49">
        <v>48</v>
      </c>
      <c r="E49" s="59" t="s">
        <v>7079</v>
      </c>
      <c r="F49">
        <v>48</v>
      </c>
    </row>
    <row r="50" spans="3:6">
      <c r="C50" s="59" t="s">
        <v>455</v>
      </c>
      <c r="D50">
        <v>49</v>
      </c>
      <c r="E50" s="59" t="s">
        <v>7080</v>
      </c>
      <c r="F50">
        <v>49</v>
      </c>
    </row>
    <row r="51" spans="3:6">
      <c r="C51" s="59" t="s">
        <v>457</v>
      </c>
      <c r="D51">
        <v>50</v>
      </c>
      <c r="E51" s="59" t="s">
        <v>7081</v>
      </c>
      <c r="F51">
        <v>50</v>
      </c>
    </row>
    <row r="52" spans="3:6">
      <c r="C52" s="59" t="s">
        <v>458</v>
      </c>
      <c r="D52">
        <v>51</v>
      </c>
      <c r="E52" s="59" t="s">
        <v>7082</v>
      </c>
      <c r="F52">
        <v>51</v>
      </c>
    </row>
    <row r="53" spans="3:6">
      <c r="E53" s="59" t="s">
        <v>7083</v>
      </c>
      <c r="F53">
        <v>52</v>
      </c>
    </row>
    <row r="54" spans="3:6">
      <c r="E54" s="59" t="s">
        <v>7084</v>
      </c>
      <c r="F54">
        <v>53</v>
      </c>
    </row>
    <row r="55" spans="3:6">
      <c r="E55" s="59" t="s">
        <v>7085</v>
      </c>
      <c r="F55">
        <v>54</v>
      </c>
    </row>
    <row r="56" spans="3:6">
      <c r="E56" s="59" t="s">
        <v>7086</v>
      </c>
      <c r="F56">
        <v>55</v>
      </c>
    </row>
    <row r="57" spans="3:6">
      <c r="E57" s="59" t="s">
        <v>7087</v>
      </c>
      <c r="F57">
        <v>56</v>
      </c>
    </row>
    <row r="58" spans="3:6">
      <c r="E58" s="59" t="s">
        <v>7088</v>
      </c>
      <c r="F58">
        <v>57</v>
      </c>
    </row>
    <row r="59" spans="3:6">
      <c r="E59" s="59" t="s">
        <v>7089</v>
      </c>
      <c r="F59">
        <v>58</v>
      </c>
    </row>
    <row r="60" spans="3:6">
      <c r="E60" s="59" t="s">
        <v>7090</v>
      </c>
      <c r="F60">
        <v>59</v>
      </c>
    </row>
    <row r="61" spans="3:6">
      <c r="E61" s="59" t="s">
        <v>7091</v>
      </c>
      <c r="F61">
        <v>60</v>
      </c>
    </row>
    <row r="62" spans="3:6">
      <c r="E62" s="59" t="s">
        <v>7092</v>
      </c>
      <c r="F62">
        <v>61</v>
      </c>
    </row>
    <row r="63" spans="3:6">
      <c r="E63" s="59" t="s">
        <v>7093</v>
      </c>
      <c r="F63">
        <v>62</v>
      </c>
    </row>
    <row r="64" spans="3:6">
      <c r="E64" s="59" t="s">
        <v>7094</v>
      </c>
      <c r="F64">
        <v>63</v>
      </c>
    </row>
    <row r="65" spans="5:6">
      <c r="E65" s="59" t="s">
        <v>7095</v>
      </c>
      <c r="F65">
        <v>64</v>
      </c>
    </row>
    <row r="66" spans="5:6">
      <c r="E66" s="59" t="s">
        <v>7096</v>
      </c>
      <c r="F66">
        <v>65</v>
      </c>
    </row>
    <row r="67" spans="5:6">
      <c r="E67" s="59" t="s">
        <v>7097</v>
      </c>
      <c r="F67">
        <v>66</v>
      </c>
    </row>
    <row r="68" spans="5:6">
      <c r="E68" s="59" t="s">
        <v>7098</v>
      </c>
      <c r="F68">
        <v>67</v>
      </c>
    </row>
    <row r="69" spans="5:6">
      <c r="E69" s="59" t="s">
        <v>7099</v>
      </c>
      <c r="F69">
        <v>68</v>
      </c>
    </row>
    <row r="70" spans="5:6">
      <c r="E70" s="59" t="s">
        <v>7100</v>
      </c>
      <c r="F70">
        <v>69</v>
      </c>
    </row>
    <row r="71" spans="5:6">
      <c r="E71" s="59" t="s">
        <v>7101</v>
      </c>
      <c r="F71">
        <v>70</v>
      </c>
    </row>
    <row r="72" spans="5:6">
      <c r="E72" s="59" t="s">
        <v>7102</v>
      </c>
      <c r="F72">
        <v>71</v>
      </c>
    </row>
    <row r="73" spans="5:6">
      <c r="E73" s="59" t="s">
        <v>7103</v>
      </c>
      <c r="F73">
        <v>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996A-5E26-428E-81F0-E1FA0309A3F7}">
  <sheetPr codeName="Sheet41"/>
  <dimension ref="A1:AQ57"/>
  <sheetViews>
    <sheetView workbookViewId="0">
      <selection activeCell="A2" sqref="A2"/>
    </sheetView>
  </sheetViews>
  <sheetFormatPr baseColWidth="10" defaultColWidth="8.83203125" defaultRowHeight="15"/>
  <cols>
    <col min="1" max="1" width="28.33203125" customWidth="1"/>
    <col min="2" max="2" width="8.5" bestFit="1" customWidth="1"/>
    <col min="3" max="7" width="10.5" bestFit="1" customWidth="1"/>
    <col min="8" max="8" width="7" bestFit="1" customWidth="1"/>
    <col min="9" max="13" width="10.5" bestFit="1" customWidth="1"/>
    <col min="14" max="14" width="6.5" bestFit="1" customWidth="1"/>
    <col min="15" max="19" width="10.5" bestFit="1" customWidth="1"/>
    <col min="20" max="20" width="8.5" bestFit="1" customWidth="1"/>
    <col min="21" max="25" width="10.5" bestFit="1" customWidth="1"/>
    <col min="26" max="26" width="7" bestFit="1" customWidth="1"/>
    <col min="27" max="31" width="10.5" bestFit="1" customWidth="1"/>
    <col min="32" max="32" width="8" bestFit="1" customWidth="1"/>
    <col min="33" max="37" width="10.5" bestFit="1" customWidth="1"/>
    <col min="38" max="38" width="8" bestFit="1" customWidth="1"/>
    <col min="39" max="43" width="10.5" bestFit="1" customWidth="1"/>
  </cols>
  <sheetData>
    <row r="1" spans="1:43">
      <c r="A1" s="964" t="s">
        <v>7104</v>
      </c>
      <c r="B1" s="83">
        <v>0.2</v>
      </c>
      <c r="C1" s="84">
        <v>0.2</v>
      </c>
      <c r="D1" s="84">
        <v>0.2</v>
      </c>
      <c r="E1" s="84">
        <v>0.2</v>
      </c>
      <c r="F1" s="84">
        <v>0.2</v>
      </c>
      <c r="G1" s="85">
        <v>0.2</v>
      </c>
      <c r="H1" s="83">
        <v>0.3</v>
      </c>
      <c r="I1" s="84">
        <v>0.3</v>
      </c>
      <c r="J1" s="84">
        <v>0.3</v>
      </c>
      <c r="K1" s="84">
        <v>0.3</v>
      </c>
      <c r="L1" s="84">
        <v>0.3</v>
      </c>
      <c r="M1" s="86">
        <v>0.3</v>
      </c>
      <c r="N1" s="87">
        <v>0.4</v>
      </c>
      <c r="O1" s="84">
        <v>0.4</v>
      </c>
      <c r="P1" s="84">
        <v>0.4</v>
      </c>
      <c r="Q1" s="84">
        <v>0.4</v>
      </c>
      <c r="R1" s="84">
        <v>0.4</v>
      </c>
      <c r="S1" s="85">
        <v>0.4</v>
      </c>
      <c r="T1" s="83">
        <v>0.5</v>
      </c>
      <c r="U1" s="84">
        <v>0.5</v>
      </c>
      <c r="V1" s="84">
        <v>0.5</v>
      </c>
      <c r="W1" s="84">
        <v>0.5</v>
      </c>
      <c r="X1" s="84">
        <v>0.5</v>
      </c>
      <c r="Y1" s="86">
        <v>0.5</v>
      </c>
      <c r="Z1" s="87">
        <v>0.6</v>
      </c>
      <c r="AA1" s="84">
        <v>0.6</v>
      </c>
      <c r="AB1" s="84">
        <v>0.6</v>
      </c>
      <c r="AC1" s="84">
        <v>0.6</v>
      </c>
      <c r="AD1" s="84">
        <v>0.6</v>
      </c>
      <c r="AE1" s="85">
        <v>0.6</v>
      </c>
      <c r="AF1" s="83">
        <v>0.7</v>
      </c>
      <c r="AG1" s="84">
        <v>0.7</v>
      </c>
      <c r="AH1" s="84">
        <v>0.7</v>
      </c>
      <c r="AI1" s="84">
        <v>0.7</v>
      </c>
      <c r="AJ1" s="84">
        <v>0.7</v>
      </c>
      <c r="AK1" s="86">
        <v>0.7</v>
      </c>
      <c r="AL1" s="87">
        <v>0.8</v>
      </c>
      <c r="AM1" s="84">
        <v>0.8</v>
      </c>
      <c r="AN1" s="84">
        <v>0.8</v>
      </c>
      <c r="AO1" s="84">
        <v>0.8</v>
      </c>
      <c r="AP1" s="84">
        <v>0.8</v>
      </c>
      <c r="AQ1" s="86">
        <v>0.8</v>
      </c>
    </row>
    <row r="2" spans="1:43">
      <c r="A2" s="1098" t="s">
        <v>7105</v>
      </c>
      <c r="B2" s="78" t="s">
        <v>7106</v>
      </c>
      <c r="C2" s="1149" t="s">
        <v>2569</v>
      </c>
      <c r="D2" s="1149" t="s">
        <v>2571</v>
      </c>
      <c r="E2" s="1149" t="s">
        <v>2573</v>
      </c>
      <c r="F2" s="1149" t="s">
        <v>2575</v>
      </c>
      <c r="G2" s="79" t="s">
        <v>2577</v>
      </c>
      <c r="H2" s="88" t="s">
        <v>7106</v>
      </c>
      <c r="I2" s="1149" t="s">
        <v>2569</v>
      </c>
      <c r="J2" s="1149" t="s">
        <v>2571</v>
      </c>
      <c r="K2" s="1149" t="s">
        <v>2573</v>
      </c>
      <c r="L2" s="1149" t="s">
        <v>2575</v>
      </c>
      <c r="M2" s="89" t="s">
        <v>2577</v>
      </c>
      <c r="N2" s="78" t="s">
        <v>7106</v>
      </c>
      <c r="O2" s="1149" t="s">
        <v>2569</v>
      </c>
      <c r="P2" s="1149" t="s">
        <v>2571</v>
      </c>
      <c r="Q2" s="1149" t="s">
        <v>2573</v>
      </c>
      <c r="R2" s="1149" t="s">
        <v>2575</v>
      </c>
      <c r="S2" s="79" t="s">
        <v>2577</v>
      </c>
      <c r="T2" s="88" t="s">
        <v>7106</v>
      </c>
      <c r="U2" s="1149" t="s">
        <v>2569</v>
      </c>
      <c r="V2" s="1149" t="s">
        <v>2571</v>
      </c>
      <c r="W2" s="1149" t="s">
        <v>2573</v>
      </c>
      <c r="X2" s="1149" t="s">
        <v>2575</v>
      </c>
      <c r="Y2" s="89" t="s">
        <v>2577</v>
      </c>
      <c r="Z2" s="78" t="s">
        <v>7106</v>
      </c>
      <c r="AA2" s="1149" t="s">
        <v>2569</v>
      </c>
      <c r="AB2" s="1149" t="s">
        <v>2571</v>
      </c>
      <c r="AC2" s="1149" t="s">
        <v>2573</v>
      </c>
      <c r="AD2" s="1149" t="s">
        <v>2575</v>
      </c>
      <c r="AE2" s="79" t="s">
        <v>2577</v>
      </c>
      <c r="AF2" s="88" t="s">
        <v>7106</v>
      </c>
      <c r="AG2" s="1149" t="s">
        <v>2569</v>
      </c>
      <c r="AH2" s="1149" t="s">
        <v>2571</v>
      </c>
      <c r="AI2" s="1149" t="s">
        <v>2573</v>
      </c>
      <c r="AJ2" s="1149" t="s">
        <v>2575</v>
      </c>
      <c r="AK2" s="89" t="s">
        <v>2577</v>
      </c>
      <c r="AL2" s="78" t="s">
        <v>7106</v>
      </c>
      <c r="AM2" s="1149" t="s">
        <v>2569</v>
      </c>
      <c r="AN2" s="1149" t="s">
        <v>2571</v>
      </c>
      <c r="AO2" s="1149" t="s">
        <v>2573</v>
      </c>
      <c r="AP2" s="1149" t="s">
        <v>2575</v>
      </c>
      <c r="AQ2" s="89" t="s">
        <v>2577</v>
      </c>
    </row>
    <row r="3" spans="1:43">
      <c r="A3" s="1099" t="s">
        <v>7107</v>
      </c>
      <c r="B3" s="78" t="s">
        <v>7108</v>
      </c>
      <c r="C3" s="1149" t="s">
        <v>7109</v>
      </c>
      <c r="D3" s="1149" t="s">
        <v>7110</v>
      </c>
      <c r="E3" s="1149" t="s">
        <v>7111</v>
      </c>
      <c r="F3" s="1149" t="s">
        <v>7112</v>
      </c>
      <c r="G3" s="79" t="s">
        <v>7113</v>
      </c>
      <c r="H3" s="88" t="s">
        <v>7108</v>
      </c>
      <c r="I3" s="1149" t="s">
        <v>7109</v>
      </c>
      <c r="J3" s="1149" t="s">
        <v>7110</v>
      </c>
      <c r="K3" s="1149" t="s">
        <v>7111</v>
      </c>
      <c r="L3" s="1149" t="s">
        <v>7112</v>
      </c>
      <c r="M3" s="89" t="s">
        <v>7113</v>
      </c>
      <c r="N3" s="78" t="s">
        <v>7108</v>
      </c>
      <c r="O3" s="1149" t="s">
        <v>7109</v>
      </c>
      <c r="P3" s="1149" t="s">
        <v>7110</v>
      </c>
      <c r="Q3" s="1149" t="s">
        <v>7111</v>
      </c>
      <c r="R3" s="1149" t="s">
        <v>7112</v>
      </c>
      <c r="S3" s="79" t="s">
        <v>7113</v>
      </c>
      <c r="T3" s="88" t="s">
        <v>7108</v>
      </c>
      <c r="U3" s="1149" t="s">
        <v>7109</v>
      </c>
      <c r="V3" s="1149" t="s">
        <v>7110</v>
      </c>
      <c r="W3" s="1149" t="s">
        <v>7111</v>
      </c>
      <c r="X3" s="1149" t="s">
        <v>7112</v>
      </c>
      <c r="Y3" s="79" t="s">
        <v>7113</v>
      </c>
      <c r="Z3" s="88" t="s">
        <v>7108</v>
      </c>
      <c r="AA3" s="1149" t="s">
        <v>7109</v>
      </c>
      <c r="AB3" s="1149" t="s">
        <v>7110</v>
      </c>
      <c r="AC3" s="1149" t="s">
        <v>7111</v>
      </c>
      <c r="AD3" s="1149" t="s">
        <v>7112</v>
      </c>
      <c r="AE3" s="79" t="s">
        <v>7113</v>
      </c>
      <c r="AF3" s="88" t="s">
        <v>7108</v>
      </c>
      <c r="AG3" s="1149" t="s">
        <v>7109</v>
      </c>
      <c r="AH3" s="1149" t="s">
        <v>7110</v>
      </c>
      <c r="AI3" s="1149" t="s">
        <v>7111</v>
      </c>
      <c r="AJ3" s="1149" t="s">
        <v>7112</v>
      </c>
      <c r="AK3" s="79" t="s">
        <v>7113</v>
      </c>
      <c r="AL3" s="88" t="s">
        <v>7108</v>
      </c>
      <c r="AM3" s="1149" t="s">
        <v>7109</v>
      </c>
      <c r="AN3" s="1149" t="s">
        <v>7110</v>
      </c>
      <c r="AO3" s="1149" t="s">
        <v>7111</v>
      </c>
      <c r="AP3" s="1149" t="s">
        <v>7112</v>
      </c>
      <c r="AQ3" s="79" t="s">
        <v>7113</v>
      </c>
    </row>
    <row r="4" spans="1:43">
      <c r="A4" s="90" t="s">
        <v>7114</v>
      </c>
      <c r="B4" s="88"/>
      <c r="C4" s="1149"/>
      <c r="D4" s="1149"/>
      <c r="E4" s="1149"/>
      <c r="F4" s="1149"/>
      <c r="G4" s="79"/>
      <c r="H4" s="88"/>
      <c r="I4" s="1149"/>
      <c r="J4" s="1149"/>
      <c r="K4" s="1149"/>
      <c r="L4" s="1149"/>
      <c r="M4" s="89"/>
      <c r="N4" s="78"/>
      <c r="O4" s="1149"/>
      <c r="P4" s="1149"/>
      <c r="Q4" s="1149"/>
      <c r="R4" s="1149"/>
      <c r="S4" s="79"/>
      <c r="T4" s="88"/>
      <c r="U4" s="1149"/>
      <c r="V4" s="1149"/>
      <c r="W4" s="1149"/>
      <c r="X4" s="1149"/>
      <c r="Y4" s="89"/>
      <c r="Z4" s="78"/>
      <c r="AA4" s="1149"/>
      <c r="AB4" s="1149"/>
      <c r="AC4" s="1149"/>
      <c r="AD4" s="1149"/>
      <c r="AE4" s="79"/>
      <c r="AF4" s="88"/>
      <c r="AG4" s="1149"/>
      <c r="AH4" s="1149"/>
      <c r="AI4" s="1149"/>
      <c r="AJ4" s="1149"/>
      <c r="AK4" s="89"/>
      <c r="AL4" s="78"/>
      <c r="AM4" s="1149"/>
      <c r="AN4" s="1149"/>
      <c r="AO4" s="1149"/>
      <c r="AP4" s="1149"/>
      <c r="AQ4" s="89"/>
    </row>
    <row r="5" spans="1:43">
      <c r="A5" s="90" t="s">
        <v>262</v>
      </c>
      <c r="B5" s="88">
        <f>ROUNDDOWN(IncomeLimits!B3*0.3/12, 0)</f>
        <v>343</v>
      </c>
      <c r="C5" s="1149">
        <f>ROUNDDOWN(AVERAGE(IncomeLimits!B3:C3)*0.3/12, 0)</f>
        <v>367</v>
      </c>
      <c r="D5" s="1149">
        <f>ROUNDDOWN(IncomeLimits!D3*0.3/12, 0)</f>
        <v>441</v>
      </c>
      <c r="E5" s="1149">
        <f>ROUNDDOWN(AVERAGE(IncomeLimits!E3:'IncomeLimits'!F3)*0.3/12,0)</f>
        <v>509</v>
      </c>
      <c r="F5" s="1149">
        <f>ROUNDDOWN(IncomeLimits!G3*0.3/12,0)</f>
        <v>568</v>
      </c>
      <c r="G5" s="79">
        <f>ROUNDDOWN(AVERAGE(IncomeLimits!H3:'IncomeLimits'!I3)*0.3/12,0)</f>
        <v>627</v>
      </c>
      <c r="H5" s="88">
        <f>ROUNDDOWN(IncomeLimits!K3*0.3/12, 0)</f>
        <v>514</v>
      </c>
      <c r="I5" s="1149">
        <f>ROUNDDOWN(AVERAGE(IncomeLimits!K3:'IncomeLimits'!L3)*0.3/12, 0)</f>
        <v>551</v>
      </c>
      <c r="J5" s="1149">
        <f>ROUNDDOWN(IncomeLimits!M3*0.3/12, 0)</f>
        <v>661</v>
      </c>
      <c r="K5" s="1149">
        <f>ROUNDDOWN(AVERAGE(IncomeLimits!N3:'IncomeLimits'!O3)*0.3/12,0)</f>
        <v>764</v>
      </c>
      <c r="L5" s="1149">
        <f>ROUNDDOWN(IncomeLimits!P3*0.3/12,0)</f>
        <v>852</v>
      </c>
      <c r="M5" s="89">
        <f>ROUNDDOWN(AVERAGE(IncomeLimits!Q3:'IncomeLimits'!R3)*0.3/12,0)</f>
        <v>941</v>
      </c>
      <c r="N5" s="78">
        <f>ROUNDDOWN(IncomeLimits!T3*0.3/12, 0)</f>
        <v>686</v>
      </c>
      <c r="O5" s="1149">
        <f>ROUNDDOWN(AVERAGE(IncomeLimits!T3:'IncomeLimits'!U3)*0.3/12, 0)</f>
        <v>735</v>
      </c>
      <c r="P5" s="1149">
        <f>ROUNDDOWN(IncomeLimits!V3*0.3/12, 0)</f>
        <v>882</v>
      </c>
      <c r="Q5" s="1149">
        <f>ROUNDDOWN(AVERAGE(IncomeLimits!W3:'IncomeLimits'!X3)*0.3/12,0)</f>
        <v>1019</v>
      </c>
      <c r="R5" s="1149">
        <f>ROUNDDOWN(IncomeLimits!Y3*0.3/12,0)</f>
        <v>1137</v>
      </c>
      <c r="S5" s="79">
        <f>ROUNDDOWN(AVERAGE(IncomeLimits!Z3:'IncomeLimits'!AA3)*0.3/12,0)</f>
        <v>1255</v>
      </c>
      <c r="T5" s="88">
        <f>ROUNDDOWN(IncomeLimits!AC3*0.3/12, 0)</f>
        <v>857</v>
      </c>
      <c r="U5" s="1149">
        <f>ROUNDDOWN(AVERAGE(IncomeLimits!AC3:'IncomeLimits'!AD3)*0.3/12, 0)</f>
        <v>918</v>
      </c>
      <c r="V5" s="1149">
        <f>ROUNDDOWN(IncomeLimits!AE3*0.3/12, 0)</f>
        <v>1102</v>
      </c>
      <c r="W5" s="1149">
        <f>ROUNDDOWN(AVERAGE(IncomeLimits!AF3:AG3)*0.3/12,0)</f>
        <v>1274</v>
      </c>
      <c r="X5" s="1149">
        <f>ROUNDDOWN(IncomeLimits!AH3*0.3/12,0)</f>
        <v>1421</v>
      </c>
      <c r="Y5" s="89">
        <f>ROUNDDOWN(AVERAGE(IncomeLimits!AI3:'IncomeLimits'!AJ3)*0.3/12,0)</f>
        <v>1568</v>
      </c>
      <c r="Z5" s="78">
        <f>ROUNDDOWN(IncomeLimits!AL3*0.3/12, 0)</f>
        <v>1029</v>
      </c>
      <c r="AA5" s="1149">
        <f>ROUNDDOWN(AVERAGE(IncomeLimits!AL3:'IncomeLimits'!AM3)*0.3/12, 0)</f>
        <v>1102</v>
      </c>
      <c r="AB5" s="1149">
        <f>ROUNDDOWN(IncomeLimits!AN3*0.3/12, 0)</f>
        <v>1323</v>
      </c>
      <c r="AC5" s="1149">
        <f>ROUNDDOWN(AVERAGE(IncomeLimits!AO3:'IncomeLimits'!AP3)*0.3/12,0)</f>
        <v>1529</v>
      </c>
      <c r="AD5" s="1149">
        <f>ROUNDDOWN(IncomeLimits!AQ3*0.3/12,0)</f>
        <v>1705</v>
      </c>
      <c r="AE5" s="89">
        <f>ROUNDDOWN(AVERAGE(IncomeLimits!AR3:'IncomeLimits'!AS3)*0.3/12,0)</f>
        <v>1882</v>
      </c>
      <c r="AF5" s="88">
        <f>ROUNDDOWN(IncomeLimits!AU3*0.3/12, 0)</f>
        <v>1200</v>
      </c>
      <c r="AG5" s="1149">
        <f>ROUNDDOWN(AVERAGE(IncomeLimits!AU3:'IncomeLimits'!AV3)*0.3/12, 0)</f>
        <v>1286</v>
      </c>
      <c r="AH5" s="1149">
        <f>ROUNDDOWN(IncomeLimits!AW3*0.3/12, 0)</f>
        <v>1543</v>
      </c>
      <c r="AI5" s="1149">
        <f>ROUNDDOWN(AVERAGE(IncomeLimits!AX3:'IncomeLimits'!AY3)*0.3/12,0)</f>
        <v>1784</v>
      </c>
      <c r="AJ5" s="1149">
        <f>ROUNDDOWN(IncomeLimits!AZ3*0.3/12,0)</f>
        <v>1989</v>
      </c>
      <c r="AK5" s="89">
        <f>ROUNDDOWN(AVERAGE(IncomeLimits!BA3:'IncomeLimits'!BB3)*0.3/12,0)</f>
        <v>2196</v>
      </c>
      <c r="AL5" s="78">
        <f>ROUNDDOWN(IncomeLimits!BD3*0.3/12, 0)</f>
        <v>1372</v>
      </c>
      <c r="AM5" s="1149">
        <f>ROUNDDOWN(AVERAGE(IncomeLimits!BD3:'IncomeLimits'!BE3)*0.3/12, 0)</f>
        <v>1470</v>
      </c>
      <c r="AN5" s="1149">
        <f>ROUNDDOWN(IncomeLimits!BF3*0.3/12, 0)</f>
        <v>1764</v>
      </c>
      <c r="AO5" s="1149">
        <f>ROUNDDOWN(AVERAGE(IncomeLimits!BG3:'IncomeLimits'!BH3)*0.3/12,0)</f>
        <v>2039</v>
      </c>
      <c r="AP5" s="1149">
        <f>ROUNDDOWN(IncomeLimits!BI3*0.3/12,0)</f>
        <v>2274</v>
      </c>
      <c r="AQ5" s="89">
        <f>ROUNDDOWN(AVERAGE(IncomeLimits!BJ3:'IncomeLimits'!BK3)*0.3/12,0)</f>
        <v>2510</v>
      </c>
    </row>
    <row r="6" spans="1:43">
      <c r="A6" s="90" t="s">
        <v>288</v>
      </c>
      <c r="B6" s="88">
        <f>ROUNDDOWN(IncomeLimits!B4*0.3/12, 0)</f>
        <v>364</v>
      </c>
      <c r="C6" s="1149">
        <f>ROUNDDOWN(AVERAGE(IncomeLimits!B4:C4)*0.3/12, 0)</f>
        <v>390</v>
      </c>
      <c r="D6" s="1149">
        <f>ROUNDDOWN(IncomeLimits!D4*0.3/12, 0)</f>
        <v>468</v>
      </c>
      <c r="E6" s="1149">
        <f>ROUNDDOWN(AVERAGE(IncomeLimits!E4:'IncomeLimits'!F4)*0.3/12,0)</f>
        <v>541</v>
      </c>
      <c r="F6" s="1149">
        <f>ROUNDDOWN(IncomeLimits!G4*0.3/12,0)</f>
        <v>603</v>
      </c>
      <c r="G6" s="79">
        <f>ROUNDDOWN(AVERAGE(IncomeLimits!H4:'IncomeLimits'!I4)*0.3/12,0)</f>
        <v>665</v>
      </c>
      <c r="H6" s="88">
        <f>ROUNDDOWN(IncomeLimits!K4*0.3/12, 0)</f>
        <v>546</v>
      </c>
      <c r="I6" s="1149">
        <f>ROUNDDOWN(AVERAGE(IncomeLimits!K4:'IncomeLimits'!L4)*0.3/12, 0)</f>
        <v>585</v>
      </c>
      <c r="J6" s="1149">
        <f>ROUNDDOWN(IncomeLimits!M4*0.3/12, 0)</f>
        <v>702</v>
      </c>
      <c r="K6" s="1149">
        <f>ROUNDDOWN(AVERAGE(IncomeLimits!N4:'IncomeLimits'!O4)*0.3/12,0)</f>
        <v>811</v>
      </c>
      <c r="L6" s="1149">
        <f>ROUNDDOWN(IncomeLimits!P4*0.3/12,0)</f>
        <v>905</v>
      </c>
      <c r="M6" s="89">
        <f>ROUNDDOWN(AVERAGE(IncomeLimits!Q4:'IncomeLimits'!R4)*0.3/12,0)</f>
        <v>998</v>
      </c>
      <c r="N6" s="78">
        <f>ROUNDDOWN(IncomeLimits!T4*0.3/12, 0)</f>
        <v>728</v>
      </c>
      <c r="O6" s="1149">
        <f>ROUNDDOWN(AVERAGE(IncomeLimits!T4:'IncomeLimits'!U4)*0.3/12, 0)</f>
        <v>780</v>
      </c>
      <c r="P6" s="1149">
        <f>ROUNDDOWN(IncomeLimits!V4*0.3/12, 0)</f>
        <v>936</v>
      </c>
      <c r="Q6" s="1149">
        <f>ROUNDDOWN(AVERAGE(IncomeLimits!W4:'IncomeLimits'!X4)*0.3/12,0)</f>
        <v>1082</v>
      </c>
      <c r="R6" s="1149">
        <f>ROUNDDOWN(IncomeLimits!Y4*0.3/12,0)</f>
        <v>1207</v>
      </c>
      <c r="S6" s="79">
        <f>ROUNDDOWN(AVERAGE(IncomeLimits!Z4:'IncomeLimits'!AA4)*0.3/12,0)</f>
        <v>1331</v>
      </c>
      <c r="T6" s="88">
        <f>ROUNDDOWN(IncomeLimits!AC4*0.3/12, 0)</f>
        <v>910</v>
      </c>
      <c r="U6" s="1149">
        <f>ROUNDDOWN(AVERAGE(IncomeLimits!AC4:'IncomeLimits'!AD4)*0.3/12, 0)</f>
        <v>975</v>
      </c>
      <c r="V6" s="1149">
        <f>ROUNDDOWN(IncomeLimits!AE4*0.3/12, 0)</f>
        <v>1170</v>
      </c>
      <c r="W6" s="1149">
        <f>ROUNDDOWN(AVERAGE(IncomeLimits!AF4:AG4)*0.3/12,0)</f>
        <v>1352</v>
      </c>
      <c r="X6" s="1149">
        <f>ROUNDDOWN(IncomeLimits!AH4*0.3/12,0)</f>
        <v>1508</v>
      </c>
      <c r="Y6" s="89">
        <f>ROUNDDOWN(AVERAGE(IncomeLimits!AI4:'IncomeLimits'!AJ4)*0.3/12,0)</f>
        <v>1664</v>
      </c>
      <c r="Z6" s="78">
        <f>ROUNDDOWN(IncomeLimits!AL4*0.3/12, 0)</f>
        <v>1092</v>
      </c>
      <c r="AA6" s="1149">
        <f>ROUNDDOWN(AVERAGE(IncomeLimits!AL4:'IncomeLimits'!AM4)*0.3/12, 0)</f>
        <v>1170</v>
      </c>
      <c r="AB6" s="1149">
        <f>ROUNDDOWN(IncomeLimits!AN4*0.3/12, 0)</f>
        <v>1404</v>
      </c>
      <c r="AC6" s="1149">
        <f>ROUNDDOWN(AVERAGE(IncomeLimits!AO4:'IncomeLimits'!AP4)*0.3/12,0)</f>
        <v>1623</v>
      </c>
      <c r="AD6" s="1149">
        <f>ROUNDDOWN(IncomeLimits!AQ4*0.3/12,0)</f>
        <v>1810</v>
      </c>
      <c r="AE6" s="89">
        <f>ROUNDDOWN(AVERAGE(IncomeLimits!AR4:'IncomeLimits'!AS4)*0.3/12,0)</f>
        <v>1997</v>
      </c>
      <c r="AF6" s="88">
        <f>ROUNDDOWN(IncomeLimits!AU4*0.3/12, 0)</f>
        <v>1274</v>
      </c>
      <c r="AG6" s="1149">
        <f>ROUNDDOWN(AVERAGE(IncomeLimits!AU4:'IncomeLimits'!AV4)*0.3/12, 0)</f>
        <v>1365</v>
      </c>
      <c r="AH6" s="1149">
        <f>ROUNDDOWN(IncomeLimits!AW4*0.3/12, 0)</f>
        <v>1638</v>
      </c>
      <c r="AI6" s="1149">
        <f>ROUNDDOWN(AVERAGE(IncomeLimits!AX4:'IncomeLimits'!AY4)*0.3/12,0)</f>
        <v>1893</v>
      </c>
      <c r="AJ6" s="1149">
        <f>ROUNDDOWN(IncomeLimits!AZ4*0.3/12,0)</f>
        <v>2112</v>
      </c>
      <c r="AK6" s="89">
        <f>ROUNDDOWN(AVERAGE(IncomeLimits!BA4:'IncomeLimits'!BB4)*0.3/12,0)</f>
        <v>2330</v>
      </c>
      <c r="AL6" s="78">
        <f>ROUNDDOWN(IncomeLimits!BD4*0.3/12, 0)</f>
        <v>1456</v>
      </c>
      <c r="AM6" s="1149">
        <f>ROUNDDOWN(AVERAGE(IncomeLimits!BD4:'IncomeLimits'!BE4)*0.3/12, 0)</f>
        <v>1560</v>
      </c>
      <c r="AN6" s="1149">
        <f>ROUNDDOWN(IncomeLimits!BF4*0.3/12, 0)</f>
        <v>1872</v>
      </c>
      <c r="AO6" s="1149">
        <f>ROUNDDOWN(AVERAGE(IncomeLimits!BG4:'IncomeLimits'!BH4)*0.3/12,0)</f>
        <v>2164</v>
      </c>
      <c r="AP6" s="1149">
        <f>ROUNDDOWN(IncomeLimits!BI4*0.3/12,0)</f>
        <v>2414</v>
      </c>
      <c r="AQ6" s="89">
        <f>ROUNDDOWN(AVERAGE(IncomeLimits!BJ4:'IncomeLimits'!BK4)*0.3/12,0)</f>
        <v>2663</v>
      </c>
    </row>
    <row r="7" spans="1:43">
      <c r="A7" s="90" t="s">
        <v>310</v>
      </c>
      <c r="B7" s="88">
        <f>ROUNDDOWN(IncomeLimits!B5*0.3/12, 0)</f>
        <v>348</v>
      </c>
      <c r="C7" s="1149">
        <f>ROUNDDOWN(AVERAGE(IncomeLimits!B5:C5)*0.3/12, 0)</f>
        <v>373</v>
      </c>
      <c r="D7" s="1149">
        <f>ROUNDDOWN(IncomeLimits!D5*0.3/12, 0)</f>
        <v>447</v>
      </c>
      <c r="E7" s="1149">
        <f>ROUNDDOWN(AVERAGE(IncomeLimits!E5:'IncomeLimits'!F5)*0.3/12,0)</f>
        <v>517</v>
      </c>
      <c r="F7" s="1149">
        <f>ROUNDDOWN(IncomeLimits!G5*0.3/12,0)</f>
        <v>577</v>
      </c>
      <c r="G7" s="79">
        <f>ROUNDDOWN(AVERAGE(IncomeLimits!H5:'IncomeLimits'!I5)*0.3/12,0)</f>
        <v>636</v>
      </c>
      <c r="H7" s="88">
        <f>ROUNDDOWN(IncomeLimits!K5*0.3/12, 0)</f>
        <v>522</v>
      </c>
      <c r="I7" s="1149">
        <f>ROUNDDOWN(AVERAGE(IncomeLimits!K5:'IncomeLimits'!L5)*0.3/12, 0)</f>
        <v>559</v>
      </c>
      <c r="J7" s="1149">
        <f>ROUNDDOWN(IncomeLimits!M5*0.3/12, 0)</f>
        <v>671</v>
      </c>
      <c r="K7" s="1149">
        <f>ROUNDDOWN(AVERAGE(IncomeLimits!N5:'IncomeLimits'!O5)*0.3/12,0)</f>
        <v>775</v>
      </c>
      <c r="L7" s="1149">
        <f>ROUNDDOWN(IncomeLimits!P5*0.3/12,0)</f>
        <v>865</v>
      </c>
      <c r="M7" s="89">
        <f>ROUNDDOWN(AVERAGE(IncomeLimits!Q5:'IncomeLimits'!R5)*0.3/12,0)</f>
        <v>954</v>
      </c>
      <c r="N7" s="78">
        <f>ROUNDDOWN(IncomeLimits!T5*0.3/12, 0)</f>
        <v>696</v>
      </c>
      <c r="O7" s="1149">
        <f>ROUNDDOWN(AVERAGE(IncomeLimits!T5:'IncomeLimits'!U5)*0.3/12, 0)</f>
        <v>746</v>
      </c>
      <c r="P7" s="1149">
        <f>ROUNDDOWN(IncomeLimits!V5*0.3/12, 0)</f>
        <v>895</v>
      </c>
      <c r="Q7" s="1149">
        <f>ROUNDDOWN(AVERAGE(IncomeLimits!W5:'IncomeLimits'!X5)*0.3/12,0)</f>
        <v>1034</v>
      </c>
      <c r="R7" s="1149">
        <f>ROUNDDOWN(IncomeLimits!Y5*0.3/12,0)</f>
        <v>1154</v>
      </c>
      <c r="S7" s="79">
        <f>ROUNDDOWN(AVERAGE(IncomeLimits!Z5:'IncomeLimits'!AA5)*0.3/12,0)</f>
        <v>1273</v>
      </c>
      <c r="T7" s="88">
        <f>ROUNDDOWN(IncomeLimits!AC5*0.3/12, 0)</f>
        <v>870</v>
      </c>
      <c r="U7" s="1149">
        <f>ROUNDDOWN(AVERAGE(IncomeLimits!AC5:'IncomeLimits'!AD5)*0.3/12, 0)</f>
        <v>932</v>
      </c>
      <c r="V7" s="1149">
        <f>ROUNDDOWN(IncomeLimits!AE5*0.3/12, 0)</f>
        <v>1118</v>
      </c>
      <c r="W7" s="1149">
        <f>ROUNDDOWN(AVERAGE(IncomeLimits!AF5:AG5)*0.3/12,0)</f>
        <v>1292</v>
      </c>
      <c r="X7" s="1149">
        <f>ROUNDDOWN(IncomeLimits!AH5*0.3/12,0)</f>
        <v>1442</v>
      </c>
      <c r="Y7" s="89">
        <f>ROUNDDOWN(AVERAGE(IncomeLimits!AI5:'IncomeLimits'!AJ5)*0.3/12,0)</f>
        <v>1591</v>
      </c>
      <c r="Z7" s="78">
        <f>ROUNDDOWN(IncomeLimits!AL5*0.3/12, 0)</f>
        <v>1044</v>
      </c>
      <c r="AA7" s="1149">
        <f>ROUNDDOWN(AVERAGE(IncomeLimits!AL5:'IncomeLimits'!AM5)*0.3/12, 0)</f>
        <v>1119</v>
      </c>
      <c r="AB7" s="1149">
        <f>ROUNDDOWN(IncomeLimits!AN5*0.3/12, 0)</f>
        <v>1342</v>
      </c>
      <c r="AC7" s="1149">
        <f>ROUNDDOWN(AVERAGE(IncomeLimits!AO5:'IncomeLimits'!AP5)*0.3/12,0)</f>
        <v>1551</v>
      </c>
      <c r="AD7" s="1149">
        <f>ROUNDDOWN(IncomeLimits!AQ5*0.3/12,0)</f>
        <v>1731</v>
      </c>
      <c r="AE7" s="89">
        <f>ROUNDDOWN(AVERAGE(IncomeLimits!AR5:'IncomeLimits'!AS5)*0.3/12,0)</f>
        <v>1909</v>
      </c>
      <c r="AF7" s="88">
        <f>ROUNDDOWN(IncomeLimits!AU5*0.3/12, 0)</f>
        <v>1218</v>
      </c>
      <c r="AG7" s="1149">
        <f>ROUNDDOWN(AVERAGE(IncomeLimits!AU5:'IncomeLimits'!AV5)*0.3/12, 0)</f>
        <v>1305</v>
      </c>
      <c r="AH7" s="1149">
        <f>ROUNDDOWN(IncomeLimits!AW5*0.3/12, 0)</f>
        <v>1566</v>
      </c>
      <c r="AI7" s="1149">
        <f>ROUNDDOWN(AVERAGE(IncomeLimits!AX5:'IncomeLimits'!AY5)*0.3/12,0)</f>
        <v>1809</v>
      </c>
      <c r="AJ7" s="1149">
        <f>ROUNDDOWN(IncomeLimits!AZ5*0.3/12,0)</f>
        <v>2019</v>
      </c>
      <c r="AK7" s="89">
        <f>ROUNDDOWN(AVERAGE(IncomeLimits!BA5:'IncomeLimits'!BB5)*0.3/12,0)</f>
        <v>2227</v>
      </c>
      <c r="AL7" s="78">
        <f>ROUNDDOWN(IncomeLimits!BD5*0.3/12, 0)</f>
        <v>1392</v>
      </c>
      <c r="AM7" s="1149">
        <f>ROUNDDOWN(AVERAGE(IncomeLimits!BD5:'IncomeLimits'!BE5)*0.3/12, 0)</f>
        <v>1492</v>
      </c>
      <c r="AN7" s="1149">
        <f>ROUNDDOWN(IncomeLimits!BF5*0.3/12, 0)</f>
        <v>1790</v>
      </c>
      <c r="AO7" s="1149">
        <f>ROUNDDOWN(AVERAGE(IncomeLimits!BG5:'IncomeLimits'!BH5)*0.3/12,0)</f>
        <v>2068</v>
      </c>
      <c r="AP7" s="1149">
        <f>ROUNDDOWN(IncomeLimits!BI5*0.3/12,0)</f>
        <v>2308</v>
      </c>
      <c r="AQ7" s="89">
        <f>ROUNDDOWN(AVERAGE(IncomeLimits!BJ5:'IncomeLimits'!BK5)*0.3/12,0)</f>
        <v>2546</v>
      </c>
    </row>
    <row r="8" spans="1:43">
      <c r="A8" s="90" t="s">
        <v>328</v>
      </c>
      <c r="B8" s="88">
        <f>ROUNDDOWN(IncomeLimits!B6*0.3/12, 0)</f>
        <v>349</v>
      </c>
      <c r="C8" s="1149">
        <f>ROUNDDOWN(AVERAGE(IncomeLimits!B6:C6)*0.3/12, 0)</f>
        <v>373</v>
      </c>
      <c r="D8" s="1149">
        <f>ROUNDDOWN(IncomeLimits!D6*0.3/12, 0)</f>
        <v>448</v>
      </c>
      <c r="E8" s="1149">
        <f>ROUNDDOWN(AVERAGE(IncomeLimits!E6:'IncomeLimits'!F6)*0.3/12,0)</f>
        <v>518</v>
      </c>
      <c r="F8" s="1149">
        <f>ROUNDDOWN(IncomeLimits!G6*0.3/12,0)</f>
        <v>578</v>
      </c>
      <c r="G8" s="79">
        <f>ROUNDDOWN(AVERAGE(IncomeLimits!H6:'IncomeLimits'!I6)*0.3/12,0)</f>
        <v>637</v>
      </c>
      <c r="H8" s="88">
        <f>ROUNDDOWN(IncomeLimits!K6*0.3/12, 0)</f>
        <v>523</v>
      </c>
      <c r="I8" s="1149">
        <f>ROUNDDOWN(AVERAGE(IncomeLimits!K6:'IncomeLimits'!L6)*0.3/12, 0)</f>
        <v>560</v>
      </c>
      <c r="J8" s="1149">
        <f>ROUNDDOWN(IncomeLimits!M6*0.3/12, 0)</f>
        <v>672</v>
      </c>
      <c r="K8" s="1149">
        <f>ROUNDDOWN(AVERAGE(IncomeLimits!N6:'IncomeLimits'!O6)*0.3/12,0)</f>
        <v>777</v>
      </c>
      <c r="L8" s="1149">
        <f>ROUNDDOWN(IncomeLimits!P6*0.3/12,0)</f>
        <v>867</v>
      </c>
      <c r="M8" s="89">
        <f>ROUNDDOWN(AVERAGE(IncomeLimits!Q6:'IncomeLimits'!R6)*0.3/12,0)</f>
        <v>956</v>
      </c>
      <c r="N8" s="78">
        <f>ROUNDDOWN(IncomeLimits!T6*0.3/12, 0)</f>
        <v>698</v>
      </c>
      <c r="O8" s="1149">
        <f>ROUNDDOWN(AVERAGE(IncomeLimits!T6:'IncomeLimits'!U6)*0.3/12, 0)</f>
        <v>747</v>
      </c>
      <c r="P8" s="1149">
        <f>ROUNDDOWN(IncomeLimits!V6*0.3/12, 0)</f>
        <v>897</v>
      </c>
      <c r="Q8" s="1149">
        <f>ROUNDDOWN(AVERAGE(IncomeLimits!W6:'IncomeLimits'!X6)*0.3/12,0)</f>
        <v>1036</v>
      </c>
      <c r="R8" s="1149">
        <f>ROUNDDOWN(IncomeLimits!Y6*0.3/12,0)</f>
        <v>1156</v>
      </c>
      <c r="S8" s="79">
        <f>ROUNDDOWN(AVERAGE(IncomeLimits!Z6:'IncomeLimits'!AA6)*0.3/12,0)</f>
        <v>1275</v>
      </c>
      <c r="T8" s="88">
        <f>ROUNDDOWN(IncomeLimits!AC6*0.3/12, 0)</f>
        <v>872</v>
      </c>
      <c r="U8" s="1149">
        <f>ROUNDDOWN(AVERAGE(IncomeLimits!AC6:'IncomeLimits'!AD6)*0.3/12, 0)</f>
        <v>934</v>
      </c>
      <c r="V8" s="1149">
        <f>ROUNDDOWN(IncomeLimits!AE6*0.3/12, 0)</f>
        <v>1121</v>
      </c>
      <c r="W8" s="1149">
        <f>ROUNDDOWN(AVERAGE(IncomeLimits!AF6:AG6)*0.3/12,0)</f>
        <v>1295</v>
      </c>
      <c r="X8" s="1149">
        <f>ROUNDDOWN(IncomeLimits!AH6*0.3/12,0)</f>
        <v>1445</v>
      </c>
      <c r="Y8" s="89">
        <f>ROUNDDOWN(AVERAGE(IncomeLimits!AI6:'IncomeLimits'!AJ6)*0.3/12,0)</f>
        <v>1594</v>
      </c>
      <c r="Z8" s="78">
        <f>ROUNDDOWN(IncomeLimits!AL6*0.3/12, 0)</f>
        <v>1047</v>
      </c>
      <c r="AA8" s="1149">
        <f>ROUNDDOWN(AVERAGE(IncomeLimits!AL6:'IncomeLimits'!AM6)*0.3/12, 0)</f>
        <v>1121</v>
      </c>
      <c r="AB8" s="1149">
        <f>ROUNDDOWN(IncomeLimits!AN6*0.3/12, 0)</f>
        <v>1345</v>
      </c>
      <c r="AC8" s="1149">
        <f>ROUNDDOWN(AVERAGE(IncomeLimits!AO6:'IncomeLimits'!AP6)*0.3/12,0)</f>
        <v>1554</v>
      </c>
      <c r="AD8" s="1149">
        <f>ROUNDDOWN(IncomeLimits!AQ6*0.3/12,0)</f>
        <v>1734</v>
      </c>
      <c r="AE8" s="89">
        <f>ROUNDDOWN(AVERAGE(IncomeLimits!AR6:'IncomeLimits'!AS6)*0.3/12,0)</f>
        <v>1913</v>
      </c>
      <c r="AF8" s="88">
        <f>ROUNDDOWN(IncomeLimits!AU6*0.3/12, 0)</f>
        <v>1221</v>
      </c>
      <c r="AG8" s="1149">
        <f>ROUNDDOWN(AVERAGE(IncomeLimits!AU6:'IncomeLimits'!AV6)*0.3/12, 0)</f>
        <v>1308</v>
      </c>
      <c r="AH8" s="1149">
        <f>ROUNDDOWN(IncomeLimits!AW6*0.3/12, 0)</f>
        <v>1569</v>
      </c>
      <c r="AI8" s="1149">
        <f>ROUNDDOWN(AVERAGE(IncomeLimits!AX6:'IncomeLimits'!AY6)*0.3/12,0)</f>
        <v>1813</v>
      </c>
      <c r="AJ8" s="1149">
        <f>ROUNDDOWN(IncomeLimits!AZ6*0.3/12,0)</f>
        <v>2023</v>
      </c>
      <c r="AK8" s="89">
        <f>ROUNDDOWN(AVERAGE(IncomeLimits!BA6:'IncomeLimits'!BB6)*0.3/12,0)</f>
        <v>2232</v>
      </c>
      <c r="AL8" s="78">
        <f>ROUNDDOWN(IncomeLimits!BD6*0.3/12, 0)</f>
        <v>1396</v>
      </c>
      <c r="AM8" s="1149">
        <f>ROUNDDOWN(AVERAGE(IncomeLimits!BD6:'IncomeLimits'!BE6)*0.3/12, 0)</f>
        <v>1495</v>
      </c>
      <c r="AN8" s="1149">
        <f>ROUNDDOWN(IncomeLimits!BF6*0.3/12, 0)</f>
        <v>1794</v>
      </c>
      <c r="AO8" s="1149">
        <f>ROUNDDOWN(AVERAGE(IncomeLimits!BG6:'IncomeLimits'!BH6)*0.3/12,0)</f>
        <v>2072</v>
      </c>
      <c r="AP8" s="1149">
        <f>ROUNDDOWN(IncomeLimits!BI6*0.3/12,0)</f>
        <v>2312</v>
      </c>
      <c r="AQ8" s="89">
        <f>ROUNDDOWN(AVERAGE(IncomeLimits!BJ6:'IncomeLimits'!BK6)*0.3/12,0)</f>
        <v>2551</v>
      </c>
    </row>
    <row r="9" spans="1:43">
      <c r="A9" s="90" t="s">
        <v>340</v>
      </c>
      <c r="B9" s="88">
        <f>ROUNDDOWN(IncomeLimits!B7*0.3/12, 0)</f>
        <v>441</v>
      </c>
      <c r="C9" s="1149">
        <f>ROUNDDOWN(AVERAGE(IncomeLimits!B7:C7)*0.3/12, 0)</f>
        <v>472</v>
      </c>
      <c r="D9" s="1149">
        <f>ROUNDDOWN(IncomeLimits!D7*0.3/12, 0)</f>
        <v>567</v>
      </c>
      <c r="E9" s="1149">
        <f>ROUNDDOWN(AVERAGE(IncomeLimits!E7:'IncomeLimits'!F7)*0.3/12,0)</f>
        <v>654</v>
      </c>
      <c r="F9" s="1149">
        <f>ROUNDDOWN(IncomeLimits!G7*0.3/12,0)</f>
        <v>730</v>
      </c>
      <c r="G9" s="79">
        <f>ROUNDDOWN(AVERAGE(IncomeLimits!H7:'IncomeLimits'!I7)*0.3/12,0)</f>
        <v>806</v>
      </c>
      <c r="H9" s="88">
        <f>ROUNDDOWN(IncomeLimits!K7*0.3/12, 0)</f>
        <v>661</v>
      </c>
      <c r="I9" s="1149">
        <f>ROUNDDOWN(AVERAGE(IncomeLimits!K7:'IncomeLimits'!L7)*0.3/12, 0)</f>
        <v>708</v>
      </c>
      <c r="J9" s="1149">
        <f>ROUNDDOWN(IncomeLimits!M7*0.3/12, 0)</f>
        <v>850</v>
      </c>
      <c r="K9" s="1149">
        <f>ROUNDDOWN(AVERAGE(IncomeLimits!N7:'IncomeLimits'!O7)*0.3/12,0)</f>
        <v>982</v>
      </c>
      <c r="L9" s="1149">
        <f>ROUNDDOWN(IncomeLimits!P7*0.3/12,0)</f>
        <v>1095</v>
      </c>
      <c r="M9" s="89">
        <f>ROUNDDOWN(AVERAGE(IncomeLimits!Q7:'IncomeLimits'!R7)*0.3/12,0)</f>
        <v>1209</v>
      </c>
      <c r="N9" s="78">
        <f>ROUNDDOWN(IncomeLimits!T7*0.3/12, 0)</f>
        <v>882</v>
      </c>
      <c r="O9" s="1149">
        <f>ROUNDDOWN(AVERAGE(IncomeLimits!T7:'IncomeLimits'!U7)*0.3/12, 0)</f>
        <v>945</v>
      </c>
      <c r="P9" s="1149">
        <f>ROUNDDOWN(IncomeLimits!V7*0.3/12, 0)</f>
        <v>1134</v>
      </c>
      <c r="Q9" s="1149">
        <f>ROUNDDOWN(AVERAGE(IncomeLimits!W7:'IncomeLimits'!X7)*0.3/12,0)</f>
        <v>1309</v>
      </c>
      <c r="R9" s="1149">
        <f>ROUNDDOWN(IncomeLimits!Y7*0.3/12,0)</f>
        <v>1461</v>
      </c>
      <c r="S9" s="79">
        <f>ROUNDDOWN(AVERAGE(IncomeLimits!Z7:'IncomeLimits'!AA7)*0.3/12,0)</f>
        <v>1612</v>
      </c>
      <c r="T9" s="88">
        <f>ROUNDDOWN(IncomeLimits!AC7*0.3/12, 0)</f>
        <v>1102</v>
      </c>
      <c r="U9" s="1149">
        <f>ROUNDDOWN(AVERAGE(IncomeLimits!AC7:'IncomeLimits'!AD7)*0.3/12, 0)</f>
        <v>1181</v>
      </c>
      <c r="V9" s="1149">
        <f>ROUNDDOWN(IncomeLimits!AE7*0.3/12, 0)</f>
        <v>1417</v>
      </c>
      <c r="W9" s="1149">
        <f>ROUNDDOWN(AVERAGE(IncomeLimits!AF7:AG7)*0.3/12,0)</f>
        <v>1636</v>
      </c>
      <c r="X9" s="1149">
        <f>ROUNDDOWN(IncomeLimits!AH7*0.3/12,0)</f>
        <v>1826</v>
      </c>
      <c r="Y9" s="89">
        <f>ROUNDDOWN(AVERAGE(IncomeLimits!AI7:'IncomeLimits'!AJ7)*0.3/12,0)</f>
        <v>2015</v>
      </c>
      <c r="Z9" s="78">
        <f>ROUNDDOWN(IncomeLimits!AL7*0.3/12, 0)</f>
        <v>1323</v>
      </c>
      <c r="AA9" s="1149">
        <f>ROUNDDOWN(AVERAGE(IncomeLimits!AL7:'IncomeLimits'!AM7)*0.3/12, 0)</f>
        <v>1417</v>
      </c>
      <c r="AB9" s="1149">
        <f>ROUNDDOWN(IncomeLimits!AN7*0.3/12, 0)</f>
        <v>1701</v>
      </c>
      <c r="AC9" s="1149">
        <f>ROUNDDOWN(AVERAGE(IncomeLimits!AO7:'IncomeLimits'!AP7)*0.3/12,0)</f>
        <v>1964</v>
      </c>
      <c r="AD9" s="1149">
        <f>ROUNDDOWN(IncomeLimits!AQ7*0.3/12,0)</f>
        <v>2191</v>
      </c>
      <c r="AE9" s="89">
        <f>ROUNDDOWN(AVERAGE(IncomeLimits!AR7:'IncomeLimits'!AS7)*0.3/12,0)</f>
        <v>2418</v>
      </c>
      <c r="AF9" s="88">
        <f>ROUNDDOWN(IncomeLimits!AU7*0.3/12, 0)</f>
        <v>1543</v>
      </c>
      <c r="AG9" s="1149">
        <f>ROUNDDOWN(AVERAGE(IncomeLimits!AU7:'IncomeLimits'!AV7)*0.3/12, 0)</f>
        <v>1653</v>
      </c>
      <c r="AH9" s="1149">
        <f>ROUNDDOWN(IncomeLimits!AW7*0.3/12, 0)</f>
        <v>1984</v>
      </c>
      <c r="AI9" s="1149">
        <f>ROUNDDOWN(AVERAGE(IncomeLimits!AX7:'IncomeLimits'!AY7)*0.3/12,0)</f>
        <v>2291</v>
      </c>
      <c r="AJ9" s="1149">
        <f>ROUNDDOWN(IncomeLimits!AZ7*0.3/12,0)</f>
        <v>2556</v>
      </c>
      <c r="AK9" s="89">
        <f>ROUNDDOWN(AVERAGE(IncomeLimits!BA7:'IncomeLimits'!BB7)*0.3/12,0)</f>
        <v>2821</v>
      </c>
      <c r="AL9" s="78">
        <f>ROUNDDOWN(IncomeLimits!BD7*0.3/12, 0)</f>
        <v>1764</v>
      </c>
      <c r="AM9" s="1149">
        <f>ROUNDDOWN(AVERAGE(IncomeLimits!BD7:'IncomeLimits'!BE7)*0.3/12, 0)</f>
        <v>1890</v>
      </c>
      <c r="AN9" s="1149">
        <f>ROUNDDOWN(IncomeLimits!BF7*0.3/12, 0)</f>
        <v>2268</v>
      </c>
      <c r="AO9" s="1149">
        <f>ROUNDDOWN(AVERAGE(IncomeLimits!BG7:'IncomeLimits'!BH7)*0.3/12,0)</f>
        <v>2619</v>
      </c>
      <c r="AP9" s="1149">
        <f>ROUNDDOWN(IncomeLimits!BI7*0.3/12,0)</f>
        <v>2922</v>
      </c>
      <c r="AQ9" s="89">
        <f>ROUNDDOWN(AVERAGE(IncomeLimits!BJ7:'IncomeLimits'!BK7)*0.3/12,0)</f>
        <v>3224</v>
      </c>
    </row>
    <row r="10" spans="1:43">
      <c r="A10" s="90" t="s">
        <v>383</v>
      </c>
      <c r="B10" s="88">
        <f>ROUNDDOWN(IncomeLimits!B8*0.3/12, 0)</f>
        <v>321</v>
      </c>
      <c r="C10" s="1149">
        <f>ROUNDDOWN(AVERAGE(IncomeLimits!B8:C8)*0.3/12, 0)</f>
        <v>344</v>
      </c>
      <c r="D10" s="1149">
        <f>ROUNDDOWN(IncomeLimits!D8*0.3/12, 0)</f>
        <v>413</v>
      </c>
      <c r="E10" s="1149">
        <f>ROUNDDOWN(AVERAGE(IncomeLimits!E8:'IncomeLimits'!F8)*0.3/12,0)</f>
        <v>477</v>
      </c>
      <c r="F10" s="1149">
        <f>ROUNDDOWN(IncomeLimits!G8*0.3/12,0)</f>
        <v>532</v>
      </c>
      <c r="G10" s="79">
        <f>ROUNDDOWN(AVERAGE(IncomeLimits!H8:'IncomeLimits'!I8)*0.3/12,0)</f>
        <v>587</v>
      </c>
      <c r="H10" s="88">
        <f>ROUNDDOWN(IncomeLimits!K8*0.3/12, 0)</f>
        <v>481</v>
      </c>
      <c r="I10" s="1149">
        <f>ROUNDDOWN(AVERAGE(IncomeLimits!K8:'IncomeLimits'!L8)*0.3/12, 0)</f>
        <v>516</v>
      </c>
      <c r="J10" s="1149">
        <f>ROUNDDOWN(IncomeLimits!M8*0.3/12, 0)</f>
        <v>619</v>
      </c>
      <c r="K10" s="1149">
        <f>ROUNDDOWN(AVERAGE(IncomeLimits!N8:'IncomeLimits'!O8)*0.3/12,0)</f>
        <v>715</v>
      </c>
      <c r="L10" s="1149">
        <f>ROUNDDOWN(IncomeLimits!P8*0.3/12,0)</f>
        <v>798</v>
      </c>
      <c r="M10" s="89">
        <f>ROUNDDOWN(AVERAGE(IncomeLimits!Q8:'IncomeLimits'!R8)*0.3/12,0)</f>
        <v>880</v>
      </c>
      <c r="N10" s="78">
        <f>ROUNDDOWN(IncomeLimits!T8*0.3/12, 0)</f>
        <v>642</v>
      </c>
      <c r="O10" s="1149">
        <f>ROUNDDOWN(AVERAGE(IncomeLimits!T8:'IncomeLimits'!U8)*0.3/12, 0)</f>
        <v>688</v>
      </c>
      <c r="P10" s="1149">
        <f>ROUNDDOWN(IncomeLimits!V8*0.3/12, 0)</f>
        <v>826</v>
      </c>
      <c r="Q10" s="1149">
        <f>ROUNDDOWN(AVERAGE(IncomeLimits!W8:'IncomeLimits'!X8)*0.3/12,0)</f>
        <v>954</v>
      </c>
      <c r="R10" s="1149">
        <f>ROUNDDOWN(IncomeLimits!Y8*0.3/12,0)</f>
        <v>1064</v>
      </c>
      <c r="S10" s="79">
        <f>ROUNDDOWN(AVERAGE(IncomeLimits!Z8:'IncomeLimits'!AA8)*0.3/12,0)</f>
        <v>1174</v>
      </c>
      <c r="T10" s="88">
        <f>ROUNDDOWN(IncomeLimits!AC8*0.3/12, 0)</f>
        <v>802</v>
      </c>
      <c r="U10" s="1149">
        <f>ROUNDDOWN(AVERAGE(IncomeLimits!AC8:'IncomeLimits'!AD8)*0.3/12, 0)</f>
        <v>860</v>
      </c>
      <c r="V10" s="1149">
        <f>ROUNDDOWN(IncomeLimits!AE8*0.3/12, 0)</f>
        <v>1032</v>
      </c>
      <c r="W10" s="1149">
        <f>ROUNDDOWN(AVERAGE(IncomeLimits!AF8:AG8)*0.3/12,0)</f>
        <v>1192</v>
      </c>
      <c r="X10" s="1149">
        <f>ROUNDDOWN(IncomeLimits!AH8*0.3/12,0)</f>
        <v>1330</v>
      </c>
      <c r="Y10" s="89">
        <f>ROUNDDOWN(AVERAGE(IncomeLimits!AI8:'IncomeLimits'!AJ8)*0.3/12,0)</f>
        <v>1468</v>
      </c>
      <c r="Z10" s="78">
        <f>ROUNDDOWN(IncomeLimits!AL8*0.3/12, 0)</f>
        <v>963</v>
      </c>
      <c r="AA10" s="1149">
        <f>ROUNDDOWN(AVERAGE(IncomeLimits!AL8:'IncomeLimits'!AM8)*0.3/12, 0)</f>
        <v>1032</v>
      </c>
      <c r="AB10" s="1149">
        <f>ROUNDDOWN(IncomeLimits!AN8*0.3/12, 0)</f>
        <v>1239</v>
      </c>
      <c r="AC10" s="1149">
        <f>ROUNDDOWN(AVERAGE(IncomeLimits!AO8:'IncomeLimits'!AP8)*0.3/12,0)</f>
        <v>1431</v>
      </c>
      <c r="AD10" s="1149">
        <f>ROUNDDOWN(IncomeLimits!AQ8*0.3/12,0)</f>
        <v>1596</v>
      </c>
      <c r="AE10" s="89">
        <f>ROUNDDOWN(AVERAGE(IncomeLimits!AR8:'IncomeLimits'!AS8)*0.3/12,0)</f>
        <v>1761</v>
      </c>
      <c r="AF10" s="88">
        <f>ROUNDDOWN(IncomeLimits!AU8*0.3/12, 0)</f>
        <v>1123</v>
      </c>
      <c r="AG10" s="1149">
        <f>ROUNDDOWN(AVERAGE(IncomeLimits!AU8:'IncomeLimits'!AV8)*0.3/12, 0)</f>
        <v>1204</v>
      </c>
      <c r="AH10" s="1149">
        <f>ROUNDDOWN(IncomeLimits!AW8*0.3/12, 0)</f>
        <v>1445</v>
      </c>
      <c r="AI10" s="1149">
        <f>ROUNDDOWN(AVERAGE(IncomeLimits!AX8:'IncomeLimits'!AY8)*0.3/12,0)</f>
        <v>1669</v>
      </c>
      <c r="AJ10" s="1149">
        <f>ROUNDDOWN(IncomeLimits!AZ8*0.3/12,0)</f>
        <v>1862</v>
      </c>
      <c r="AK10" s="89">
        <f>ROUNDDOWN(AVERAGE(IncomeLimits!BA8:'IncomeLimits'!BB8)*0.3/12,0)</f>
        <v>2055</v>
      </c>
      <c r="AL10" s="78">
        <f>ROUNDDOWN(IncomeLimits!BD8*0.3/12, 0)</f>
        <v>1284</v>
      </c>
      <c r="AM10" s="1149">
        <f>ROUNDDOWN(AVERAGE(IncomeLimits!BD8:'IncomeLimits'!BE8)*0.3/12, 0)</f>
        <v>1376</v>
      </c>
      <c r="AN10" s="1149">
        <f>ROUNDDOWN(IncomeLimits!BF8*0.3/12, 0)</f>
        <v>1652</v>
      </c>
      <c r="AO10" s="1149">
        <f>ROUNDDOWN(AVERAGE(IncomeLimits!BG8:'IncomeLimits'!BH8)*0.3/12,0)</f>
        <v>1908</v>
      </c>
      <c r="AP10" s="1149">
        <f>ROUNDDOWN(IncomeLimits!BI8*0.3/12,0)</f>
        <v>2128</v>
      </c>
      <c r="AQ10" s="89">
        <f>ROUNDDOWN(AVERAGE(IncomeLimits!BJ8:'IncomeLimits'!BK8)*0.3/12,0)</f>
        <v>2349</v>
      </c>
    </row>
    <row r="11" spans="1:43">
      <c r="A11" s="90" t="s">
        <v>386</v>
      </c>
      <c r="B11" s="88">
        <f>ROUNDDOWN(IncomeLimits!B9*0.3/12, 0)</f>
        <v>323</v>
      </c>
      <c r="C11" s="1149">
        <f>ROUNDDOWN(AVERAGE(IncomeLimits!B9:C9)*0.3/12, 0)</f>
        <v>346</v>
      </c>
      <c r="D11" s="1149">
        <f>ROUNDDOWN(IncomeLimits!D9*0.3/12, 0)</f>
        <v>415</v>
      </c>
      <c r="E11" s="1149">
        <f>ROUNDDOWN(AVERAGE(IncomeLimits!E9:'IncomeLimits'!F9)*0.3/12,0)</f>
        <v>480</v>
      </c>
      <c r="F11" s="1149">
        <f>ROUNDDOWN(IncomeLimits!G9*0.3/12,0)</f>
        <v>535</v>
      </c>
      <c r="G11" s="79">
        <f>ROUNDDOWN(AVERAGE(IncomeLimits!H9:'IncomeLimits'!I9)*0.3/12,0)</f>
        <v>591</v>
      </c>
      <c r="H11" s="88">
        <f>ROUNDDOWN(IncomeLimits!K9*0.3/12, 0)</f>
        <v>485</v>
      </c>
      <c r="I11" s="1149">
        <f>ROUNDDOWN(AVERAGE(IncomeLimits!K9:'IncomeLimits'!L9)*0.3/12, 0)</f>
        <v>519</v>
      </c>
      <c r="J11" s="1149">
        <f>ROUNDDOWN(IncomeLimits!M9*0.3/12, 0)</f>
        <v>623</v>
      </c>
      <c r="K11" s="1149">
        <f>ROUNDDOWN(AVERAGE(IncomeLimits!N9:'IncomeLimits'!O9)*0.3/12,0)</f>
        <v>720</v>
      </c>
      <c r="L11" s="1149">
        <f>ROUNDDOWN(IncomeLimits!P9*0.3/12,0)</f>
        <v>803</v>
      </c>
      <c r="M11" s="89">
        <f>ROUNDDOWN(AVERAGE(IncomeLimits!Q9:'IncomeLimits'!R9)*0.3/12,0)</f>
        <v>886</v>
      </c>
      <c r="N11" s="78">
        <f>ROUNDDOWN(IncomeLimits!T9*0.3/12, 0)</f>
        <v>647</v>
      </c>
      <c r="O11" s="1149">
        <f>ROUNDDOWN(AVERAGE(IncomeLimits!T9:'IncomeLimits'!U9)*0.3/12, 0)</f>
        <v>693</v>
      </c>
      <c r="P11" s="1149">
        <f>ROUNDDOWN(IncomeLimits!V9*0.3/12, 0)</f>
        <v>831</v>
      </c>
      <c r="Q11" s="1149">
        <f>ROUNDDOWN(AVERAGE(IncomeLimits!W9:'IncomeLimits'!X9)*0.3/12,0)</f>
        <v>960</v>
      </c>
      <c r="R11" s="1149">
        <f>ROUNDDOWN(IncomeLimits!Y9*0.3/12,0)</f>
        <v>1071</v>
      </c>
      <c r="S11" s="79">
        <f>ROUNDDOWN(AVERAGE(IncomeLimits!Z9:'IncomeLimits'!AA9)*0.3/12,0)</f>
        <v>1182</v>
      </c>
      <c r="T11" s="88">
        <f>ROUNDDOWN(IncomeLimits!AC9*0.3/12, 0)</f>
        <v>808</v>
      </c>
      <c r="U11" s="1149">
        <f>ROUNDDOWN(AVERAGE(IncomeLimits!AC9:'IncomeLimits'!AD9)*0.3/12, 0)</f>
        <v>866</v>
      </c>
      <c r="V11" s="1149">
        <f>ROUNDDOWN(IncomeLimits!AE9*0.3/12, 0)</f>
        <v>1038</v>
      </c>
      <c r="W11" s="1149">
        <f>ROUNDDOWN(AVERAGE(IncomeLimits!AF9:AG9)*0.3/12,0)</f>
        <v>1200</v>
      </c>
      <c r="X11" s="1149">
        <f>ROUNDDOWN(IncomeLimits!AH9*0.3/12,0)</f>
        <v>1338</v>
      </c>
      <c r="Y11" s="89">
        <f>ROUNDDOWN(AVERAGE(IncomeLimits!AI9:'IncomeLimits'!AJ9)*0.3/12,0)</f>
        <v>1477</v>
      </c>
      <c r="Z11" s="78">
        <f>ROUNDDOWN(IncomeLimits!AL9*0.3/12, 0)</f>
        <v>970</v>
      </c>
      <c r="AA11" s="1149">
        <f>ROUNDDOWN(AVERAGE(IncomeLimits!AL9:'IncomeLimits'!AM9)*0.3/12, 0)</f>
        <v>1039</v>
      </c>
      <c r="AB11" s="1149">
        <f>ROUNDDOWN(IncomeLimits!AN9*0.3/12, 0)</f>
        <v>1246</v>
      </c>
      <c r="AC11" s="1149">
        <f>ROUNDDOWN(AVERAGE(IncomeLimits!AO9:'IncomeLimits'!AP9)*0.3/12,0)</f>
        <v>1440</v>
      </c>
      <c r="AD11" s="1149">
        <f>ROUNDDOWN(IncomeLimits!AQ9*0.3/12,0)</f>
        <v>1606</v>
      </c>
      <c r="AE11" s="89">
        <f>ROUNDDOWN(AVERAGE(IncomeLimits!AR9:'IncomeLimits'!AS9)*0.3/12,0)</f>
        <v>1773</v>
      </c>
      <c r="AF11" s="88">
        <f>ROUNDDOWN(IncomeLimits!AU9*0.3/12, 0)</f>
        <v>1132</v>
      </c>
      <c r="AG11" s="1149">
        <f>ROUNDDOWN(AVERAGE(IncomeLimits!AU9:'IncomeLimits'!AV9)*0.3/12, 0)</f>
        <v>1212</v>
      </c>
      <c r="AH11" s="1149">
        <f>ROUNDDOWN(IncomeLimits!AW9*0.3/12, 0)</f>
        <v>1454</v>
      </c>
      <c r="AI11" s="1149">
        <f>ROUNDDOWN(AVERAGE(IncomeLimits!AX9:'IncomeLimits'!AY9)*0.3/12,0)</f>
        <v>1680</v>
      </c>
      <c r="AJ11" s="1149">
        <f>ROUNDDOWN(IncomeLimits!AZ9*0.3/12,0)</f>
        <v>1874</v>
      </c>
      <c r="AK11" s="89">
        <f>ROUNDDOWN(AVERAGE(IncomeLimits!BA9:'IncomeLimits'!BB9)*0.3/12,0)</f>
        <v>2068</v>
      </c>
      <c r="AL11" s="78">
        <f>ROUNDDOWN(IncomeLimits!BD9*0.3/12, 0)</f>
        <v>1294</v>
      </c>
      <c r="AM11" s="1149">
        <f>ROUNDDOWN(AVERAGE(IncomeLimits!BD9:'IncomeLimits'!BE9)*0.3/12, 0)</f>
        <v>1386</v>
      </c>
      <c r="AN11" s="1149">
        <f>ROUNDDOWN(IncomeLimits!BF9*0.3/12, 0)</f>
        <v>1662</v>
      </c>
      <c r="AO11" s="1149">
        <f>ROUNDDOWN(AVERAGE(IncomeLimits!BG9:'IncomeLimits'!BH9)*0.3/12,0)</f>
        <v>1920</v>
      </c>
      <c r="AP11" s="1149">
        <f>ROUNDDOWN(IncomeLimits!BI9*0.3/12,0)</f>
        <v>2142</v>
      </c>
      <c r="AQ11" s="89">
        <f>ROUNDDOWN(AVERAGE(IncomeLimits!BJ9:'IncomeLimits'!BK9)*0.3/12,0)</f>
        <v>2364</v>
      </c>
    </row>
    <row r="12" spans="1:43">
      <c r="A12" s="90" t="s">
        <v>351</v>
      </c>
      <c r="B12" s="88">
        <f>ROUNDDOWN(IncomeLimits!B10*0.3/12, 0)</f>
        <v>333</v>
      </c>
      <c r="C12" s="1149">
        <f>ROUNDDOWN(AVERAGE(IncomeLimits!B10:C10)*0.3/12, 0)</f>
        <v>357</v>
      </c>
      <c r="D12" s="1149">
        <f>ROUNDDOWN(IncomeLimits!D10*0.3/12, 0)</f>
        <v>428</v>
      </c>
      <c r="E12" s="1149">
        <f>ROUNDDOWN(AVERAGE(IncomeLimits!E10:'IncomeLimits'!F10)*0.3/12,0)</f>
        <v>495</v>
      </c>
      <c r="F12" s="1149">
        <f>ROUNDDOWN(IncomeLimits!G10*0.3/12,0)</f>
        <v>552</v>
      </c>
      <c r="G12" s="79">
        <f>ROUNDDOWN(AVERAGE(IncomeLimits!H10:'IncomeLimits'!I10)*0.3/12,0)</f>
        <v>609</v>
      </c>
      <c r="H12" s="88">
        <f>ROUNDDOWN(IncomeLimits!K10*0.3/12, 0)</f>
        <v>500</v>
      </c>
      <c r="I12" s="1149">
        <f>ROUNDDOWN(AVERAGE(IncomeLimits!K10:'IncomeLimits'!L10)*0.3/12, 0)</f>
        <v>535</v>
      </c>
      <c r="J12" s="1149">
        <f>ROUNDDOWN(IncomeLimits!M10*0.3/12, 0)</f>
        <v>642</v>
      </c>
      <c r="K12" s="1149">
        <f>ROUNDDOWN(AVERAGE(IncomeLimits!N10:'IncomeLimits'!O10)*0.3/12,0)</f>
        <v>742</v>
      </c>
      <c r="L12" s="1149">
        <f>ROUNDDOWN(IncomeLimits!P10*0.3/12,0)</f>
        <v>828</v>
      </c>
      <c r="M12" s="89">
        <f>ROUNDDOWN(AVERAGE(IncomeLimits!Q10:'IncomeLimits'!R10)*0.3/12,0)</f>
        <v>914</v>
      </c>
      <c r="N12" s="78">
        <f>ROUNDDOWN(IncomeLimits!T10*0.3/12, 0)</f>
        <v>667</v>
      </c>
      <c r="O12" s="1149">
        <f>ROUNDDOWN(AVERAGE(IncomeLimits!T10:'IncomeLimits'!U10)*0.3/12, 0)</f>
        <v>714</v>
      </c>
      <c r="P12" s="1149">
        <f>ROUNDDOWN(IncomeLimits!V10*0.3/12, 0)</f>
        <v>857</v>
      </c>
      <c r="Q12" s="1149">
        <f>ROUNDDOWN(AVERAGE(IncomeLimits!W10:'IncomeLimits'!X10)*0.3/12,0)</f>
        <v>990</v>
      </c>
      <c r="R12" s="1149">
        <f>ROUNDDOWN(IncomeLimits!Y10*0.3/12,0)</f>
        <v>1105</v>
      </c>
      <c r="S12" s="79">
        <f>ROUNDDOWN(AVERAGE(IncomeLimits!Z10:'IncomeLimits'!AA10)*0.3/12,0)</f>
        <v>1219</v>
      </c>
      <c r="T12" s="88">
        <f>ROUNDDOWN(IncomeLimits!AC10*0.3/12, 0)</f>
        <v>833</v>
      </c>
      <c r="U12" s="1149">
        <f>ROUNDDOWN(AVERAGE(IncomeLimits!AC10:'IncomeLimits'!AD10)*0.3/12, 0)</f>
        <v>893</v>
      </c>
      <c r="V12" s="1149">
        <f>ROUNDDOWN(IncomeLimits!AE10*0.3/12, 0)</f>
        <v>1071</v>
      </c>
      <c r="W12" s="1149">
        <f>ROUNDDOWN(AVERAGE(IncomeLimits!AF10:AG10)*0.3/12,0)</f>
        <v>1238</v>
      </c>
      <c r="X12" s="1149">
        <f>ROUNDDOWN(IncomeLimits!AH10*0.3/12,0)</f>
        <v>1381</v>
      </c>
      <c r="Y12" s="89">
        <f>ROUNDDOWN(AVERAGE(IncomeLimits!AI10:'IncomeLimits'!AJ10)*0.3/12,0)</f>
        <v>1523</v>
      </c>
      <c r="Z12" s="78">
        <f>ROUNDDOWN(IncomeLimits!AL10*0.3/12, 0)</f>
        <v>1000</v>
      </c>
      <c r="AA12" s="1149">
        <f>ROUNDDOWN(AVERAGE(IncomeLimits!AL10:'IncomeLimits'!AM10)*0.3/12, 0)</f>
        <v>1071</v>
      </c>
      <c r="AB12" s="1149">
        <f>ROUNDDOWN(IncomeLimits!AN10*0.3/12, 0)</f>
        <v>1285</v>
      </c>
      <c r="AC12" s="1149">
        <f>ROUNDDOWN(AVERAGE(IncomeLimits!AO10:'IncomeLimits'!AP10)*0.3/12,0)</f>
        <v>1485</v>
      </c>
      <c r="AD12" s="1149">
        <f>ROUNDDOWN(IncomeLimits!AQ10*0.3/12,0)</f>
        <v>1657</v>
      </c>
      <c r="AE12" s="89">
        <f>ROUNDDOWN(AVERAGE(IncomeLimits!AR10:'IncomeLimits'!AS10)*0.3/12,0)</f>
        <v>1828</v>
      </c>
      <c r="AF12" s="88">
        <f>ROUNDDOWN(IncomeLimits!AU10*0.3/12, 0)</f>
        <v>1167</v>
      </c>
      <c r="AG12" s="1149">
        <f>ROUNDDOWN(AVERAGE(IncomeLimits!AU10:'IncomeLimits'!AV10)*0.3/12, 0)</f>
        <v>1250</v>
      </c>
      <c r="AH12" s="1149">
        <f>ROUNDDOWN(IncomeLimits!AW10*0.3/12, 0)</f>
        <v>1499</v>
      </c>
      <c r="AI12" s="1149">
        <f>ROUNDDOWN(AVERAGE(IncomeLimits!AX10:'IncomeLimits'!AY10)*0.3/12,0)</f>
        <v>1733</v>
      </c>
      <c r="AJ12" s="1149">
        <f>ROUNDDOWN(IncomeLimits!AZ10*0.3/12,0)</f>
        <v>1933</v>
      </c>
      <c r="AK12" s="89">
        <f>ROUNDDOWN(AVERAGE(IncomeLimits!BA10:'IncomeLimits'!BB10)*0.3/12,0)</f>
        <v>2133</v>
      </c>
      <c r="AL12" s="78">
        <f>ROUNDDOWN(IncomeLimits!BD10*0.3/12, 0)</f>
        <v>1334</v>
      </c>
      <c r="AM12" s="1149">
        <f>ROUNDDOWN(AVERAGE(IncomeLimits!BD10:'IncomeLimits'!BE10)*0.3/12, 0)</f>
        <v>1429</v>
      </c>
      <c r="AN12" s="1149">
        <f>ROUNDDOWN(IncomeLimits!BF10*0.3/12, 0)</f>
        <v>1714</v>
      </c>
      <c r="AO12" s="1149">
        <f>ROUNDDOWN(AVERAGE(IncomeLimits!BG10:'IncomeLimits'!BH10)*0.3/12,0)</f>
        <v>1981</v>
      </c>
      <c r="AP12" s="1149">
        <f>ROUNDDOWN(IncomeLimits!BI10*0.3/12,0)</f>
        <v>2210</v>
      </c>
      <c r="AQ12" s="89">
        <f>ROUNDDOWN(AVERAGE(IncomeLimits!BJ10:'IncomeLimits'!BK10)*0.3/12,0)</f>
        <v>2438</v>
      </c>
    </row>
    <row r="13" spans="1:43">
      <c r="A13" s="90" t="s">
        <v>391</v>
      </c>
      <c r="B13" s="88">
        <f>ROUNDDOWN(IncomeLimits!B11*0.3/12, 0)</f>
        <v>330</v>
      </c>
      <c r="C13" s="1149">
        <f>ROUNDDOWN(AVERAGE(IncomeLimits!B11:C11)*0.3/12, 0)</f>
        <v>354</v>
      </c>
      <c r="D13" s="1149">
        <f>ROUNDDOWN(IncomeLimits!D11*0.3/12, 0)</f>
        <v>425</v>
      </c>
      <c r="E13" s="1149">
        <f>ROUNDDOWN(AVERAGE(IncomeLimits!E11:'IncomeLimits'!F11)*0.3/12,0)</f>
        <v>491</v>
      </c>
      <c r="F13" s="1149">
        <f>ROUNDDOWN(IncomeLimits!G11*0.3/12,0)</f>
        <v>548</v>
      </c>
      <c r="G13" s="79">
        <f>ROUNDDOWN(AVERAGE(IncomeLimits!H11:'IncomeLimits'!I11)*0.3/12,0)</f>
        <v>604</v>
      </c>
      <c r="H13" s="88">
        <f>ROUNDDOWN(IncomeLimits!K11*0.3/12, 0)</f>
        <v>495</v>
      </c>
      <c r="I13" s="1149">
        <f>ROUNDDOWN(AVERAGE(IncomeLimits!K11:'IncomeLimits'!L11)*0.3/12, 0)</f>
        <v>531</v>
      </c>
      <c r="J13" s="1149">
        <f>ROUNDDOWN(IncomeLimits!M11*0.3/12, 0)</f>
        <v>637</v>
      </c>
      <c r="K13" s="1149">
        <f>ROUNDDOWN(AVERAGE(IncomeLimits!N11:'IncomeLimits'!O11)*0.3/12,0)</f>
        <v>736</v>
      </c>
      <c r="L13" s="1149">
        <f>ROUNDDOWN(IncomeLimits!P11*0.3/12,0)</f>
        <v>822</v>
      </c>
      <c r="M13" s="89">
        <f>ROUNDDOWN(AVERAGE(IncomeLimits!Q11:'IncomeLimits'!R11)*0.3/12,0)</f>
        <v>906</v>
      </c>
      <c r="N13" s="78">
        <f>ROUNDDOWN(IncomeLimits!T11*0.3/12, 0)</f>
        <v>661</v>
      </c>
      <c r="O13" s="1149">
        <f>ROUNDDOWN(AVERAGE(IncomeLimits!T11:'IncomeLimits'!U11)*0.3/12, 0)</f>
        <v>708</v>
      </c>
      <c r="P13" s="1149">
        <f>ROUNDDOWN(IncomeLimits!V11*0.3/12, 0)</f>
        <v>850</v>
      </c>
      <c r="Q13" s="1149">
        <f>ROUNDDOWN(AVERAGE(IncomeLimits!W11:'IncomeLimits'!X11)*0.3/12,0)</f>
        <v>982</v>
      </c>
      <c r="R13" s="1149">
        <f>ROUNDDOWN(IncomeLimits!Y11*0.3/12,0)</f>
        <v>1096</v>
      </c>
      <c r="S13" s="79">
        <f>ROUNDDOWN(AVERAGE(IncomeLimits!Z11:'IncomeLimits'!AA11)*0.3/12,0)</f>
        <v>1209</v>
      </c>
      <c r="T13" s="88">
        <f>ROUNDDOWN(IncomeLimits!AC11*0.3/12, 0)</f>
        <v>826</v>
      </c>
      <c r="U13" s="1149">
        <f>ROUNDDOWN(AVERAGE(IncomeLimits!AC11:'IncomeLimits'!AD11)*0.3/12, 0)</f>
        <v>885</v>
      </c>
      <c r="V13" s="1149">
        <f>ROUNDDOWN(IncomeLimits!AE11*0.3/12, 0)</f>
        <v>1062</v>
      </c>
      <c r="W13" s="1149">
        <f>ROUNDDOWN(AVERAGE(IncomeLimits!AF11:AG11)*0.3/12,0)</f>
        <v>1227</v>
      </c>
      <c r="X13" s="1149">
        <f>ROUNDDOWN(IncomeLimits!AH11*0.3/12,0)</f>
        <v>1370</v>
      </c>
      <c r="Y13" s="89">
        <f>ROUNDDOWN(AVERAGE(IncomeLimits!AI11:'IncomeLimits'!AJ11)*0.3/12,0)</f>
        <v>1511</v>
      </c>
      <c r="Z13" s="78">
        <f>ROUNDDOWN(IncomeLimits!AL11*0.3/12, 0)</f>
        <v>991</v>
      </c>
      <c r="AA13" s="1149">
        <f>ROUNDDOWN(AVERAGE(IncomeLimits!AL11:'IncomeLimits'!AM11)*0.3/12, 0)</f>
        <v>1062</v>
      </c>
      <c r="AB13" s="1149">
        <f>ROUNDDOWN(IncomeLimits!AN11*0.3/12, 0)</f>
        <v>1275</v>
      </c>
      <c r="AC13" s="1149">
        <f>ROUNDDOWN(AVERAGE(IncomeLimits!AO11:'IncomeLimits'!AP11)*0.3/12,0)</f>
        <v>1473</v>
      </c>
      <c r="AD13" s="1149">
        <f>ROUNDDOWN(IncomeLimits!AQ11*0.3/12,0)</f>
        <v>1644</v>
      </c>
      <c r="AE13" s="89">
        <f>ROUNDDOWN(AVERAGE(IncomeLimits!AR11:'IncomeLimits'!AS11)*0.3/12,0)</f>
        <v>1813</v>
      </c>
      <c r="AF13" s="88">
        <f>ROUNDDOWN(IncomeLimits!AU11*0.3/12, 0)</f>
        <v>1156</v>
      </c>
      <c r="AG13" s="1149">
        <f>ROUNDDOWN(AVERAGE(IncomeLimits!AU11:'IncomeLimits'!AV11)*0.3/12, 0)</f>
        <v>1239</v>
      </c>
      <c r="AH13" s="1149">
        <f>ROUNDDOWN(IncomeLimits!AW11*0.3/12, 0)</f>
        <v>1487</v>
      </c>
      <c r="AI13" s="1149">
        <f>ROUNDDOWN(AVERAGE(IncomeLimits!AX11:'IncomeLimits'!AY11)*0.3/12,0)</f>
        <v>1718</v>
      </c>
      <c r="AJ13" s="1149">
        <f>ROUNDDOWN(IncomeLimits!AZ11*0.3/12,0)</f>
        <v>1918</v>
      </c>
      <c r="AK13" s="89">
        <f>ROUNDDOWN(AVERAGE(IncomeLimits!BA11:'IncomeLimits'!BB11)*0.3/12,0)</f>
        <v>2115</v>
      </c>
      <c r="AL13" s="78">
        <f>ROUNDDOWN(IncomeLimits!BD11*0.3/12, 0)</f>
        <v>1322</v>
      </c>
      <c r="AM13" s="1149">
        <f>ROUNDDOWN(AVERAGE(IncomeLimits!BD11:'IncomeLimits'!BE11)*0.3/12, 0)</f>
        <v>1417</v>
      </c>
      <c r="AN13" s="1149">
        <f>ROUNDDOWN(IncomeLimits!BF11*0.3/12, 0)</f>
        <v>1700</v>
      </c>
      <c r="AO13" s="1149">
        <f>ROUNDDOWN(AVERAGE(IncomeLimits!BG11:'IncomeLimits'!BH11)*0.3/12,0)</f>
        <v>1964</v>
      </c>
      <c r="AP13" s="1149">
        <f>ROUNDDOWN(IncomeLimits!BI11*0.3/12,0)</f>
        <v>2192</v>
      </c>
      <c r="AQ13" s="89">
        <f>ROUNDDOWN(AVERAGE(IncomeLimits!BJ11:'IncomeLimits'!BK11)*0.3/12,0)</f>
        <v>2418</v>
      </c>
    </row>
    <row r="14" spans="1:43">
      <c r="A14" s="90" t="s">
        <v>358</v>
      </c>
      <c r="B14" s="88">
        <f>ROUNDDOWN(IncomeLimits!B12*0.3/12, 0)</f>
        <v>348</v>
      </c>
      <c r="C14" s="1149">
        <f>ROUNDDOWN(AVERAGE(IncomeLimits!B12:C12)*0.3/12, 0)</f>
        <v>373</v>
      </c>
      <c r="D14" s="1149">
        <f>ROUNDDOWN(IncomeLimits!D12*0.3/12, 0)</f>
        <v>447</v>
      </c>
      <c r="E14" s="1149">
        <f>ROUNDDOWN(AVERAGE(IncomeLimits!E12:'IncomeLimits'!F12)*0.3/12,0)</f>
        <v>517</v>
      </c>
      <c r="F14" s="1149">
        <f>ROUNDDOWN(IncomeLimits!G12*0.3/12,0)</f>
        <v>577</v>
      </c>
      <c r="G14" s="79">
        <f>ROUNDDOWN(AVERAGE(IncomeLimits!H12:'IncomeLimits'!I12)*0.3/12,0)</f>
        <v>636</v>
      </c>
      <c r="H14" s="88">
        <f>ROUNDDOWN(IncomeLimits!K12*0.3/12, 0)</f>
        <v>522</v>
      </c>
      <c r="I14" s="1149">
        <f>ROUNDDOWN(AVERAGE(IncomeLimits!K12:'IncomeLimits'!L12)*0.3/12, 0)</f>
        <v>559</v>
      </c>
      <c r="J14" s="1149">
        <f>ROUNDDOWN(IncomeLimits!M12*0.3/12, 0)</f>
        <v>671</v>
      </c>
      <c r="K14" s="1149">
        <f>ROUNDDOWN(AVERAGE(IncomeLimits!N12:'IncomeLimits'!O12)*0.3/12,0)</f>
        <v>775</v>
      </c>
      <c r="L14" s="1149">
        <f>ROUNDDOWN(IncomeLimits!P12*0.3/12,0)</f>
        <v>865</v>
      </c>
      <c r="M14" s="89">
        <f>ROUNDDOWN(AVERAGE(IncomeLimits!Q12:'IncomeLimits'!R12)*0.3/12,0)</f>
        <v>954</v>
      </c>
      <c r="N14" s="78">
        <f>ROUNDDOWN(IncomeLimits!T12*0.3/12, 0)</f>
        <v>696</v>
      </c>
      <c r="O14" s="1149">
        <f>ROUNDDOWN(AVERAGE(IncomeLimits!T12:'IncomeLimits'!U12)*0.3/12, 0)</f>
        <v>746</v>
      </c>
      <c r="P14" s="1149">
        <f>ROUNDDOWN(IncomeLimits!V12*0.3/12, 0)</f>
        <v>895</v>
      </c>
      <c r="Q14" s="1149">
        <f>ROUNDDOWN(AVERAGE(IncomeLimits!W12:'IncomeLimits'!X12)*0.3/12,0)</f>
        <v>1034</v>
      </c>
      <c r="R14" s="1149">
        <f>ROUNDDOWN(IncomeLimits!Y12*0.3/12,0)</f>
        <v>1154</v>
      </c>
      <c r="S14" s="79">
        <f>ROUNDDOWN(AVERAGE(IncomeLimits!Z12:'IncomeLimits'!AA12)*0.3/12,0)</f>
        <v>1273</v>
      </c>
      <c r="T14" s="88">
        <f>ROUNDDOWN(IncomeLimits!AC12*0.3/12, 0)</f>
        <v>870</v>
      </c>
      <c r="U14" s="1149">
        <f>ROUNDDOWN(AVERAGE(IncomeLimits!AC12:'IncomeLimits'!AD12)*0.3/12, 0)</f>
        <v>932</v>
      </c>
      <c r="V14" s="1149">
        <f>ROUNDDOWN(IncomeLimits!AE12*0.3/12, 0)</f>
        <v>1118</v>
      </c>
      <c r="W14" s="1149">
        <f>ROUNDDOWN(AVERAGE(IncomeLimits!AF12:AG12)*0.3/12,0)</f>
        <v>1292</v>
      </c>
      <c r="X14" s="1149">
        <f>ROUNDDOWN(IncomeLimits!AH12*0.3/12,0)</f>
        <v>1442</v>
      </c>
      <c r="Y14" s="89">
        <f>ROUNDDOWN(AVERAGE(IncomeLimits!AI12:'IncomeLimits'!AJ12)*0.3/12,0)</f>
        <v>1591</v>
      </c>
      <c r="Z14" s="78">
        <f>ROUNDDOWN(IncomeLimits!AL12*0.3/12, 0)</f>
        <v>1044</v>
      </c>
      <c r="AA14" s="1149">
        <f>ROUNDDOWN(AVERAGE(IncomeLimits!AL12:'IncomeLimits'!AM12)*0.3/12, 0)</f>
        <v>1119</v>
      </c>
      <c r="AB14" s="1149">
        <f>ROUNDDOWN(IncomeLimits!AN12*0.3/12, 0)</f>
        <v>1342</v>
      </c>
      <c r="AC14" s="1149">
        <f>ROUNDDOWN(AVERAGE(IncomeLimits!AO12:'IncomeLimits'!AP12)*0.3/12,0)</f>
        <v>1551</v>
      </c>
      <c r="AD14" s="1149">
        <f>ROUNDDOWN(IncomeLimits!AQ12*0.3/12,0)</f>
        <v>1731</v>
      </c>
      <c r="AE14" s="89">
        <f>ROUNDDOWN(AVERAGE(IncomeLimits!AR12:'IncomeLimits'!AS12)*0.3/12,0)</f>
        <v>1909</v>
      </c>
      <c r="AF14" s="88">
        <f>ROUNDDOWN(IncomeLimits!AU12*0.3/12, 0)</f>
        <v>1218</v>
      </c>
      <c r="AG14" s="1149">
        <f>ROUNDDOWN(AVERAGE(IncomeLimits!AU12:'IncomeLimits'!AV12)*0.3/12, 0)</f>
        <v>1305</v>
      </c>
      <c r="AH14" s="1149">
        <f>ROUNDDOWN(IncomeLimits!AW12*0.3/12, 0)</f>
        <v>1566</v>
      </c>
      <c r="AI14" s="1149">
        <f>ROUNDDOWN(AVERAGE(IncomeLimits!AX12:'IncomeLimits'!AY12)*0.3/12,0)</f>
        <v>1809</v>
      </c>
      <c r="AJ14" s="1149">
        <f>ROUNDDOWN(IncomeLimits!AZ12*0.3/12,0)</f>
        <v>2019</v>
      </c>
      <c r="AK14" s="89">
        <f>ROUNDDOWN(AVERAGE(IncomeLimits!BA12:'IncomeLimits'!BB12)*0.3/12,0)</f>
        <v>2227</v>
      </c>
      <c r="AL14" s="78">
        <f>ROUNDDOWN(IncomeLimits!BD12*0.3/12, 0)</f>
        <v>1392</v>
      </c>
      <c r="AM14" s="1149">
        <f>ROUNDDOWN(AVERAGE(IncomeLimits!BD12:'IncomeLimits'!BE12)*0.3/12, 0)</f>
        <v>1492</v>
      </c>
      <c r="AN14" s="1149">
        <f>ROUNDDOWN(IncomeLimits!BF12*0.3/12, 0)</f>
        <v>1790</v>
      </c>
      <c r="AO14" s="1149">
        <f>ROUNDDOWN(AVERAGE(IncomeLimits!BG12:'IncomeLimits'!BH12)*0.3/12,0)</f>
        <v>2068</v>
      </c>
      <c r="AP14" s="1149">
        <f>ROUNDDOWN(IncomeLimits!BI12*0.3/12,0)</f>
        <v>2308</v>
      </c>
      <c r="AQ14" s="89">
        <f>ROUNDDOWN(AVERAGE(IncomeLimits!BJ12:'IncomeLimits'!BK12)*0.3/12,0)</f>
        <v>2546</v>
      </c>
    </row>
    <row r="15" spans="1:43">
      <c r="A15" s="90" t="s">
        <v>363</v>
      </c>
      <c r="B15" s="88">
        <f>ROUNDDOWN(IncomeLimits!B13*0.3/12, 0)</f>
        <v>335</v>
      </c>
      <c r="C15" s="1149">
        <f>ROUNDDOWN(AVERAGE(IncomeLimits!B13:C13)*0.3/12, 0)</f>
        <v>359</v>
      </c>
      <c r="D15" s="1149">
        <f>ROUNDDOWN(IncomeLimits!D13*0.3/12, 0)</f>
        <v>431</v>
      </c>
      <c r="E15" s="1149">
        <f>ROUNDDOWN(AVERAGE(IncomeLimits!E13:'IncomeLimits'!F13)*0.3/12,0)</f>
        <v>497</v>
      </c>
      <c r="F15" s="1149">
        <f>ROUNDDOWN(IncomeLimits!G13*0.3/12,0)</f>
        <v>555</v>
      </c>
      <c r="G15" s="79">
        <f>ROUNDDOWN(AVERAGE(IncomeLimits!H13:'IncomeLimits'!I13)*0.3/12,0)</f>
        <v>612</v>
      </c>
      <c r="H15" s="88">
        <f>ROUNDDOWN(IncomeLimits!K13*0.3/12, 0)</f>
        <v>502</v>
      </c>
      <c r="I15" s="1149">
        <f>ROUNDDOWN(AVERAGE(IncomeLimits!K13:'IncomeLimits'!L13)*0.3/12, 0)</f>
        <v>538</v>
      </c>
      <c r="J15" s="1149">
        <f>ROUNDDOWN(IncomeLimits!M13*0.3/12, 0)</f>
        <v>646</v>
      </c>
      <c r="K15" s="1149">
        <f>ROUNDDOWN(AVERAGE(IncomeLimits!N13:'IncomeLimits'!O13)*0.3/12,0)</f>
        <v>746</v>
      </c>
      <c r="L15" s="1149">
        <f>ROUNDDOWN(IncomeLimits!P13*0.3/12,0)</f>
        <v>833</v>
      </c>
      <c r="M15" s="89">
        <f>ROUNDDOWN(AVERAGE(IncomeLimits!Q13:'IncomeLimits'!R13)*0.3/12,0)</f>
        <v>919</v>
      </c>
      <c r="N15" s="78">
        <f>ROUNDDOWN(IncomeLimits!T13*0.3/12, 0)</f>
        <v>670</v>
      </c>
      <c r="O15" s="1149">
        <f>ROUNDDOWN(AVERAGE(IncomeLimits!T13:'IncomeLimits'!U13)*0.3/12, 0)</f>
        <v>718</v>
      </c>
      <c r="P15" s="1149">
        <f>ROUNDDOWN(IncomeLimits!V13*0.3/12, 0)</f>
        <v>862</v>
      </c>
      <c r="Q15" s="1149">
        <f>ROUNDDOWN(AVERAGE(IncomeLimits!W13:'IncomeLimits'!X13)*0.3/12,0)</f>
        <v>995</v>
      </c>
      <c r="R15" s="1149">
        <f>ROUNDDOWN(IncomeLimits!Y13*0.3/12,0)</f>
        <v>1111</v>
      </c>
      <c r="S15" s="79">
        <f>ROUNDDOWN(AVERAGE(IncomeLimits!Z13:'IncomeLimits'!AA13)*0.3/12,0)</f>
        <v>1225</v>
      </c>
      <c r="T15" s="88">
        <f>ROUNDDOWN(IncomeLimits!AC13*0.3/12, 0)</f>
        <v>837</v>
      </c>
      <c r="U15" s="1149">
        <f>ROUNDDOWN(AVERAGE(IncomeLimits!AC13:'IncomeLimits'!AD13)*0.3/12, 0)</f>
        <v>897</v>
      </c>
      <c r="V15" s="1149">
        <f>ROUNDDOWN(IncomeLimits!AE13*0.3/12, 0)</f>
        <v>1077</v>
      </c>
      <c r="W15" s="1149">
        <f>ROUNDDOWN(AVERAGE(IncomeLimits!AF13:AG13)*0.3/12,0)</f>
        <v>1244</v>
      </c>
      <c r="X15" s="1149">
        <f>ROUNDDOWN(IncomeLimits!AH13*0.3/12,0)</f>
        <v>1388</v>
      </c>
      <c r="Y15" s="89">
        <f>ROUNDDOWN(AVERAGE(IncomeLimits!AI13:'IncomeLimits'!AJ13)*0.3/12,0)</f>
        <v>1531</v>
      </c>
      <c r="Z15" s="78">
        <f>ROUNDDOWN(IncomeLimits!AL13*0.3/12, 0)</f>
        <v>1005</v>
      </c>
      <c r="AA15" s="1149">
        <f>ROUNDDOWN(AVERAGE(IncomeLimits!AL13:'IncomeLimits'!AM13)*0.3/12, 0)</f>
        <v>1077</v>
      </c>
      <c r="AB15" s="1149">
        <f>ROUNDDOWN(IncomeLimits!AN13*0.3/12, 0)</f>
        <v>1293</v>
      </c>
      <c r="AC15" s="1149">
        <f>ROUNDDOWN(AVERAGE(IncomeLimits!AO13:'IncomeLimits'!AP13)*0.3/12,0)</f>
        <v>1493</v>
      </c>
      <c r="AD15" s="1149">
        <f>ROUNDDOWN(IncomeLimits!AQ13*0.3/12,0)</f>
        <v>1666</v>
      </c>
      <c r="AE15" s="89">
        <f>ROUNDDOWN(AVERAGE(IncomeLimits!AR13:'IncomeLimits'!AS13)*0.3/12,0)</f>
        <v>1838</v>
      </c>
      <c r="AF15" s="88">
        <f>ROUNDDOWN(IncomeLimits!AU13*0.3/12, 0)</f>
        <v>1172</v>
      </c>
      <c r="AG15" s="1149">
        <f>ROUNDDOWN(AVERAGE(IncomeLimits!AU13:'IncomeLimits'!AV13)*0.3/12, 0)</f>
        <v>1256</v>
      </c>
      <c r="AH15" s="1149">
        <f>ROUNDDOWN(IncomeLimits!AW13*0.3/12, 0)</f>
        <v>1508</v>
      </c>
      <c r="AI15" s="1149">
        <f>ROUNDDOWN(AVERAGE(IncomeLimits!AX13:'IncomeLimits'!AY13)*0.3/12,0)</f>
        <v>1742</v>
      </c>
      <c r="AJ15" s="1149">
        <f>ROUNDDOWN(IncomeLimits!AZ13*0.3/12,0)</f>
        <v>1944</v>
      </c>
      <c r="AK15" s="89">
        <f>ROUNDDOWN(AVERAGE(IncomeLimits!BA13:'IncomeLimits'!BB13)*0.3/12,0)</f>
        <v>2144</v>
      </c>
      <c r="AL15" s="78">
        <f>ROUNDDOWN(IncomeLimits!BD13*0.3/12, 0)</f>
        <v>1340</v>
      </c>
      <c r="AM15" s="1149">
        <f>ROUNDDOWN(AVERAGE(IncomeLimits!BD13:'IncomeLimits'!BE13)*0.3/12, 0)</f>
        <v>1436</v>
      </c>
      <c r="AN15" s="1149">
        <f>ROUNDDOWN(IncomeLimits!BF13*0.3/12, 0)</f>
        <v>1724</v>
      </c>
      <c r="AO15" s="1149">
        <f>ROUNDDOWN(AVERAGE(IncomeLimits!BG13:'IncomeLimits'!BH13)*0.3/12,0)</f>
        <v>1991</v>
      </c>
      <c r="AP15" s="1149">
        <f>ROUNDDOWN(IncomeLimits!BI13*0.3/12,0)</f>
        <v>2222</v>
      </c>
      <c r="AQ15" s="89">
        <f>ROUNDDOWN(AVERAGE(IncomeLimits!BJ13:'IncomeLimits'!BK13)*0.3/12,0)</f>
        <v>2451</v>
      </c>
    </row>
    <row r="16" spans="1:43">
      <c r="A16" s="90" t="s">
        <v>404</v>
      </c>
      <c r="B16" s="88">
        <f>ROUNDDOWN(IncomeLimits!B14*0.3/12, 0)</f>
        <v>309</v>
      </c>
      <c r="C16" s="1149">
        <f>ROUNDDOWN(AVERAGE(IncomeLimits!B14:C14)*0.3/12, 0)</f>
        <v>331</v>
      </c>
      <c r="D16" s="1149">
        <f>ROUNDDOWN(IncomeLimits!D14*0.3/12, 0)</f>
        <v>397</v>
      </c>
      <c r="E16" s="1149">
        <f>ROUNDDOWN(AVERAGE(IncomeLimits!E14:'IncomeLimits'!F14)*0.3/12,0)</f>
        <v>459</v>
      </c>
      <c r="F16" s="1149">
        <f>ROUNDDOWN(IncomeLimits!G14*0.3/12,0)</f>
        <v>512</v>
      </c>
      <c r="G16" s="79">
        <f>ROUNDDOWN(AVERAGE(IncomeLimits!H14:'IncomeLimits'!I14)*0.3/12,0)</f>
        <v>565</v>
      </c>
      <c r="H16" s="88">
        <f>ROUNDDOWN(IncomeLimits!K14*0.3/12, 0)</f>
        <v>464</v>
      </c>
      <c r="I16" s="1149">
        <f>ROUNDDOWN(AVERAGE(IncomeLimits!K14:'IncomeLimits'!L14)*0.3/12, 0)</f>
        <v>497</v>
      </c>
      <c r="J16" s="1149">
        <f>ROUNDDOWN(IncomeLimits!M14*0.3/12, 0)</f>
        <v>596</v>
      </c>
      <c r="K16" s="1149">
        <f>ROUNDDOWN(AVERAGE(IncomeLimits!N14:'IncomeLimits'!O14)*0.3/12,0)</f>
        <v>688</v>
      </c>
      <c r="L16" s="1149">
        <f>ROUNDDOWN(IncomeLimits!P14*0.3/12,0)</f>
        <v>768</v>
      </c>
      <c r="M16" s="89">
        <f>ROUNDDOWN(AVERAGE(IncomeLimits!Q14:'IncomeLimits'!R14)*0.3/12,0)</f>
        <v>847</v>
      </c>
      <c r="N16" s="78">
        <f>ROUNDDOWN(IncomeLimits!T14*0.3/12, 0)</f>
        <v>619</v>
      </c>
      <c r="O16" s="1149">
        <f>ROUNDDOWN(AVERAGE(IncomeLimits!T14:'IncomeLimits'!U14)*0.3/12, 0)</f>
        <v>663</v>
      </c>
      <c r="P16" s="1149">
        <f>ROUNDDOWN(IncomeLimits!V14*0.3/12, 0)</f>
        <v>795</v>
      </c>
      <c r="Q16" s="1149">
        <f>ROUNDDOWN(AVERAGE(IncomeLimits!W14:'IncomeLimits'!X14)*0.3/12,0)</f>
        <v>918</v>
      </c>
      <c r="R16" s="1149">
        <f>ROUNDDOWN(IncomeLimits!Y14*0.3/12,0)</f>
        <v>1025</v>
      </c>
      <c r="S16" s="79">
        <f>ROUNDDOWN(AVERAGE(IncomeLimits!Z14:'IncomeLimits'!AA14)*0.3/12,0)</f>
        <v>1130</v>
      </c>
      <c r="T16" s="88">
        <f>ROUNDDOWN(IncomeLimits!AC14*0.3/12, 0)</f>
        <v>773</v>
      </c>
      <c r="U16" s="1149">
        <f>ROUNDDOWN(AVERAGE(IncomeLimits!AC14:'IncomeLimits'!AD14)*0.3/12, 0)</f>
        <v>828</v>
      </c>
      <c r="V16" s="1149">
        <f>ROUNDDOWN(IncomeLimits!AE14*0.3/12, 0)</f>
        <v>993</v>
      </c>
      <c r="W16" s="1149">
        <f>ROUNDDOWN(AVERAGE(IncomeLimits!AF14:AG14)*0.3/12,0)</f>
        <v>1148</v>
      </c>
      <c r="X16" s="1149">
        <f>ROUNDDOWN(IncomeLimits!AH14*0.3/12,0)</f>
        <v>1281</v>
      </c>
      <c r="Y16" s="89">
        <f>ROUNDDOWN(AVERAGE(IncomeLimits!AI14:'IncomeLimits'!AJ14)*0.3/12,0)</f>
        <v>1413</v>
      </c>
      <c r="Z16" s="78">
        <f>ROUNDDOWN(IncomeLimits!AL14*0.3/12, 0)</f>
        <v>928</v>
      </c>
      <c r="AA16" s="1149">
        <f>ROUNDDOWN(AVERAGE(IncomeLimits!AL14:'IncomeLimits'!AM14)*0.3/12, 0)</f>
        <v>994</v>
      </c>
      <c r="AB16" s="1149">
        <f>ROUNDDOWN(IncomeLimits!AN14*0.3/12, 0)</f>
        <v>1192</v>
      </c>
      <c r="AC16" s="1149">
        <f>ROUNDDOWN(AVERAGE(IncomeLimits!AO14:'IncomeLimits'!AP14)*0.3/12,0)</f>
        <v>1377</v>
      </c>
      <c r="AD16" s="1149">
        <f>ROUNDDOWN(IncomeLimits!AQ14*0.3/12,0)</f>
        <v>1537</v>
      </c>
      <c r="AE16" s="89">
        <f>ROUNDDOWN(AVERAGE(IncomeLimits!AR14:'IncomeLimits'!AS14)*0.3/12,0)</f>
        <v>1695</v>
      </c>
      <c r="AF16" s="88">
        <f>ROUNDDOWN(IncomeLimits!AU14*0.3/12, 0)</f>
        <v>1083</v>
      </c>
      <c r="AG16" s="1149">
        <f>ROUNDDOWN(AVERAGE(IncomeLimits!AU14:'IncomeLimits'!AV14)*0.3/12, 0)</f>
        <v>1160</v>
      </c>
      <c r="AH16" s="1149">
        <f>ROUNDDOWN(IncomeLimits!AW14*0.3/12, 0)</f>
        <v>1391</v>
      </c>
      <c r="AI16" s="1149">
        <f>ROUNDDOWN(AVERAGE(IncomeLimits!AX14:'IncomeLimits'!AY14)*0.3/12,0)</f>
        <v>1607</v>
      </c>
      <c r="AJ16" s="1149">
        <f>ROUNDDOWN(IncomeLimits!AZ14*0.3/12,0)</f>
        <v>1793</v>
      </c>
      <c r="AK16" s="89">
        <f>ROUNDDOWN(AVERAGE(IncomeLimits!BA14:'IncomeLimits'!BB14)*0.3/12,0)</f>
        <v>1978</v>
      </c>
      <c r="AL16" s="78">
        <f>ROUNDDOWN(IncomeLimits!BD14*0.3/12, 0)</f>
        <v>1238</v>
      </c>
      <c r="AM16" s="1149">
        <f>ROUNDDOWN(AVERAGE(IncomeLimits!BD14:'IncomeLimits'!BE14)*0.3/12, 0)</f>
        <v>1326</v>
      </c>
      <c r="AN16" s="1149">
        <f>ROUNDDOWN(IncomeLimits!BF14*0.3/12, 0)</f>
        <v>1590</v>
      </c>
      <c r="AO16" s="1149">
        <f>ROUNDDOWN(AVERAGE(IncomeLimits!BG14:'IncomeLimits'!BH14)*0.3/12,0)</f>
        <v>1837</v>
      </c>
      <c r="AP16" s="1149">
        <f>ROUNDDOWN(IncomeLimits!BI14*0.3/12,0)</f>
        <v>2050</v>
      </c>
      <c r="AQ16" s="89">
        <f>ROUNDDOWN(AVERAGE(IncomeLimits!BJ14:'IncomeLimits'!BK14)*0.3/12,0)</f>
        <v>2261</v>
      </c>
    </row>
    <row r="17" spans="1:43">
      <c r="A17" s="90" t="s">
        <v>367</v>
      </c>
      <c r="B17" s="88">
        <f>ROUNDDOWN(IncomeLimits!B15*0.3/12, 0)</f>
        <v>343</v>
      </c>
      <c r="C17" s="1149">
        <f>ROUNDDOWN(AVERAGE(IncomeLimits!B15:C15)*0.3/12, 0)</f>
        <v>367</v>
      </c>
      <c r="D17" s="1149">
        <f>ROUNDDOWN(IncomeLimits!D15*0.3/12, 0)</f>
        <v>441</v>
      </c>
      <c r="E17" s="1149">
        <f>ROUNDDOWN(AVERAGE(IncomeLimits!E15:'IncomeLimits'!F15)*0.3/12,0)</f>
        <v>509</v>
      </c>
      <c r="F17" s="1149">
        <f>ROUNDDOWN(IncomeLimits!G15*0.3/12,0)</f>
        <v>568</v>
      </c>
      <c r="G17" s="79">
        <f>ROUNDDOWN(AVERAGE(IncomeLimits!H15:'IncomeLimits'!I15)*0.3/12,0)</f>
        <v>627</v>
      </c>
      <c r="H17" s="88">
        <f>ROUNDDOWN(IncomeLimits!K15*0.3/12, 0)</f>
        <v>514</v>
      </c>
      <c r="I17" s="1149">
        <f>ROUNDDOWN(AVERAGE(IncomeLimits!K15:'IncomeLimits'!L15)*0.3/12, 0)</f>
        <v>551</v>
      </c>
      <c r="J17" s="1149">
        <f>ROUNDDOWN(IncomeLimits!M15*0.3/12, 0)</f>
        <v>661</v>
      </c>
      <c r="K17" s="1149">
        <f>ROUNDDOWN(AVERAGE(IncomeLimits!N15:'IncomeLimits'!O15)*0.3/12,0)</f>
        <v>764</v>
      </c>
      <c r="L17" s="1149">
        <f>ROUNDDOWN(IncomeLimits!P15*0.3/12,0)</f>
        <v>852</v>
      </c>
      <c r="M17" s="89">
        <f>ROUNDDOWN(AVERAGE(IncomeLimits!Q15:'IncomeLimits'!R15)*0.3/12,0)</f>
        <v>941</v>
      </c>
      <c r="N17" s="78">
        <f>ROUNDDOWN(IncomeLimits!T15*0.3/12, 0)</f>
        <v>686</v>
      </c>
      <c r="O17" s="1149">
        <f>ROUNDDOWN(AVERAGE(IncomeLimits!T15:'IncomeLimits'!U15)*0.3/12, 0)</f>
        <v>735</v>
      </c>
      <c r="P17" s="1149">
        <f>ROUNDDOWN(IncomeLimits!V15*0.3/12, 0)</f>
        <v>882</v>
      </c>
      <c r="Q17" s="1149">
        <f>ROUNDDOWN(AVERAGE(IncomeLimits!W15:'IncomeLimits'!X15)*0.3/12,0)</f>
        <v>1019</v>
      </c>
      <c r="R17" s="1149">
        <f>ROUNDDOWN(IncomeLimits!Y15*0.3/12,0)</f>
        <v>1137</v>
      </c>
      <c r="S17" s="79">
        <f>ROUNDDOWN(AVERAGE(IncomeLimits!Z15:'IncomeLimits'!AA15)*0.3/12,0)</f>
        <v>1255</v>
      </c>
      <c r="T17" s="88">
        <f>ROUNDDOWN(IncomeLimits!AC15*0.3/12, 0)</f>
        <v>857</v>
      </c>
      <c r="U17" s="1149">
        <f>ROUNDDOWN(AVERAGE(IncomeLimits!AC15:'IncomeLimits'!AD15)*0.3/12, 0)</f>
        <v>918</v>
      </c>
      <c r="V17" s="1149">
        <f>ROUNDDOWN(IncomeLimits!AE15*0.3/12, 0)</f>
        <v>1102</v>
      </c>
      <c r="W17" s="1149">
        <f>ROUNDDOWN(AVERAGE(IncomeLimits!AF15:AG15)*0.3/12,0)</f>
        <v>1274</v>
      </c>
      <c r="X17" s="1149">
        <f>ROUNDDOWN(IncomeLimits!AH15*0.3/12,0)</f>
        <v>1421</v>
      </c>
      <c r="Y17" s="89">
        <f>ROUNDDOWN(AVERAGE(IncomeLimits!AI15:'IncomeLimits'!AJ15)*0.3/12,0)</f>
        <v>1568</v>
      </c>
      <c r="Z17" s="78">
        <f>ROUNDDOWN(IncomeLimits!AL15*0.3/12, 0)</f>
        <v>1029</v>
      </c>
      <c r="AA17" s="1149">
        <f>ROUNDDOWN(AVERAGE(IncomeLimits!AL15:'IncomeLimits'!AM15)*0.3/12, 0)</f>
        <v>1102</v>
      </c>
      <c r="AB17" s="1149">
        <f>ROUNDDOWN(IncomeLimits!AN15*0.3/12, 0)</f>
        <v>1323</v>
      </c>
      <c r="AC17" s="1149">
        <f>ROUNDDOWN(AVERAGE(IncomeLimits!AO15:'IncomeLimits'!AP15)*0.3/12,0)</f>
        <v>1529</v>
      </c>
      <c r="AD17" s="1149">
        <f>ROUNDDOWN(IncomeLimits!AQ15*0.3/12,0)</f>
        <v>1705</v>
      </c>
      <c r="AE17" s="89">
        <f>ROUNDDOWN(AVERAGE(IncomeLimits!AR15:'IncomeLimits'!AS15)*0.3/12,0)</f>
        <v>1882</v>
      </c>
      <c r="AF17" s="88">
        <f>ROUNDDOWN(IncomeLimits!AU15*0.3/12, 0)</f>
        <v>1200</v>
      </c>
      <c r="AG17" s="1149">
        <f>ROUNDDOWN(AVERAGE(IncomeLimits!AU15:'IncomeLimits'!AV15)*0.3/12, 0)</f>
        <v>1286</v>
      </c>
      <c r="AH17" s="1149">
        <f>ROUNDDOWN(IncomeLimits!AW15*0.3/12, 0)</f>
        <v>1543</v>
      </c>
      <c r="AI17" s="1149">
        <f>ROUNDDOWN(AVERAGE(IncomeLimits!AX15:'IncomeLimits'!AY15)*0.3/12,0)</f>
        <v>1784</v>
      </c>
      <c r="AJ17" s="1149">
        <f>ROUNDDOWN(IncomeLimits!AZ15*0.3/12,0)</f>
        <v>1989</v>
      </c>
      <c r="AK17" s="89">
        <f>ROUNDDOWN(AVERAGE(IncomeLimits!BA15:'IncomeLimits'!BB15)*0.3/12,0)</f>
        <v>2196</v>
      </c>
      <c r="AL17" s="78">
        <f>ROUNDDOWN(IncomeLimits!BD15*0.3/12, 0)</f>
        <v>1372</v>
      </c>
      <c r="AM17" s="1149">
        <f>ROUNDDOWN(AVERAGE(IncomeLimits!BD15:'IncomeLimits'!BE15)*0.3/12, 0)</f>
        <v>1470</v>
      </c>
      <c r="AN17" s="1149">
        <f>ROUNDDOWN(IncomeLimits!BF15*0.3/12, 0)</f>
        <v>1764</v>
      </c>
      <c r="AO17" s="1149">
        <f>ROUNDDOWN(AVERAGE(IncomeLimits!BG15:'IncomeLimits'!BH15)*0.3/12,0)</f>
        <v>2039</v>
      </c>
      <c r="AP17" s="1149">
        <f>ROUNDDOWN(IncomeLimits!BI15*0.3/12,0)</f>
        <v>2274</v>
      </c>
      <c r="AQ17" s="89">
        <f>ROUNDDOWN(AVERAGE(IncomeLimits!BJ15:'IncomeLimits'!BK15)*0.3/12,0)</f>
        <v>2510</v>
      </c>
    </row>
    <row r="18" spans="1:43">
      <c r="A18" s="90" t="s">
        <v>409</v>
      </c>
      <c r="B18" s="88">
        <f>ROUNDDOWN(IncomeLimits!B16*0.3/12, 0)</f>
        <v>303</v>
      </c>
      <c r="C18" s="1149">
        <f>ROUNDDOWN(AVERAGE(IncomeLimits!B16:C16)*0.3/12, 0)</f>
        <v>325</v>
      </c>
      <c r="D18" s="1149">
        <f>ROUNDDOWN(IncomeLimits!D16*0.3/12, 0)</f>
        <v>390</v>
      </c>
      <c r="E18" s="1149">
        <f>ROUNDDOWN(AVERAGE(IncomeLimits!E16:'IncomeLimits'!F16)*0.3/12,0)</f>
        <v>450</v>
      </c>
      <c r="F18" s="1149">
        <f>ROUNDDOWN(IncomeLimits!G16*0.3/12,0)</f>
        <v>502</v>
      </c>
      <c r="G18" s="79">
        <f>ROUNDDOWN(AVERAGE(IncomeLimits!H16:'IncomeLimits'!I16)*0.3/12,0)</f>
        <v>554</v>
      </c>
      <c r="H18" s="88">
        <f>ROUNDDOWN(IncomeLimits!K16*0.3/12, 0)</f>
        <v>455</v>
      </c>
      <c r="I18" s="1149">
        <f>ROUNDDOWN(AVERAGE(IncomeLimits!K16:'IncomeLimits'!L16)*0.3/12, 0)</f>
        <v>487</v>
      </c>
      <c r="J18" s="1149">
        <f>ROUNDDOWN(IncomeLimits!M16*0.3/12, 0)</f>
        <v>585</v>
      </c>
      <c r="K18" s="1149">
        <f>ROUNDDOWN(AVERAGE(IncomeLimits!N16:'IncomeLimits'!O16)*0.3/12,0)</f>
        <v>675</v>
      </c>
      <c r="L18" s="1149">
        <f>ROUNDDOWN(IncomeLimits!P16*0.3/12,0)</f>
        <v>753</v>
      </c>
      <c r="M18" s="89">
        <f>ROUNDDOWN(AVERAGE(IncomeLimits!Q16:'IncomeLimits'!R16)*0.3/12,0)</f>
        <v>831</v>
      </c>
      <c r="N18" s="78">
        <f>ROUNDDOWN(IncomeLimits!T16*0.3/12, 0)</f>
        <v>607</v>
      </c>
      <c r="O18" s="1149">
        <f>ROUNDDOWN(AVERAGE(IncomeLimits!T16:'IncomeLimits'!U16)*0.3/12, 0)</f>
        <v>650</v>
      </c>
      <c r="P18" s="1149">
        <f>ROUNDDOWN(IncomeLimits!V16*0.3/12, 0)</f>
        <v>780</v>
      </c>
      <c r="Q18" s="1149">
        <f>ROUNDDOWN(AVERAGE(IncomeLimits!W16:'IncomeLimits'!X16)*0.3/12,0)</f>
        <v>901</v>
      </c>
      <c r="R18" s="1149">
        <f>ROUNDDOWN(IncomeLimits!Y16*0.3/12,0)</f>
        <v>1005</v>
      </c>
      <c r="S18" s="79">
        <f>ROUNDDOWN(AVERAGE(IncomeLimits!Z16:'IncomeLimits'!AA16)*0.3/12,0)</f>
        <v>1109</v>
      </c>
      <c r="T18" s="88">
        <f>ROUNDDOWN(IncomeLimits!AC16*0.3/12, 0)</f>
        <v>758</v>
      </c>
      <c r="U18" s="1149">
        <f>ROUNDDOWN(AVERAGE(IncomeLimits!AC16:'IncomeLimits'!AD16)*0.3/12, 0)</f>
        <v>812</v>
      </c>
      <c r="V18" s="1149">
        <f>ROUNDDOWN(IncomeLimits!AE16*0.3/12, 0)</f>
        <v>975</v>
      </c>
      <c r="W18" s="1149">
        <f>ROUNDDOWN(AVERAGE(IncomeLimits!AF16:AG16)*0.3/12,0)</f>
        <v>1126</v>
      </c>
      <c r="X18" s="1149">
        <f>ROUNDDOWN(IncomeLimits!AH16*0.3/12,0)</f>
        <v>1256</v>
      </c>
      <c r="Y18" s="89">
        <f>ROUNDDOWN(AVERAGE(IncomeLimits!AI16:'IncomeLimits'!AJ16)*0.3/12,0)</f>
        <v>1386</v>
      </c>
      <c r="Z18" s="78">
        <f>ROUNDDOWN(IncomeLimits!AL16*0.3/12, 0)</f>
        <v>910</v>
      </c>
      <c r="AA18" s="1149">
        <f>ROUNDDOWN(AVERAGE(IncomeLimits!AL16:'IncomeLimits'!AM16)*0.3/12, 0)</f>
        <v>975</v>
      </c>
      <c r="AB18" s="1149">
        <f>ROUNDDOWN(IncomeLimits!AN16*0.3/12, 0)</f>
        <v>1170</v>
      </c>
      <c r="AC18" s="1149">
        <f>ROUNDDOWN(AVERAGE(IncomeLimits!AO16:'IncomeLimits'!AP16)*0.3/12,0)</f>
        <v>1351</v>
      </c>
      <c r="AD18" s="1149">
        <f>ROUNDDOWN(IncomeLimits!AQ16*0.3/12,0)</f>
        <v>1507</v>
      </c>
      <c r="AE18" s="89">
        <f>ROUNDDOWN(AVERAGE(IncomeLimits!AR16:'IncomeLimits'!AS16)*0.3/12,0)</f>
        <v>1663</v>
      </c>
      <c r="AF18" s="88">
        <f>ROUNDDOWN(IncomeLimits!AU16*0.3/12, 0)</f>
        <v>1062</v>
      </c>
      <c r="AG18" s="1149">
        <f>ROUNDDOWN(AVERAGE(IncomeLimits!AU16:'IncomeLimits'!AV16)*0.3/12, 0)</f>
        <v>1137</v>
      </c>
      <c r="AH18" s="1149">
        <f>ROUNDDOWN(IncomeLimits!AW16*0.3/12, 0)</f>
        <v>1365</v>
      </c>
      <c r="AI18" s="1149">
        <f>ROUNDDOWN(AVERAGE(IncomeLimits!AX16:'IncomeLimits'!AY16)*0.3/12,0)</f>
        <v>1576</v>
      </c>
      <c r="AJ18" s="1149">
        <f>ROUNDDOWN(IncomeLimits!AZ16*0.3/12,0)</f>
        <v>1758</v>
      </c>
      <c r="AK18" s="89">
        <f>ROUNDDOWN(AVERAGE(IncomeLimits!BA16:'IncomeLimits'!BB16)*0.3/12,0)</f>
        <v>1940</v>
      </c>
      <c r="AL18" s="78">
        <f>ROUNDDOWN(IncomeLimits!BD16*0.3/12, 0)</f>
        <v>1214</v>
      </c>
      <c r="AM18" s="1149">
        <f>ROUNDDOWN(AVERAGE(IncomeLimits!BD16:'IncomeLimits'!BE16)*0.3/12, 0)</f>
        <v>1300</v>
      </c>
      <c r="AN18" s="1149">
        <f>ROUNDDOWN(IncomeLimits!BF16*0.3/12, 0)</f>
        <v>1560</v>
      </c>
      <c r="AO18" s="1149">
        <f>ROUNDDOWN(AVERAGE(IncomeLimits!BG16:'IncomeLimits'!BH16)*0.3/12,0)</f>
        <v>1802</v>
      </c>
      <c r="AP18" s="1149">
        <f>ROUNDDOWN(IncomeLimits!BI16*0.3/12,0)</f>
        <v>2010</v>
      </c>
      <c r="AQ18" s="89">
        <f>ROUNDDOWN(AVERAGE(IncomeLimits!BJ16:'IncomeLimits'!BK16)*0.3/12,0)</f>
        <v>2218</v>
      </c>
    </row>
    <row r="19" spans="1:43">
      <c r="A19" s="90" t="s">
        <v>372</v>
      </c>
      <c r="B19" s="88">
        <f>ROUNDDOWN(IncomeLimits!B17*0.3/12, 0)</f>
        <v>369</v>
      </c>
      <c r="C19" s="1149">
        <f>ROUNDDOWN(AVERAGE(IncomeLimits!B17:C17)*0.3/12, 0)</f>
        <v>395</v>
      </c>
      <c r="D19" s="1149">
        <f>ROUNDDOWN(IncomeLimits!D17*0.3/12, 0)</f>
        <v>474</v>
      </c>
      <c r="E19" s="1149">
        <f>ROUNDDOWN(AVERAGE(IncomeLimits!E17:'IncomeLimits'!F17)*0.3/12,0)</f>
        <v>547</v>
      </c>
      <c r="F19" s="1149">
        <f>ROUNDDOWN(IncomeLimits!G17*0.3/12,0)</f>
        <v>611</v>
      </c>
      <c r="G19" s="79">
        <f>ROUNDDOWN(AVERAGE(IncomeLimits!H17:'IncomeLimits'!I17)*0.3/12,0)</f>
        <v>674</v>
      </c>
      <c r="H19" s="88">
        <f>ROUNDDOWN(IncomeLimits!K17*0.3/12, 0)</f>
        <v>553</v>
      </c>
      <c r="I19" s="1149">
        <f>ROUNDDOWN(AVERAGE(IncomeLimits!K17:'IncomeLimits'!L17)*0.3/12, 0)</f>
        <v>592</v>
      </c>
      <c r="J19" s="1149">
        <f>ROUNDDOWN(IncomeLimits!M17*0.3/12, 0)</f>
        <v>711</v>
      </c>
      <c r="K19" s="1149">
        <f>ROUNDDOWN(AVERAGE(IncomeLimits!N17:'IncomeLimits'!O17)*0.3/12,0)</f>
        <v>821</v>
      </c>
      <c r="L19" s="1149">
        <f>ROUNDDOWN(IncomeLimits!P17*0.3/12,0)</f>
        <v>916</v>
      </c>
      <c r="M19" s="89">
        <f>ROUNDDOWN(AVERAGE(IncomeLimits!Q17:'IncomeLimits'!R17)*0.3/12,0)</f>
        <v>1011</v>
      </c>
      <c r="N19" s="78">
        <f>ROUNDDOWN(IncomeLimits!T17*0.3/12, 0)</f>
        <v>738</v>
      </c>
      <c r="O19" s="1149">
        <f>ROUNDDOWN(AVERAGE(IncomeLimits!T17:'IncomeLimits'!U17)*0.3/12, 0)</f>
        <v>790</v>
      </c>
      <c r="P19" s="1149">
        <f>ROUNDDOWN(IncomeLimits!V17*0.3/12, 0)</f>
        <v>948</v>
      </c>
      <c r="Q19" s="1149">
        <f>ROUNDDOWN(AVERAGE(IncomeLimits!W17:'IncomeLimits'!X17)*0.3/12,0)</f>
        <v>1095</v>
      </c>
      <c r="R19" s="1149">
        <f>ROUNDDOWN(IncomeLimits!Y17*0.3/12,0)</f>
        <v>1222</v>
      </c>
      <c r="S19" s="79">
        <f>ROUNDDOWN(AVERAGE(IncomeLimits!Z17:'IncomeLimits'!AA17)*0.3/12,0)</f>
        <v>1348</v>
      </c>
      <c r="T19" s="88">
        <f>ROUNDDOWN(IncomeLimits!AC17*0.3/12, 0)</f>
        <v>922</v>
      </c>
      <c r="U19" s="1149">
        <f>ROUNDDOWN(AVERAGE(IncomeLimits!AC17:'IncomeLimits'!AD17)*0.3/12, 0)</f>
        <v>988</v>
      </c>
      <c r="V19" s="1149">
        <f>ROUNDDOWN(IncomeLimits!AE17*0.3/12, 0)</f>
        <v>1185</v>
      </c>
      <c r="W19" s="1149">
        <f>ROUNDDOWN(AVERAGE(IncomeLimits!AF17:AG17)*0.3/12,0)</f>
        <v>1369</v>
      </c>
      <c r="X19" s="1149">
        <f>ROUNDDOWN(IncomeLimits!AH17*0.3/12,0)</f>
        <v>1527</v>
      </c>
      <c r="Y19" s="89">
        <f>ROUNDDOWN(AVERAGE(IncomeLimits!AI17:'IncomeLimits'!AJ17)*0.3/12,0)</f>
        <v>1685</v>
      </c>
      <c r="Z19" s="78">
        <f>ROUNDDOWN(IncomeLimits!AL17*0.3/12, 0)</f>
        <v>1107</v>
      </c>
      <c r="AA19" s="1149">
        <f>ROUNDDOWN(AVERAGE(IncomeLimits!AL17:'IncomeLimits'!AM17)*0.3/12, 0)</f>
        <v>1185</v>
      </c>
      <c r="AB19" s="1149">
        <f>ROUNDDOWN(IncomeLimits!AN17*0.3/12, 0)</f>
        <v>1422</v>
      </c>
      <c r="AC19" s="1149">
        <f>ROUNDDOWN(AVERAGE(IncomeLimits!AO17:'IncomeLimits'!AP17)*0.3/12,0)</f>
        <v>1643</v>
      </c>
      <c r="AD19" s="1149">
        <f>ROUNDDOWN(IncomeLimits!AQ17*0.3/12,0)</f>
        <v>1833</v>
      </c>
      <c r="AE19" s="89">
        <f>ROUNDDOWN(AVERAGE(IncomeLimits!AR17:'IncomeLimits'!AS17)*0.3/12,0)</f>
        <v>2022</v>
      </c>
      <c r="AF19" s="88">
        <f>ROUNDDOWN(IncomeLimits!AU17*0.3/12, 0)</f>
        <v>1291</v>
      </c>
      <c r="AG19" s="1149">
        <f>ROUNDDOWN(AVERAGE(IncomeLimits!AU17:'IncomeLimits'!AV17)*0.3/12, 0)</f>
        <v>1383</v>
      </c>
      <c r="AH19" s="1149">
        <f>ROUNDDOWN(IncomeLimits!AW17*0.3/12, 0)</f>
        <v>1659</v>
      </c>
      <c r="AI19" s="1149">
        <f>ROUNDDOWN(AVERAGE(IncomeLimits!AX17:'IncomeLimits'!AY17)*0.3/12,0)</f>
        <v>1917</v>
      </c>
      <c r="AJ19" s="1149">
        <f>ROUNDDOWN(IncomeLimits!AZ17*0.3/12,0)</f>
        <v>2138</v>
      </c>
      <c r="AK19" s="89">
        <f>ROUNDDOWN(AVERAGE(IncomeLimits!BA17:'IncomeLimits'!BB17)*0.3/12,0)</f>
        <v>2359</v>
      </c>
      <c r="AL19" s="78">
        <f>ROUNDDOWN(IncomeLimits!BD17*0.3/12, 0)</f>
        <v>1476</v>
      </c>
      <c r="AM19" s="1149">
        <f>ROUNDDOWN(AVERAGE(IncomeLimits!BD17:'IncomeLimits'!BE17)*0.3/12, 0)</f>
        <v>1581</v>
      </c>
      <c r="AN19" s="1149">
        <f>ROUNDDOWN(IncomeLimits!BF17*0.3/12, 0)</f>
        <v>1896</v>
      </c>
      <c r="AO19" s="1149">
        <f>ROUNDDOWN(AVERAGE(IncomeLimits!BG17:'IncomeLimits'!BH17)*0.3/12,0)</f>
        <v>2191</v>
      </c>
      <c r="AP19" s="1149">
        <f>ROUNDDOWN(IncomeLimits!BI17*0.3/12,0)</f>
        <v>2444</v>
      </c>
      <c r="AQ19" s="89">
        <f>ROUNDDOWN(AVERAGE(IncomeLimits!BJ17:'IncomeLimits'!BK17)*0.3/12,0)</f>
        <v>2696</v>
      </c>
    </row>
    <row r="20" spans="1:43">
      <c r="A20" s="90" t="s">
        <v>418</v>
      </c>
      <c r="B20" s="88">
        <f>ROUNDDOWN(IncomeLimits!B18*0.3/12, 0)</f>
        <v>351</v>
      </c>
      <c r="C20" s="1149">
        <f>ROUNDDOWN(AVERAGE(IncomeLimits!B18:C18)*0.3/12, 0)</f>
        <v>376</v>
      </c>
      <c r="D20" s="1149">
        <f>ROUNDDOWN(IncomeLimits!D18*0.3/12, 0)</f>
        <v>452</v>
      </c>
      <c r="E20" s="1149">
        <f>ROUNDDOWN(AVERAGE(IncomeLimits!E18:'IncomeLimits'!F18)*0.3/12,0)</f>
        <v>522</v>
      </c>
      <c r="F20" s="1149">
        <f>ROUNDDOWN(IncomeLimits!G18*0.3/12,0)</f>
        <v>582</v>
      </c>
      <c r="G20" s="79">
        <f>ROUNDDOWN(AVERAGE(IncomeLimits!H18:'IncomeLimits'!I18)*0.3/12,0)</f>
        <v>642</v>
      </c>
      <c r="H20" s="88">
        <f>ROUNDDOWN(IncomeLimits!K18*0.3/12, 0)</f>
        <v>527</v>
      </c>
      <c r="I20" s="1149">
        <f>ROUNDDOWN(AVERAGE(IncomeLimits!K18:'IncomeLimits'!L18)*0.3/12, 0)</f>
        <v>565</v>
      </c>
      <c r="J20" s="1149">
        <f>ROUNDDOWN(IncomeLimits!M18*0.3/12, 0)</f>
        <v>678</v>
      </c>
      <c r="K20" s="1149">
        <f>ROUNDDOWN(AVERAGE(IncomeLimits!N18:'IncomeLimits'!O18)*0.3/12,0)</f>
        <v>783</v>
      </c>
      <c r="L20" s="1149">
        <f>ROUNDDOWN(IncomeLimits!P18*0.3/12,0)</f>
        <v>873</v>
      </c>
      <c r="M20" s="89">
        <f>ROUNDDOWN(AVERAGE(IncomeLimits!Q18:'IncomeLimits'!R18)*0.3/12,0)</f>
        <v>964</v>
      </c>
      <c r="N20" s="78">
        <f>ROUNDDOWN(IncomeLimits!T18*0.3/12, 0)</f>
        <v>703</v>
      </c>
      <c r="O20" s="1149">
        <f>ROUNDDOWN(AVERAGE(IncomeLimits!T18:'IncomeLimits'!U18)*0.3/12, 0)</f>
        <v>753</v>
      </c>
      <c r="P20" s="1149">
        <f>ROUNDDOWN(IncomeLimits!V18*0.3/12, 0)</f>
        <v>904</v>
      </c>
      <c r="Q20" s="1149">
        <f>ROUNDDOWN(AVERAGE(IncomeLimits!W18:'IncomeLimits'!X18)*0.3/12,0)</f>
        <v>1044</v>
      </c>
      <c r="R20" s="1149">
        <f>ROUNDDOWN(IncomeLimits!Y18*0.3/12,0)</f>
        <v>1165</v>
      </c>
      <c r="S20" s="79">
        <f>ROUNDDOWN(AVERAGE(IncomeLimits!Z18:'IncomeLimits'!AA18)*0.3/12,0)</f>
        <v>1285</v>
      </c>
      <c r="T20" s="88">
        <f>ROUNDDOWN(IncomeLimits!AC18*0.3/12, 0)</f>
        <v>878</v>
      </c>
      <c r="U20" s="1149">
        <f>ROUNDDOWN(AVERAGE(IncomeLimits!AC18:'IncomeLimits'!AD18)*0.3/12, 0)</f>
        <v>941</v>
      </c>
      <c r="V20" s="1149">
        <f>ROUNDDOWN(IncomeLimits!AE18*0.3/12, 0)</f>
        <v>1130</v>
      </c>
      <c r="W20" s="1149">
        <f>ROUNDDOWN(AVERAGE(IncomeLimits!AF18:AG18)*0.3/12,0)</f>
        <v>1305</v>
      </c>
      <c r="X20" s="1149">
        <f>ROUNDDOWN(IncomeLimits!AH18*0.3/12,0)</f>
        <v>1456</v>
      </c>
      <c r="Y20" s="89">
        <f>ROUNDDOWN(AVERAGE(IncomeLimits!AI18:'IncomeLimits'!AJ18)*0.3/12,0)</f>
        <v>1606</v>
      </c>
      <c r="Z20" s="78">
        <f>ROUNDDOWN(IncomeLimits!AL18*0.3/12, 0)</f>
        <v>1054</v>
      </c>
      <c r="AA20" s="1149">
        <f>ROUNDDOWN(AVERAGE(IncomeLimits!AL18:'IncomeLimits'!AM18)*0.3/12, 0)</f>
        <v>1130</v>
      </c>
      <c r="AB20" s="1149">
        <f>ROUNDDOWN(IncomeLimits!AN18*0.3/12, 0)</f>
        <v>1356</v>
      </c>
      <c r="AC20" s="1149">
        <f>ROUNDDOWN(AVERAGE(IncomeLimits!AO18:'IncomeLimits'!AP18)*0.3/12,0)</f>
        <v>1566</v>
      </c>
      <c r="AD20" s="1149">
        <f>ROUNDDOWN(IncomeLimits!AQ18*0.3/12,0)</f>
        <v>1747</v>
      </c>
      <c r="AE20" s="89">
        <f>ROUNDDOWN(AVERAGE(IncomeLimits!AR18:'IncomeLimits'!AS18)*0.3/12,0)</f>
        <v>1928</v>
      </c>
      <c r="AF20" s="88">
        <f>ROUNDDOWN(IncomeLimits!AU18*0.3/12, 0)</f>
        <v>1230</v>
      </c>
      <c r="AG20" s="1149">
        <f>ROUNDDOWN(AVERAGE(IncomeLimits!AU18:'IncomeLimits'!AV18)*0.3/12, 0)</f>
        <v>1318</v>
      </c>
      <c r="AH20" s="1149">
        <f>ROUNDDOWN(IncomeLimits!AW18*0.3/12, 0)</f>
        <v>1582</v>
      </c>
      <c r="AI20" s="1149">
        <f>ROUNDDOWN(AVERAGE(IncomeLimits!AX18:'IncomeLimits'!AY18)*0.3/12,0)</f>
        <v>1827</v>
      </c>
      <c r="AJ20" s="1149">
        <f>ROUNDDOWN(IncomeLimits!AZ18*0.3/12,0)</f>
        <v>2038</v>
      </c>
      <c r="AK20" s="89">
        <f>ROUNDDOWN(AVERAGE(IncomeLimits!BA18:'IncomeLimits'!BB18)*0.3/12,0)</f>
        <v>2249</v>
      </c>
      <c r="AL20" s="78">
        <f>ROUNDDOWN(IncomeLimits!BD18*0.3/12, 0)</f>
        <v>1406</v>
      </c>
      <c r="AM20" s="1149">
        <f>ROUNDDOWN(AVERAGE(IncomeLimits!BD18:'IncomeLimits'!BE18)*0.3/12, 0)</f>
        <v>1507</v>
      </c>
      <c r="AN20" s="1149">
        <f>ROUNDDOWN(IncomeLimits!BF18*0.3/12, 0)</f>
        <v>1808</v>
      </c>
      <c r="AO20" s="1149">
        <f>ROUNDDOWN(AVERAGE(IncomeLimits!BG18:'IncomeLimits'!BH18)*0.3/12,0)</f>
        <v>2089</v>
      </c>
      <c r="AP20" s="1149">
        <f>ROUNDDOWN(IncomeLimits!BI18*0.3/12,0)</f>
        <v>2330</v>
      </c>
      <c r="AQ20" s="89">
        <f>ROUNDDOWN(AVERAGE(IncomeLimits!BJ18:'IncomeLimits'!BK18)*0.3/12,0)</f>
        <v>2571</v>
      </c>
    </row>
    <row r="21" spans="1:43">
      <c r="A21" s="90" t="s">
        <v>376</v>
      </c>
      <c r="B21" s="88">
        <f>ROUNDDOWN(IncomeLimits!B19*0.3/12, 0)</f>
        <v>342</v>
      </c>
      <c r="C21" s="1149">
        <f>ROUNDDOWN(AVERAGE(IncomeLimits!B19:C19)*0.3/12, 0)</f>
        <v>367</v>
      </c>
      <c r="D21" s="1149">
        <f>ROUNDDOWN(IncomeLimits!D19*0.3/12, 0)</f>
        <v>440</v>
      </c>
      <c r="E21" s="1149">
        <f>ROUNDDOWN(AVERAGE(IncomeLimits!E19:'IncomeLimits'!F19)*0.3/12,0)</f>
        <v>508</v>
      </c>
      <c r="F21" s="1149">
        <f>ROUNDDOWN(IncomeLimits!G19*0.3/12,0)</f>
        <v>567</v>
      </c>
      <c r="G21" s="79">
        <f>ROUNDDOWN(AVERAGE(IncomeLimits!H19:'IncomeLimits'!I19)*0.3/12,0)</f>
        <v>626</v>
      </c>
      <c r="H21" s="88">
        <f>ROUNDDOWN(IncomeLimits!K19*0.3/12, 0)</f>
        <v>513</v>
      </c>
      <c r="I21" s="1149">
        <f>ROUNDDOWN(AVERAGE(IncomeLimits!K19:'IncomeLimits'!L19)*0.3/12, 0)</f>
        <v>550</v>
      </c>
      <c r="J21" s="1149">
        <f>ROUNDDOWN(IncomeLimits!M19*0.3/12, 0)</f>
        <v>660</v>
      </c>
      <c r="K21" s="1149">
        <f>ROUNDDOWN(AVERAGE(IncomeLimits!N19:'IncomeLimits'!O19)*0.3/12,0)</f>
        <v>763</v>
      </c>
      <c r="L21" s="1149">
        <f>ROUNDDOWN(IncomeLimits!P19*0.3/12,0)</f>
        <v>851</v>
      </c>
      <c r="M21" s="89">
        <f>ROUNDDOWN(AVERAGE(IncomeLimits!Q19:'IncomeLimits'!R19)*0.3/12,0)</f>
        <v>939</v>
      </c>
      <c r="N21" s="78">
        <f>ROUNDDOWN(IncomeLimits!T19*0.3/12, 0)</f>
        <v>685</v>
      </c>
      <c r="O21" s="1149">
        <f>ROUNDDOWN(AVERAGE(IncomeLimits!T19:'IncomeLimits'!U19)*0.3/12, 0)</f>
        <v>734</v>
      </c>
      <c r="P21" s="1149">
        <f>ROUNDDOWN(IncomeLimits!V19*0.3/12, 0)</f>
        <v>881</v>
      </c>
      <c r="Q21" s="1149">
        <f>ROUNDDOWN(AVERAGE(IncomeLimits!W19:'IncomeLimits'!X19)*0.3/12,0)</f>
        <v>1017</v>
      </c>
      <c r="R21" s="1149">
        <f>ROUNDDOWN(IncomeLimits!Y19*0.3/12,0)</f>
        <v>1135</v>
      </c>
      <c r="S21" s="79">
        <f>ROUNDDOWN(AVERAGE(IncomeLimits!Z19:'IncomeLimits'!AA19)*0.3/12,0)</f>
        <v>1252</v>
      </c>
      <c r="T21" s="88">
        <f>ROUNDDOWN(IncomeLimits!AC19*0.3/12, 0)</f>
        <v>856</v>
      </c>
      <c r="U21" s="1149">
        <f>ROUNDDOWN(AVERAGE(IncomeLimits!AC19:'IncomeLimits'!AD19)*0.3/12, 0)</f>
        <v>917</v>
      </c>
      <c r="V21" s="1149">
        <f>ROUNDDOWN(IncomeLimits!AE19*0.3/12, 0)</f>
        <v>1101</v>
      </c>
      <c r="W21" s="1149">
        <f>ROUNDDOWN(AVERAGE(IncomeLimits!AF19:AG19)*0.3/12,0)</f>
        <v>1271</v>
      </c>
      <c r="X21" s="1149">
        <f>ROUNDDOWN(IncomeLimits!AH19*0.3/12,0)</f>
        <v>1418</v>
      </c>
      <c r="Y21" s="89">
        <f>ROUNDDOWN(AVERAGE(IncomeLimits!AI19:'IncomeLimits'!AJ19)*0.3/12,0)</f>
        <v>1565</v>
      </c>
      <c r="Z21" s="78">
        <f>ROUNDDOWN(IncomeLimits!AL19*0.3/12, 0)</f>
        <v>1027</v>
      </c>
      <c r="AA21" s="1149">
        <f>ROUNDDOWN(AVERAGE(IncomeLimits!AL19:'IncomeLimits'!AM19)*0.3/12, 0)</f>
        <v>1101</v>
      </c>
      <c r="AB21" s="1149">
        <f>ROUNDDOWN(IncomeLimits!AN19*0.3/12, 0)</f>
        <v>1321</v>
      </c>
      <c r="AC21" s="1149">
        <f>ROUNDDOWN(AVERAGE(IncomeLimits!AO19:'IncomeLimits'!AP19)*0.3/12,0)</f>
        <v>1526</v>
      </c>
      <c r="AD21" s="1149">
        <f>ROUNDDOWN(IncomeLimits!AQ19*0.3/12,0)</f>
        <v>1702</v>
      </c>
      <c r="AE21" s="89">
        <f>ROUNDDOWN(AVERAGE(IncomeLimits!AR19:'IncomeLimits'!AS19)*0.3/12,0)</f>
        <v>1878</v>
      </c>
      <c r="AF21" s="88">
        <f>ROUNDDOWN(IncomeLimits!AU19*0.3/12, 0)</f>
        <v>1198</v>
      </c>
      <c r="AG21" s="1149">
        <f>ROUNDDOWN(AVERAGE(IncomeLimits!AU19:'IncomeLimits'!AV19)*0.3/12, 0)</f>
        <v>1284</v>
      </c>
      <c r="AH21" s="1149">
        <f>ROUNDDOWN(IncomeLimits!AW19*0.3/12, 0)</f>
        <v>1541</v>
      </c>
      <c r="AI21" s="1149">
        <f>ROUNDDOWN(AVERAGE(IncomeLimits!AX19:'IncomeLimits'!AY19)*0.3/12,0)</f>
        <v>1780</v>
      </c>
      <c r="AJ21" s="1149">
        <f>ROUNDDOWN(IncomeLimits!AZ19*0.3/12,0)</f>
        <v>1986</v>
      </c>
      <c r="AK21" s="89">
        <f>ROUNDDOWN(AVERAGE(IncomeLimits!BA19:'IncomeLimits'!BB19)*0.3/12,0)</f>
        <v>2191</v>
      </c>
      <c r="AL21" s="78">
        <f>ROUNDDOWN(IncomeLimits!BD19*0.3/12, 0)</f>
        <v>1370</v>
      </c>
      <c r="AM21" s="1149">
        <f>ROUNDDOWN(AVERAGE(IncomeLimits!BD19:'IncomeLimits'!BE19)*0.3/12, 0)</f>
        <v>1468</v>
      </c>
      <c r="AN21" s="1149">
        <f>ROUNDDOWN(IncomeLimits!BF19*0.3/12, 0)</f>
        <v>1762</v>
      </c>
      <c r="AO21" s="1149">
        <f>ROUNDDOWN(AVERAGE(IncomeLimits!BG19:'IncomeLimits'!BH19)*0.3/12,0)</f>
        <v>2035</v>
      </c>
      <c r="AP21" s="1149">
        <f>ROUNDDOWN(IncomeLimits!BI19*0.3/12,0)</f>
        <v>2270</v>
      </c>
      <c r="AQ21" s="89">
        <f>ROUNDDOWN(AVERAGE(IncomeLimits!BJ19:'IncomeLimits'!BK19)*0.3/12,0)</f>
        <v>2504</v>
      </c>
    </row>
    <row r="22" spans="1:43">
      <c r="A22" s="90" t="s">
        <v>423</v>
      </c>
      <c r="B22" s="88">
        <f>ROUNDDOWN(IncomeLimits!B20*0.3/12, 0)</f>
        <v>343</v>
      </c>
      <c r="C22" s="1149">
        <f>ROUNDDOWN(AVERAGE(IncomeLimits!B20:C20)*0.3/12, 0)</f>
        <v>367</v>
      </c>
      <c r="D22" s="1149">
        <f>ROUNDDOWN(IncomeLimits!D20*0.3/12, 0)</f>
        <v>441</v>
      </c>
      <c r="E22" s="1149">
        <f>ROUNDDOWN(AVERAGE(IncomeLimits!E20:'IncomeLimits'!F20)*0.3/12,0)</f>
        <v>509</v>
      </c>
      <c r="F22" s="1149">
        <f>ROUNDDOWN(IncomeLimits!G20*0.3/12,0)</f>
        <v>568</v>
      </c>
      <c r="G22" s="79">
        <f>ROUNDDOWN(AVERAGE(IncomeLimits!H20:'IncomeLimits'!I20)*0.3/12,0)</f>
        <v>627</v>
      </c>
      <c r="H22" s="88">
        <f>ROUNDDOWN(IncomeLimits!K20*0.3/12, 0)</f>
        <v>514</v>
      </c>
      <c r="I22" s="1149">
        <f>ROUNDDOWN(AVERAGE(IncomeLimits!K20:'IncomeLimits'!L20)*0.3/12, 0)</f>
        <v>551</v>
      </c>
      <c r="J22" s="1149">
        <f>ROUNDDOWN(IncomeLimits!M20*0.3/12, 0)</f>
        <v>661</v>
      </c>
      <c r="K22" s="1149">
        <f>ROUNDDOWN(AVERAGE(IncomeLimits!N20:'IncomeLimits'!O20)*0.3/12,0)</f>
        <v>764</v>
      </c>
      <c r="L22" s="1149">
        <f>ROUNDDOWN(IncomeLimits!P20*0.3/12,0)</f>
        <v>852</v>
      </c>
      <c r="M22" s="89">
        <f>ROUNDDOWN(AVERAGE(IncomeLimits!Q20:'IncomeLimits'!R20)*0.3/12,0)</f>
        <v>941</v>
      </c>
      <c r="N22" s="78">
        <f>ROUNDDOWN(IncomeLimits!T20*0.3/12, 0)</f>
        <v>686</v>
      </c>
      <c r="O22" s="1149">
        <f>ROUNDDOWN(AVERAGE(IncomeLimits!T20:'IncomeLimits'!U20)*0.3/12, 0)</f>
        <v>735</v>
      </c>
      <c r="P22" s="1149">
        <f>ROUNDDOWN(IncomeLimits!V20*0.3/12, 0)</f>
        <v>882</v>
      </c>
      <c r="Q22" s="1149">
        <f>ROUNDDOWN(AVERAGE(IncomeLimits!W20:'IncomeLimits'!X20)*0.3/12,0)</f>
        <v>1019</v>
      </c>
      <c r="R22" s="1149">
        <f>ROUNDDOWN(IncomeLimits!Y20*0.3/12,0)</f>
        <v>1137</v>
      </c>
      <c r="S22" s="79">
        <f>ROUNDDOWN(AVERAGE(IncomeLimits!Z20:'IncomeLimits'!AA20)*0.3/12,0)</f>
        <v>1255</v>
      </c>
      <c r="T22" s="88">
        <f>ROUNDDOWN(IncomeLimits!AC20*0.3/12, 0)</f>
        <v>857</v>
      </c>
      <c r="U22" s="1149">
        <f>ROUNDDOWN(AVERAGE(IncomeLimits!AC20:'IncomeLimits'!AD20)*0.3/12, 0)</f>
        <v>918</v>
      </c>
      <c r="V22" s="1149">
        <f>ROUNDDOWN(IncomeLimits!AE20*0.3/12, 0)</f>
        <v>1102</v>
      </c>
      <c r="W22" s="1149">
        <f>ROUNDDOWN(AVERAGE(IncomeLimits!AF20:AG20)*0.3/12,0)</f>
        <v>1274</v>
      </c>
      <c r="X22" s="1149">
        <f>ROUNDDOWN(IncomeLimits!AH20*0.3/12,0)</f>
        <v>1421</v>
      </c>
      <c r="Y22" s="89">
        <f>ROUNDDOWN(AVERAGE(IncomeLimits!AI20:'IncomeLimits'!AJ20)*0.3/12,0)</f>
        <v>1568</v>
      </c>
      <c r="Z22" s="78">
        <f>ROUNDDOWN(IncomeLimits!AL20*0.3/12, 0)</f>
        <v>1029</v>
      </c>
      <c r="AA22" s="1149">
        <f>ROUNDDOWN(AVERAGE(IncomeLimits!AL20:'IncomeLimits'!AM20)*0.3/12, 0)</f>
        <v>1102</v>
      </c>
      <c r="AB22" s="1149">
        <f>ROUNDDOWN(IncomeLimits!AN20*0.3/12, 0)</f>
        <v>1323</v>
      </c>
      <c r="AC22" s="1149">
        <f>ROUNDDOWN(AVERAGE(IncomeLimits!AO20:'IncomeLimits'!AP20)*0.3/12,0)</f>
        <v>1529</v>
      </c>
      <c r="AD22" s="1149">
        <f>ROUNDDOWN(IncomeLimits!AQ20*0.3/12,0)</f>
        <v>1705</v>
      </c>
      <c r="AE22" s="89">
        <f>ROUNDDOWN(AVERAGE(IncomeLimits!AR20:'IncomeLimits'!AS20)*0.3/12,0)</f>
        <v>1882</v>
      </c>
      <c r="AF22" s="88">
        <f>ROUNDDOWN(IncomeLimits!AU20*0.3/12, 0)</f>
        <v>1200</v>
      </c>
      <c r="AG22" s="1149">
        <f>ROUNDDOWN(AVERAGE(IncomeLimits!AU20:'IncomeLimits'!AV20)*0.3/12, 0)</f>
        <v>1286</v>
      </c>
      <c r="AH22" s="1149">
        <f>ROUNDDOWN(IncomeLimits!AW20*0.3/12, 0)</f>
        <v>1543</v>
      </c>
      <c r="AI22" s="1149">
        <f>ROUNDDOWN(AVERAGE(IncomeLimits!AX20:'IncomeLimits'!AY20)*0.3/12,0)</f>
        <v>1784</v>
      </c>
      <c r="AJ22" s="1149">
        <f>ROUNDDOWN(IncomeLimits!AZ20*0.3/12,0)</f>
        <v>1989</v>
      </c>
      <c r="AK22" s="89">
        <f>ROUNDDOWN(AVERAGE(IncomeLimits!BA20:'IncomeLimits'!BB20)*0.3/12,0)</f>
        <v>2196</v>
      </c>
      <c r="AL22" s="78">
        <f>ROUNDDOWN(IncomeLimits!BD20*0.3/12, 0)</f>
        <v>1372</v>
      </c>
      <c r="AM22" s="1149">
        <f>ROUNDDOWN(AVERAGE(IncomeLimits!BD20:'IncomeLimits'!BE20)*0.3/12, 0)</f>
        <v>1470</v>
      </c>
      <c r="AN22" s="1149">
        <f>ROUNDDOWN(IncomeLimits!BF20*0.3/12, 0)</f>
        <v>1764</v>
      </c>
      <c r="AO22" s="1149">
        <f>ROUNDDOWN(AVERAGE(IncomeLimits!BG20:'IncomeLimits'!BH20)*0.3/12,0)</f>
        <v>2039</v>
      </c>
      <c r="AP22" s="1149">
        <f>ROUNDDOWN(IncomeLimits!BI20*0.3/12,0)</f>
        <v>2274</v>
      </c>
      <c r="AQ22" s="89">
        <f>ROUNDDOWN(AVERAGE(IncomeLimits!BJ20:'IncomeLimits'!BK20)*0.3/12,0)</f>
        <v>2510</v>
      </c>
    </row>
    <row r="23" spans="1:43">
      <c r="A23" s="90" t="s">
        <v>380</v>
      </c>
      <c r="B23" s="88">
        <f>ROUNDDOWN(IncomeLimits!B21*0.3/12, 0)</f>
        <v>344</v>
      </c>
      <c r="C23" s="1149">
        <f>ROUNDDOWN(AVERAGE(IncomeLimits!B21:C21)*0.3/12, 0)</f>
        <v>369</v>
      </c>
      <c r="D23" s="1149">
        <f>ROUNDDOWN(IncomeLimits!D21*0.3/12, 0)</f>
        <v>443</v>
      </c>
      <c r="E23" s="1149">
        <f>ROUNDDOWN(AVERAGE(IncomeLimits!E21:'IncomeLimits'!F21)*0.3/12,0)</f>
        <v>511</v>
      </c>
      <c r="F23" s="1149">
        <f>ROUNDDOWN(IncomeLimits!G21*0.3/12,0)</f>
        <v>571</v>
      </c>
      <c r="G23" s="79">
        <f>ROUNDDOWN(AVERAGE(IncomeLimits!H21:'IncomeLimits'!I21)*0.3/12,0)</f>
        <v>630</v>
      </c>
      <c r="H23" s="88">
        <f>ROUNDDOWN(IncomeLimits!K21*0.3/12, 0)</f>
        <v>516</v>
      </c>
      <c r="I23" s="1149">
        <f>ROUNDDOWN(AVERAGE(IncomeLimits!K21:'IncomeLimits'!L21)*0.3/12, 0)</f>
        <v>553</v>
      </c>
      <c r="J23" s="1149">
        <f>ROUNDDOWN(IncomeLimits!M21*0.3/12, 0)</f>
        <v>664</v>
      </c>
      <c r="K23" s="1149">
        <f>ROUNDDOWN(AVERAGE(IncomeLimits!N21:'IncomeLimits'!O21)*0.3/12,0)</f>
        <v>767</v>
      </c>
      <c r="L23" s="1149">
        <f>ROUNDDOWN(IncomeLimits!P21*0.3/12,0)</f>
        <v>856</v>
      </c>
      <c r="M23" s="89">
        <f>ROUNDDOWN(AVERAGE(IncomeLimits!Q21:'IncomeLimits'!R21)*0.3/12,0)</f>
        <v>945</v>
      </c>
      <c r="N23" s="78">
        <f>ROUNDDOWN(IncomeLimits!T21*0.3/12, 0)</f>
        <v>689</v>
      </c>
      <c r="O23" s="1149">
        <f>ROUNDDOWN(AVERAGE(IncomeLimits!T21:'IncomeLimits'!U21)*0.3/12, 0)</f>
        <v>738</v>
      </c>
      <c r="P23" s="1149">
        <f>ROUNDDOWN(IncomeLimits!V21*0.3/12, 0)</f>
        <v>886</v>
      </c>
      <c r="Q23" s="1149">
        <f>ROUNDDOWN(AVERAGE(IncomeLimits!W21:'IncomeLimits'!X21)*0.3/12,0)</f>
        <v>1023</v>
      </c>
      <c r="R23" s="1149">
        <f>ROUNDDOWN(IncomeLimits!Y21*0.3/12,0)</f>
        <v>1142</v>
      </c>
      <c r="S23" s="79">
        <f>ROUNDDOWN(AVERAGE(IncomeLimits!Z21:'IncomeLimits'!AA21)*0.3/12,0)</f>
        <v>1260</v>
      </c>
      <c r="T23" s="88">
        <f>ROUNDDOWN(IncomeLimits!AC21*0.3/12, 0)</f>
        <v>861</v>
      </c>
      <c r="U23" s="1149">
        <f>ROUNDDOWN(AVERAGE(IncomeLimits!AC21:'IncomeLimits'!AD21)*0.3/12, 0)</f>
        <v>923</v>
      </c>
      <c r="V23" s="1149">
        <f>ROUNDDOWN(IncomeLimits!AE21*0.3/12, 0)</f>
        <v>1107</v>
      </c>
      <c r="W23" s="1149">
        <f>ROUNDDOWN(AVERAGE(IncomeLimits!AF21:AG21)*0.3/12,0)</f>
        <v>1279</v>
      </c>
      <c r="X23" s="1149">
        <f>ROUNDDOWN(IncomeLimits!AH21*0.3/12,0)</f>
        <v>1427</v>
      </c>
      <c r="Y23" s="89">
        <f>ROUNDDOWN(AVERAGE(IncomeLimits!AI21:'IncomeLimits'!AJ21)*0.3/12,0)</f>
        <v>1575</v>
      </c>
      <c r="Z23" s="78">
        <f>ROUNDDOWN(IncomeLimits!AL21*0.3/12, 0)</f>
        <v>1033</v>
      </c>
      <c r="AA23" s="1149">
        <f>ROUNDDOWN(AVERAGE(IncomeLimits!AL21:'IncomeLimits'!AM21)*0.3/12, 0)</f>
        <v>1107</v>
      </c>
      <c r="AB23" s="1149">
        <f>ROUNDDOWN(IncomeLimits!AN21*0.3/12, 0)</f>
        <v>1329</v>
      </c>
      <c r="AC23" s="1149">
        <f>ROUNDDOWN(AVERAGE(IncomeLimits!AO21:'IncomeLimits'!AP21)*0.3/12,0)</f>
        <v>1535</v>
      </c>
      <c r="AD23" s="1149">
        <f>ROUNDDOWN(IncomeLimits!AQ21*0.3/12,0)</f>
        <v>1713</v>
      </c>
      <c r="AE23" s="89">
        <f>ROUNDDOWN(AVERAGE(IncomeLimits!AR21:'IncomeLimits'!AS21)*0.3/12,0)</f>
        <v>1890</v>
      </c>
      <c r="AF23" s="88">
        <f>ROUNDDOWN(IncomeLimits!AU21*0.3/12, 0)</f>
        <v>1205</v>
      </c>
      <c r="AG23" s="1149">
        <f>ROUNDDOWN(AVERAGE(IncomeLimits!AU21:'IncomeLimits'!AV21)*0.3/12, 0)</f>
        <v>1292</v>
      </c>
      <c r="AH23" s="1149">
        <f>ROUNDDOWN(IncomeLimits!AW21*0.3/12, 0)</f>
        <v>1550</v>
      </c>
      <c r="AI23" s="1149">
        <f>ROUNDDOWN(AVERAGE(IncomeLimits!AX21:'IncomeLimits'!AY21)*0.3/12,0)</f>
        <v>1791</v>
      </c>
      <c r="AJ23" s="1149">
        <f>ROUNDDOWN(IncomeLimits!AZ21*0.3/12,0)</f>
        <v>1998</v>
      </c>
      <c r="AK23" s="89">
        <f>ROUNDDOWN(AVERAGE(IncomeLimits!BA21:'IncomeLimits'!BB21)*0.3/12,0)</f>
        <v>2205</v>
      </c>
      <c r="AL23" s="78">
        <f>ROUNDDOWN(IncomeLimits!BD21*0.3/12, 0)</f>
        <v>1378</v>
      </c>
      <c r="AM23" s="1149">
        <f>ROUNDDOWN(AVERAGE(IncomeLimits!BD21:'IncomeLimits'!BE21)*0.3/12, 0)</f>
        <v>1477</v>
      </c>
      <c r="AN23" s="1149">
        <f>ROUNDDOWN(IncomeLimits!BF21*0.3/12, 0)</f>
        <v>1772</v>
      </c>
      <c r="AO23" s="1149">
        <f>ROUNDDOWN(AVERAGE(IncomeLimits!BG21:'IncomeLimits'!BH21)*0.3/12,0)</f>
        <v>2047</v>
      </c>
      <c r="AP23" s="1149">
        <f>ROUNDDOWN(IncomeLimits!BI21*0.3/12,0)</f>
        <v>2284</v>
      </c>
      <c r="AQ23" s="89">
        <f>ROUNDDOWN(AVERAGE(IncomeLimits!BJ21:'IncomeLimits'!BK21)*0.3/12,0)</f>
        <v>2520</v>
      </c>
    </row>
    <row r="24" spans="1:43">
      <c r="A24" s="90" t="s">
        <v>430</v>
      </c>
      <c r="B24" s="88">
        <f>ROUNDDOWN(IncomeLimits!B22*0.3/12, 0)</f>
        <v>317</v>
      </c>
      <c r="C24" s="1149">
        <f>ROUNDDOWN(AVERAGE(IncomeLimits!B22:C22)*0.3/12, 0)</f>
        <v>340</v>
      </c>
      <c r="D24" s="1149">
        <f>ROUNDDOWN(IncomeLimits!D22*0.3/12, 0)</f>
        <v>408</v>
      </c>
      <c r="E24" s="1149">
        <f>ROUNDDOWN(AVERAGE(IncomeLimits!E22:'IncomeLimits'!F22)*0.3/12,0)</f>
        <v>471</v>
      </c>
      <c r="F24" s="1149">
        <f>ROUNDDOWN(IncomeLimits!G22*0.3/12,0)</f>
        <v>525</v>
      </c>
      <c r="G24" s="79">
        <f>ROUNDDOWN(AVERAGE(IncomeLimits!H22:'IncomeLimits'!I22)*0.3/12,0)</f>
        <v>580</v>
      </c>
      <c r="H24" s="88">
        <f>ROUNDDOWN(IncomeLimits!K22*0.3/12, 0)</f>
        <v>476</v>
      </c>
      <c r="I24" s="1149">
        <f>ROUNDDOWN(AVERAGE(IncomeLimits!K22:'IncomeLimits'!L22)*0.3/12, 0)</f>
        <v>510</v>
      </c>
      <c r="J24" s="1149">
        <f>ROUNDDOWN(IncomeLimits!M22*0.3/12, 0)</f>
        <v>612</v>
      </c>
      <c r="K24" s="1149">
        <f>ROUNDDOWN(AVERAGE(IncomeLimits!N22:'IncomeLimits'!O22)*0.3/12,0)</f>
        <v>706</v>
      </c>
      <c r="L24" s="1149">
        <f>ROUNDDOWN(IncomeLimits!P22*0.3/12,0)</f>
        <v>788</v>
      </c>
      <c r="M24" s="89">
        <f>ROUNDDOWN(AVERAGE(IncomeLimits!Q22:'IncomeLimits'!R22)*0.3/12,0)</f>
        <v>870</v>
      </c>
      <c r="N24" s="78">
        <f>ROUNDDOWN(IncomeLimits!T22*0.3/12, 0)</f>
        <v>635</v>
      </c>
      <c r="O24" s="1149">
        <f>ROUNDDOWN(AVERAGE(IncomeLimits!T22:'IncomeLimits'!U22)*0.3/12, 0)</f>
        <v>680</v>
      </c>
      <c r="P24" s="1149">
        <f>ROUNDDOWN(IncomeLimits!V22*0.3/12, 0)</f>
        <v>816</v>
      </c>
      <c r="Q24" s="1149">
        <f>ROUNDDOWN(AVERAGE(IncomeLimits!W22:'IncomeLimits'!X22)*0.3/12,0)</f>
        <v>942</v>
      </c>
      <c r="R24" s="1149">
        <f>ROUNDDOWN(IncomeLimits!Y22*0.3/12,0)</f>
        <v>1051</v>
      </c>
      <c r="S24" s="79">
        <f>ROUNDDOWN(AVERAGE(IncomeLimits!Z22:'IncomeLimits'!AA22)*0.3/12,0)</f>
        <v>1160</v>
      </c>
      <c r="T24" s="88">
        <f>ROUNDDOWN(IncomeLimits!AC22*0.3/12, 0)</f>
        <v>793</v>
      </c>
      <c r="U24" s="1149">
        <f>ROUNDDOWN(AVERAGE(IncomeLimits!AC22:'IncomeLimits'!AD22)*0.3/12, 0)</f>
        <v>850</v>
      </c>
      <c r="V24" s="1149">
        <f>ROUNDDOWN(IncomeLimits!AE22*0.3/12, 0)</f>
        <v>1020</v>
      </c>
      <c r="W24" s="1149">
        <f>ROUNDDOWN(AVERAGE(IncomeLimits!AF22:AG22)*0.3/12,0)</f>
        <v>1178</v>
      </c>
      <c r="X24" s="1149">
        <f>ROUNDDOWN(IncomeLimits!AH22*0.3/12,0)</f>
        <v>1313</v>
      </c>
      <c r="Y24" s="89">
        <f>ROUNDDOWN(AVERAGE(IncomeLimits!AI22:'IncomeLimits'!AJ22)*0.3/12,0)</f>
        <v>1450</v>
      </c>
      <c r="Z24" s="78">
        <f>ROUNDDOWN(IncomeLimits!AL22*0.3/12, 0)</f>
        <v>952</v>
      </c>
      <c r="AA24" s="1149">
        <f>ROUNDDOWN(AVERAGE(IncomeLimits!AL22:'IncomeLimits'!AM22)*0.3/12, 0)</f>
        <v>1020</v>
      </c>
      <c r="AB24" s="1149">
        <f>ROUNDDOWN(IncomeLimits!AN22*0.3/12, 0)</f>
        <v>1224</v>
      </c>
      <c r="AC24" s="1149">
        <f>ROUNDDOWN(AVERAGE(IncomeLimits!AO22:'IncomeLimits'!AP22)*0.3/12,0)</f>
        <v>1413</v>
      </c>
      <c r="AD24" s="1149">
        <f>ROUNDDOWN(IncomeLimits!AQ22*0.3/12,0)</f>
        <v>1576</v>
      </c>
      <c r="AE24" s="89">
        <f>ROUNDDOWN(AVERAGE(IncomeLimits!AR22:'IncomeLimits'!AS22)*0.3/12,0)</f>
        <v>1740</v>
      </c>
      <c r="AF24" s="88">
        <f>ROUNDDOWN(IncomeLimits!AU22*0.3/12, 0)</f>
        <v>1111</v>
      </c>
      <c r="AG24" s="1149">
        <f>ROUNDDOWN(AVERAGE(IncomeLimits!AU22:'IncomeLimits'!AV22)*0.3/12, 0)</f>
        <v>1190</v>
      </c>
      <c r="AH24" s="1149">
        <f>ROUNDDOWN(IncomeLimits!AW22*0.3/12, 0)</f>
        <v>1428</v>
      </c>
      <c r="AI24" s="1149">
        <f>ROUNDDOWN(AVERAGE(IncomeLimits!AX22:'IncomeLimits'!AY22)*0.3/12,0)</f>
        <v>1649</v>
      </c>
      <c r="AJ24" s="1149">
        <f>ROUNDDOWN(IncomeLimits!AZ22*0.3/12,0)</f>
        <v>1839</v>
      </c>
      <c r="AK24" s="89">
        <f>ROUNDDOWN(AVERAGE(IncomeLimits!BA22:'IncomeLimits'!BB22)*0.3/12,0)</f>
        <v>2030</v>
      </c>
      <c r="AL24" s="78">
        <f>ROUNDDOWN(IncomeLimits!BD22*0.3/12, 0)</f>
        <v>1270</v>
      </c>
      <c r="AM24" s="1149">
        <f>ROUNDDOWN(AVERAGE(IncomeLimits!BD22:'IncomeLimits'!BE22)*0.3/12, 0)</f>
        <v>1360</v>
      </c>
      <c r="AN24" s="1149">
        <f>ROUNDDOWN(IncomeLimits!BF22*0.3/12, 0)</f>
        <v>1632</v>
      </c>
      <c r="AO24" s="1149">
        <f>ROUNDDOWN(AVERAGE(IncomeLimits!BG22:'IncomeLimits'!BH22)*0.3/12,0)</f>
        <v>1885</v>
      </c>
      <c r="AP24" s="1149">
        <f>ROUNDDOWN(IncomeLimits!BI22*0.3/12,0)</f>
        <v>2102</v>
      </c>
      <c r="AQ24" s="89">
        <f>ROUNDDOWN(AVERAGE(IncomeLimits!BJ22:'IncomeLimits'!BK22)*0.3/12,0)</f>
        <v>2320</v>
      </c>
    </row>
    <row r="25" spans="1:43">
      <c r="A25" s="90" t="s">
        <v>432</v>
      </c>
      <c r="B25" s="88">
        <f>ROUNDDOWN(IncomeLimits!B23*0.3/12, 0)</f>
        <v>303</v>
      </c>
      <c r="C25" s="1149">
        <f>ROUNDDOWN(AVERAGE(IncomeLimits!B23:C23)*0.3/12, 0)</f>
        <v>325</v>
      </c>
      <c r="D25" s="1149">
        <f>ROUNDDOWN(IncomeLimits!D23*0.3/12, 0)</f>
        <v>390</v>
      </c>
      <c r="E25" s="1149">
        <f>ROUNDDOWN(AVERAGE(IncomeLimits!E23:'IncomeLimits'!F23)*0.3/12,0)</f>
        <v>450</v>
      </c>
      <c r="F25" s="1149">
        <f>ROUNDDOWN(IncomeLimits!G23*0.3/12,0)</f>
        <v>502</v>
      </c>
      <c r="G25" s="79">
        <f>ROUNDDOWN(AVERAGE(IncomeLimits!H23:'IncomeLimits'!I23)*0.3/12,0)</f>
        <v>554</v>
      </c>
      <c r="H25" s="88">
        <f>ROUNDDOWN(IncomeLimits!K23*0.3/12, 0)</f>
        <v>455</v>
      </c>
      <c r="I25" s="1149">
        <f>ROUNDDOWN(AVERAGE(IncomeLimits!K23:'IncomeLimits'!L23)*0.3/12, 0)</f>
        <v>487</v>
      </c>
      <c r="J25" s="1149">
        <f>ROUNDDOWN(IncomeLimits!M23*0.3/12, 0)</f>
        <v>585</v>
      </c>
      <c r="K25" s="1149">
        <f>ROUNDDOWN(AVERAGE(IncomeLimits!N23:'IncomeLimits'!O23)*0.3/12,0)</f>
        <v>675</v>
      </c>
      <c r="L25" s="1149">
        <f>ROUNDDOWN(IncomeLimits!P23*0.3/12,0)</f>
        <v>753</v>
      </c>
      <c r="M25" s="89">
        <f>ROUNDDOWN(AVERAGE(IncomeLimits!Q23:'IncomeLimits'!R23)*0.3/12,0)</f>
        <v>831</v>
      </c>
      <c r="N25" s="78">
        <f>ROUNDDOWN(IncomeLimits!T23*0.3/12, 0)</f>
        <v>607</v>
      </c>
      <c r="O25" s="1149">
        <f>ROUNDDOWN(AVERAGE(IncomeLimits!T23:'IncomeLimits'!U23)*0.3/12, 0)</f>
        <v>650</v>
      </c>
      <c r="P25" s="1149">
        <f>ROUNDDOWN(IncomeLimits!V23*0.3/12, 0)</f>
        <v>780</v>
      </c>
      <c r="Q25" s="1149">
        <f>ROUNDDOWN(AVERAGE(IncomeLimits!W23:'IncomeLimits'!X23)*0.3/12,0)</f>
        <v>901</v>
      </c>
      <c r="R25" s="1149">
        <f>ROUNDDOWN(IncomeLimits!Y23*0.3/12,0)</f>
        <v>1005</v>
      </c>
      <c r="S25" s="79">
        <f>ROUNDDOWN(AVERAGE(IncomeLimits!Z23:'IncomeLimits'!AA23)*0.3/12,0)</f>
        <v>1109</v>
      </c>
      <c r="T25" s="88">
        <f>ROUNDDOWN(IncomeLimits!AC23*0.3/12, 0)</f>
        <v>758</v>
      </c>
      <c r="U25" s="1149">
        <f>ROUNDDOWN(AVERAGE(IncomeLimits!AC23:'IncomeLimits'!AD23)*0.3/12, 0)</f>
        <v>812</v>
      </c>
      <c r="V25" s="1149">
        <f>ROUNDDOWN(IncomeLimits!AE23*0.3/12, 0)</f>
        <v>975</v>
      </c>
      <c r="W25" s="1149">
        <f>ROUNDDOWN(AVERAGE(IncomeLimits!AF23:AG23)*0.3/12,0)</f>
        <v>1126</v>
      </c>
      <c r="X25" s="1149">
        <f>ROUNDDOWN(IncomeLimits!AH23*0.3/12,0)</f>
        <v>1256</v>
      </c>
      <c r="Y25" s="89">
        <f>ROUNDDOWN(AVERAGE(IncomeLimits!AI23:'IncomeLimits'!AJ23)*0.3/12,0)</f>
        <v>1386</v>
      </c>
      <c r="Z25" s="78">
        <f>ROUNDDOWN(IncomeLimits!AL23*0.3/12, 0)</f>
        <v>910</v>
      </c>
      <c r="AA25" s="1149">
        <f>ROUNDDOWN(AVERAGE(IncomeLimits!AL23:'IncomeLimits'!AM23)*0.3/12, 0)</f>
        <v>975</v>
      </c>
      <c r="AB25" s="1149">
        <f>ROUNDDOWN(IncomeLimits!AN23*0.3/12, 0)</f>
        <v>1170</v>
      </c>
      <c r="AC25" s="1149">
        <f>ROUNDDOWN(AVERAGE(IncomeLimits!AO23:'IncomeLimits'!AP23)*0.3/12,0)</f>
        <v>1351</v>
      </c>
      <c r="AD25" s="1149">
        <f>ROUNDDOWN(IncomeLimits!AQ23*0.3/12,0)</f>
        <v>1507</v>
      </c>
      <c r="AE25" s="89">
        <f>ROUNDDOWN(AVERAGE(IncomeLimits!AR23:'IncomeLimits'!AS23)*0.3/12,0)</f>
        <v>1663</v>
      </c>
      <c r="AF25" s="88">
        <f>ROUNDDOWN(IncomeLimits!AU23*0.3/12, 0)</f>
        <v>1062</v>
      </c>
      <c r="AG25" s="1149">
        <f>ROUNDDOWN(AVERAGE(IncomeLimits!AU23:'IncomeLimits'!AV23)*0.3/12, 0)</f>
        <v>1137</v>
      </c>
      <c r="AH25" s="1149">
        <f>ROUNDDOWN(IncomeLimits!AW23*0.3/12, 0)</f>
        <v>1365</v>
      </c>
      <c r="AI25" s="1149">
        <f>ROUNDDOWN(AVERAGE(IncomeLimits!AX23:'IncomeLimits'!AY23)*0.3/12,0)</f>
        <v>1576</v>
      </c>
      <c r="AJ25" s="1149">
        <f>ROUNDDOWN(IncomeLimits!AZ23*0.3/12,0)</f>
        <v>1758</v>
      </c>
      <c r="AK25" s="89">
        <f>ROUNDDOWN(AVERAGE(IncomeLimits!BA23:'IncomeLimits'!BB23)*0.3/12,0)</f>
        <v>1940</v>
      </c>
      <c r="AL25" s="78">
        <f>ROUNDDOWN(IncomeLimits!BD23*0.3/12, 0)</f>
        <v>1214</v>
      </c>
      <c r="AM25" s="1149">
        <f>ROUNDDOWN(AVERAGE(IncomeLimits!BD23:'IncomeLimits'!BE23)*0.3/12, 0)</f>
        <v>1300</v>
      </c>
      <c r="AN25" s="1149">
        <f>ROUNDDOWN(IncomeLimits!BF23*0.3/12, 0)</f>
        <v>1560</v>
      </c>
      <c r="AO25" s="1149">
        <f>ROUNDDOWN(AVERAGE(IncomeLimits!BG23:'IncomeLimits'!BH23)*0.3/12,0)</f>
        <v>1802</v>
      </c>
      <c r="AP25" s="1149">
        <f>ROUNDDOWN(IncomeLimits!BI23*0.3/12,0)</f>
        <v>2010</v>
      </c>
      <c r="AQ25" s="89">
        <f>ROUNDDOWN(AVERAGE(IncomeLimits!BJ23:'IncomeLimits'!BK23)*0.3/12,0)</f>
        <v>2218</v>
      </c>
    </row>
    <row r="26" spans="1:43">
      <c r="A26" s="90" t="s">
        <v>382</v>
      </c>
      <c r="B26" s="88">
        <f>ROUNDDOWN(IncomeLimits!B24*0.3/12, 0)</f>
        <v>332</v>
      </c>
      <c r="C26" s="1149">
        <f>ROUNDDOWN(AVERAGE(IncomeLimits!B24:C24)*0.3/12, 0)</f>
        <v>355</v>
      </c>
      <c r="D26" s="1149">
        <f>ROUNDDOWN(IncomeLimits!D24*0.3/12, 0)</f>
        <v>427</v>
      </c>
      <c r="E26" s="1149">
        <f>ROUNDDOWN(AVERAGE(IncomeLimits!E24:'IncomeLimits'!F24)*0.3/12,0)</f>
        <v>493</v>
      </c>
      <c r="F26" s="1149">
        <f>ROUNDDOWN(IncomeLimits!G24*0.3/12,0)</f>
        <v>550</v>
      </c>
      <c r="G26" s="79">
        <f>ROUNDDOWN(AVERAGE(IncomeLimits!H24:'IncomeLimits'!I24)*0.3/12,0)</f>
        <v>607</v>
      </c>
      <c r="H26" s="88">
        <f>ROUNDDOWN(IncomeLimits!K24*0.3/12, 0)</f>
        <v>498</v>
      </c>
      <c r="I26" s="1149">
        <f>ROUNDDOWN(AVERAGE(IncomeLimits!K24:'IncomeLimits'!L24)*0.3/12, 0)</f>
        <v>533</v>
      </c>
      <c r="J26" s="1149">
        <f>ROUNDDOWN(IncomeLimits!M24*0.3/12, 0)</f>
        <v>640</v>
      </c>
      <c r="K26" s="1149">
        <f>ROUNDDOWN(AVERAGE(IncomeLimits!N24:'IncomeLimits'!O24)*0.3/12,0)</f>
        <v>739</v>
      </c>
      <c r="L26" s="1149">
        <f>ROUNDDOWN(IncomeLimits!P24*0.3/12,0)</f>
        <v>825</v>
      </c>
      <c r="M26" s="89">
        <f>ROUNDDOWN(AVERAGE(IncomeLimits!Q24:'IncomeLimits'!R24)*0.3/12,0)</f>
        <v>910</v>
      </c>
      <c r="N26" s="78">
        <f>ROUNDDOWN(IncomeLimits!T24*0.3/12, 0)</f>
        <v>664</v>
      </c>
      <c r="O26" s="1149">
        <f>ROUNDDOWN(AVERAGE(IncomeLimits!T24:'IncomeLimits'!U24)*0.3/12, 0)</f>
        <v>711</v>
      </c>
      <c r="P26" s="1149">
        <f>ROUNDDOWN(IncomeLimits!V24*0.3/12, 0)</f>
        <v>854</v>
      </c>
      <c r="Q26" s="1149">
        <f>ROUNDDOWN(AVERAGE(IncomeLimits!W24:'IncomeLimits'!X24)*0.3/12,0)</f>
        <v>986</v>
      </c>
      <c r="R26" s="1149">
        <f>ROUNDDOWN(IncomeLimits!Y24*0.3/12,0)</f>
        <v>1100</v>
      </c>
      <c r="S26" s="79">
        <f>ROUNDDOWN(AVERAGE(IncomeLimits!Z24:'IncomeLimits'!AA24)*0.3/12,0)</f>
        <v>1214</v>
      </c>
      <c r="T26" s="88">
        <f>ROUNDDOWN(IncomeLimits!AC24*0.3/12, 0)</f>
        <v>830</v>
      </c>
      <c r="U26" s="1149">
        <f>ROUNDDOWN(AVERAGE(IncomeLimits!AC24:'IncomeLimits'!AD24)*0.3/12, 0)</f>
        <v>889</v>
      </c>
      <c r="V26" s="1149">
        <f>ROUNDDOWN(IncomeLimits!AE24*0.3/12, 0)</f>
        <v>1067</v>
      </c>
      <c r="W26" s="1149">
        <f>ROUNDDOWN(AVERAGE(IncomeLimits!AF24:AG24)*0.3/12,0)</f>
        <v>1232</v>
      </c>
      <c r="X26" s="1149">
        <f>ROUNDDOWN(IncomeLimits!AH24*0.3/12,0)</f>
        <v>1375</v>
      </c>
      <c r="Y26" s="89">
        <f>ROUNDDOWN(AVERAGE(IncomeLimits!AI24:'IncomeLimits'!AJ24)*0.3/12,0)</f>
        <v>1517</v>
      </c>
      <c r="Z26" s="78">
        <f>ROUNDDOWN(IncomeLimits!AL24*0.3/12, 0)</f>
        <v>996</v>
      </c>
      <c r="AA26" s="1149">
        <f>ROUNDDOWN(AVERAGE(IncomeLimits!AL24:'IncomeLimits'!AM24)*0.3/12, 0)</f>
        <v>1067</v>
      </c>
      <c r="AB26" s="1149">
        <f>ROUNDDOWN(IncomeLimits!AN24*0.3/12, 0)</f>
        <v>1281</v>
      </c>
      <c r="AC26" s="1149">
        <f>ROUNDDOWN(AVERAGE(IncomeLimits!AO24:'IncomeLimits'!AP24)*0.3/12,0)</f>
        <v>1479</v>
      </c>
      <c r="AD26" s="1149">
        <f>ROUNDDOWN(IncomeLimits!AQ24*0.3/12,0)</f>
        <v>1650</v>
      </c>
      <c r="AE26" s="89">
        <f>ROUNDDOWN(AVERAGE(IncomeLimits!AR24:'IncomeLimits'!AS24)*0.3/12,0)</f>
        <v>1821</v>
      </c>
      <c r="AF26" s="88">
        <f>ROUNDDOWN(IncomeLimits!AU24*0.3/12, 0)</f>
        <v>1162</v>
      </c>
      <c r="AG26" s="1149">
        <f>ROUNDDOWN(AVERAGE(IncomeLimits!AU24:'IncomeLimits'!AV24)*0.3/12, 0)</f>
        <v>1245</v>
      </c>
      <c r="AH26" s="1149">
        <f>ROUNDDOWN(IncomeLimits!AW24*0.3/12, 0)</f>
        <v>1494</v>
      </c>
      <c r="AI26" s="1149">
        <f>ROUNDDOWN(AVERAGE(IncomeLimits!AX24:'IncomeLimits'!AY24)*0.3/12,0)</f>
        <v>1725</v>
      </c>
      <c r="AJ26" s="1149">
        <f>ROUNDDOWN(IncomeLimits!AZ24*0.3/12,0)</f>
        <v>1925</v>
      </c>
      <c r="AK26" s="89">
        <f>ROUNDDOWN(AVERAGE(IncomeLimits!BA24:'IncomeLimits'!BB24)*0.3/12,0)</f>
        <v>2124</v>
      </c>
      <c r="AL26" s="78">
        <f>ROUNDDOWN(IncomeLimits!BD24*0.3/12, 0)</f>
        <v>1328</v>
      </c>
      <c r="AM26" s="1149">
        <f>ROUNDDOWN(AVERAGE(IncomeLimits!BD24:'IncomeLimits'!BE24)*0.3/12, 0)</f>
        <v>1423</v>
      </c>
      <c r="AN26" s="1149">
        <f>ROUNDDOWN(IncomeLimits!BF24*0.3/12, 0)</f>
        <v>1708</v>
      </c>
      <c r="AO26" s="1149">
        <f>ROUNDDOWN(AVERAGE(IncomeLimits!BG24:'IncomeLimits'!BH24)*0.3/12,0)</f>
        <v>1972</v>
      </c>
      <c r="AP26" s="1149">
        <f>ROUNDDOWN(IncomeLimits!BI24*0.3/12,0)</f>
        <v>2200</v>
      </c>
      <c r="AQ26" s="89">
        <f>ROUNDDOWN(AVERAGE(IncomeLimits!BJ24:'IncomeLimits'!BK24)*0.3/12,0)</f>
        <v>2428</v>
      </c>
    </row>
    <row r="27" spans="1:43">
      <c r="A27" s="90" t="s">
        <v>385</v>
      </c>
      <c r="B27" s="88">
        <f>ROUNDDOWN(IncomeLimits!B25*0.3/12, 0)</f>
        <v>357</v>
      </c>
      <c r="C27" s="1149">
        <f>ROUNDDOWN(AVERAGE(IncomeLimits!B25:C25)*0.3/12, 0)</f>
        <v>383</v>
      </c>
      <c r="D27" s="1149">
        <f>ROUNDDOWN(IncomeLimits!D25*0.3/12, 0)</f>
        <v>459</v>
      </c>
      <c r="E27" s="1149">
        <f>ROUNDDOWN(AVERAGE(IncomeLimits!E25:'IncomeLimits'!F25)*0.3/12,0)</f>
        <v>531</v>
      </c>
      <c r="F27" s="1149">
        <f>ROUNDDOWN(IncomeLimits!G25*0.3/12,0)</f>
        <v>592</v>
      </c>
      <c r="G27" s="79">
        <f>ROUNDDOWN(AVERAGE(IncomeLimits!H25:'IncomeLimits'!I25)*0.3/12,0)</f>
        <v>653</v>
      </c>
      <c r="H27" s="88">
        <f>ROUNDDOWN(IncomeLimits!K25*0.3/12, 0)</f>
        <v>536</v>
      </c>
      <c r="I27" s="1149">
        <f>ROUNDDOWN(AVERAGE(IncomeLimits!K25:'IncomeLimits'!L25)*0.3/12, 0)</f>
        <v>574</v>
      </c>
      <c r="J27" s="1149">
        <f>ROUNDDOWN(IncomeLimits!M25*0.3/12, 0)</f>
        <v>689</v>
      </c>
      <c r="K27" s="1149">
        <f>ROUNDDOWN(AVERAGE(IncomeLimits!N25:'IncomeLimits'!O25)*0.3/12,0)</f>
        <v>796</v>
      </c>
      <c r="L27" s="1149">
        <f>ROUNDDOWN(IncomeLimits!P25*0.3/12,0)</f>
        <v>888</v>
      </c>
      <c r="M27" s="89">
        <f>ROUNDDOWN(AVERAGE(IncomeLimits!Q25:'IncomeLimits'!R25)*0.3/12,0)</f>
        <v>980</v>
      </c>
      <c r="N27" s="78">
        <f>ROUNDDOWN(IncomeLimits!T25*0.3/12, 0)</f>
        <v>715</v>
      </c>
      <c r="O27" s="1149">
        <f>ROUNDDOWN(AVERAGE(IncomeLimits!T25:'IncomeLimits'!U25)*0.3/12, 0)</f>
        <v>766</v>
      </c>
      <c r="P27" s="1149">
        <f>ROUNDDOWN(IncomeLimits!V25*0.3/12, 0)</f>
        <v>919</v>
      </c>
      <c r="Q27" s="1149">
        <f>ROUNDDOWN(AVERAGE(IncomeLimits!W25:'IncomeLimits'!X25)*0.3/12,0)</f>
        <v>1062</v>
      </c>
      <c r="R27" s="1149">
        <f>ROUNDDOWN(IncomeLimits!Y25*0.3/12,0)</f>
        <v>1185</v>
      </c>
      <c r="S27" s="79">
        <f>ROUNDDOWN(AVERAGE(IncomeLimits!Z25:'IncomeLimits'!AA25)*0.3/12,0)</f>
        <v>1307</v>
      </c>
      <c r="T27" s="88">
        <f>ROUNDDOWN(IncomeLimits!AC25*0.3/12, 0)</f>
        <v>893</v>
      </c>
      <c r="U27" s="1149">
        <f>ROUNDDOWN(AVERAGE(IncomeLimits!AC25:'IncomeLimits'!AD25)*0.3/12, 0)</f>
        <v>957</v>
      </c>
      <c r="V27" s="1149">
        <f>ROUNDDOWN(IncomeLimits!AE25*0.3/12, 0)</f>
        <v>1148</v>
      </c>
      <c r="W27" s="1149">
        <f>ROUNDDOWN(AVERAGE(IncomeLimits!AF25:AG25)*0.3/12,0)</f>
        <v>1327</v>
      </c>
      <c r="X27" s="1149">
        <f>ROUNDDOWN(IncomeLimits!AH25*0.3/12,0)</f>
        <v>1481</v>
      </c>
      <c r="Y27" s="89">
        <f>ROUNDDOWN(AVERAGE(IncomeLimits!AI25:'IncomeLimits'!AJ25)*0.3/12,0)</f>
        <v>1634</v>
      </c>
      <c r="Z27" s="78">
        <f>ROUNDDOWN(IncomeLimits!AL25*0.3/12, 0)</f>
        <v>1072</v>
      </c>
      <c r="AA27" s="1149">
        <f>ROUNDDOWN(AVERAGE(IncomeLimits!AL25:'IncomeLimits'!AM25)*0.3/12, 0)</f>
        <v>1149</v>
      </c>
      <c r="AB27" s="1149">
        <f>ROUNDDOWN(IncomeLimits!AN25*0.3/12, 0)</f>
        <v>1378</v>
      </c>
      <c r="AC27" s="1149">
        <f>ROUNDDOWN(AVERAGE(IncomeLimits!AO25:'IncomeLimits'!AP25)*0.3/12,0)</f>
        <v>1593</v>
      </c>
      <c r="AD27" s="1149">
        <f>ROUNDDOWN(IncomeLimits!AQ25*0.3/12,0)</f>
        <v>1777</v>
      </c>
      <c r="AE27" s="89">
        <f>ROUNDDOWN(AVERAGE(IncomeLimits!AR25:'IncomeLimits'!AS25)*0.3/12,0)</f>
        <v>1961</v>
      </c>
      <c r="AF27" s="88">
        <f>ROUNDDOWN(IncomeLimits!AU25*0.3/12, 0)</f>
        <v>1251</v>
      </c>
      <c r="AG27" s="1149">
        <f>ROUNDDOWN(AVERAGE(IncomeLimits!AU25:'IncomeLimits'!AV25)*0.3/12, 0)</f>
        <v>1340</v>
      </c>
      <c r="AH27" s="1149">
        <f>ROUNDDOWN(IncomeLimits!AW25*0.3/12, 0)</f>
        <v>1608</v>
      </c>
      <c r="AI27" s="1149">
        <f>ROUNDDOWN(AVERAGE(IncomeLimits!AX25:'IncomeLimits'!AY25)*0.3/12,0)</f>
        <v>1858</v>
      </c>
      <c r="AJ27" s="1149">
        <f>ROUNDDOWN(IncomeLimits!AZ25*0.3/12,0)</f>
        <v>2073</v>
      </c>
      <c r="AK27" s="89">
        <f>ROUNDDOWN(AVERAGE(IncomeLimits!BA25:'IncomeLimits'!BB25)*0.3/12,0)</f>
        <v>2288</v>
      </c>
      <c r="AL27" s="78">
        <f>ROUNDDOWN(IncomeLimits!BD25*0.3/12, 0)</f>
        <v>1430</v>
      </c>
      <c r="AM27" s="1149">
        <f>ROUNDDOWN(AVERAGE(IncomeLimits!BD25:'IncomeLimits'!BE25)*0.3/12, 0)</f>
        <v>1532</v>
      </c>
      <c r="AN27" s="1149">
        <f>ROUNDDOWN(IncomeLimits!BF25*0.3/12, 0)</f>
        <v>1838</v>
      </c>
      <c r="AO27" s="1149">
        <f>ROUNDDOWN(AVERAGE(IncomeLimits!BG25:'IncomeLimits'!BH25)*0.3/12,0)</f>
        <v>2124</v>
      </c>
      <c r="AP27" s="1149">
        <f>ROUNDDOWN(IncomeLimits!BI25*0.3/12,0)</f>
        <v>2370</v>
      </c>
      <c r="AQ27" s="89">
        <f>ROUNDDOWN(AVERAGE(IncomeLimits!BJ25:'IncomeLimits'!BK25)*0.3/12,0)</f>
        <v>2615</v>
      </c>
    </row>
    <row r="28" spans="1:43">
      <c r="A28" s="90" t="s">
        <v>442</v>
      </c>
      <c r="B28" s="88">
        <f>ROUNDDOWN(IncomeLimits!B26*0.3/12, 0)</f>
        <v>303</v>
      </c>
      <c r="C28" s="1149">
        <f>ROUNDDOWN(AVERAGE(IncomeLimits!B26:C26)*0.3/12, 0)</f>
        <v>325</v>
      </c>
      <c r="D28" s="1149">
        <f>ROUNDDOWN(IncomeLimits!D26*0.3/12, 0)</f>
        <v>390</v>
      </c>
      <c r="E28" s="1149">
        <f>ROUNDDOWN(AVERAGE(IncomeLimits!E26:'IncomeLimits'!F26)*0.3/12,0)</f>
        <v>450</v>
      </c>
      <c r="F28" s="1149">
        <f>ROUNDDOWN(IncomeLimits!G26*0.3/12,0)</f>
        <v>502</v>
      </c>
      <c r="G28" s="79">
        <f>ROUNDDOWN(AVERAGE(IncomeLimits!H26:'IncomeLimits'!I26)*0.3/12,0)</f>
        <v>554</v>
      </c>
      <c r="H28" s="88">
        <f>ROUNDDOWN(IncomeLimits!K26*0.3/12, 0)</f>
        <v>455</v>
      </c>
      <c r="I28" s="1149">
        <f>ROUNDDOWN(AVERAGE(IncomeLimits!K26:'IncomeLimits'!L26)*0.3/12, 0)</f>
        <v>487</v>
      </c>
      <c r="J28" s="1149">
        <f>ROUNDDOWN(IncomeLimits!M26*0.3/12, 0)</f>
        <v>585</v>
      </c>
      <c r="K28" s="1149">
        <f>ROUNDDOWN(AVERAGE(IncomeLimits!N26:'IncomeLimits'!O26)*0.3/12,0)</f>
        <v>675</v>
      </c>
      <c r="L28" s="1149">
        <f>ROUNDDOWN(IncomeLimits!P26*0.3/12,0)</f>
        <v>753</v>
      </c>
      <c r="M28" s="89">
        <f>ROUNDDOWN(AVERAGE(IncomeLimits!Q26:'IncomeLimits'!R26)*0.3/12,0)</f>
        <v>831</v>
      </c>
      <c r="N28" s="78">
        <f>ROUNDDOWN(IncomeLimits!T26*0.3/12, 0)</f>
        <v>607</v>
      </c>
      <c r="O28" s="1149">
        <f>ROUNDDOWN(AVERAGE(IncomeLimits!T26:'IncomeLimits'!U26)*0.3/12, 0)</f>
        <v>650</v>
      </c>
      <c r="P28" s="1149">
        <f>ROUNDDOWN(IncomeLimits!V26*0.3/12, 0)</f>
        <v>780</v>
      </c>
      <c r="Q28" s="1149">
        <f>ROUNDDOWN(AVERAGE(IncomeLimits!W26:'IncomeLimits'!X26)*0.3/12,0)</f>
        <v>901</v>
      </c>
      <c r="R28" s="1149">
        <f>ROUNDDOWN(IncomeLimits!Y26*0.3/12,0)</f>
        <v>1005</v>
      </c>
      <c r="S28" s="79">
        <f>ROUNDDOWN(AVERAGE(IncomeLimits!Z26:'IncomeLimits'!AA26)*0.3/12,0)</f>
        <v>1109</v>
      </c>
      <c r="T28" s="88">
        <f>ROUNDDOWN(IncomeLimits!AC26*0.3/12, 0)</f>
        <v>758</v>
      </c>
      <c r="U28" s="1149">
        <f>ROUNDDOWN(AVERAGE(IncomeLimits!AC26:'IncomeLimits'!AD26)*0.3/12, 0)</f>
        <v>812</v>
      </c>
      <c r="V28" s="1149">
        <f>ROUNDDOWN(IncomeLimits!AE26*0.3/12, 0)</f>
        <v>975</v>
      </c>
      <c r="W28" s="1149">
        <f>ROUNDDOWN(AVERAGE(IncomeLimits!AF26:AG26)*0.3/12,0)</f>
        <v>1126</v>
      </c>
      <c r="X28" s="1149">
        <f>ROUNDDOWN(IncomeLimits!AH26*0.3/12,0)</f>
        <v>1256</v>
      </c>
      <c r="Y28" s="89">
        <f>ROUNDDOWN(AVERAGE(IncomeLimits!AI26:'IncomeLimits'!AJ26)*0.3/12,0)</f>
        <v>1386</v>
      </c>
      <c r="Z28" s="78">
        <f>ROUNDDOWN(IncomeLimits!AL26*0.3/12, 0)</f>
        <v>910</v>
      </c>
      <c r="AA28" s="1149">
        <f>ROUNDDOWN(AVERAGE(IncomeLimits!AL26:'IncomeLimits'!AM26)*0.3/12, 0)</f>
        <v>975</v>
      </c>
      <c r="AB28" s="1149">
        <f>ROUNDDOWN(IncomeLimits!AN26*0.3/12, 0)</f>
        <v>1170</v>
      </c>
      <c r="AC28" s="1149">
        <f>ROUNDDOWN(AVERAGE(IncomeLimits!AO26:'IncomeLimits'!AP26)*0.3/12,0)</f>
        <v>1351</v>
      </c>
      <c r="AD28" s="1149">
        <f>ROUNDDOWN(IncomeLimits!AQ26*0.3/12,0)</f>
        <v>1507</v>
      </c>
      <c r="AE28" s="89">
        <f>ROUNDDOWN(AVERAGE(IncomeLimits!AR26:'IncomeLimits'!AS26)*0.3/12,0)</f>
        <v>1663</v>
      </c>
      <c r="AF28" s="88">
        <f>ROUNDDOWN(IncomeLimits!AU26*0.3/12, 0)</f>
        <v>1062</v>
      </c>
      <c r="AG28" s="1149">
        <f>ROUNDDOWN(AVERAGE(IncomeLimits!AU26:'IncomeLimits'!AV26)*0.3/12, 0)</f>
        <v>1137</v>
      </c>
      <c r="AH28" s="1149">
        <f>ROUNDDOWN(IncomeLimits!AW26*0.3/12, 0)</f>
        <v>1365</v>
      </c>
      <c r="AI28" s="1149">
        <f>ROUNDDOWN(AVERAGE(IncomeLimits!AX26:'IncomeLimits'!AY26)*0.3/12,0)</f>
        <v>1576</v>
      </c>
      <c r="AJ28" s="1149">
        <f>ROUNDDOWN(IncomeLimits!AZ26*0.3/12,0)</f>
        <v>1758</v>
      </c>
      <c r="AK28" s="89">
        <f>ROUNDDOWN(AVERAGE(IncomeLimits!BA26:'IncomeLimits'!BB26)*0.3/12,0)</f>
        <v>1940</v>
      </c>
      <c r="AL28" s="78">
        <f>ROUNDDOWN(IncomeLimits!BD26*0.3/12, 0)</f>
        <v>1214</v>
      </c>
      <c r="AM28" s="1149">
        <f>ROUNDDOWN(AVERAGE(IncomeLimits!BD26:'IncomeLimits'!BE26)*0.3/12, 0)</f>
        <v>1300</v>
      </c>
      <c r="AN28" s="1149">
        <f>ROUNDDOWN(IncomeLimits!BF26*0.3/12, 0)</f>
        <v>1560</v>
      </c>
      <c r="AO28" s="1149">
        <f>ROUNDDOWN(AVERAGE(IncomeLimits!BG26:'IncomeLimits'!BH26)*0.3/12,0)</f>
        <v>1802</v>
      </c>
      <c r="AP28" s="1149">
        <f>ROUNDDOWN(IncomeLimits!BI26*0.3/12,0)</f>
        <v>2010</v>
      </c>
      <c r="AQ28" s="89">
        <f>ROUNDDOWN(AVERAGE(IncomeLimits!BJ26:'IncomeLimits'!BK26)*0.3/12,0)</f>
        <v>2218</v>
      </c>
    </row>
    <row r="29" spans="1:43">
      <c r="A29" s="90" t="s">
        <v>388</v>
      </c>
      <c r="B29" s="88">
        <f>ROUNDDOWN(IncomeLimits!B27*0.3/12, 0)</f>
        <v>327</v>
      </c>
      <c r="C29" s="1149">
        <f>ROUNDDOWN(AVERAGE(IncomeLimits!B27:C27)*0.3/12, 0)</f>
        <v>350</v>
      </c>
      <c r="D29" s="1149">
        <f>ROUNDDOWN(IncomeLimits!D27*0.3/12, 0)</f>
        <v>420</v>
      </c>
      <c r="E29" s="1149">
        <f>ROUNDDOWN(AVERAGE(IncomeLimits!E27:'IncomeLimits'!F27)*0.3/12,0)</f>
        <v>486</v>
      </c>
      <c r="F29" s="1149">
        <f>ROUNDDOWN(IncomeLimits!G27*0.3/12,0)</f>
        <v>542</v>
      </c>
      <c r="G29" s="79">
        <f>ROUNDDOWN(AVERAGE(IncomeLimits!H27:'IncomeLimits'!I27)*0.3/12,0)</f>
        <v>598</v>
      </c>
      <c r="H29" s="88">
        <f>ROUNDDOWN(IncomeLimits!K27*0.3/12, 0)</f>
        <v>490</v>
      </c>
      <c r="I29" s="1149">
        <f>ROUNDDOWN(AVERAGE(IncomeLimits!K27:'IncomeLimits'!L27)*0.3/12, 0)</f>
        <v>525</v>
      </c>
      <c r="J29" s="1149">
        <f>ROUNDDOWN(IncomeLimits!M27*0.3/12, 0)</f>
        <v>630</v>
      </c>
      <c r="K29" s="1149">
        <f>ROUNDDOWN(AVERAGE(IncomeLimits!N27:'IncomeLimits'!O27)*0.3/12,0)</f>
        <v>729</v>
      </c>
      <c r="L29" s="1149">
        <f>ROUNDDOWN(IncomeLimits!P27*0.3/12,0)</f>
        <v>813</v>
      </c>
      <c r="M29" s="89">
        <f>ROUNDDOWN(AVERAGE(IncomeLimits!Q27:'IncomeLimits'!R27)*0.3/12,0)</f>
        <v>897</v>
      </c>
      <c r="N29" s="78">
        <f>ROUNDDOWN(IncomeLimits!T27*0.3/12, 0)</f>
        <v>654</v>
      </c>
      <c r="O29" s="1149">
        <f>ROUNDDOWN(AVERAGE(IncomeLimits!T27:'IncomeLimits'!U27)*0.3/12, 0)</f>
        <v>701</v>
      </c>
      <c r="P29" s="1149">
        <f>ROUNDDOWN(IncomeLimits!V27*0.3/12, 0)</f>
        <v>841</v>
      </c>
      <c r="Q29" s="1149">
        <f>ROUNDDOWN(AVERAGE(IncomeLimits!W27:'IncomeLimits'!X27)*0.3/12,0)</f>
        <v>972</v>
      </c>
      <c r="R29" s="1149">
        <f>ROUNDDOWN(IncomeLimits!Y27*0.3/12,0)</f>
        <v>1084</v>
      </c>
      <c r="S29" s="79">
        <f>ROUNDDOWN(AVERAGE(IncomeLimits!Z27:'IncomeLimits'!AA27)*0.3/12,0)</f>
        <v>1196</v>
      </c>
      <c r="T29" s="88">
        <f>ROUNDDOWN(IncomeLimits!AC27*0.3/12, 0)</f>
        <v>817</v>
      </c>
      <c r="U29" s="1149">
        <f>ROUNDDOWN(AVERAGE(IncomeLimits!AC27:'IncomeLimits'!AD27)*0.3/12, 0)</f>
        <v>876</v>
      </c>
      <c r="V29" s="1149">
        <f>ROUNDDOWN(IncomeLimits!AE27*0.3/12, 0)</f>
        <v>1051</v>
      </c>
      <c r="W29" s="1149">
        <f>ROUNDDOWN(AVERAGE(IncomeLimits!AF27:AG27)*0.3/12,0)</f>
        <v>1215</v>
      </c>
      <c r="X29" s="1149">
        <f>ROUNDDOWN(IncomeLimits!AH27*0.3/12,0)</f>
        <v>1355</v>
      </c>
      <c r="Y29" s="89">
        <f>ROUNDDOWN(AVERAGE(IncomeLimits!AI27:'IncomeLimits'!AJ27)*0.3/12,0)</f>
        <v>1495</v>
      </c>
      <c r="Z29" s="78">
        <f>ROUNDDOWN(IncomeLimits!AL27*0.3/12, 0)</f>
        <v>981</v>
      </c>
      <c r="AA29" s="1149">
        <f>ROUNDDOWN(AVERAGE(IncomeLimits!AL27:'IncomeLimits'!AM27)*0.3/12, 0)</f>
        <v>1051</v>
      </c>
      <c r="AB29" s="1149">
        <f>ROUNDDOWN(IncomeLimits!AN27*0.3/12, 0)</f>
        <v>1261</v>
      </c>
      <c r="AC29" s="1149">
        <f>ROUNDDOWN(AVERAGE(IncomeLimits!AO27:'IncomeLimits'!AP27)*0.3/12,0)</f>
        <v>1458</v>
      </c>
      <c r="AD29" s="1149">
        <f>ROUNDDOWN(IncomeLimits!AQ27*0.3/12,0)</f>
        <v>1626</v>
      </c>
      <c r="AE29" s="89">
        <f>ROUNDDOWN(AVERAGE(IncomeLimits!AR27:'IncomeLimits'!AS27)*0.3/12,0)</f>
        <v>1794</v>
      </c>
      <c r="AF29" s="88">
        <f>ROUNDDOWN(IncomeLimits!AU27*0.3/12, 0)</f>
        <v>1144</v>
      </c>
      <c r="AG29" s="1149">
        <f>ROUNDDOWN(AVERAGE(IncomeLimits!AU27:'IncomeLimits'!AV27)*0.3/12, 0)</f>
        <v>1226</v>
      </c>
      <c r="AH29" s="1149">
        <f>ROUNDDOWN(IncomeLimits!AW27*0.3/12, 0)</f>
        <v>1471</v>
      </c>
      <c r="AI29" s="1149">
        <f>ROUNDDOWN(AVERAGE(IncomeLimits!AX27:'IncomeLimits'!AY27)*0.3/12,0)</f>
        <v>1701</v>
      </c>
      <c r="AJ29" s="1149">
        <f>ROUNDDOWN(IncomeLimits!AZ27*0.3/12,0)</f>
        <v>1897</v>
      </c>
      <c r="AK29" s="89">
        <f>ROUNDDOWN(AVERAGE(IncomeLimits!BA27:'IncomeLimits'!BB27)*0.3/12,0)</f>
        <v>2093</v>
      </c>
      <c r="AL29" s="78">
        <f>ROUNDDOWN(IncomeLimits!BD27*0.3/12, 0)</f>
        <v>1308</v>
      </c>
      <c r="AM29" s="1149">
        <f>ROUNDDOWN(AVERAGE(IncomeLimits!BD27:'IncomeLimits'!BE27)*0.3/12, 0)</f>
        <v>1402</v>
      </c>
      <c r="AN29" s="1149">
        <f>ROUNDDOWN(IncomeLimits!BF27*0.3/12, 0)</f>
        <v>1682</v>
      </c>
      <c r="AO29" s="1149">
        <f>ROUNDDOWN(AVERAGE(IncomeLimits!BG27:'IncomeLimits'!BH27)*0.3/12,0)</f>
        <v>1944</v>
      </c>
      <c r="AP29" s="1149">
        <f>ROUNDDOWN(IncomeLimits!BI27*0.3/12,0)</f>
        <v>2168</v>
      </c>
      <c r="AQ29" s="89">
        <f>ROUNDDOWN(AVERAGE(IncomeLimits!BJ27:'IncomeLimits'!BK27)*0.3/12,0)</f>
        <v>2393</v>
      </c>
    </row>
    <row r="30" spans="1:43">
      <c r="A30" s="90" t="s">
        <v>445</v>
      </c>
      <c r="B30" s="88">
        <f>ROUNDDOWN(IncomeLimits!B28*0.3/12, 0)</f>
        <v>312</v>
      </c>
      <c r="C30" s="1149">
        <f>ROUNDDOWN(AVERAGE(IncomeLimits!B28:C28)*0.3/12, 0)</f>
        <v>334</v>
      </c>
      <c r="D30" s="1149">
        <f>ROUNDDOWN(IncomeLimits!D28*0.3/12, 0)</f>
        <v>401</v>
      </c>
      <c r="E30" s="1149">
        <f>ROUNDDOWN(AVERAGE(IncomeLimits!E28:'IncomeLimits'!F28)*0.3/12,0)</f>
        <v>464</v>
      </c>
      <c r="F30" s="1149">
        <f>ROUNDDOWN(IncomeLimits!G28*0.3/12,0)</f>
        <v>517</v>
      </c>
      <c r="G30" s="79">
        <f>ROUNDDOWN(AVERAGE(IncomeLimits!H28:'IncomeLimits'!I28)*0.3/12,0)</f>
        <v>571</v>
      </c>
      <c r="H30" s="88">
        <f>ROUNDDOWN(IncomeLimits!K28*0.3/12, 0)</f>
        <v>468</v>
      </c>
      <c r="I30" s="1149">
        <f>ROUNDDOWN(AVERAGE(IncomeLimits!K28:'IncomeLimits'!L28)*0.3/12, 0)</f>
        <v>502</v>
      </c>
      <c r="J30" s="1149">
        <f>ROUNDDOWN(IncomeLimits!M28*0.3/12, 0)</f>
        <v>602</v>
      </c>
      <c r="K30" s="1149">
        <f>ROUNDDOWN(AVERAGE(IncomeLimits!N28:'IncomeLimits'!O28)*0.3/12,0)</f>
        <v>696</v>
      </c>
      <c r="L30" s="1149">
        <f>ROUNDDOWN(IncomeLimits!P28*0.3/12,0)</f>
        <v>776</v>
      </c>
      <c r="M30" s="89">
        <f>ROUNDDOWN(AVERAGE(IncomeLimits!Q28:'IncomeLimits'!R28)*0.3/12,0)</f>
        <v>856</v>
      </c>
      <c r="N30" s="78">
        <f>ROUNDDOWN(IncomeLimits!T28*0.3/12, 0)</f>
        <v>625</v>
      </c>
      <c r="O30" s="1149">
        <f>ROUNDDOWN(AVERAGE(IncomeLimits!T28:'IncomeLimits'!U28)*0.3/12, 0)</f>
        <v>669</v>
      </c>
      <c r="P30" s="1149">
        <f>ROUNDDOWN(IncomeLimits!V28*0.3/12, 0)</f>
        <v>803</v>
      </c>
      <c r="Q30" s="1149">
        <f>ROUNDDOWN(AVERAGE(IncomeLimits!W28:'IncomeLimits'!X28)*0.3/12,0)</f>
        <v>928</v>
      </c>
      <c r="R30" s="1149">
        <f>ROUNDDOWN(IncomeLimits!Y28*0.3/12,0)</f>
        <v>1035</v>
      </c>
      <c r="S30" s="79">
        <f>ROUNDDOWN(AVERAGE(IncomeLimits!Z28:'IncomeLimits'!AA28)*0.3/12,0)</f>
        <v>1142</v>
      </c>
      <c r="T30" s="88">
        <f>ROUNDDOWN(IncomeLimits!AC28*0.3/12, 0)</f>
        <v>781</v>
      </c>
      <c r="U30" s="1149">
        <f>ROUNDDOWN(AVERAGE(IncomeLimits!AC28:'IncomeLimits'!AD28)*0.3/12, 0)</f>
        <v>836</v>
      </c>
      <c r="V30" s="1149">
        <f>ROUNDDOWN(IncomeLimits!AE28*0.3/12, 0)</f>
        <v>1003</v>
      </c>
      <c r="W30" s="1149">
        <f>ROUNDDOWN(AVERAGE(IncomeLimits!AF28:AG28)*0.3/12,0)</f>
        <v>1160</v>
      </c>
      <c r="X30" s="1149">
        <f>ROUNDDOWN(IncomeLimits!AH28*0.3/12,0)</f>
        <v>1293</v>
      </c>
      <c r="Y30" s="89">
        <f>ROUNDDOWN(AVERAGE(IncomeLimits!AI28:'IncomeLimits'!AJ28)*0.3/12,0)</f>
        <v>1428</v>
      </c>
      <c r="Z30" s="78">
        <f>ROUNDDOWN(IncomeLimits!AL28*0.3/12, 0)</f>
        <v>937</v>
      </c>
      <c r="AA30" s="1149">
        <f>ROUNDDOWN(AVERAGE(IncomeLimits!AL28:'IncomeLimits'!AM28)*0.3/12, 0)</f>
        <v>1004</v>
      </c>
      <c r="AB30" s="1149">
        <f>ROUNDDOWN(IncomeLimits!AN28*0.3/12, 0)</f>
        <v>1204</v>
      </c>
      <c r="AC30" s="1149">
        <f>ROUNDDOWN(AVERAGE(IncomeLimits!AO28:'IncomeLimits'!AP28)*0.3/12,0)</f>
        <v>1392</v>
      </c>
      <c r="AD30" s="1149">
        <f>ROUNDDOWN(IncomeLimits!AQ28*0.3/12,0)</f>
        <v>1552</v>
      </c>
      <c r="AE30" s="89">
        <f>ROUNDDOWN(AVERAGE(IncomeLimits!AR28:'IncomeLimits'!AS28)*0.3/12,0)</f>
        <v>1713</v>
      </c>
      <c r="AF30" s="88">
        <f>ROUNDDOWN(IncomeLimits!AU28*0.3/12, 0)</f>
        <v>1093</v>
      </c>
      <c r="AG30" s="1149">
        <f>ROUNDDOWN(AVERAGE(IncomeLimits!AU28:'IncomeLimits'!AV28)*0.3/12, 0)</f>
        <v>1171</v>
      </c>
      <c r="AH30" s="1149">
        <f>ROUNDDOWN(IncomeLimits!AW28*0.3/12, 0)</f>
        <v>1405</v>
      </c>
      <c r="AI30" s="1149">
        <f>ROUNDDOWN(AVERAGE(IncomeLimits!AX28:'IncomeLimits'!AY28)*0.3/12,0)</f>
        <v>1624</v>
      </c>
      <c r="AJ30" s="1149">
        <f>ROUNDDOWN(IncomeLimits!AZ28*0.3/12,0)</f>
        <v>1811</v>
      </c>
      <c r="AK30" s="89">
        <f>ROUNDDOWN(AVERAGE(IncomeLimits!BA28:'IncomeLimits'!BB28)*0.3/12,0)</f>
        <v>1999</v>
      </c>
      <c r="AL30" s="78">
        <f>ROUNDDOWN(IncomeLimits!BD28*0.3/12, 0)</f>
        <v>1250</v>
      </c>
      <c r="AM30" s="1149">
        <f>ROUNDDOWN(AVERAGE(IncomeLimits!BD28:'IncomeLimits'!BE28)*0.3/12, 0)</f>
        <v>1339</v>
      </c>
      <c r="AN30" s="1149">
        <f>ROUNDDOWN(IncomeLimits!BF28*0.3/12, 0)</f>
        <v>1606</v>
      </c>
      <c r="AO30" s="1149">
        <f>ROUNDDOWN(AVERAGE(IncomeLimits!BG28:'IncomeLimits'!BH28)*0.3/12,0)</f>
        <v>1856</v>
      </c>
      <c r="AP30" s="1149">
        <f>ROUNDDOWN(IncomeLimits!BI28*0.3/12,0)</f>
        <v>2070</v>
      </c>
      <c r="AQ30" s="89">
        <f>ROUNDDOWN(AVERAGE(IncomeLimits!BJ28:'IncomeLimits'!BK28)*0.3/12,0)</f>
        <v>2285</v>
      </c>
    </row>
    <row r="31" spans="1:43">
      <c r="A31" s="90" t="s">
        <v>390</v>
      </c>
      <c r="B31" s="88">
        <f>ROUNDDOWN(IncomeLimits!B29*0.3/12, 0)</f>
        <v>364</v>
      </c>
      <c r="C31" s="1149">
        <f>ROUNDDOWN(AVERAGE(IncomeLimits!B29:C29)*0.3/12, 0)</f>
        <v>390</v>
      </c>
      <c r="D31" s="1149">
        <f>ROUNDDOWN(IncomeLimits!D29*0.3/12, 0)</f>
        <v>468</v>
      </c>
      <c r="E31" s="1149">
        <f>ROUNDDOWN(AVERAGE(IncomeLimits!E29:'IncomeLimits'!F29)*0.3/12,0)</f>
        <v>541</v>
      </c>
      <c r="F31" s="1149">
        <f>ROUNDDOWN(IncomeLimits!G29*0.3/12,0)</f>
        <v>603</v>
      </c>
      <c r="G31" s="79">
        <f>ROUNDDOWN(AVERAGE(IncomeLimits!H29:'IncomeLimits'!I29)*0.3/12,0)</f>
        <v>665</v>
      </c>
      <c r="H31" s="88">
        <f>ROUNDDOWN(IncomeLimits!K29*0.3/12, 0)</f>
        <v>546</v>
      </c>
      <c r="I31" s="1149">
        <f>ROUNDDOWN(AVERAGE(IncomeLimits!K29:'IncomeLimits'!L29)*0.3/12, 0)</f>
        <v>585</v>
      </c>
      <c r="J31" s="1149">
        <f>ROUNDDOWN(IncomeLimits!M29*0.3/12, 0)</f>
        <v>702</v>
      </c>
      <c r="K31" s="1149">
        <f>ROUNDDOWN(AVERAGE(IncomeLimits!N29:'IncomeLimits'!O29)*0.3/12,0)</f>
        <v>811</v>
      </c>
      <c r="L31" s="1149">
        <f>ROUNDDOWN(IncomeLimits!P29*0.3/12,0)</f>
        <v>905</v>
      </c>
      <c r="M31" s="89">
        <f>ROUNDDOWN(AVERAGE(IncomeLimits!Q29:'IncomeLimits'!R29)*0.3/12,0)</f>
        <v>998</v>
      </c>
      <c r="N31" s="78">
        <f>ROUNDDOWN(IncomeLimits!T29*0.3/12, 0)</f>
        <v>728</v>
      </c>
      <c r="O31" s="1149">
        <f>ROUNDDOWN(AVERAGE(IncomeLimits!T29:'IncomeLimits'!U29)*0.3/12, 0)</f>
        <v>780</v>
      </c>
      <c r="P31" s="1149">
        <f>ROUNDDOWN(IncomeLimits!V29*0.3/12, 0)</f>
        <v>936</v>
      </c>
      <c r="Q31" s="1149">
        <f>ROUNDDOWN(AVERAGE(IncomeLimits!W29:'IncomeLimits'!X29)*0.3/12,0)</f>
        <v>1082</v>
      </c>
      <c r="R31" s="1149">
        <f>ROUNDDOWN(IncomeLimits!Y29*0.3/12,0)</f>
        <v>1207</v>
      </c>
      <c r="S31" s="79">
        <f>ROUNDDOWN(AVERAGE(IncomeLimits!Z29:'IncomeLimits'!AA29)*0.3/12,0)</f>
        <v>1331</v>
      </c>
      <c r="T31" s="88">
        <f>ROUNDDOWN(IncomeLimits!AC29*0.3/12, 0)</f>
        <v>910</v>
      </c>
      <c r="U31" s="1149">
        <f>ROUNDDOWN(AVERAGE(IncomeLimits!AC29:'IncomeLimits'!AD29)*0.3/12, 0)</f>
        <v>975</v>
      </c>
      <c r="V31" s="1149">
        <f>ROUNDDOWN(IncomeLimits!AE29*0.3/12, 0)</f>
        <v>1170</v>
      </c>
      <c r="W31" s="1149">
        <f>ROUNDDOWN(AVERAGE(IncomeLimits!AF29:AG29)*0.3/12,0)</f>
        <v>1352</v>
      </c>
      <c r="X31" s="1149">
        <f>ROUNDDOWN(IncomeLimits!AH29*0.3/12,0)</f>
        <v>1508</v>
      </c>
      <c r="Y31" s="89">
        <f>ROUNDDOWN(AVERAGE(IncomeLimits!AI29:'IncomeLimits'!AJ29)*0.3/12,0)</f>
        <v>1664</v>
      </c>
      <c r="Z31" s="78">
        <f>ROUNDDOWN(IncomeLimits!AL29*0.3/12, 0)</f>
        <v>1092</v>
      </c>
      <c r="AA31" s="1149">
        <f>ROUNDDOWN(AVERAGE(IncomeLimits!AL29:'IncomeLimits'!AM29)*0.3/12, 0)</f>
        <v>1170</v>
      </c>
      <c r="AB31" s="1149">
        <f>ROUNDDOWN(IncomeLimits!AN29*0.3/12, 0)</f>
        <v>1404</v>
      </c>
      <c r="AC31" s="1149">
        <f>ROUNDDOWN(AVERAGE(IncomeLimits!AO29:'IncomeLimits'!AP29)*0.3/12,0)</f>
        <v>1623</v>
      </c>
      <c r="AD31" s="1149">
        <f>ROUNDDOWN(IncomeLimits!AQ29*0.3/12,0)</f>
        <v>1810</v>
      </c>
      <c r="AE31" s="89">
        <f>ROUNDDOWN(AVERAGE(IncomeLimits!AR29:'IncomeLimits'!AS29)*0.3/12,0)</f>
        <v>1997</v>
      </c>
      <c r="AF31" s="88">
        <f>ROUNDDOWN(IncomeLimits!AU29*0.3/12, 0)</f>
        <v>1274</v>
      </c>
      <c r="AG31" s="1149">
        <f>ROUNDDOWN(AVERAGE(IncomeLimits!AU29:'IncomeLimits'!AV29)*0.3/12, 0)</f>
        <v>1365</v>
      </c>
      <c r="AH31" s="1149">
        <f>ROUNDDOWN(IncomeLimits!AW29*0.3/12, 0)</f>
        <v>1638</v>
      </c>
      <c r="AI31" s="1149">
        <f>ROUNDDOWN(AVERAGE(IncomeLimits!AX29:'IncomeLimits'!AY29)*0.3/12,0)</f>
        <v>1893</v>
      </c>
      <c r="AJ31" s="1149">
        <f>ROUNDDOWN(IncomeLimits!AZ29*0.3/12,0)</f>
        <v>2112</v>
      </c>
      <c r="AK31" s="89">
        <f>ROUNDDOWN(AVERAGE(IncomeLimits!BA29:'IncomeLimits'!BB29)*0.3/12,0)</f>
        <v>2330</v>
      </c>
      <c r="AL31" s="78">
        <f>ROUNDDOWN(IncomeLimits!BD29*0.3/12, 0)</f>
        <v>1456</v>
      </c>
      <c r="AM31" s="1149">
        <f>ROUNDDOWN(AVERAGE(IncomeLimits!BD29:'IncomeLimits'!BE29)*0.3/12, 0)</f>
        <v>1560</v>
      </c>
      <c r="AN31" s="1149">
        <f>ROUNDDOWN(IncomeLimits!BF29*0.3/12, 0)</f>
        <v>1872</v>
      </c>
      <c r="AO31" s="1149">
        <f>ROUNDDOWN(AVERAGE(IncomeLimits!BG29:'IncomeLimits'!BH29)*0.3/12,0)</f>
        <v>2164</v>
      </c>
      <c r="AP31" s="1149">
        <f>ROUNDDOWN(IncomeLimits!BI29*0.3/12,0)</f>
        <v>2414</v>
      </c>
      <c r="AQ31" s="89">
        <f>ROUNDDOWN(AVERAGE(IncomeLimits!BJ29:'IncomeLimits'!BK29)*0.3/12,0)</f>
        <v>2663</v>
      </c>
    </row>
    <row r="32" spans="1:43">
      <c r="A32" s="90" t="s">
        <v>393</v>
      </c>
      <c r="B32" s="88">
        <f>ROUNDDOWN(IncomeLimits!B30*0.3/12, 0)</f>
        <v>357</v>
      </c>
      <c r="C32" s="1149">
        <f>ROUNDDOWN(AVERAGE(IncomeLimits!B30:C30)*0.3/12, 0)</f>
        <v>383</v>
      </c>
      <c r="D32" s="1149">
        <f>ROUNDDOWN(IncomeLimits!D30*0.3/12, 0)</f>
        <v>459</v>
      </c>
      <c r="E32" s="1149">
        <f>ROUNDDOWN(AVERAGE(IncomeLimits!E30:'IncomeLimits'!F30)*0.3/12,0)</f>
        <v>531</v>
      </c>
      <c r="F32" s="1149">
        <f>ROUNDDOWN(IncomeLimits!G30*0.3/12,0)</f>
        <v>592</v>
      </c>
      <c r="G32" s="79">
        <f>ROUNDDOWN(AVERAGE(IncomeLimits!H30:'IncomeLimits'!I30)*0.3/12,0)</f>
        <v>653</v>
      </c>
      <c r="H32" s="88">
        <f>ROUNDDOWN(IncomeLimits!K30*0.3/12, 0)</f>
        <v>536</v>
      </c>
      <c r="I32" s="1149">
        <f>ROUNDDOWN(AVERAGE(IncomeLimits!K30:'IncomeLimits'!L30)*0.3/12, 0)</f>
        <v>574</v>
      </c>
      <c r="J32" s="1149">
        <f>ROUNDDOWN(IncomeLimits!M30*0.3/12, 0)</f>
        <v>689</v>
      </c>
      <c r="K32" s="1149">
        <f>ROUNDDOWN(AVERAGE(IncomeLimits!N30:'IncomeLimits'!O30)*0.3/12,0)</f>
        <v>796</v>
      </c>
      <c r="L32" s="1149">
        <f>ROUNDDOWN(IncomeLimits!P30*0.3/12,0)</f>
        <v>888</v>
      </c>
      <c r="M32" s="89">
        <f>ROUNDDOWN(AVERAGE(IncomeLimits!Q30:'IncomeLimits'!R30)*0.3/12,0)</f>
        <v>980</v>
      </c>
      <c r="N32" s="78">
        <f>ROUNDDOWN(IncomeLimits!T30*0.3/12, 0)</f>
        <v>715</v>
      </c>
      <c r="O32" s="1149">
        <f>ROUNDDOWN(AVERAGE(IncomeLimits!T30:'IncomeLimits'!U30)*0.3/12, 0)</f>
        <v>766</v>
      </c>
      <c r="P32" s="1149">
        <f>ROUNDDOWN(IncomeLimits!V30*0.3/12, 0)</f>
        <v>919</v>
      </c>
      <c r="Q32" s="1149">
        <f>ROUNDDOWN(AVERAGE(IncomeLimits!W30:'IncomeLimits'!X30)*0.3/12,0)</f>
        <v>1062</v>
      </c>
      <c r="R32" s="1149">
        <f>ROUNDDOWN(IncomeLimits!Y30*0.3/12,0)</f>
        <v>1185</v>
      </c>
      <c r="S32" s="79">
        <f>ROUNDDOWN(AVERAGE(IncomeLimits!Z30:'IncomeLimits'!AA30)*0.3/12,0)</f>
        <v>1307</v>
      </c>
      <c r="T32" s="88">
        <f>ROUNDDOWN(IncomeLimits!AC30*0.3/12, 0)</f>
        <v>893</v>
      </c>
      <c r="U32" s="1149">
        <f>ROUNDDOWN(AVERAGE(IncomeLimits!AC30:'IncomeLimits'!AD30)*0.3/12, 0)</f>
        <v>957</v>
      </c>
      <c r="V32" s="1149">
        <f>ROUNDDOWN(IncomeLimits!AE30*0.3/12, 0)</f>
        <v>1148</v>
      </c>
      <c r="W32" s="1149">
        <f>ROUNDDOWN(AVERAGE(IncomeLimits!AF30:AG30)*0.3/12,0)</f>
        <v>1327</v>
      </c>
      <c r="X32" s="1149">
        <f>ROUNDDOWN(IncomeLimits!AH30*0.3/12,0)</f>
        <v>1481</v>
      </c>
      <c r="Y32" s="89">
        <f>ROUNDDOWN(AVERAGE(IncomeLimits!AI30:'IncomeLimits'!AJ30)*0.3/12,0)</f>
        <v>1634</v>
      </c>
      <c r="Z32" s="78">
        <f>ROUNDDOWN(IncomeLimits!AL30*0.3/12, 0)</f>
        <v>1072</v>
      </c>
      <c r="AA32" s="1149">
        <f>ROUNDDOWN(AVERAGE(IncomeLimits!AL30:'IncomeLimits'!AM30)*0.3/12, 0)</f>
        <v>1149</v>
      </c>
      <c r="AB32" s="1149">
        <f>ROUNDDOWN(IncomeLimits!AN30*0.3/12, 0)</f>
        <v>1378</v>
      </c>
      <c r="AC32" s="1149">
        <f>ROUNDDOWN(AVERAGE(IncomeLimits!AO30:'IncomeLimits'!AP30)*0.3/12,0)</f>
        <v>1593</v>
      </c>
      <c r="AD32" s="1149">
        <f>ROUNDDOWN(IncomeLimits!AQ30*0.3/12,0)</f>
        <v>1777</v>
      </c>
      <c r="AE32" s="89">
        <f>ROUNDDOWN(AVERAGE(IncomeLimits!AR30:'IncomeLimits'!AS30)*0.3/12,0)</f>
        <v>1961</v>
      </c>
      <c r="AF32" s="88">
        <f>ROUNDDOWN(IncomeLimits!AU30*0.3/12, 0)</f>
        <v>1251</v>
      </c>
      <c r="AG32" s="1149">
        <f>ROUNDDOWN(AVERAGE(IncomeLimits!AU30:'IncomeLimits'!AV30)*0.3/12, 0)</f>
        <v>1340</v>
      </c>
      <c r="AH32" s="1149">
        <f>ROUNDDOWN(IncomeLimits!AW30*0.3/12, 0)</f>
        <v>1608</v>
      </c>
      <c r="AI32" s="1149">
        <f>ROUNDDOWN(AVERAGE(IncomeLimits!AX30:'IncomeLimits'!AY30)*0.3/12,0)</f>
        <v>1858</v>
      </c>
      <c r="AJ32" s="1149">
        <f>ROUNDDOWN(IncomeLimits!AZ30*0.3/12,0)</f>
        <v>2073</v>
      </c>
      <c r="AK32" s="89">
        <f>ROUNDDOWN(AVERAGE(IncomeLimits!BA30:'IncomeLimits'!BB30)*0.3/12,0)</f>
        <v>2288</v>
      </c>
      <c r="AL32" s="78">
        <f>ROUNDDOWN(IncomeLimits!BD30*0.3/12, 0)</f>
        <v>1430</v>
      </c>
      <c r="AM32" s="1149">
        <f>ROUNDDOWN(AVERAGE(IncomeLimits!BD30:'IncomeLimits'!BE30)*0.3/12, 0)</f>
        <v>1532</v>
      </c>
      <c r="AN32" s="1149">
        <f>ROUNDDOWN(IncomeLimits!BF30*0.3/12, 0)</f>
        <v>1838</v>
      </c>
      <c r="AO32" s="1149">
        <f>ROUNDDOWN(AVERAGE(IncomeLimits!BG30:'IncomeLimits'!BH30)*0.3/12,0)</f>
        <v>2124</v>
      </c>
      <c r="AP32" s="1149">
        <f>ROUNDDOWN(IncomeLimits!BI30*0.3/12,0)</f>
        <v>2370</v>
      </c>
      <c r="AQ32" s="89">
        <f>ROUNDDOWN(AVERAGE(IncomeLimits!BJ30:'IncomeLimits'!BK30)*0.3/12,0)</f>
        <v>2615</v>
      </c>
    </row>
    <row r="33" spans="1:43">
      <c r="A33" s="90" t="s">
        <v>449</v>
      </c>
      <c r="B33" s="88">
        <f>ROUNDDOWN(IncomeLimits!B31*0.3/12, 0)</f>
        <v>311</v>
      </c>
      <c r="C33" s="1149">
        <f>ROUNDDOWN(AVERAGE(IncomeLimits!B31:C31)*0.3/12, 0)</f>
        <v>333</v>
      </c>
      <c r="D33" s="1149">
        <f>ROUNDDOWN(IncomeLimits!D31*0.3/12, 0)</f>
        <v>400</v>
      </c>
      <c r="E33" s="1149">
        <f>ROUNDDOWN(AVERAGE(IncomeLimits!E31:'IncomeLimits'!F31)*0.3/12,0)</f>
        <v>463</v>
      </c>
      <c r="F33" s="1149">
        <f>ROUNDDOWN(IncomeLimits!G31*0.3/12,0)</f>
        <v>516</v>
      </c>
      <c r="G33" s="79">
        <f>ROUNDDOWN(AVERAGE(IncomeLimits!H31:'IncomeLimits'!I31)*0.3/12,0)</f>
        <v>569</v>
      </c>
      <c r="H33" s="88">
        <f>ROUNDDOWN(IncomeLimits!K31*0.3/12, 0)</f>
        <v>467</v>
      </c>
      <c r="I33" s="1149">
        <f>ROUNDDOWN(AVERAGE(IncomeLimits!K31:'IncomeLimits'!L31)*0.3/12, 0)</f>
        <v>500</v>
      </c>
      <c r="J33" s="1149">
        <f>ROUNDDOWN(IncomeLimits!M31*0.3/12, 0)</f>
        <v>600</v>
      </c>
      <c r="K33" s="1149">
        <f>ROUNDDOWN(AVERAGE(IncomeLimits!N31:'IncomeLimits'!O31)*0.3/12,0)</f>
        <v>694</v>
      </c>
      <c r="L33" s="1149">
        <f>ROUNDDOWN(IncomeLimits!P31*0.3/12,0)</f>
        <v>774</v>
      </c>
      <c r="M33" s="89">
        <f>ROUNDDOWN(AVERAGE(IncomeLimits!Q31:'IncomeLimits'!R31)*0.3/12,0)</f>
        <v>854</v>
      </c>
      <c r="N33" s="78">
        <f>ROUNDDOWN(IncomeLimits!T31*0.3/12, 0)</f>
        <v>623</v>
      </c>
      <c r="O33" s="1149">
        <f>ROUNDDOWN(AVERAGE(IncomeLimits!T31:'IncomeLimits'!U31)*0.3/12, 0)</f>
        <v>667</v>
      </c>
      <c r="P33" s="1149">
        <f>ROUNDDOWN(IncomeLimits!V31*0.3/12, 0)</f>
        <v>801</v>
      </c>
      <c r="Q33" s="1149">
        <f>ROUNDDOWN(AVERAGE(IncomeLimits!W31:'IncomeLimits'!X31)*0.3/12,0)</f>
        <v>926</v>
      </c>
      <c r="R33" s="1149">
        <f>ROUNDDOWN(IncomeLimits!Y31*0.3/12,0)</f>
        <v>1033</v>
      </c>
      <c r="S33" s="79">
        <f>ROUNDDOWN(AVERAGE(IncomeLimits!Z31:'IncomeLimits'!AA31)*0.3/12,0)</f>
        <v>1139</v>
      </c>
      <c r="T33" s="88">
        <f>ROUNDDOWN(IncomeLimits!AC31*0.3/12, 0)</f>
        <v>778</v>
      </c>
      <c r="U33" s="1149">
        <f>ROUNDDOWN(AVERAGE(IncomeLimits!AC31:'IncomeLimits'!AD31)*0.3/12, 0)</f>
        <v>834</v>
      </c>
      <c r="V33" s="1149">
        <f>ROUNDDOWN(IncomeLimits!AE31*0.3/12, 0)</f>
        <v>1001</v>
      </c>
      <c r="W33" s="1149">
        <f>ROUNDDOWN(AVERAGE(IncomeLimits!AF31:AG31)*0.3/12,0)</f>
        <v>1157</v>
      </c>
      <c r="X33" s="1149">
        <f>ROUNDDOWN(IncomeLimits!AH31*0.3/12,0)</f>
        <v>1291</v>
      </c>
      <c r="Y33" s="89">
        <f>ROUNDDOWN(AVERAGE(IncomeLimits!AI31:'IncomeLimits'!AJ31)*0.3/12,0)</f>
        <v>1424</v>
      </c>
      <c r="Z33" s="78">
        <f>ROUNDDOWN(IncomeLimits!AL31*0.3/12, 0)</f>
        <v>934</v>
      </c>
      <c r="AA33" s="1149">
        <f>ROUNDDOWN(AVERAGE(IncomeLimits!AL31:'IncomeLimits'!AM31)*0.3/12, 0)</f>
        <v>1001</v>
      </c>
      <c r="AB33" s="1149">
        <f>ROUNDDOWN(IncomeLimits!AN31*0.3/12, 0)</f>
        <v>1201</v>
      </c>
      <c r="AC33" s="1149">
        <f>ROUNDDOWN(AVERAGE(IncomeLimits!AO31:'IncomeLimits'!AP31)*0.3/12,0)</f>
        <v>1389</v>
      </c>
      <c r="AD33" s="1149">
        <f>ROUNDDOWN(IncomeLimits!AQ31*0.3/12,0)</f>
        <v>1549</v>
      </c>
      <c r="AE33" s="89">
        <f>ROUNDDOWN(AVERAGE(IncomeLimits!AR31:'IncomeLimits'!AS31)*0.3/12,0)</f>
        <v>1709</v>
      </c>
      <c r="AF33" s="88">
        <f>ROUNDDOWN(IncomeLimits!AU31*0.3/12, 0)</f>
        <v>1090</v>
      </c>
      <c r="AG33" s="1149">
        <f>ROUNDDOWN(AVERAGE(IncomeLimits!AU31:'IncomeLimits'!AV31)*0.3/12, 0)</f>
        <v>1168</v>
      </c>
      <c r="AH33" s="1149">
        <f>ROUNDDOWN(IncomeLimits!AW31*0.3/12, 0)</f>
        <v>1401</v>
      </c>
      <c r="AI33" s="1149">
        <f>ROUNDDOWN(AVERAGE(IncomeLimits!AX31:'IncomeLimits'!AY31)*0.3/12,0)</f>
        <v>1620</v>
      </c>
      <c r="AJ33" s="1149">
        <f>ROUNDDOWN(IncomeLimits!AZ31*0.3/12,0)</f>
        <v>1807</v>
      </c>
      <c r="AK33" s="89">
        <f>ROUNDDOWN(AVERAGE(IncomeLimits!BA31:'IncomeLimits'!BB31)*0.3/12,0)</f>
        <v>1994</v>
      </c>
      <c r="AL33" s="78">
        <f>ROUNDDOWN(IncomeLimits!BD31*0.3/12, 0)</f>
        <v>1246</v>
      </c>
      <c r="AM33" s="1149">
        <f>ROUNDDOWN(AVERAGE(IncomeLimits!BD31:'IncomeLimits'!BE31)*0.3/12, 0)</f>
        <v>1335</v>
      </c>
      <c r="AN33" s="1149">
        <f>ROUNDDOWN(IncomeLimits!BF31*0.3/12, 0)</f>
        <v>1602</v>
      </c>
      <c r="AO33" s="1149">
        <f>ROUNDDOWN(AVERAGE(IncomeLimits!BG31:'IncomeLimits'!BH31)*0.3/12,0)</f>
        <v>1852</v>
      </c>
      <c r="AP33" s="1149">
        <f>ROUNDDOWN(IncomeLimits!BI31*0.3/12,0)</f>
        <v>2066</v>
      </c>
      <c r="AQ33" s="89">
        <f>ROUNDDOWN(AVERAGE(IncomeLimits!BJ31:'IncomeLimits'!BK31)*0.3/12,0)</f>
        <v>2279</v>
      </c>
    </row>
    <row r="34" spans="1:43">
      <c r="A34" s="90" t="s">
        <v>395</v>
      </c>
      <c r="B34" s="88">
        <f>ROUNDDOWN(IncomeLimits!B32*0.3/12, 0)</f>
        <v>435</v>
      </c>
      <c r="C34" s="1149">
        <f>ROUNDDOWN(AVERAGE(IncomeLimits!B32:C32)*0.3/12, 0)</f>
        <v>466</v>
      </c>
      <c r="D34" s="1149">
        <f>ROUNDDOWN(IncomeLimits!D32*0.3/12, 0)</f>
        <v>559</v>
      </c>
      <c r="E34" s="1149">
        <f>ROUNDDOWN(AVERAGE(IncomeLimits!E32:'IncomeLimits'!F32)*0.3/12,0)</f>
        <v>646</v>
      </c>
      <c r="F34" s="1149">
        <f>ROUNDDOWN(IncomeLimits!G32*0.3/12,0)</f>
        <v>720</v>
      </c>
      <c r="G34" s="79">
        <f>ROUNDDOWN(AVERAGE(IncomeLimits!H32:'IncomeLimits'!I32)*0.3/12,0)</f>
        <v>795</v>
      </c>
      <c r="H34" s="88">
        <f>ROUNDDOWN(IncomeLimits!K32*0.3/12, 0)</f>
        <v>652</v>
      </c>
      <c r="I34" s="1149">
        <f>ROUNDDOWN(AVERAGE(IncomeLimits!K32:'IncomeLimits'!L32)*0.3/12, 0)</f>
        <v>699</v>
      </c>
      <c r="J34" s="1149">
        <f>ROUNDDOWN(IncomeLimits!M32*0.3/12, 0)</f>
        <v>838</v>
      </c>
      <c r="K34" s="1149">
        <f>ROUNDDOWN(AVERAGE(IncomeLimits!N32:'IncomeLimits'!O32)*0.3/12,0)</f>
        <v>969</v>
      </c>
      <c r="L34" s="1149">
        <f>ROUNDDOWN(IncomeLimits!P32*0.3/12,0)</f>
        <v>1080</v>
      </c>
      <c r="M34" s="89">
        <f>ROUNDDOWN(AVERAGE(IncomeLimits!Q32:'IncomeLimits'!R32)*0.3/12,0)</f>
        <v>1192</v>
      </c>
      <c r="N34" s="78">
        <f>ROUNDDOWN(IncomeLimits!T32*0.3/12, 0)</f>
        <v>870</v>
      </c>
      <c r="O34" s="1149">
        <f>ROUNDDOWN(AVERAGE(IncomeLimits!T32:'IncomeLimits'!U32)*0.3/12, 0)</f>
        <v>932</v>
      </c>
      <c r="P34" s="1149">
        <f>ROUNDDOWN(IncomeLimits!V32*0.3/12, 0)</f>
        <v>1118</v>
      </c>
      <c r="Q34" s="1149">
        <f>ROUNDDOWN(AVERAGE(IncomeLimits!W32:'IncomeLimits'!X32)*0.3/12,0)</f>
        <v>1292</v>
      </c>
      <c r="R34" s="1149">
        <f>ROUNDDOWN(IncomeLimits!Y32*0.3/12,0)</f>
        <v>1441</v>
      </c>
      <c r="S34" s="79">
        <f>ROUNDDOWN(AVERAGE(IncomeLimits!Z32:'IncomeLimits'!AA32)*0.3/12,0)</f>
        <v>1590</v>
      </c>
      <c r="T34" s="88">
        <f>ROUNDDOWN(IncomeLimits!AC32*0.3/12, 0)</f>
        <v>1087</v>
      </c>
      <c r="U34" s="1149">
        <f>ROUNDDOWN(AVERAGE(IncomeLimits!AC32:'IncomeLimits'!AD32)*0.3/12, 0)</f>
        <v>1165</v>
      </c>
      <c r="V34" s="1149">
        <f>ROUNDDOWN(IncomeLimits!AE32*0.3/12, 0)</f>
        <v>1397</v>
      </c>
      <c r="W34" s="1149">
        <f>ROUNDDOWN(AVERAGE(IncomeLimits!AF32:AG32)*0.3/12,0)</f>
        <v>1615</v>
      </c>
      <c r="X34" s="1149">
        <f>ROUNDDOWN(IncomeLimits!AH32*0.3/12,0)</f>
        <v>1801</v>
      </c>
      <c r="Y34" s="89">
        <f>ROUNDDOWN(AVERAGE(IncomeLimits!AI32:'IncomeLimits'!AJ32)*0.3/12,0)</f>
        <v>1988</v>
      </c>
      <c r="Z34" s="78">
        <f>ROUNDDOWN(IncomeLimits!AL32*0.3/12, 0)</f>
        <v>1305</v>
      </c>
      <c r="AA34" s="1149">
        <f>ROUNDDOWN(AVERAGE(IncomeLimits!AL32:'IncomeLimits'!AM32)*0.3/12, 0)</f>
        <v>1398</v>
      </c>
      <c r="AB34" s="1149">
        <f>ROUNDDOWN(IncomeLimits!AN32*0.3/12, 0)</f>
        <v>1677</v>
      </c>
      <c r="AC34" s="1149">
        <f>ROUNDDOWN(AVERAGE(IncomeLimits!AO32:'IncomeLimits'!AP32)*0.3/12,0)</f>
        <v>1938</v>
      </c>
      <c r="AD34" s="1149">
        <f>ROUNDDOWN(IncomeLimits!AQ32*0.3/12,0)</f>
        <v>2161</v>
      </c>
      <c r="AE34" s="89">
        <f>ROUNDDOWN(AVERAGE(IncomeLimits!AR32:'IncomeLimits'!AS32)*0.3/12,0)</f>
        <v>2385</v>
      </c>
      <c r="AF34" s="88">
        <f>ROUNDDOWN(IncomeLimits!AU32*0.3/12, 0)</f>
        <v>1522</v>
      </c>
      <c r="AG34" s="1149">
        <f>ROUNDDOWN(AVERAGE(IncomeLimits!AU32:'IncomeLimits'!AV32)*0.3/12, 0)</f>
        <v>1631</v>
      </c>
      <c r="AH34" s="1149">
        <f>ROUNDDOWN(IncomeLimits!AW32*0.3/12, 0)</f>
        <v>1956</v>
      </c>
      <c r="AI34" s="1149">
        <f>ROUNDDOWN(AVERAGE(IncomeLimits!AX32:'IncomeLimits'!AY32)*0.3/12,0)</f>
        <v>2261</v>
      </c>
      <c r="AJ34" s="1149">
        <f>ROUNDDOWN(IncomeLimits!AZ32*0.3/12,0)</f>
        <v>2521</v>
      </c>
      <c r="AK34" s="89">
        <f>ROUNDDOWN(AVERAGE(IncomeLimits!BA32:'IncomeLimits'!BB32)*0.3/12,0)</f>
        <v>2783</v>
      </c>
      <c r="AL34" s="78">
        <f>ROUNDDOWN(IncomeLimits!BD32*0.3/12, 0)</f>
        <v>1740</v>
      </c>
      <c r="AM34" s="1149">
        <f>ROUNDDOWN(AVERAGE(IncomeLimits!BD32:'IncomeLimits'!BE32)*0.3/12, 0)</f>
        <v>1864</v>
      </c>
      <c r="AN34" s="1149">
        <f>ROUNDDOWN(IncomeLimits!BF32*0.3/12, 0)</f>
        <v>2236</v>
      </c>
      <c r="AO34" s="1149">
        <f>ROUNDDOWN(AVERAGE(IncomeLimits!BG32:'IncomeLimits'!BH32)*0.3/12,0)</f>
        <v>2584</v>
      </c>
      <c r="AP34" s="1149">
        <f>ROUNDDOWN(IncomeLimits!BI32*0.3/12,0)</f>
        <v>2882</v>
      </c>
      <c r="AQ34" s="89">
        <f>ROUNDDOWN(AVERAGE(IncomeLimits!BJ32:'IncomeLimits'!BK32)*0.3/12,0)</f>
        <v>3181</v>
      </c>
    </row>
    <row r="35" spans="1:43">
      <c r="A35" s="90" t="s">
        <v>452</v>
      </c>
      <c r="B35" s="88">
        <f>ROUNDDOWN(IncomeLimits!B33*0.3/12, 0)</f>
        <v>322</v>
      </c>
      <c r="C35" s="1149">
        <f>ROUNDDOWN(AVERAGE(IncomeLimits!B33:C33)*0.3/12, 0)</f>
        <v>345</v>
      </c>
      <c r="D35" s="1149">
        <f>ROUNDDOWN(IncomeLimits!D33*0.3/12, 0)</f>
        <v>414</v>
      </c>
      <c r="E35" s="1149">
        <f>ROUNDDOWN(AVERAGE(IncomeLimits!E33:'IncomeLimits'!F33)*0.3/12,0)</f>
        <v>478</v>
      </c>
      <c r="F35" s="1149">
        <f>ROUNDDOWN(IncomeLimits!G33*0.3/12,0)</f>
        <v>534</v>
      </c>
      <c r="G35" s="79">
        <f>ROUNDDOWN(AVERAGE(IncomeLimits!H33:'IncomeLimits'!I33)*0.3/12,0)</f>
        <v>589</v>
      </c>
      <c r="H35" s="88">
        <f>ROUNDDOWN(IncomeLimits!K33*0.3/12, 0)</f>
        <v>483</v>
      </c>
      <c r="I35" s="1149">
        <f>ROUNDDOWN(AVERAGE(IncomeLimits!K33:'IncomeLimits'!L33)*0.3/12, 0)</f>
        <v>517</v>
      </c>
      <c r="J35" s="1149">
        <f>ROUNDDOWN(IncomeLimits!M33*0.3/12, 0)</f>
        <v>621</v>
      </c>
      <c r="K35" s="1149">
        <f>ROUNDDOWN(AVERAGE(IncomeLimits!N33:'IncomeLimits'!O33)*0.3/12,0)</f>
        <v>717</v>
      </c>
      <c r="L35" s="1149">
        <f>ROUNDDOWN(IncomeLimits!P33*0.3/12,0)</f>
        <v>801</v>
      </c>
      <c r="M35" s="89">
        <f>ROUNDDOWN(AVERAGE(IncomeLimits!Q33:'IncomeLimits'!R33)*0.3/12,0)</f>
        <v>883</v>
      </c>
      <c r="N35" s="78">
        <f>ROUNDDOWN(IncomeLimits!T33*0.3/12, 0)</f>
        <v>644</v>
      </c>
      <c r="O35" s="1149">
        <f>ROUNDDOWN(AVERAGE(IncomeLimits!T33:'IncomeLimits'!U33)*0.3/12, 0)</f>
        <v>690</v>
      </c>
      <c r="P35" s="1149">
        <f>ROUNDDOWN(IncomeLimits!V33*0.3/12, 0)</f>
        <v>828</v>
      </c>
      <c r="Q35" s="1149">
        <f>ROUNDDOWN(AVERAGE(IncomeLimits!W33:'IncomeLimits'!X33)*0.3/12,0)</f>
        <v>957</v>
      </c>
      <c r="R35" s="1149">
        <f>ROUNDDOWN(IncomeLimits!Y33*0.3/12,0)</f>
        <v>1068</v>
      </c>
      <c r="S35" s="79">
        <f>ROUNDDOWN(AVERAGE(IncomeLimits!Z33:'IncomeLimits'!AA33)*0.3/12,0)</f>
        <v>1178</v>
      </c>
      <c r="T35" s="88">
        <f>ROUNDDOWN(IncomeLimits!AC33*0.3/12, 0)</f>
        <v>805</v>
      </c>
      <c r="U35" s="1149">
        <f>ROUNDDOWN(AVERAGE(IncomeLimits!AC33:'IncomeLimits'!AD33)*0.3/12, 0)</f>
        <v>862</v>
      </c>
      <c r="V35" s="1149">
        <f>ROUNDDOWN(IncomeLimits!AE33*0.3/12, 0)</f>
        <v>1035</v>
      </c>
      <c r="W35" s="1149">
        <f>ROUNDDOWN(AVERAGE(IncomeLimits!AF33:AG33)*0.3/12,0)</f>
        <v>1196</v>
      </c>
      <c r="X35" s="1149">
        <f>ROUNDDOWN(IncomeLimits!AH33*0.3/12,0)</f>
        <v>1335</v>
      </c>
      <c r="Y35" s="89">
        <f>ROUNDDOWN(AVERAGE(IncomeLimits!AI33:'IncomeLimits'!AJ33)*0.3/12,0)</f>
        <v>1472</v>
      </c>
      <c r="Z35" s="78">
        <f>ROUNDDOWN(IncomeLimits!AL33*0.3/12, 0)</f>
        <v>966</v>
      </c>
      <c r="AA35" s="1149">
        <f>ROUNDDOWN(AVERAGE(IncomeLimits!AL33:'IncomeLimits'!AM33)*0.3/12, 0)</f>
        <v>1035</v>
      </c>
      <c r="AB35" s="1149">
        <f>ROUNDDOWN(IncomeLimits!AN33*0.3/12, 0)</f>
        <v>1242</v>
      </c>
      <c r="AC35" s="1149">
        <f>ROUNDDOWN(AVERAGE(IncomeLimits!AO33:'IncomeLimits'!AP33)*0.3/12,0)</f>
        <v>1435</v>
      </c>
      <c r="AD35" s="1149">
        <f>ROUNDDOWN(IncomeLimits!AQ33*0.3/12,0)</f>
        <v>1602</v>
      </c>
      <c r="AE35" s="89">
        <f>ROUNDDOWN(AVERAGE(IncomeLimits!AR33:'IncomeLimits'!AS33)*0.3/12,0)</f>
        <v>1767</v>
      </c>
      <c r="AF35" s="88">
        <f>ROUNDDOWN(IncomeLimits!AU33*0.3/12, 0)</f>
        <v>1127</v>
      </c>
      <c r="AG35" s="1149">
        <f>ROUNDDOWN(AVERAGE(IncomeLimits!AU33:'IncomeLimits'!AV33)*0.3/12, 0)</f>
        <v>1207</v>
      </c>
      <c r="AH35" s="1149">
        <f>ROUNDDOWN(IncomeLimits!AW33*0.3/12, 0)</f>
        <v>1449</v>
      </c>
      <c r="AI35" s="1149">
        <f>ROUNDDOWN(AVERAGE(IncomeLimits!AX33:'IncomeLimits'!AY33)*0.3/12,0)</f>
        <v>1674</v>
      </c>
      <c r="AJ35" s="1149">
        <f>ROUNDDOWN(IncomeLimits!AZ33*0.3/12,0)</f>
        <v>1869</v>
      </c>
      <c r="AK35" s="89">
        <f>ROUNDDOWN(AVERAGE(IncomeLimits!BA33:'IncomeLimits'!BB33)*0.3/12,0)</f>
        <v>2061</v>
      </c>
      <c r="AL35" s="78">
        <f>ROUNDDOWN(IncomeLimits!BD33*0.3/12, 0)</f>
        <v>1288</v>
      </c>
      <c r="AM35" s="1149">
        <f>ROUNDDOWN(AVERAGE(IncomeLimits!BD33:'IncomeLimits'!BE33)*0.3/12, 0)</f>
        <v>1380</v>
      </c>
      <c r="AN35" s="1149">
        <f>ROUNDDOWN(IncomeLimits!BF33*0.3/12, 0)</f>
        <v>1656</v>
      </c>
      <c r="AO35" s="1149">
        <f>ROUNDDOWN(AVERAGE(IncomeLimits!BG33:'IncomeLimits'!BH33)*0.3/12,0)</f>
        <v>1914</v>
      </c>
      <c r="AP35" s="1149">
        <f>ROUNDDOWN(IncomeLimits!BI33*0.3/12,0)</f>
        <v>2136</v>
      </c>
      <c r="AQ35" s="89">
        <f>ROUNDDOWN(AVERAGE(IncomeLimits!BJ33:'IncomeLimits'!BK33)*0.3/12,0)</f>
        <v>2356</v>
      </c>
    </row>
    <row r="36" spans="1:43">
      <c r="A36" s="90" t="s">
        <v>454</v>
      </c>
      <c r="B36" s="88">
        <f>ROUNDDOWN(IncomeLimits!B34*0.3/12, 0)</f>
        <v>347</v>
      </c>
      <c r="C36" s="1149">
        <f>ROUNDDOWN(AVERAGE(IncomeLimits!B34:C34)*0.3/12, 0)</f>
        <v>371</v>
      </c>
      <c r="D36" s="1149">
        <f>ROUNDDOWN(IncomeLimits!D34*0.3/12, 0)</f>
        <v>446</v>
      </c>
      <c r="E36" s="1149">
        <f>ROUNDDOWN(AVERAGE(IncomeLimits!E34:'IncomeLimits'!F34)*0.3/12,0)</f>
        <v>515</v>
      </c>
      <c r="F36" s="1149">
        <f>ROUNDDOWN(IncomeLimits!G34*0.3/12,0)</f>
        <v>575</v>
      </c>
      <c r="G36" s="79">
        <f>ROUNDDOWN(AVERAGE(IncomeLimits!H34:'IncomeLimits'!I34)*0.3/12,0)</f>
        <v>634</v>
      </c>
      <c r="H36" s="88">
        <f>ROUNDDOWN(IncomeLimits!K34*0.3/12, 0)</f>
        <v>520</v>
      </c>
      <c r="I36" s="1149">
        <f>ROUNDDOWN(AVERAGE(IncomeLimits!K34:'IncomeLimits'!L34)*0.3/12, 0)</f>
        <v>557</v>
      </c>
      <c r="J36" s="1149">
        <f>ROUNDDOWN(IncomeLimits!M34*0.3/12, 0)</f>
        <v>669</v>
      </c>
      <c r="K36" s="1149">
        <f>ROUNDDOWN(AVERAGE(IncomeLimits!N34:'IncomeLimits'!O34)*0.3/12,0)</f>
        <v>773</v>
      </c>
      <c r="L36" s="1149">
        <f>ROUNDDOWN(IncomeLimits!P34*0.3/12,0)</f>
        <v>862</v>
      </c>
      <c r="M36" s="89">
        <f>ROUNDDOWN(AVERAGE(IncomeLimits!Q34:'IncomeLimits'!R34)*0.3/12,0)</f>
        <v>951</v>
      </c>
      <c r="N36" s="78">
        <f>ROUNDDOWN(IncomeLimits!T34*0.3/12, 0)</f>
        <v>694</v>
      </c>
      <c r="O36" s="1149">
        <f>ROUNDDOWN(AVERAGE(IncomeLimits!T34:'IncomeLimits'!U34)*0.3/12, 0)</f>
        <v>743</v>
      </c>
      <c r="P36" s="1149">
        <f>ROUNDDOWN(IncomeLimits!V34*0.3/12, 0)</f>
        <v>892</v>
      </c>
      <c r="Q36" s="1149">
        <f>ROUNDDOWN(AVERAGE(IncomeLimits!W34:'IncomeLimits'!X34)*0.3/12,0)</f>
        <v>1031</v>
      </c>
      <c r="R36" s="1149">
        <f>ROUNDDOWN(IncomeLimits!Y34*0.3/12,0)</f>
        <v>1150</v>
      </c>
      <c r="S36" s="79">
        <f>ROUNDDOWN(AVERAGE(IncomeLimits!Z34:'IncomeLimits'!AA34)*0.3/12,0)</f>
        <v>1269</v>
      </c>
      <c r="T36" s="88">
        <f>ROUNDDOWN(IncomeLimits!AC34*0.3/12, 0)</f>
        <v>867</v>
      </c>
      <c r="U36" s="1149">
        <f>ROUNDDOWN(AVERAGE(IncomeLimits!AC34:'IncomeLimits'!AD34)*0.3/12, 0)</f>
        <v>929</v>
      </c>
      <c r="V36" s="1149">
        <f>ROUNDDOWN(IncomeLimits!AE34*0.3/12, 0)</f>
        <v>1115</v>
      </c>
      <c r="W36" s="1149">
        <f>ROUNDDOWN(AVERAGE(IncomeLimits!AF34:AG34)*0.3/12,0)</f>
        <v>1288</v>
      </c>
      <c r="X36" s="1149">
        <f>ROUNDDOWN(IncomeLimits!AH34*0.3/12,0)</f>
        <v>1437</v>
      </c>
      <c r="Y36" s="89">
        <f>ROUNDDOWN(AVERAGE(IncomeLimits!AI34:'IncomeLimits'!AJ34)*0.3/12,0)</f>
        <v>1586</v>
      </c>
      <c r="Z36" s="78">
        <f>ROUNDDOWN(IncomeLimits!AL34*0.3/12, 0)</f>
        <v>1041</v>
      </c>
      <c r="AA36" s="1149">
        <f>ROUNDDOWN(AVERAGE(IncomeLimits!AL34:'IncomeLimits'!AM34)*0.3/12, 0)</f>
        <v>1115</v>
      </c>
      <c r="AB36" s="1149">
        <f>ROUNDDOWN(IncomeLimits!AN34*0.3/12, 0)</f>
        <v>1338</v>
      </c>
      <c r="AC36" s="1149">
        <f>ROUNDDOWN(AVERAGE(IncomeLimits!AO34:'IncomeLimits'!AP34)*0.3/12,0)</f>
        <v>1546</v>
      </c>
      <c r="AD36" s="1149">
        <f>ROUNDDOWN(IncomeLimits!AQ34*0.3/12,0)</f>
        <v>1725</v>
      </c>
      <c r="AE36" s="89">
        <f>ROUNDDOWN(AVERAGE(IncomeLimits!AR34:'IncomeLimits'!AS34)*0.3/12,0)</f>
        <v>1903</v>
      </c>
      <c r="AF36" s="88">
        <f>ROUNDDOWN(IncomeLimits!AU34*0.3/12, 0)</f>
        <v>1214</v>
      </c>
      <c r="AG36" s="1149">
        <f>ROUNDDOWN(AVERAGE(IncomeLimits!AU34:'IncomeLimits'!AV34)*0.3/12, 0)</f>
        <v>1301</v>
      </c>
      <c r="AH36" s="1149">
        <f>ROUNDDOWN(IncomeLimits!AW34*0.3/12, 0)</f>
        <v>1561</v>
      </c>
      <c r="AI36" s="1149">
        <f>ROUNDDOWN(AVERAGE(IncomeLimits!AX34:'IncomeLimits'!AY34)*0.3/12,0)</f>
        <v>1804</v>
      </c>
      <c r="AJ36" s="1149">
        <f>ROUNDDOWN(IncomeLimits!AZ34*0.3/12,0)</f>
        <v>2012</v>
      </c>
      <c r="AK36" s="89">
        <f>ROUNDDOWN(AVERAGE(IncomeLimits!BA34:'IncomeLimits'!BB34)*0.3/12,0)</f>
        <v>2220</v>
      </c>
      <c r="AL36" s="78">
        <f>ROUNDDOWN(IncomeLimits!BD34*0.3/12, 0)</f>
        <v>1388</v>
      </c>
      <c r="AM36" s="1149">
        <f>ROUNDDOWN(AVERAGE(IncomeLimits!BD34:'IncomeLimits'!BE34)*0.3/12, 0)</f>
        <v>1487</v>
      </c>
      <c r="AN36" s="1149">
        <f>ROUNDDOWN(IncomeLimits!BF34*0.3/12, 0)</f>
        <v>1784</v>
      </c>
      <c r="AO36" s="1149">
        <f>ROUNDDOWN(AVERAGE(IncomeLimits!BG34:'IncomeLimits'!BH34)*0.3/12,0)</f>
        <v>2062</v>
      </c>
      <c r="AP36" s="1149">
        <f>ROUNDDOWN(IncomeLimits!BI34*0.3/12,0)</f>
        <v>2300</v>
      </c>
      <c r="AQ36" s="89">
        <f>ROUNDDOWN(AVERAGE(IncomeLimits!BJ34:'IncomeLimits'!BK34)*0.3/12,0)</f>
        <v>2538</v>
      </c>
    </row>
    <row r="37" spans="1:43">
      <c r="A37" s="90" t="s">
        <v>398</v>
      </c>
      <c r="B37" s="88">
        <f>ROUNDDOWN(IncomeLimits!B35*0.3/12, 0)</f>
        <v>341</v>
      </c>
      <c r="C37" s="1149">
        <f>ROUNDDOWN(AVERAGE(IncomeLimits!B35:C35)*0.3/12, 0)</f>
        <v>365</v>
      </c>
      <c r="D37" s="1149">
        <f>ROUNDDOWN(IncomeLimits!D35*0.3/12, 0)</f>
        <v>438</v>
      </c>
      <c r="E37" s="1149">
        <f>ROUNDDOWN(AVERAGE(IncomeLimits!E35:'IncomeLimits'!F35)*0.3/12,0)</f>
        <v>506</v>
      </c>
      <c r="F37" s="1149">
        <f>ROUNDDOWN(IncomeLimits!G35*0.3/12,0)</f>
        <v>564</v>
      </c>
      <c r="G37" s="79">
        <f>ROUNDDOWN(AVERAGE(IncomeLimits!H35:'IncomeLimits'!I35)*0.3/12,0)</f>
        <v>623</v>
      </c>
      <c r="H37" s="88">
        <f>ROUNDDOWN(IncomeLimits!K35*0.3/12, 0)</f>
        <v>511</v>
      </c>
      <c r="I37" s="1149">
        <f>ROUNDDOWN(AVERAGE(IncomeLimits!K35:'IncomeLimits'!L35)*0.3/12, 0)</f>
        <v>547</v>
      </c>
      <c r="J37" s="1149">
        <f>ROUNDDOWN(IncomeLimits!M35*0.3/12, 0)</f>
        <v>657</v>
      </c>
      <c r="K37" s="1149">
        <f>ROUNDDOWN(AVERAGE(IncomeLimits!N35:'IncomeLimits'!O35)*0.3/12,0)</f>
        <v>759</v>
      </c>
      <c r="L37" s="1149">
        <f>ROUNDDOWN(IncomeLimits!P35*0.3/12,0)</f>
        <v>846</v>
      </c>
      <c r="M37" s="89">
        <f>ROUNDDOWN(AVERAGE(IncomeLimits!Q35:'IncomeLimits'!R35)*0.3/12,0)</f>
        <v>934</v>
      </c>
      <c r="N37" s="78">
        <f>ROUNDDOWN(IncomeLimits!T35*0.3/12, 0)</f>
        <v>682</v>
      </c>
      <c r="O37" s="1149">
        <f>ROUNDDOWN(AVERAGE(IncomeLimits!T35:'IncomeLimits'!U35)*0.3/12, 0)</f>
        <v>730</v>
      </c>
      <c r="P37" s="1149">
        <f>ROUNDDOWN(IncomeLimits!V35*0.3/12, 0)</f>
        <v>876</v>
      </c>
      <c r="Q37" s="1149">
        <f>ROUNDDOWN(AVERAGE(IncomeLimits!W35:'IncomeLimits'!X35)*0.3/12,0)</f>
        <v>1012</v>
      </c>
      <c r="R37" s="1149">
        <f>ROUNDDOWN(IncomeLimits!Y35*0.3/12,0)</f>
        <v>1129</v>
      </c>
      <c r="S37" s="79">
        <f>ROUNDDOWN(AVERAGE(IncomeLimits!Z35:'IncomeLimits'!AA35)*0.3/12,0)</f>
        <v>1246</v>
      </c>
      <c r="T37" s="88">
        <f>ROUNDDOWN(IncomeLimits!AC35*0.3/12, 0)</f>
        <v>852</v>
      </c>
      <c r="U37" s="1149">
        <f>ROUNDDOWN(AVERAGE(IncomeLimits!AC35:'IncomeLimits'!AD35)*0.3/12, 0)</f>
        <v>913</v>
      </c>
      <c r="V37" s="1149">
        <f>ROUNDDOWN(IncomeLimits!AE35*0.3/12, 0)</f>
        <v>1095</v>
      </c>
      <c r="W37" s="1149">
        <f>ROUNDDOWN(AVERAGE(IncomeLimits!AF35:AG35)*0.3/12,0)</f>
        <v>1265</v>
      </c>
      <c r="X37" s="1149">
        <f>ROUNDDOWN(IncomeLimits!AH35*0.3/12,0)</f>
        <v>1411</v>
      </c>
      <c r="Y37" s="89">
        <f>ROUNDDOWN(AVERAGE(IncomeLimits!AI35:'IncomeLimits'!AJ35)*0.3/12,0)</f>
        <v>1557</v>
      </c>
      <c r="Z37" s="78">
        <f>ROUNDDOWN(IncomeLimits!AL35*0.3/12, 0)</f>
        <v>1023</v>
      </c>
      <c r="AA37" s="1149">
        <f>ROUNDDOWN(AVERAGE(IncomeLimits!AL35:'IncomeLimits'!AM35)*0.3/12, 0)</f>
        <v>1095</v>
      </c>
      <c r="AB37" s="1149">
        <f>ROUNDDOWN(IncomeLimits!AN35*0.3/12, 0)</f>
        <v>1314</v>
      </c>
      <c r="AC37" s="1149">
        <f>ROUNDDOWN(AVERAGE(IncomeLimits!AO35:'IncomeLimits'!AP35)*0.3/12,0)</f>
        <v>1518</v>
      </c>
      <c r="AD37" s="1149">
        <f>ROUNDDOWN(IncomeLimits!AQ35*0.3/12,0)</f>
        <v>1693</v>
      </c>
      <c r="AE37" s="89">
        <f>ROUNDDOWN(AVERAGE(IncomeLimits!AR35:'IncomeLimits'!AS35)*0.3/12,0)</f>
        <v>1869</v>
      </c>
      <c r="AF37" s="88">
        <f>ROUNDDOWN(IncomeLimits!AU35*0.3/12, 0)</f>
        <v>1193</v>
      </c>
      <c r="AG37" s="1149">
        <f>ROUNDDOWN(AVERAGE(IncomeLimits!AU35:'IncomeLimits'!AV35)*0.3/12, 0)</f>
        <v>1278</v>
      </c>
      <c r="AH37" s="1149">
        <f>ROUNDDOWN(IncomeLimits!AW35*0.3/12, 0)</f>
        <v>1533</v>
      </c>
      <c r="AI37" s="1149">
        <f>ROUNDDOWN(AVERAGE(IncomeLimits!AX35:'IncomeLimits'!AY35)*0.3/12,0)</f>
        <v>1771</v>
      </c>
      <c r="AJ37" s="1149">
        <f>ROUNDDOWN(IncomeLimits!AZ35*0.3/12,0)</f>
        <v>1975</v>
      </c>
      <c r="AK37" s="89">
        <f>ROUNDDOWN(AVERAGE(IncomeLimits!BA35:'IncomeLimits'!BB35)*0.3/12,0)</f>
        <v>2180</v>
      </c>
      <c r="AL37" s="78">
        <f>ROUNDDOWN(IncomeLimits!BD35*0.3/12, 0)</f>
        <v>1364</v>
      </c>
      <c r="AM37" s="1149">
        <f>ROUNDDOWN(AVERAGE(IncomeLimits!BD35:'IncomeLimits'!BE35)*0.3/12, 0)</f>
        <v>1461</v>
      </c>
      <c r="AN37" s="1149">
        <f>ROUNDDOWN(IncomeLimits!BF35*0.3/12, 0)</f>
        <v>1752</v>
      </c>
      <c r="AO37" s="1149">
        <f>ROUNDDOWN(AVERAGE(IncomeLimits!BG35:'IncomeLimits'!BH35)*0.3/12,0)</f>
        <v>2024</v>
      </c>
      <c r="AP37" s="1149">
        <f>ROUNDDOWN(IncomeLimits!BI35*0.3/12,0)</f>
        <v>2258</v>
      </c>
      <c r="AQ37" s="89">
        <f>ROUNDDOWN(AVERAGE(IncomeLimits!BJ35:'IncomeLimits'!BK35)*0.3/12,0)</f>
        <v>2492</v>
      </c>
    </row>
    <row r="38" spans="1:43">
      <c r="A38" s="90" t="s">
        <v>400</v>
      </c>
      <c r="B38" s="88">
        <f>ROUNDDOWN(IncomeLimits!B36*0.3/12, 0)</f>
        <v>303</v>
      </c>
      <c r="C38" s="1149">
        <f>ROUNDDOWN(AVERAGE(IncomeLimits!B36:C36)*0.3/12, 0)</f>
        <v>325</v>
      </c>
      <c r="D38" s="1149">
        <f>ROUNDDOWN(IncomeLimits!D36*0.3/12, 0)</f>
        <v>390</v>
      </c>
      <c r="E38" s="1149">
        <f>ROUNDDOWN(AVERAGE(IncomeLimits!E36:'IncomeLimits'!F36)*0.3/12,0)</f>
        <v>450</v>
      </c>
      <c r="F38" s="1149">
        <f>ROUNDDOWN(IncomeLimits!G36*0.3/12,0)</f>
        <v>502</v>
      </c>
      <c r="G38" s="79">
        <f>ROUNDDOWN(AVERAGE(IncomeLimits!H36:'IncomeLimits'!I36)*0.3/12,0)</f>
        <v>554</v>
      </c>
      <c r="H38" s="88">
        <f>ROUNDDOWN(IncomeLimits!K36*0.3/12, 0)</f>
        <v>455</v>
      </c>
      <c r="I38" s="1149">
        <f>ROUNDDOWN(AVERAGE(IncomeLimits!K36:'IncomeLimits'!L36)*0.3/12, 0)</f>
        <v>487</v>
      </c>
      <c r="J38" s="1149">
        <f>ROUNDDOWN(IncomeLimits!M36*0.3/12, 0)</f>
        <v>585</v>
      </c>
      <c r="K38" s="1149">
        <f>ROUNDDOWN(AVERAGE(IncomeLimits!N36:'IncomeLimits'!O36)*0.3/12,0)</f>
        <v>675</v>
      </c>
      <c r="L38" s="1149">
        <f>ROUNDDOWN(IncomeLimits!P36*0.3/12,0)</f>
        <v>753</v>
      </c>
      <c r="M38" s="89">
        <f>ROUNDDOWN(AVERAGE(IncomeLimits!Q36:'IncomeLimits'!R36)*0.3/12,0)</f>
        <v>831</v>
      </c>
      <c r="N38" s="78">
        <f>ROUNDDOWN(IncomeLimits!T36*0.3/12, 0)</f>
        <v>607</v>
      </c>
      <c r="O38" s="1149">
        <f>ROUNDDOWN(AVERAGE(IncomeLimits!T36:'IncomeLimits'!U36)*0.3/12, 0)</f>
        <v>650</v>
      </c>
      <c r="P38" s="1149">
        <f>ROUNDDOWN(IncomeLimits!V36*0.3/12, 0)</f>
        <v>780</v>
      </c>
      <c r="Q38" s="1149">
        <f>ROUNDDOWN(AVERAGE(IncomeLimits!W36:'IncomeLimits'!X36)*0.3/12,0)</f>
        <v>901</v>
      </c>
      <c r="R38" s="1149">
        <f>ROUNDDOWN(IncomeLimits!Y36*0.3/12,0)</f>
        <v>1005</v>
      </c>
      <c r="S38" s="79">
        <f>ROUNDDOWN(AVERAGE(IncomeLimits!Z36:'IncomeLimits'!AA36)*0.3/12,0)</f>
        <v>1109</v>
      </c>
      <c r="T38" s="88">
        <f>ROUNDDOWN(IncomeLimits!AC36*0.3/12, 0)</f>
        <v>758</v>
      </c>
      <c r="U38" s="1149">
        <f>ROUNDDOWN(AVERAGE(IncomeLimits!AC36:'IncomeLimits'!AD36)*0.3/12, 0)</f>
        <v>812</v>
      </c>
      <c r="V38" s="1149">
        <f>ROUNDDOWN(IncomeLimits!AE36*0.3/12, 0)</f>
        <v>975</v>
      </c>
      <c r="W38" s="1149">
        <f>ROUNDDOWN(AVERAGE(IncomeLimits!AF36:AG36)*0.3/12,0)</f>
        <v>1126</v>
      </c>
      <c r="X38" s="1149">
        <f>ROUNDDOWN(IncomeLimits!AH36*0.3/12,0)</f>
        <v>1256</v>
      </c>
      <c r="Y38" s="89">
        <f>ROUNDDOWN(AVERAGE(IncomeLimits!AI36:'IncomeLimits'!AJ36)*0.3/12,0)</f>
        <v>1386</v>
      </c>
      <c r="Z38" s="78">
        <f>ROUNDDOWN(IncomeLimits!AL36*0.3/12, 0)</f>
        <v>910</v>
      </c>
      <c r="AA38" s="1149">
        <f>ROUNDDOWN(AVERAGE(IncomeLimits!AL36:'IncomeLimits'!AM36)*0.3/12, 0)</f>
        <v>975</v>
      </c>
      <c r="AB38" s="1149">
        <f>ROUNDDOWN(IncomeLimits!AN36*0.3/12, 0)</f>
        <v>1170</v>
      </c>
      <c r="AC38" s="1149">
        <f>ROUNDDOWN(AVERAGE(IncomeLimits!AO36:'IncomeLimits'!AP36)*0.3/12,0)</f>
        <v>1351</v>
      </c>
      <c r="AD38" s="1149">
        <f>ROUNDDOWN(IncomeLimits!AQ36*0.3/12,0)</f>
        <v>1507</v>
      </c>
      <c r="AE38" s="89">
        <f>ROUNDDOWN(AVERAGE(IncomeLimits!AR36:'IncomeLimits'!AS36)*0.3/12,0)</f>
        <v>1663</v>
      </c>
      <c r="AF38" s="88">
        <f>ROUNDDOWN(IncomeLimits!AU36*0.3/12, 0)</f>
        <v>1062</v>
      </c>
      <c r="AG38" s="1149">
        <f>ROUNDDOWN(AVERAGE(IncomeLimits!AU36:'IncomeLimits'!AV36)*0.3/12, 0)</f>
        <v>1137</v>
      </c>
      <c r="AH38" s="1149">
        <f>ROUNDDOWN(IncomeLimits!AW36*0.3/12, 0)</f>
        <v>1365</v>
      </c>
      <c r="AI38" s="1149">
        <f>ROUNDDOWN(AVERAGE(IncomeLimits!AX36:'IncomeLimits'!AY36)*0.3/12,0)</f>
        <v>1576</v>
      </c>
      <c r="AJ38" s="1149">
        <f>ROUNDDOWN(IncomeLimits!AZ36*0.3/12,0)</f>
        <v>1758</v>
      </c>
      <c r="AK38" s="89">
        <f>ROUNDDOWN(AVERAGE(IncomeLimits!BA36:'IncomeLimits'!BB36)*0.3/12,0)</f>
        <v>1940</v>
      </c>
      <c r="AL38" s="78">
        <f>ROUNDDOWN(IncomeLimits!BD36*0.3/12, 0)</f>
        <v>1214</v>
      </c>
      <c r="AM38" s="1149">
        <f>ROUNDDOWN(AVERAGE(IncomeLimits!BD36:'IncomeLimits'!BE36)*0.3/12, 0)</f>
        <v>1300</v>
      </c>
      <c r="AN38" s="1149">
        <f>ROUNDDOWN(IncomeLimits!BF36*0.3/12, 0)</f>
        <v>1560</v>
      </c>
      <c r="AO38" s="1149">
        <f>ROUNDDOWN(AVERAGE(IncomeLimits!BG36:'IncomeLimits'!BH36)*0.3/12,0)</f>
        <v>1802</v>
      </c>
      <c r="AP38" s="1149">
        <f>ROUNDDOWN(IncomeLimits!BI36*0.3/12,0)</f>
        <v>2010</v>
      </c>
      <c r="AQ38" s="89">
        <f>ROUNDDOWN(AVERAGE(IncomeLimits!BJ36:'IncomeLimits'!BK36)*0.3/12,0)</f>
        <v>2218</v>
      </c>
    </row>
    <row r="39" spans="1:43">
      <c r="A39" s="90" t="s">
        <v>406</v>
      </c>
      <c r="B39" s="88">
        <f>ROUNDDOWN(IncomeLimits!B37*0.3/12, 0)</f>
        <v>435</v>
      </c>
      <c r="C39" s="1149">
        <f>ROUNDDOWN(AVERAGE(IncomeLimits!B37:C37)*0.3/12, 0)</f>
        <v>466</v>
      </c>
      <c r="D39" s="1149">
        <f>ROUNDDOWN(IncomeLimits!D37*0.3/12, 0)</f>
        <v>559</v>
      </c>
      <c r="E39" s="1149">
        <f>ROUNDDOWN(AVERAGE(IncomeLimits!E37:'IncomeLimits'!F37)*0.3/12,0)</f>
        <v>646</v>
      </c>
      <c r="F39" s="1149">
        <f>ROUNDDOWN(IncomeLimits!G37*0.3/12,0)</f>
        <v>720</v>
      </c>
      <c r="G39" s="79">
        <f>ROUNDDOWN(AVERAGE(IncomeLimits!H37:'IncomeLimits'!I37)*0.3/12,0)</f>
        <v>795</v>
      </c>
      <c r="H39" s="88">
        <f>ROUNDDOWN(IncomeLimits!K37*0.3/12, 0)</f>
        <v>652</v>
      </c>
      <c r="I39" s="1149">
        <f>ROUNDDOWN(AVERAGE(IncomeLimits!K37:'IncomeLimits'!L37)*0.3/12, 0)</f>
        <v>699</v>
      </c>
      <c r="J39" s="1149">
        <f>ROUNDDOWN(IncomeLimits!M37*0.3/12, 0)</f>
        <v>838</v>
      </c>
      <c r="K39" s="1149">
        <f>ROUNDDOWN(AVERAGE(IncomeLimits!N37:'IncomeLimits'!O37)*0.3/12,0)</f>
        <v>969</v>
      </c>
      <c r="L39" s="1149">
        <f>ROUNDDOWN(IncomeLimits!P37*0.3/12,0)</f>
        <v>1080</v>
      </c>
      <c r="M39" s="89">
        <f>ROUNDDOWN(AVERAGE(IncomeLimits!Q37:'IncomeLimits'!R37)*0.3/12,0)</f>
        <v>1192</v>
      </c>
      <c r="N39" s="78">
        <f>ROUNDDOWN(IncomeLimits!T37*0.3/12, 0)</f>
        <v>870</v>
      </c>
      <c r="O39" s="1149">
        <f>ROUNDDOWN(AVERAGE(IncomeLimits!T37:'IncomeLimits'!U37)*0.3/12, 0)</f>
        <v>932</v>
      </c>
      <c r="P39" s="1149">
        <f>ROUNDDOWN(IncomeLimits!V37*0.3/12, 0)</f>
        <v>1118</v>
      </c>
      <c r="Q39" s="1149">
        <f>ROUNDDOWN(AVERAGE(IncomeLimits!W37:'IncomeLimits'!X37)*0.3/12,0)</f>
        <v>1292</v>
      </c>
      <c r="R39" s="1149">
        <f>ROUNDDOWN(IncomeLimits!Y37*0.3/12,0)</f>
        <v>1441</v>
      </c>
      <c r="S39" s="79">
        <f>ROUNDDOWN(AVERAGE(IncomeLimits!Z37:'IncomeLimits'!AA37)*0.3/12,0)</f>
        <v>1590</v>
      </c>
      <c r="T39" s="88">
        <f>ROUNDDOWN(IncomeLimits!AC37*0.3/12, 0)</f>
        <v>1087</v>
      </c>
      <c r="U39" s="1149">
        <f>ROUNDDOWN(AVERAGE(IncomeLimits!AC37:'IncomeLimits'!AD37)*0.3/12, 0)</f>
        <v>1165</v>
      </c>
      <c r="V39" s="1149">
        <f>ROUNDDOWN(IncomeLimits!AE37*0.3/12, 0)</f>
        <v>1397</v>
      </c>
      <c r="W39" s="1149">
        <f>ROUNDDOWN(AVERAGE(IncomeLimits!AF37:AG37)*0.3/12,0)</f>
        <v>1615</v>
      </c>
      <c r="X39" s="1149">
        <f>ROUNDDOWN(IncomeLimits!AH37*0.3/12,0)</f>
        <v>1801</v>
      </c>
      <c r="Y39" s="89">
        <f>ROUNDDOWN(AVERAGE(IncomeLimits!AI37:'IncomeLimits'!AJ37)*0.3/12,0)</f>
        <v>1988</v>
      </c>
      <c r="Z39" s="78">
        <f>ROUNDDOWN(IncomeLimits!AL37*0.3/12, 0)</f>
        <v>1305</v>
      </c>
      <c r="AA39" s="1149">
        <f>ROUNDDOWN(AVERAGE(IncomeLimits!AL37:'IncomeLimits'!AM37)*0.3/12, 0)</f>
        <v>1398</v>
      </c>
      <c r="AB39" s="1149">
        <f>ROUNDDOWN(IncomeLimits!AN37*0.3/12, 0)</f>
        <v>1677</v>
      </c>
      <c r="AC39" s="1149">
        <f>ROUNDDOWN(AVERAGE(IncomeLimits!AO37:'IncomeLimits'!AP37)*0.3/12,0)</f>
        <v>1938</v>
      </c>
      <c r="AD39" s="1149">
        <f>ROUNDDOWN(IncomeLimits!AQ37*0.3/12,0)</f>
        <v>2161</v>
      </c>
      <c r="AE39" s="89">
        <f>ROUNDDOWN(AVERAGE(IncomeLimits!AR37:'IncomeLimits'!AS37)*0.3/12,0)</f>
        <v>2385</v>
      </c>
      <c r="AF39" s="88">
        <f>ROUNDDOWN(IncomeLimits!AU37*0.3/12, 0)</f>
        <v>1522</v>
      </c>
      <c r="AG39" s="1149">
        <f>ROUNDDOWN(AVERAGE(IncomeLimits!AU37:'IncomeLimits'!AV37)*0.3/12, 0)</f>
        <v>1631</v>
      </c>
      <c r="AH39" s="1149">
        <f>ROUNDDOWN(IncomeLimits!AW37*0.3/12, 0)</f>
        <v>1956</v>
      </c>
      <c r="AI39" s="1149">
        <f>ROUNDDOWN(AVERAGE(IncomeLimits!AX37:'IncomeLimits'!AY37)*0.3/12,0)</f>
        <v>2261</v>
      </c>
      <c r="AJ39" s="1149">
        <f>ROUNDDOWN(IncomeLimits!AZ37*0.3/12,0)</f>
        <v>2521</v>
      </c>
      <c r="AK39" s="89">
        <f>ROUNDDOWN(AVERAGE(IncomeLimits!BA37:'IncomeLimits'!BB37)*0.3/12,0)</f>
        <v>2783</v>
      </c>
      <c r="AL39" s="78">
        <f>ROUNDDOWN(IncomeLimits!BD37*0.3/12, 0)</f>
        <v>1740</v>
      </c>
      <c r="AM39" s="1149">
        <f>ROUNDDOWN(AVERAGE(IncomeLimits!BD37:'IncomeLimits'!BE37)*0.3/12, 0)</f>
        <v>1864</v>
      </c>
      <c r="AN39" s="1149">
        <f>ROUNDDOWN(IncomeLimits!BF37*0.3/12, 0)</f>
        <v>2236</v>
      </c>
      <c r="AO39" s="1149">
        <f>ROUNDDOWN(AVERAGE(IncomeLimits!BG37:'IncomeLimits'!BH37)*0.3/12,0)</f>
        <v>2584</v>
      </c>
      <c r="AP39" s="1149">
        <f>ROUNDDOWN(IncomeLimits!BI37*0.3/12,0)</f>
        <v>2882</v>
      </c>
      <c r="AQ39" s="89">
        <f>ROUNDDOWN(AVERAGE(IncomeLimits!BJ37:'IncomeLimits'!BK37)*0.3/12,0)</f>
        <v>3181</v>
      </c>
    </row>
    <row r="40" spans="1:43">
      <c r="A40" s="90" t="s">
        <v>461</v>
      </c>
      <c r="B40" s="88">
        <f>ROUNDDOWN(IncomeLimits!B38*0.3/12, 0)</f>
        <v>334</v>
      </c>
      <c r="C40" s="1149">
        <f>ROUNDDOWN(AVERAGE(IncomeLimits!B38:C38)*0.3/12, 0)</f>
        <v>358</v>
      </c>
      <c r="D40" s="1149">
        <f>ROUNDDOWN(IncomeLimits!D38*0.3/12, 0)</f>
        <v>430</v>
      </c>
      <c r="E40" s="1149">
        <f>ROUNDDOWN(AVERAGE(IncomeLimits!E38:'IncomeLimits'!F38)*0.3/12,0)</f>
        <v>497</v>
      </c>
      <c r="F40" s="1149">
        <f>ROUNDDOWN(IncomeLimits!G38*0.3/12,0)</f>
        <v>555</v>
      </c>
      <c r="G40" s="79">
        <f>ROUNDDOWN(AVERAGE(IncomeLimits!H38:'IncomeLimits'!I38)*0.3/12,0)</f>
        <v>612</v>
      </c>
      <c r="H40" s="88">
        <f>ROUNDDOWN(IncomeLimits!K38*0.3/12, 0)</f>
        <v>501</v>
      </c>
      <c r="I40" s="1149">
        <f>ROUNDDOWN(AVERAGE(IncomeLimits!K38:'IncomeLimits'!L38)*0.3/12, 0)</f>
        <v>537</v>
      </c>
      <c r="J40" s="1149">
        <f>ROUNDDOWN(IncomeLimits!M38*0.3/12, 0)</f>
        <v>645</v>
      </c>
      <c r="K40" s="1149">
        <f>ROUNDDOWN(AVERAGE(IncomeLimits!N38:'IncomeLimits'!O38)*0.3/12,0)</f>
        <v>746</v>
      </c>
      <c r="L40" s="1149">
        <f>ROUNDDOWN(IncomeLimits!P38*0.3/12,0)</f>
        <v>833</v>
      </c>
      <c r="M40" s="89">
        <f>ROUNDDOWN(AVERAGE(IncomeLimits!Q38:'IncomeLimits'!R38)*0.3/12,0)</f>
        <v>918</v>
      </c>
      <c r="N40" s="78">
        <f>ROUNDDOWN(IncomeLimits!T38*0.3/12, 0)</f>
        <v>669</v>
      </c>
      <c r="O40" s="1149">
        <f>ROUNDDOWN(AVERAGE(IncomeLimits!T38:'IncomeLimits'!U38)*0.3/12, 0)</f>
        <v>717</v>
      </c>
      <c r="P40" s="1149">
        <f>ROUNDDOWN(IncomeLimits!V38*0.3/12, 0)</f>
        <v>861</v>
      </c>
      <c r="Q40" s="1149">
        <f>ROUNDDOWN(AVERAGE(IncomeLimits!W38:'IncomeLimits'!X38)*0.3/12,0)</f>
        <v>995</v>
      </c>
      <c r="R40" s="1149">
        <f>ROUNDDOWN(IncomeLimits!Y38*0.3/12,0)</f>
        <v>1111</v>
      </c>
      <c r="S40" s="79">
        <f>ROUNDDOWN(AVERAGE(IncomeLimits!Z38:'IncomeLimits'!AA38)*0.3/12,0)</f>
        <v>1224</v>
      </c>
      <c r="T40" s="88">
        <f>ROUNDDOWN(IncomeLimits!AC38*0.3/12, 0)</f>
        <v>836</v>
      </c>
      <c r="U40" s="1149">
        <f>ROUNDDOWN(AVERAGE(IncomeLimits!AC38:'IncomeLimits'!AD38)*0.3/12, 0)</f>
        <v>896</v>
      </c>
      <c r="V40" s="1149">
        <f>ROUNDDOWN(IncomeLimits!AE38*0.3/12, 0)</f>
        <v>1076</v>
      </c>
      <c r="W40" s="1149">
        <f>ROUNDDOWN(AVERAGE(IncomeLimits!AF38:AG38)*0.3/12,0)</f>
        <v>1244</v>
      </c>
      <c r="X40" s="1149">
        <f>ROUNDDOWN(IncomeLimits!AH38*0.3/12,0)</f>
        <v>1388</v>
      </c>
      <c r="Y40" s="89">
        <f>ROUNDDOWN(AVERAGE(IncomeLimits!AI38:'IncomeLimits'!AJ38)*0.3/12,0)</f>
        <v>1530</v>
      </c>
      <c r="Z40" s="78">
        <f>ROUNDDOWN(IncomeLimits!AL38*0.3/12, 0)</f>
        <v>1003</v>
      </c>
      <c r="AA40" s="1149">
        <f>ROUNDDOWN(AVERAGE(IncomeLimits!AL38:'IncomeLimits'!AM38)*0.3/12, 0)</f>
        <v>1075</v>
      </c>
      <c r="AB40" s="1149">
        <f>ROUNDDOWN(IncomeLimits!AN38*0.3/12, 0)</f>
        <v>1291</v>
      </c>
      <c r="AC40" s="1149">
        <f>ROUNDDOWN(AVERAGE(IncomeLimits!AO38:'IncomeLimits'!AP38)*0.3/12,0)</f>
        <v>1493</v>
      </c>
      <c r="AD40" s="1149">
        <f>ROUNDDOWN(IncomeLimits!AQ38*0.3/12,0)</f>
        <v>1666</v>
      </c>
      <c r="AE40" s="89">
        <f>ROUNDDOWN(AVERAGE(IncomeLimits!AR38:'IncomeLimits'!AS38)*0.3/12,0)</f>
        <v>1836</v>
      </c>
      <c r="AF40" s="88">
        <f>ROUNDDOWN(IncomeLimits!AU38*0.3/12, 0)</f>
        <v>1170</v>
      </c>
      <c r="AG40" s="1149">
        <f>ROUNDDOWN(AVERAGE(IncomeLimits!AU38:'IncomeLimits'!AV38)*0.3/12, 0)</f>
        <v>1254</v>
      </c>
      <c r="AH40" s="1149">
        <f>ROUNDDOWN(IncomeLimits!AW38*0.3/12, 0)</f>
        <v>1506</v>
      </c>
      <c r="AI40" s="1149">
        <f>ROUNDDOWN(AVERAGE(IncomeLimits!AX38:'IncomeLimits'!AY38)*0.3/12,0)</f>
        <v>1742</v>
      </c>
      <c r="AJ40" s="1149">
        <f>ROUNDDOWN(IncomeLimits!AZ38*0.3/12,0)</f>
        <v>1944</v>
      </c>
      <c r="AK40" s="89">
        <f>ROUNDDOWN(AVERAGE(IncomeLimits!BA38:'IncomeLimits'!BB38)*0.3/12,0)</f>
        <v>2142</v>
      </c>
      <c r="AL40" s="78">
        <f>ROUNDDOWN(IncomeLimits!BD38*0.3/12, 0)</f>
        <v>1338</v>
      </c>
      <c r="AM40" s="1149">
        <f>ROUNDDOWN(AVERAGE(IncomeLimits!BD38:'IncomeLimits'!BE38)*0.3/12, 0)</f>
        <v>1434</v>
      </c>
      <c r="AN40" s="1149">
        <f>ROUNDDOWN(IncomeLimits!BF38*0.3/12, 0)</f>
        <v>1722</v>
      </c>
      <c r="AO40" s="1149">
        <f>ROUNDDOWN(AVERAGE(IncomeLimits!BG38:'IncomeLimits'!BH38)*0.3/12,0)</f>
        <v>1991</v>
      </c>
      <c r="AP40" s="1149">
        <f>ROUNDDOWN(IncomeLimits!BI38*0.3/12,0)</f>
        <v>2222</v>
      </c>
      <c r="AQ40" s="89">
        <f>ROUNDDOWN(AVERAGE(IncomeLimits!BJ38:'IncomeLimits'!BK38)*0.3/12,0)</f>
        <v>2449</v>
      </c>
    </row>
    <row r="41" spans="1:43">
      <c r="A41" s="90" t="s">
        <v>403</v>
      </c>
      <c r="B41" s="88">
        <f>ROUNDDOWN(IncomeLimits!B39*0.3/12, 0)</f>
        <v>304</v>
      </c>
      <c r="C41" s="1149">
        <f>ROUNDDOWN(AVERAGE(IncomeLimits!B39:C39)*0.3/12, 0)</f>
        <v>325</v>
      </c>
      <c r="D41" s="1149">
        <f>ROUNDDOWN(IncomeLimits!D39*0.3/12, 0)</f>
        <v>391</v>
      </c>
      <c r="E41" s="1149">
        <f>ROUNDDOWN(AVERAGE(IncomeLimits!E39:'IncomeLimits'!F39)*0.3/12,0)</f>
        <v>451</v>
      </c>
      <c r="F41" s="1149">
        <f>ROUNDDOWN(IncomeLimits!G39*0.3/12,0)</f>
        <v>503</v>
      </c>
      <c r="G41" s="79">
        <f>ROUNDDOWN(AVERAGE(IncomeLimits!H39:'IncomeLimits'!I39)*0.3/12,0)</f>
        <v>555</v>
      </c>
      <c r="H41" s="88">
        <f>ROUNDDOWN(IncomeLimits!K39*0.3/12, 0)</f>
        <v>456</v>
      </c>
      <c r="I41" s="1149">
        <f>ROUNDDOWN(AVERAGE(IncomeLimits!K39:'IncomeLimits'!L39)*0.3/12, 0)</f>
        <v>488</v>
      </c>
      <c r="J41" s="1149">
        <f>ROUNDDOWN(IncomeLimits!M39*0.3/12, 0)</f>
        <v>586</v>
      </c>
      <c r="K41" s="1149">
        <f>ROUNDDOWN(AVERAGE(IncomeLimits!N39:'IncomeLimits'!O39)*0.3/12,0)</f>
        <v>677</v>
      </c>
      <c r="L41" s="1149">
        <f>ROUNDDOWN(IncomeLimits!P39*0.3/12,0)</f>
        <v>755</v>
      </c>
      <c r="M41" s="89">
        <f>ROUNDDOWN(AVERAGE(IncomeLimits!Q39:'IncomeLimits'!R39)*0.3/12,0)</f>
        <v>833</v>
      </c>
      <c r="N41" s="78">
        <f>ROUNDDOWN(IncomeLimits!T39*0.3/12, 0)</f>
        <v>608</v>
      </c>
      <c r="O41" s="1149">
        <f>ROUNDDOWN(AVERAGE(IncomeLimits!T39:'IncomeLimits'!U39)*0.3/12, 0)</f>
        <v>651</v>
      </c>
      <c r="P41" s="1149">
        <f>ROUNDDOWN(IncomeLimits!V39*0.3/12, 0)</f>
        <v>782</v>
      </c>
      <c r="Q41" s="1149">
        <f>ROUNDDOWN(AVERAGE(IncomeLimits!W39:'IncomeLimits'!X39)*0.3/12,0)</f>
        <v>903</v>
      </c>
      <c r="R41" s="1149">
        <f>ROUNDDOWN(IncomeLimits!Y39*0.3/12,0)</f>
        <v>1007</v>
      </c>
      <c r="S41" s="79">
        <f>ROUNDDOWN(AVERAGE(IncomeLimits!Z39:'IncomeLimits'!AA39)*0.3/12,0)</f>
        <v>1111</v>
      </c>
      <c r="T41" s="88">
        <f>ROUNDDOWN(IncomeLimits!AC39*0.3/12, 0)</f>
        <v>760</v>
      </c>
      <c r="U41" s="1149">
        <f>ROUNDDOWN(AVERAGE(IncomeLimits!AC39:'IncomeLimits'!AD39)*0.3/12, 0)</f>
        <v>814</v>
      </c>
      <c r="V41" s="1149">
        <f>ROUNDDOWN(IncomeLimits!AE39*0.3/12, 0)</f>
        <v>977</v>
      </c>
      <c r="W41" s="1149">
        <f>ROUNDDOWN(AVERAGE(IncomeLimits!AF39:AG39)*0.3/12,0)</f>
        <v>1128</v>
      </c>
      <c r="X41" s="1149">
        <f>ROUNDDOWN(IncomeLimits!AH39*0.3/12,0)</f>
        <v>1258</v>
      </c>
      <c r="Y41" s="89">
        <f>ROUNDDOWN(AVERAGE(IncomeLimits!AI39:'IncomeLimits'!AJ39)*0.3/12,0)</f>
        <v>1389</v>
      </c>
      <c r="Z41" s="78">
        <f>ROUNDDOWN(IncomeLimits!AL39*0.3/12, 0)</f>
        <v>912</v>
      </c>
      <c r="AA41" s="1149">
        <f>ROUNDDOWN(AVERAGE(IncomeLimits!AL39:'IncomeLimits'!AM39)*0.3/12, 0)</f>
        <v>977</v>
      </c>
      <c r="AB41" s="1149">
        <f>ROUNDDOWN(IncomeLimits!AN39*0.3/12, 0)</f>
        <v>1173</v>
      </c>
      <c r="AC41" s="1149">
        <f>ROUNDDOWN(AVERAGE(IncomeLimits!AO39:'IncomeLimits'!AP39)*0.3/12,0)</f>
        <v>1354</v>
      </c>
      <c r="AD41" s="1149">
        <f>ROUNDDOWN(IncomeLimits!AQ39*0.3/12,0)</f>
        <v>1510</v>
      </c>
      <c r="AE41" s="89">
        <f>ROUNDDOWN(AVERAGE(IncomeLimits!AR39:'IncomeLimits'!AS39)*0.3/12,0)</f>
        <v>1667</v>
      </c>
      <c r="AF41" s="88">
        <f>ROUNDDOWN(IncomeLimits!AU39*0.3/12, 0)</f>
        <v>1064</v>
      </c>
      <c r="AG41" s="1149">
        <f>ROUNDDOWN(AVERAGE(IncomeLimits!AU39:'IncomeLimits'!AV39)*0.3/12, 0)</f>
        <v>1140</v>
      </c>
      <c r="AH41" s="1149">
        <f>ROUNDDOWN(IncomeLimits!AW39*0.3/12, 0)</f>
        <v>1368</v>
      </c>
      <c r="AI41" s="1149">
        <f>ROUNDDOWN(AVERAGE(IncomeLimits!AX39:'IncomeLimits'!AY39)*0.3/12,0)</f>
        <v>1580</v>
      </c>
      <c r="AJ41" s="1149">
        <f>ROUNDDOWN(IncomeLimits!AZ39*0.3/12,0)</f>
        <v>1762</v>
      </c>
      <c r="AK41" s="89">
        <f>ROUNDDOWN(AVERAGE(IncomeLimits!BA39:'IncomeLimits'!BB39)*0.3/12,0)</f>
        <v>1945</v>
      </c>
      <c r="AL41" s="78">
        <f>ROUNDDOWN(IncomeLimits!BD39*0.3/12, 0)</f>
        <v>1216</v>
      </c>
      <c r="AM41" s="1149">
        <f>ROUNDDOWN(AVERAGE(IncomeLimits!BD39:'IncomeLimits'!BE39)*0.3/12, 0)</f>
        <v>1303</v>
      </c>
      <c r="AN41" s="1149">
        <f>ROUNDDOWN(IncomeLimits!BF39*0.3/12, 0)</f>
        <v>1564</v>
      </c>
      <c r="AO41" s="1149">
        <f>ROUNDDOWN(AVERAGE(IncomeLimits!BG39:'IncomeLimits'!BH39)*0.3/12,0)</f>
        <v>1806</v>
      </c>
      <c r="AP41" s="1149">
        <f>ROUNDDOWN(IncomeLimits!BI39*0.3/12,0)</f>
        <v>2014</v>
      </c>
      <c r="AQ41" s="89">
        <f>ROUNDDOWN(AVERAGE(IncomeLimits!BJ39:'IncomeLimits'!BK39)*0.3/12,0)</f>
        <v>2223</v>
      </c>
    </row>
    <row r="42" spans="1:43">
      <c r="A42" s="90" t="s">
        <v>465</v>
      </c>
      <c r="B42" s="88">
        <f>ROUNDDOWN(IncomeLimits!B40*0.3/12, 0)</f>
        <v>319</v>
      </c>
      <c r="C42" s="1149">
        <f>ROUNDDOWN(AVERAGE(IncomeLimits!B40:C40)*0.3/12, 0)</f>
        <v>341</v>
      </c>
      <c r="D42" s="1149">
        <f>ROUNDDOWN(IncomeLimits!D40*0.3/12, 0)</f>
        <v>410</v>
      </c>
      <c r="E42" s="1149">
        <f>ROUNDDOWN(AVERAGE(IncomeLimits!E40:'IncomeLimits'!F40)*0.3/12,0)</f>
        <v>473</v>
      </c>
      <c r="F42" s="1149">
        <f>ROUNDDOWN(IncomeLimits!G40*0.3/12,0)</f>
        <v>528</v>
      </c>
      <c r="G42" s="79">
        <f>ROUNDDOWN(AVERAGE(IncomeLimits!H40:'IncomeLimits'!I40)*0.3/12,0)</f>
        <v>583</v>
      </c>
      <c r="H42" s="88">
        <f>ROUNDDOWN(IncomeLimits!K40*0.3/12, 0)</f>
        <v>478</v>
      </c>
      <c r="I42" s="1149">
        <f>ROUNDDOWN(AVERAGE(IncomeLimits!K40:'IncomeLimits'!L40)*0.3/12, 0)</f>
        <v>512</v>
      </c>
      <c r="J42" s="1149">
        <f>ROUNDDOWN(IncomeLimits!M40*0.3/12, 0)</f>
        <v>615</v>
      </c>
      <c r="K42" s="1149">
        <f>ROUNDDOWN(AVERAGE(IncomeLimits!N40:'IncomeLimits'!O40)*0.3/12,0)</f>
        <v>710</v>
      </c>
      <c r="L42" s="1149">
        <f>ROUNDDOWN(IncomeLimits!P40*0.3/12,0)</f>
        <v>792</v>
      </c>
      <c r="M42" s="89">
        <f>ROUNDDOWN(AVERAGE(IncomeLimits!Q40:'IncomeLimits'!R40)*0.3/12,0)</f>
        <v>874</v>
      </c>
      <c r="N42" s="78">
        <f>ROUNDDOWN(IncomeLimits!T40*0.3/12, 0)</f>
        <v>638</v>
      </c>
      <c r="O42" s="1149">
        <f>ROUNDDOWN(AVERAGE(IncomeLimits!T40:'IncomeLimits'!U40)*0.3/12, 0)</f>
        <v>683</v>
      </c>
      <c r="P42" s="1149">
        <f>ROUNDDOWN(IncomeLimits!V40*0.3/12, 0)</f>
        <v>820</v>
      </c>
      <c r="Q42" s="1149">
        <f>ROUNDDOWN(AVERAGE(IncomeLimits!W40:'IncomeLimits'!X40)*0.3/12,0)</f>
        <v>947</v>
      </c>
      <c r="R42" s="1149">
        <f>ROUNDDOWN(IncomeLimits!Y40*0.3/12,0)</f>
        <v>1057</v>
      </c>
      <c r="S42" s="79">
        <f>ROUNDDOWN(AVERAGE(IncomeLimits!Z40:'IncomeLimits'!AA40)*0.3/12,0)</f>
        <v>1166</v>
      </c>
      <c r="T42" s="88">
        <f>ROUNDDOWN(IncomeLimits!AC40*0.3/12, 0)</f>
        <v>797</v>
      </c>
      <c r="U42" s="1149">
        <f>ROUNDDOWN(AVERAGE(IncomeLimits!AC40:'IncomeLimits'!AD40)*0.3/12, 0)</f>
        <v>854</v>
      </c>
      <c r="V42" s="1149">
        <f>ROUNDDOWN(IncomeLimits!AE40*0.3/12, 0)</f>
        <v>1025</v>
      </c>
      <c r="W42" s="1149">
        <f>ROUNDDOWN(AVERAGE(IncomeLimits!AF40:AG40)*0.3/12,0)</f>
        <v>1184</v>
      </c>
      <c r="X42" s="1149">
        <f>ROUNDDOWN(IncomeLimits!AH40*0.3/12,0)</f>
        <v>1321</v>
      </c>
      <c r="Y42" s="89">
        <f>ROUNDDOWN(AVERAGE(IncomeLimits!AI40:'IncomeLimits'!AJ40)*0.3/12,0)</f>
        <v>1458</v>
      </c>
      <c r="Z42" s="78">
        <f>ROUNDDOWN(IncomeLimits!AL40*0.3/12, 0)</f>
        <v>957</v>
      </c>
      <c r="AA42" s="1149">
        <f>ROUNDDOWN(AVERAGE(IncomeLimits!AL40:'IncomeLimits'!AM40)*0.3/12, 0)</f>
        <v>1025</v>
      </c>
      <c r="AB42" s="1149">
        <f>ROUNDDOWN(IncomeLimits!AN40*0.3/12, 0)</f>
        <v>1230</v>
      </c>
      <c r="AC42" s="1149">
        <f>ROUNDDOWN(AVERAGE(IncomeLimits!AO40:'IncomeLimits'!AP40)*0.3/12,0)</f>
        <v>1421</v>
      </c>
      <c r="AD42" s="1149">
        <f>ROUNDDOWN(IncomeLimits!AQ40*0.3/12,0)</f>
        <v>1585</v>
      </c>
      <c r="AE42" s="89">
        <f>ROUNDDOWN(AVERAGE(IncomeLimits!AR40:'IncomeLimits'!AS40)*0.3/12,0)</f>
        <v>1749</v>
      </c>
      <c r="AF42" s="88">
        <f>ROUNDDOWN(IncomeLimits!AU40*0.3/12, 0)</f>
        <v>1116</v>
      </c>
      <c r="AG42" s="1149">
        <f>ROUNDDOWN(AVERAGE(IncomeLimits!AU40:'IncomeLimits'!AV40)*0.3/12, 0)</f>
        <v>1196</v>
      </c>
      <c r="AH42" s="1149">
        <f>ROUNDDOWN(IncomeLimits!AW40*0.3/12, 0)</f>
        <v>1435</v>
      </c>
      <c r="AI42" s="1149">
        <f>ROUNDDOWN(AVERAGE(IncomeLimits!AX40:'IncomeLimits'!AY40)*0.3/12,0)</f>
        <v>1658</v>
      </c>
      <c r="AJ42" s="1149">
        <f>ROUNDDOWN(IncomeLimits!AZ40*0.3/12,0)</f>
        <v>1849</v>
      </c>
      <c r="AK42" s="89">
        <f>ROUNDDOWN(AVERAGE(IncomeLimits!BA40:'IncomeLimits'!BB40)*0.3/12,0)</f>
        <v>2041</v>
      </c>
      <c r="AL42" s="78">
        <f>ROUNDDOWN(IncomeLimits!BD40*0.3/12, 0)</f>
        <v>1276</v>
      </c>
      <c r="AM42" s="1149">
        <f>ROUNDDOWN(AVERAGE(IncomeLimits!BD40:'IncomeLimits'!BE40)*0.3/12, 0)</f>
        <v>1367</v>
      </c>
      <c r="AN42" s="1149">
        <f>ROUNDDOWN(IncomeLimits!BF40*0.3/12, 0)</f>
        <v>1640</v>
      </c>
      <c r="AO42" s="1149">
        <f>ROUNDDOWN(AVERAGE(IncomeLimits!BG40:'IncomeLimits'!BH40)*0.3/12,0)</f>
        <v>1895</v>
      </c>
      <c r="AP42" s="1149">
        <f>ROUNDDOWN(IncomeLimits!BI40*0.3/12,0)</f>
        <v>2114</v>
      </c>
      <c r="AQ42" s="89">
        <f>ROUNDDOWN(AVERAGE(IncomeLimits!BJ40:'IncomeLimits'!BK40)*0.3/12,0)</f>
        <v>2333</v>
      </c>
    </row>
    <row r="43" spans="1:43">
      <c r="A43" s="90" t="s">
        <v>468</v>
      </c>
      <c r="B43" s="88">
        <f>ROUNDDOWN(IncomeLimits!B41*0.3/12, 0)</f>
        <v>354</v>
      </c>
      <c r="C43" s="1149">
        <f>ROUNDDOWN(AVERAGE(IncomeLimits!B41:C41)*0.3/12, 0)</f>
        <v>379</v>
      </c>
      <c r="D43" s="1149">
        <f>ROUNDDOWN(IncomeLimits!D41*0.3/12, 0)</f>
        <v>455</v>
      </c>
      <c r="E43" s="1149">
        <f>ROUNDDOWN(AVERAGE(IncomeLimits!E41:'IncomeLimits'!F41)*0.3/12,0)</f>
        <v>526</v>
      </c>
      <c r="F43" s="1149">
        <f>ROUNDDOWN(IncomeLimits!G41*0.3/12,0)</f>
        <v>587</v>
      </c>
      <c r="G43" s="79">
        <f>ROUNDDOWN(AVERAGE(IncomeLimits!H41:'IncomeLimits'!I41)*0.3/12,0)</f>
        <v>647</v>
      </c>
      <c r="H43" s="88">
        <f>ROUNDDOWN(IncomeLimits!K41*0.3/12, 0)</f>
        <v>531</v>
      </c>
      <c r="I43" s="1149">
        <f>ROUNDDOWN(AVERAGE(IncomeLimits!K41:'IncomeLimits'!L41)*0.3/12, 0)</f>
        <v>569</v>
      </c>
      <c r="J43" s="1149">
        <f>ROUNDDOWN(IncomeLimits!M41*0.3/12, 0)</f>
        <v>683</v>
      </c>
      <c r="K43" s="1149">
        <f>ROUNDDOWN(AVERAGE(IncomeLimits!N41:'IncomeLimits'!O41)*0.3/12,0)</f>
        <v>789</v>
      </c>
      <c r="L43" s="1149">
        <f>ROUNDDOWN(IncomeLimits!P41*0.3/12,0)</f>
        <v>880</v>
      </c>
      <c r="M43" s="89">
        <f>ROUNDDOWN(AVERAGE(IncomeLimits!Q41:'IncomeLimits'!R41)*0.3/12,0)</f>
        <v>971</v>
      </c>
      <c r="N43" s="78">
        <f>ROUNDDOWN(IncomeLimits!T41*0.3/12, 0)</f>
        <v>709</v>
      </c>
      <c r="O43" s="1149">
        <f>ROUNDDOWN(AVERAGE(IncomeLimits!T41:'IncomeLimits'!U41)*0.3/12, 0)</f>
        <v>759</v>
      </c>
      <c r="P43" s="1149">
        <f>ROUNDDOWN(IncomeLimits!V41*0.3/12, 0)</f>
        <v>911</v>
      </c>
      <c r="Q43" s="1149">
        <f>ROUNDDOWN(AVERAGE(IncomeLimits!W41:'IncomeLimits'!X41)*0.3/12,0)</f>
        <v>1052</v>
      </c>
      <c r="R43" s="1149">
        <f>ROUNDDOWN(IncomeLimits!Y41*0.3/12,0)</f>
        <v>1174</v>
      </c>
      <c r="S43" s="79">
        <f>ROUNDDOWN(AVERAGE(IncomeLimits!Z41:'IncomeLimits'!AA41)*0.3/12,0)</f>
        <v>1295</v>
      </c>
      <c r="T43" s="88">
        <f>ROUNDDOWN(IncomeLimits!AC41*0.3/12, 0)</f>
        <v>886</v>
      </c>
      <c r="U43" s="1149">
        <f>ROUNDDOWN(AVERAGE(IncomeLimits!AC41:'IncomeLimits'!AD41)*0.3/12, 0)</f>
        <v>949</v>
      </c>
      <c r="V43" s="1149">
        <f>ROUNDDOWN(IncomeLimits!AE41*0.3/12, 0)</f>
        <v>1138</v>
      </c>
      <c r="W43" s="1149">
        <f>ROUNDDOWN(AVERAGE(IncomeLimits!AF41:AG41)*0.3/12,0)</f>
        <v>1315</v>
      </c>
      <c r="X43" s="1149">
        <f>ROUNDDOWN(IncomeLimits!AH41*0.3/12,0)</f>
        <v>1467</v>
      </c>
      <c r="Y43" s="89">
        <f>ROUNDDOWN(AVERAGE(IncomeLimits!AI41:'IncomeLimits'!AJ41)*0.3/12,0)</f>
        <v>1619</v>
      </c>
      <c r="Z43" s="78">
        <f>ROUNDDOWN(IncomeLimits!AL41*0.3/12, 0)</f>
        <v>1063</v>
      </c>
      <c r="AA43" s="1149">
        <f>ROUNDDOWN(AVERAGE(IncomeLimits!AL41:'IncomeLimits'!AM41)*0.3/12, 0)</f>
        <v>1139</v>
      </c>
      <c r="AB43" s="1149">
        <f>ROUNDDOWN(IncomeLimits!AN41*0.3/12, 0)</f>
        <v>1366</v>
      </c>
      <c r="AC43" s="1149">
        <f>ROUNDDOWN(AVERAGE(IncomeLimits!AO41:'IncomeLimits'!AP41)*0.3/12,0)</f>
        <v>1578</v>
      </c>
      <c r="AD43" s="1149">
        <f>ROUNDDOWN(IncomeLimits!AQ41*0.3/12,0)</f>
        <v>1761</v>
      </c>
      <c r="AE43" s="89">
        <f>ROUNDDOWN(AVERAGE(IncomeLimits!AR41:'IncomeLimits'!AS41)*0.3/12,0)</f>
        <v>1943</v>
      </c>
      <c r="AF43" s="88">
        <f>ROUNDDOWN(IncomeLimits!AU41*0.3/12, 0)</f>
        <v>1240</v>
      </c>
      <c r="AG43" s="1149">
        <f>ROUNDDOWN(AVERAGE(IncomeLimits!AU41:'IncomeLimits'!AV41)*0.3/12, 0)</f>
        <v>1329</v>
      </c>
      <c r="AH43" s="1149">
        <f>ROUNDDOWN(IncomeLimits!AW41*0.3/12, 0)</f>
        <v>1594</v>
      </c>
      <c r="AI43" s="1149">
        <f>ROUNDDOWN(AVERAGE(IncomeLimits!AX41:'IncomeLimits'!AY41)*0.3/12,0)</f>
        <v>1841</v>
      </c>
      <c r="AJ43" s="1149">
        <f>ROUNDDOWN(IncomeLimits!AZ41*0.3/12,0)</f>
        <v>2054</v>
      </c>
      <c r="AK43" s="89">
        <f>ROUNDDOWN(AVERAGE(IncomeLimits!BA41:'IncomeLimits'!BB41)*0.3/12,0)</f>
        <v>2267</v>
      </c>
      <c r="AL43" s="78">
        <f>ROUNDDOWN(IncomeLimits!BD41*0.3/12, 0)</f>
        <v>1418</v>
      </c>
      <c r="AM43" s="1149">
        <f>ROUNDDOWN(AVERAGE(IncomeLimits!BD41:'IncomeLimits'!BE41)*0.3/12, 0)</f>
        <v>1519</v>
      </c>
      <c r="AN43" s="1149">
        <f>ROUNDDOWN(IncomeLimits!BF41*0.3/12, 0)</f>
        <v>1822</v>
      </c>
      <c r="AO43" s="1149">
        <f>ROUNDDOWN(AVERAGE(IncomeLimits!BG41:'IncomeLimits'!BH41)*0.3/12,0)</f>
        <v>2105</v>
      </c>
      <c r="AP43" s="1149">
        <f>ROUNDDOWN(IncomeLimits!BI41*0.3/12,0)</f>
        <v>2348</v>
      </c>
      <c r="AQ43" s="89">
        <f>ROUNDDOWN(AVERAGE(IncomeLimits!BJ41:'IncomeLimits'!BK41)*0.3/12,0)</f>
        <v>2591</v>
      </c>
    </row>
    <row r="44" spans="1:43">
      <c r="A44" s="90" t="s">
        <v>408</v>
      </c>
      <c r="B44" s="88">
        <f>ROUNDDOWN(IncomeLimits!B42*0.3/12, 0)</f>
        <v>357</v>
      </c>
      <c r="C44" s="1149">
        <f>ROUNDDOWN(AVERAGE(IncomeLimits!B42:C42)*0.3/12, 0)</f>
        <v>383</v>
      </c>
      <c r="D44" s="1149">
        <f>ROUNDDOWN(IncomeLimits!D42*0.3/12, 0)</f>
        <v>459</v>
      </c>
      <c r="E44" s="1149">
        <f>ROUNDDOWN(AVERAGE(IncomeLimits!E42:'IncomeLimits'!F42)*0.3/12,0)</f>
        <v>531</v>
      </c>
      <c r="F44" s="1149">
        <f>ROUNDDOWN(IncomeLimits!G42*0.3/12,0)</f>
        <v>592</v>
      </c>
      <c r="G44" s="79">
        <f>ROUNDDOWN(AVERAGE(IncomeLimits!H42:'IncomeLimits'!I42)*0.3/12,0)</f>
        <v>653</v>
      </c>
      <c r="H44" s="88">
        <f>ROUNDDOWN(IncomeLimits!K42*0.3/12, 0)</f>
        <v>536</v>
      </c>
      <c r="I44" s="1149">
        <f>ROUNDDOWN(AVERAGE(IncomeLimits!K42:'IncomeLimits'!L42)*0.3/12, 0)</f>
        <v>574</v>
      </c>
      <c r="J44" s="1149">
        <f>ROUNDDOWN(IncomeLimits!M42*0.3/12, 0)</f>
        <v>689</v>
      </c>
      <c r="K44" s="1149">
        <f>ROUNDDOWN(AVERAGE(IncomeLimits!N42:'IncomeLimits'!O42)*0.3/12,0)</f>
        <v>796</v>
      </c>
      <c r="L44" s="1149">
        <f>ROUNDDOWN(IncomeLimits!P42*0.3/12,0)</f>
        <v>888</v>
      </c>
      <c r="M44" s="89">
        <f>ROUNDDOWN(AVERAGE(IncomeLimits!Q42:'IncomeLimits'!R42)*0.3/12,0)</f>
        <v>980</v>
      </c>
      <c r="N44" s="78">
        <f>ROUNDDOWN(IncomeLimits!T42*0.3/12, 0)</f>
        <v>715</v>
      </c>
      <c r="O44" s="1149">
        <f>ROUNDDOWN(AVERAGE(IncomeLimits!T42:'IncomeLimits'!U42)*0.3/12, 0)</f>
        <v>766</v>
      </c>
      <c r="P44" s="1149">
        <f>ROUNDDOWN(IncomeLimits!V42*0.3/12, 0)</f>
        <v>919</v>
      </c>
      <c r="Q44" s="1149">
        <f>ROUNDDOWN(AVERAGE(IncomeLimits!W42:'IncomeLimits'!X42)*0.3/12,0)</f>
        <v>1062</v>
      </c>
      <c r="R44" s="1149">
        <f>ROUNDDOWN(IncomeLimits!Y42*0.3/12,0)</f>
        <v>1185</v>
      </c>
      <c r="S44" s="79">
        <f>ROUNDDOWN(AVERAGE(IncomeLimits!Z42:'IncomeLimits'!AA42)*0.3/12,0)</f>
        <v>1307</v>
      </c>
      <c r="T44" s="88">
        <f>ROUNDDOWN(IncomeLimits!AC42*0.3/12, 0)</f>
        <v>893</v>
      </c>
      <c r="U44" s="1149">
        <f>ROUNDDOWN(AVERAGE(IncomeLimits!AC42:'IncomeLimits'!AD42)*0.3/12, 0)</f>
        <v>957</v>
      </c>
      <c r="V44" s="1149">
        <f>ROUNDDOWN(IncomeLimits!AE42*0.3/12, 0)</f>
        <v>1148</v>
      </c>
      <c r="W44" s="1149">
        <f>ROUNDDOWN(AVERAGE(IncomeLimits!AF42:AG42)*0.3/12,0)</f>
        <v>1327</v>
      </c>
      <c r="X44" s="1149">
        <f>ROUNDDOWN(IncomeLimits!AH42*0.3/12,0)</f>
        <v>1481</v>
      </c>
      <c r="Y44" s="89">
        <f>ROUNDDOWN(AVERAGE(IncomeLimits!AI42:'IncomeLimits'!AJ42)*0.3/12,0)</f>
        <v>1634</v>
      </c>
      <c r="Z44" s="78">
        <f>ROUNDDOWN(IncomeLimits!AL42*0.3/12, 0)</f>
        <v>1072</v>
      </c>
      <c r="AA44" s="1149">
        <f>ROUNDDOWN(AVERAGE(IncomeLimits!AL42:'IncomeLimits'!AM42)*0.3/12, 0)</f>
        <v>1149</v>
      </c>
      <c r="AB44" s="1149">
        <f>ROUNDDOWN(IncomeLimits!AN42*0.3/12, 0)</f>
        <v>1378</v>
      </c>
      <c r="AC44" s="1149">
        <f>ROUNDDOWN(AVERAGE(IncomeLimits!AO42:'IncomeLimits'!AP42)*0.3/12,0)</f>
        <v>1593</v>
      </c>
      <c r="AD44" s="1149">
        <f>ROUNDDOWN(IncomeLimits!AQ42*0.3/12,0)</f>
        <v>1777</v>
      </c>
      <c r="AE44" s="89">
        <f>ROUNDDOWN(AVERAGE(IncomeLimits!AR42:'IncomeLimits'!AS42)*0.3/12,0)</f>
        <v>1961</v>
      </c>
      <c r="AF44" s="88">
        <f>ROUNDDOWN(IncomeLimits!AU42*0.3/12, 0)</f>
        <v>1251</v>
      </c>
      <c r="AG44" s="1149">
        <f>ROUNDDOWN(AVERAGE(IncomeLimits!AU42:'IncomeLimits'!AV42)*0.3/12, 0)</f>
        <v>1340</v>
      </c>
      <c r="AH44" s="1149">
        <f>ROUNDDOWN(IncomeLimits!AW42*0.3/12, 0)</f>
        <v>1608</v>
      </c>
      <c r="AI44" s="1149">
        <f>ROUNDDOWN(AVERAGE(IncomeLimits!AX42:'IncomeLimits'!AY42)*0.3/12,0)</f>
        <v>1858</v>
      </c>
      <c r="AJ44" s="1149">
        <f>ROUNDDOWN(IncomeLimits!AZ42*0.3/12,0)</f>
        <v>2073</v>
      </c>
      <c r="AK44" s="89">
        <f>ROUNDDOWN(AVERAGE(IncomeLimits!BA42:'IncomeLimits'!BB42)*0.3/12,0)</f>
        <v>2288</v>
      </c>
      <c r="AL44" s="78">
        <f>ROUNDDOWN(IncomeLimits!BD42*0.3/12, 0)</f>
        <v>1430</v>
      </c>
      <c r="AM44" s="1149">
        <f>ROUNDDOWN(AVERAGE(IncomeLimits!BD42:'IncomeLimits'!BE42)*0.3/12, 0)</f>
        <v>1532</v>
      </c>
      <c r="AN44" s="1149">
        <f>ROUNDDOWN(IncomeLimits!BF42*0.3/12, 0)</f>
        <v>1838</v>
      </c>
      <c r="AO44" s="1149">
        <f>ROUNDDOWN(AVERAGE(IncomeLimits!BG42:'IncomeLimits'!BH42)*0.3/12,0)</f>
        <v>2124</v>
      </c>
      <c r="AP44" s="1149">
        <f>ROUNDDOWN(IncomeLimits!BI42*0.3/12,0)</f>
        <v>2370</v>
      </c>
      <c r="AQ44" s="89">
        <f>ROUNDDOWN(AVERAGE(IncomeLimits!BJ42:'IncomeLimits'!BK42)*0.3/12,0)</f>
        <v>2615</v>
      </c>
    </row>
    <row r="45" spans="1:43">
      <c r="A45" s="90" t="s">
        <v>411</v>
      </c>
      <c r="B45" s="88">
        <f>ROUNDDOWN(IncomeLimits!B43*0.3/12, 0)</f>
        <v>357</v>
      </c>
      <c r="C45" s="1149">
        <f>ROUNDDOWN(AVERAGE(IncomeLimits!B43:C43)*0.3/12, 0)</f>
        <v>383</v>
      </c>
      <c r="D45" s="1149">
        <f>ROUNDDOWN(IncomeLimits!D43*0.3/12, 0)</f>
        <v>459</v>
      </c>
      <c r="E45" s="1149">
        <f>ROUNDDOWN(AVERAGE(IncomeLimits!E43:'IncomeLimits'!F43)*0.3/12,0)</f>
        <v>531</v>
      </c>
      <c r="F45" s="1149">
        <f>ROUNDDOWN(IncomeLimits!G43*0.3/12,0)</f>
        <v>592</v>
      </c>
      <c r="G45" s="79">
        <f>ROUNDDOWN(AVERAGE(IncomeLimits!H43:'IncomeLimits'!I43)*0.3/12,0)</f>
        <v>653</v>
      </c>
      <c r="H45" s="88">
        <f>ROUNDDOWN(IncomeLimits!K43*0.3/12, 0)</f>
        <v>536</v>
      </c>
      <c r="I45" s="1149">
        <f>ROUNDDOWN(AVERAGE(IncomeLimits!K43:'IncomeLimits'!L43)*0.3/12, 0)</f>
        <v>574</v>
      </c>
      <c r="J45" s="1149">
        <f>ROUNDDOWN(IncomeLimits!M43*0.3/12, 0)</f>
        <v>689</v>
      </c>
      <c r="K45" s="1149">
        <f>ROUNDDOWN(AVERAGE(IncomeLimits!N43:'IncomeLimits'!O43)*0.3/12,0)</f>
        <v>796</v>
      </c>
      <c r="L45" s="1149">
        <f>ROUNDDOWN(IncomeLimits!P43*0.3/12,0)</f>
        <v>888</v>
      </c>
      <c r="M45" s="89">
        <f>ROUNDDOWN(AVERAGE(IncomeLimits!Q43:'IncomeLimits'!R43)*0.3/12,0)</f>
        <v>980</v>
      </c>
      <c r="N45" s="78">
        <f>ROUNDDOWN(IncomeLimits!T43*0.3/12, 0)</f>
        <v>715</v>
      </c>
      <c r="O45" s="1149">
        <f>ROUNDDOWN(AVERAGE(IncomeLimits!T43:'IncomeLimits'!U43)*0.3/12, 0)</f>
        <v>766</v>
      </c>
      <c r="P45" s="1149">
        <f>ROUNDDOWN(IncomeLimits!V43*0.3/12, 0)</f>
        <v>919</v>
      </c>
      <c r="Q45" s="1149">
        <f>ROUNDDOWN(AVERAGE(IncomeLimits!W43:'IncomeLimits'!X43)*0.3/12,0)</f>
        <v>1062</v>
      </c>
      <c r="R45" s="1149">
        <f>ROUNDDOWN(IncomeLimits!Y43*0.3/12,0)</f>
        <v>1185</v>
      </c>
      <c r="S45" s="79">
        <f>ROUNDDOWN(AVERAGE(IncomeLimits!Z43:'IncomeLimits'!AA43)*0.3/12,0)</f>
        <v>1307</v>
      </c>
      <c r="T45" s="88">
        <f>ROUNDDOWN(IncomeLimits!AC43*0.3/12, 0)</f>
        <v>893</v>
      </c>
      <c r="U45" s="1149">
        <f>ROUNDDOWN(AVERAGE(IncomeLimits!AC43:'IncomeLimits'!AD43)*0.3/12, 0)</f>
        <v>957</v>
      </c>
      <c r="V45" s="1149">
        <f>ROUNDDOWN(IncomeLimits!AE43*0.3/12, 0)</f>
        <v>1148</v>
      </c>
      <c r="W45" s="1149">
        <f>ROUNDDOWN(AVERAGE(IncomeLimits!AF43:AG43)*0.3/12,0)</f>
        <v>1327</v>
      </c>
      <c r="X45" s="1149">
        <f>ROUNDDOWN(IncomeLimits!AH43*0.3/12,0)</f>
        <v>1481</v>
      </c>
      <c r="Y45" s="89">
        <f>ROUNDDOWN(AVERAGE(IncomeLimits!AI43:'IncomeLimits'!AJ43)*0.3/12,0)</f>
        <v>1634</v>
      </c>
      <c r="Z45" s="78">
        <f>ROUNDDOWN(IncomeLimits!AL43*0.3/12, 0)</f>
        <v>1072</v>
      </c>
      <c r="AA45" s="1149">
        <f>ROUNDDOWN(AVERAGE(IncomeLimits!AL43:'IncomeLimits'!AM43)*0.3/12, 0)</f>
        <v>1149</v>
      </c>
      <c r="AB45" s="1149">
        <f>ROUNDDOWN(IncomeLimits!AN43*0.3/12, 0)</f>
        <v>1378</v>
      </c>
      <c r="AC45" s="1149">
        <f>ROUNDDOWN(AVERAGE(IncomeLimits!AO43:'IncomeLimits'!AP43)*0.3/12,0)</f>
        <v>1593</v>
      </c>
      <c r="AD45" s="1149">
        <f>ROUNDDOWN(IncomeLimits!AQ43*0.3/12,0)</f>
        <v>1777</v>
      </c>
      <c r="AE45" s="89">
        <f>ROUNDDOWN(AVERAGE(IncomeLimits!AR43:'IncomeLimits'!AS43)*0.3/12,0)</f>
        <v>1961</v>
      </c>
      <c r="AF45" s="88">
        <f>ROUNDDOWN(IncomeLimits!AU43*0.3/12, 0)</f>
        <v>1251</v>
      </c>
      <c r="AG45" s="1149">
        <f>ROUNDDOWN(AVERAGE(IncomeLimits!AU43:'IncomeLimits'!AV43)*0.3/12, 0)</f>
        <v>1340</v>
      </c>
      <c r="AH45" s="1149">
        <f>ROUNDDOWN(IncomeLimits!AW43*0.3/12, 0)</f>
        <v>1608</v>
      </c>
      <c r="AI45" s="1149">
        <f>ROUNDDOWN(AVERAGE(IncomeLimits!AX43:'IncomeLimits'!AY43)*0.3/12,0)</f>
        <v>1858</v>
      </c>
      <c r="AJ45" s="1149">
        <f>ROUNDDOWN(IncomeLimits!AZ43*0.3/12,0)</f>
        <v>2073</v>
      </c>
      <c r="AK45" s="89">
        <f>ROUNDDOWN(AVERAGE(IncomeLimits!BA43:'IncomeLimits'!BB43)*0.3/12,0)</f>
        <v>2288</v>
      </c>
      <c r="AL45" s="78">
        <f>ROUNDDOWN(IncomeLimits!BD43*0.3/12, 0)</f>
        <v>1430</v>
      </c>
      <c r="AM45" s="1149">
        <f>ROUNDDOWN(AVERAGE(IncomeLimits!BD43:'IncomeLimits'!BE43)*0.3/12, 0)</f>
        <v>1532</v>
      </c>
      <c r="AN45" s="1149">
        <f>ROUNDDOWN(IncomeLimits!BF43*0.3/12, 0)</f>
        <v>1838</v>
      </c>
      <c r="AO45" s="1149">
        <f>ROUNDDOWN(AVERAGE(IncomeLimits!BG43:'IncomeLimits'!BH43)*0.3/12,0)</f>
        <v>2124</v>
      </c>
      <c r="AP45" s="1149">
        <f>ROUNDDOWN(IncomeLimits!BI43*0.3/12,0)</f>
        <v>2370</v>
      </c>
      <c r="AQ45" s="89">
        <f>ROUNDDOWN(AVERAGE(IncomeLimits!BJ43:'IncomeLimits'!BK43)*0.3/12,0)</f>
        <v>2615</v>
      </c>
    </row>
    <row r="46" spans="1:43">
      <c r="A46" s="90" t="s">
        <v>470</v>
      </c>
      <c r="B46" s="88">
        <f>ROUNDDOWN(IncomeLimits!B44*0.3/12, 0)</f>
        <v>313</v>
      </c>
      <c r="C46" s="1149">
        <f>ROUNDDOWN(AVERAGE(IncomeLimits!B44:C44)*0.3/12, 0)</f>
        <v>335</v>
      </c>
      <c r="D46" s="1149">
        <f>ROUNDDOWN(IncomeLimits!D44*0.3/12, 0)</f>
        <v>403</v>
      </c>
      <c r="E46" s="1149">
        <f>ROUNDDOWN(AVERAGE(IncomeLimits!E44:'IncomeLimits'!F44)*0.3/12,0)</f>
        <v>465</v>
      </c>
      <c r="F46" s="1149">
        <f>ROUNDDOWN(IncomeLimits!G44*0.3/12,0)</f>
        <v>519</v>
      </c>
      <c r="G46" s="79">
        <f>ROUNDDOWN(AVERAGE(IncomeLimits!H44:'IncomeLimits'!I44)*0.3/12,0)</f>
        <v>573</v>
      </c>
      <c r="H46" s="88">
        <f>ROUNDDOWN(IncomeLimits!K44*0.3/12, 0)</f>
        <v>470</v>
      </c>
      <c r="I46" s="1149">
        <f>ROUNDDOWN(AVERAGE(IncomeLimits!K44:'IncomeLimits'!L44)*0.3/12, 0)</f>
        <v>503</v>
      </c>
      <c r="J46" s="1149">
        <f>ROUNDDOWN(IncomeLimits!M44*0.3/12, 0)</f>
        <v>604</v>
      </c>
      <c r="K46" s="1149">
        <f>ROUNDDOWN(AVERAGE(IncomeLimits!N44:'IncomeLimits'!O44)*0.3/12,0)</f>
        <v>698</v>
      </c>
      <c r="L46" s="1149">
        <f>ROUNDDOWN(IncomeLimits!P44*0.3/12,0)</f>
        <v>779</v>
      </c>
      <c r="M46" s="89">
        <f>ROUNDDOWN(AVERAGE(IncomeLimits!Q44:'IncomeLimits'!R44)*0.3/12,0)</f>
        <v>859</v>
      </c>
      <c r="N46" s="78">
        <f>ROUNDDOWN(IncomeLimits!T44*0.3/12, 0)</f>
        <v>627</v>
      </c>
      <c r="O46" s="1149">
        <f>ROUNDDOWN(AVERAGE(IncomeLimits!T44:'IncomeLimits'!U44)*0.3/12, 0)</f>
        <v>671</v>
      </c>
      <c r="P46" s="1149">
        <f>ROUNDDOWN(IncomeLimits!V44*0.3/12, 0)</f>
        <v>806</v>
      </c>
      <c r="Q46" s="1149">
        <f>ROUNDDOWN(AVERAGE(IncomeLimits!W44:'IncomeLimits'!X44)*0.3/12,0)</f>
        <v>931</v>
      </c>
      <c r="R46" s="1149">
        <f>ROUNDDOWN(IncomeLimits!Y44*0.3/12,0)</f>
        <v>1039</v>
      </c>
      <c r="S46" s="79">
        <f>ROUNDDOWN(AVERAGE(IncomeLimits!Z44:'IncomeLimits'!AA44)*0.3/12,0)</f>
        <v>1146</v>
      </c>
      <c r="T46" s="88">
        <f>ROUNDDOWN(IncomeLimits!AC44*0.3/12, 0)</f>
        <v>783</v>
      </c>
      <c r="U46" s="1149">
        <f>ROUNDDOWN(AVERAGE(IncomeLimits!AC44:'IncomeLimits'!AD44)*0.3/12, 0)</f>
        <v>839</v>
      </c>
      <c r="V46" s="1149">
        <f>ROUNDDOWN(IncomeLimits!AE44*0.3/12, 0)</f>
        <v>1007</v>
      </c>
      <c r="W46" s="1149">
        <f>ROUNDDOWN(AVERAGE(IncomeLimits!AF44:AG44)*0.3/12,0)</f>
        <v>1163</v>
      </c>
      <c r="X46" s="1149">
        <f>ROUNDDOWN(IncomeLimits!AH44*0.3/12,0)</f>
        <v>1298</v>
      </c>
      <c r="Y46" s="89">
        <f>ROUNDDOWN(AVERAGE(IncomeLimits!AI44:'IncomeLimits'!AJ44)*0.3/12,0)</f>
        <v>1432</v>
      </c>
      <c r="Z46" s="78">
        <f>ROUNDDOWN(IncomeLimits!AL44*0.3/12, 0)</f>
        <v>940</v>
      </c>
      <c r="AA46" s="1149">
        <f>ROUNDDOWN(AVERAGE(IncomeLimits!AL44:'IncomeLimits'!AM44)*0.3/12, 0)</f>
        <v>1007</v>
      </c>
      <c r="AB46" s="1149">
        <f>ROUNDDOWN(IncomeLimits!AN44*0.3/12, 0)</f>
        <v>1209</v>
      </c>
      <c r="AC46" s="1149">
        <f>ROUNDDOWN(AVERAGE(IncomeLimits!AO44:'IncomeLimits'!AP44)*0.3/12,0)</f>
        <v>1396</v>
      </c>
      <c r="AD46" s="1149">
        <f>ROUNDDOWN(IncomeLimits!AQ44*0.3/12,0)</f>
        <v>1558</v>
      </c>
      <c r="AE46" s="89">
        <f>ROUNDDOWN(AVERAGE(IncomeLimits!AR44:'IncomeLimits'!AS44)*0.3/12,0)</f>
        <v>1719</v>
      </c>
      <c r="AF46" s="88">
        <f>ROUNDDOWN(IncomeLimits!AU44*0.3/12, 0)</f>
        <v>1097</v>
      </c>
      <c r="AG46" s="1149">
        <f>ROUNDDOWN(AVERAGE(IncomeLimits!AU44:'IncomeLimits'!AV44)*0.3/12, 0)</f>
        <v>1175</v>
      </c>
      <c r="AH46" s="1149">
        <f>ROUNDDOWN(IncomeLimits!AW44*0.3/12, 0)</f>
        <v>1410</v>
      </c>
      <c r="AI46" s="1149">
        <f>ROUNDDOWN(AVERAGE(IncomeLimits!AX44:'IncomeLimits'!AY44)*0.3/12,0)</f>
        <v>1629</v>
      </c>
      <c r="AJ46" s="1149">
        <f>ROUNDDOWN(IncomeLimits!AZ44*0.3/12,0)</f>
        <v>1818</v>
      </c>
      <c r="AK46" s="89">
        <f>ROUNDDOWN(AVERAGE(IncomeLimits!BA44:'IncomeLimits'!BB44)*0.3/12,0)</f>
        <v>2005</v>
      </c>
      <c r="AL46" s="78">
        <f>ROUNDDOWN(IncomeLimits!BD44*0.3/12, 0)</f>
        <v>1254</v>
      </c>
      <c r="AM46" s="1149">
        <f>ROUNDDOWN(AVERAGE(IncomeLimits!BD44:'IncomeLimits'!BE44)*0.3/12, 0)</f>
        <v>1343</v>
      </c>
      <c r="AN46" s="1149">
        <f>ROUNDDOWN(IncomeLimits!BF44*0.3/12, 0)</f>
        <v>1612</v>
      </c>
      <c r="AO46" s="1149">
        <f>ROUNDDOWN(AVERAGE(IncomeLimits!BG44:'IncomeLimits'!BH44)*0.3/12,0)</f>
        <v>1862</v>
      </c>
      <c r="AP46" s="1149">
        <f>ROUNDDOWN(IncomeLimits!BI44*0.3/12,0)</f>
        <v>2078</v>
      </c>
      <c r="AQ46" s="89">
        <f>ROUNDDOWN(AVERAGE(IncomeLimits!BJ44:'IncomeLimits'!BK44)*0.3/12,0)</f>
        <v>2292</v>
      </c>
    </row>
    <row r="47" spans="1:43">
      <c r="A47" s="90" t="s">
        <v>413</v>
      </c>
      <c r="B47" s="88">
        <f>ROUNDDOWN(IncomeLimits!B45*0.3/12, 0)</f>
        <v>346</v>
      </c>
      <c r="C47" s="1149">
        <f>ROUNDDOWN(AVERAGE(IncomeLimits!B45:C45)*0.3/12, 0)</f>
        <v>371</v>
      </c>
      <c r="D47" s="1149">
        <f>ROUNDDOWN(IncomeLimits!D45*0.3/12, 0)</f>
        <v>445</v>
      </c>
      <c r="E47" s="1149">
        <f>ROUNDDOWN(AVERAGE(IncomeLimits!E45:'IncomeLimits'!F45)*0.3/12,0)</f>
        <v>514</v>
      </c>
      <c r="F47" s="1149">
        <f>ROUNDDOWN(IncomeLimits!G45*0.3/12,0)</f>
        <v>574</v>
      </c>
      <c r="G47" s="79">
        <f>ROUNDDOWN(AVERAGE(IncomeLimits!H45:'IncomeLimits'!I45)*0.3/12,0)</f>
        <v>633</v>
      </c>
      <c r="H47" s="88">
        <f>ROUNDDOWN(IncomeLimits!K45*0.3/12, 0)</f>
        <v>519</v>
      </c>
      <c r="I47" s="1149">
        <f>ROUNDDOWN(AVERAGE(IncomeLimits!K45:'IncomeLimits'!L45)*0.3/12, 0)</f>
        <v>556</v>
      </c>
      <c r="J47" s="1149">
        <f>ROUNDDOWN(IncomeLimits!M45*0.3/12, 0)</f>
        <v>668</v>
      </c>
      <c r="K47" s="1149">
        <f>ROUNDDOWN(AVERAGE(IncomeLimits!N45:'IncomeLimits'!O45)*0.3/12,0)</f>
        <v>772</v>
      </c>
      <c r="L47" s="1149">
        <f>ROUNDDOWN(IncomeLimits!P45*0.3/12,0)</f>
        <v>861</v>
      </c>
      <c r="M47" s="89">
        <f>ROUNDDOWN(AVERAGE(IncomeLimits!Q45:'IncomeLimits'!R45)*0.3/12,0)</f>
        <v>949</v>
      </c>
      <c r="N47" s="78">
        <f>ROUNDDOWN(IncomeLimits!T45*0.3/12, 0)</f>
        <v>693</v>
      </c>
      <c r="O47" s="1149">
        <f>ROUNDDOWN(AVERAGE(IncomeLimits!T45:'IncomeLimits'!U45)*0.3/12, 0)</f>
        <v>742</v>
      </c>
      <c r="P47" s="1149">
        <f>ROUNDDOWN(IncomeLimits!V45*0.3/12, 0)</f>
        <v>891</v>
      </c>
      <c r="Q47" s="1149">
        <f>ROUNDDOWN(AVERAGE(IncomeLimits!W45:'IncomeLimits'!X45)*0.3/12,0)</f>
        <v>1029</v>
      </c>
      <c r="R47" s="1149">
        <f>ROUNDDOWN(IncomeLimits!Y45*0.3/12,0)</f>
        <v>1148</v>
      </c>
      <c r="S47" s="79">
        <f>ROUNDDOWN(AVERAGE(IncomeLimits!Z45:'IncomeLimits'!AA45)*0.3/12,0)</f>
        <v>1266</v>
      </c>
      <c r="T47" s="88">
        <f>ROUNDDOWN(IncomeLimits!AC45*0.3/12, 0)</f>
        <v>866</v>
      </c>
      <c r="U47" s="1149">
        <f>ROUNDDOWN(AVERAGE(IncomeLimits!AC45:'IncomeLimits'!AD45)*0.3/12, 0)</f>
        <v>928</v>
      </c>
      <c r="V47" s="1149">
        <f>ROUNDDOWN(IncomeLimits!AE45*0.3/12, 0)</f>
        <v>1113</v>
      </c>
      <c r="W47" s="1149">
        <f>ROUNDDOWN(AVERAGE(IncomeLimits!AF45:AG45)*0.3/12,0)</f>
        <v>1286</v>
      </c>
      <c r="X47" s="1149">
        <f>ROUNDDOWN(IncomeLimits!AH45*0.3/12,0)</f>
        <v>1435</v>
      </c>
      <c r="Y47" s="89">
        <f>ROUNDDOWN(AVERAGE(IncomeLimits!AI45:'IncomeLimits'!AJ45)*0.3/12,0)</f>
        <v>1583</v>
      </c>
      <c r="Z47" s="78">
        <f>ROUNDDOWN(IncomeLimits!AL45*0.3/12, 0)</f>
        <v>1039</v>
      </c>
      <c r="AA47" s="1149">
        <f>ROUNDDOWN(AVERAGE(IncomeLimits!AL45:'IncomeLimits'!AM45)*0.3/12, 0)</f>
        <v>1113</v>
      </c>
      <c r="AB47" s="1149">
        <f>ROUNDDOWN(IncomeLimits!AN45*0.3/12, 0)</f>
        <v>1336</v>
      </c>
      <c r="AC47" s="1149">
        <f>ROUNDDOWN(AVERAGE(IncomeLimits!AO45:'IncomeLimits'!AP45)*0.3/12,0)</f>
        <v>1544</v>
      </c>
      <c r="AD47" s="1149">
        <f>ROUNDDOWN(IncomeLimits!AQ45*0.3/12,0)</f>
        <v>1722</v>
      </c>
      <c r="AE47" s="89">
        <f>ROUNDDOWN(AVERAGE(IncomeLimits!AR45:'IncomeLimits'!AS45)*0.3/12,0)</f>
        <v>1899</v>
      </c>
      <c r="AF47" s="88">
        <f>ROUNDDOWN(IncomeLimits!AU45*0.3/12, 0)</f>
        <v>1212</v>
      </c>
      <c r="AG47" s="1149">
        <f>ROUNDDOWN(AVERAGE(IncomeLimits!AU45:'IncomeLimits'!AV45)*0.3/12, 0)</f>
        <v>1299</v>
      </c>
      <c r="AH47" s="1149">
        <f>ROUNDDOWN(IncomeLimits!AW45*0.3/12, 0)</f>
        <v>1559</v>
      </c>
      <c r="AI47" s="1149">
        <f>ROUNDDOWN(AVERAGE(IncomeLimits!AX45:'IncomeLimits'!AY45)*0.3/12,0)</f>
        <v>1801</v>
      </c>
      <c r="AJ47" s="1149">
        <f>ROUNDDOWN(IncomeLimits!AZ45*0.3/12,0)</f>
        <v>2009</v>
      </c>
      <c r="AK47" s="89">
        <f>ROUNDDOWN(AVERAGE(IncomeLimits!BA45:'IncomeLimits'!BB45)*0.3/12,0)</f>
        <v>2216</v>
      </c>
      <c r="AL47" s="78">
        <f>ROUNDDOWN(IncomeLimits!BD45*0.3/12, 0)</f>
        <v>1386</v>
      </c>
      <c r="AM47" s="1149">
        <f>ROUNDDOWN(AVERAGE(IncomeLimits!BD45:'IncomeLimits'!BE45)*0.3/12, 0)</f>
        <v>1485</v>
      </c>
      <c r="AN47" s="1149">
        <f>ROUNDDOWN(IncomeLimits!BF45*0.3/12, 0)</f>
        <v>1782</v>
      </c>
      <c r="AO47" s="1149">
        <f>ROUNDDOWN(AVERAGE(IncomeLimits!BG45:'IncomeLimits'!BH45)*0.3/12,0)</f>
        <v>2059</v>
      </c>
      <c r="AP47" s="1149">
        <f>ROUNDDOWN(IncomeLimits!BI45*0.3/12,0)</f>
        <v>2296</v>
      </c>
      <c r="AQ47" s="89">
        <f>ROUNDDOWN(AVERAGE(IncomeLimits!BJ45:'IncomeLimits'!BK45)*0.3/12,0)</f>
        <v>2533</v>
      </c>
    </row>
    <row r="48" spans="1:43">
      <c r="A48" s="90" t="s">
        <v>472</v>
      </c>
      <c r="B48" s="88">
        <f>ROUNDDOWN(IncomeLimits!B46*0.3/12, 0)</f>
        <v>303</v>
      </c>
      <c r="C48" s="1149">
        <f>ROUNDDOWN(AVERAGE(IncomeLimits!B46:C46)*0.3/12, 0)</f>
        <v>325</v>
      </c>
      <c r="D48" s="1149">
        <f>ROUNDDOWN(IncomeLimits!D46*0.3/12, 0)</f>
        <v>390</v>
      </c>
      <c r="E48" s="1149">
        <f>ROUNDDOWN(AVERAGE(IncomeLimits!E46:'IncomeLimits'!F46)*0.3/12,0)</f>
        <v>450</v>
      </c>
      <c r="F48" s="1149">
        <f>ROUNDDOWN(IncomeLimits!G46*0.3/12,0)</f>
        <v>502</v>
      </c>
      <c r="G48" s="79">
        <f>ROUNDDOWN(AVERAGE(IncomeLimits!H46:'IncomeLimits'!I46)*0.3/12,0)</f>
        <v>554</v>
      </c>
      <c r="H48" s="88">
        <f>ROUNDDOWN(IncomeLimits!K46*0.3/12, 0)</f>
        <v>455</v>
      </c>
      <c r="I48" s="1149">
        <f>ROUNDDOWN(AVERAGE(IncomeLimits!K46:'IncomeLimits'!L46)*0.3/12, 0)</f>
        <v>487</v>
      </c>
      <c r="J48" s="1149">
        <f>ROUNDDOWN(IncomeLimits!M46*0.3/12, 0)</f>
        <v>585</v>
      </c>
      <c r="K48" s="1149">
        <f>ROUNDDOWN(AVERAGE(IncomeLimits!N46:'IncomeLimits'!O46)*0.3/12,0)</f>
        <v>675</v>
      </c>
      <c r="L48" s="1149">
        <f>ROUNDDOWN(IncomeLimits!P46*0.3/12,0)</f>
        <v>753</v>
      </c>
      <c r="M48" s="89">
        <f>ROUNDDOWN(AVERAGE(IncomeLimits!Q46:'IncomeLimits'!R46)*0.3/12,0)</f>
        <v>831</v>
      </c>
      <c r="N48" s="78">
        <f>ROUNDDOWN(IncomeLimits!T46*0.3/12, 0)</f>
        <v>607</v>
      </c>
      <c r="O48" s="1149">
        <f>ROUNDDOWN(AVERAGE(IncomeLimits!T46:'IncomeLimits'!U46)*0.3/12, 0)</f>
        <v>650</v>
      </c>
      <c r="P48" s="1149">
        <f>ROUNDDOWN(IncomeLimits!V46*0.3/12, 0)</f>
        <v>780</v>
      </c>
      <c r="Q48" s="1149">
        <f>ROUNDDOWN(AVERAGE(IncomeLimits!W46:'IncomeLimits'!X46)*0.3/12,0)</f>
        <v>901</v>
      </c>
      <c r="R48" s="1149">
        <f>ROUNDDOWN(IncomeLimits!Y46*0.3/12,0)</f>
        <v>1005</v>
      </c>
      <c r="S48" s="79">
        <f>ROUNDDOWN(AVERAGE(IncomeLimits!Z46:'IncomeLimits'!AA46)*0.3/12,0)</f>
        <v>1109</v>
      </c>
      <c r="T48" s="88">
        <f>ROUNDDOWN(IncomeLimits!AC46*0.3/12, 0)</f>
        <v>758</v>
      </c>
      <c r="U48" s="1149">
        <f>ROUNDDOWN(AVERAGE(IncomeLimits!AC46:'IncomeLimits'!AD46)*0.3/12, 0)</f>
        <v>812</v>
      </c>
      <c r="V48" s="1149">
        <f>ROUNDDOWN(IncomeLimits!AE46*0.3/12, 0)</f>
        <v>975</v>
      </c>
      <c r="W48" s="1149">
        <f>ROUNDDOWN(AVERAGE(IncomeLimits!AF46:AG46)*0.3/12,0)</f>
        <v>1126</v>
      </c>
      <c r="X48" s="1149">
        <f>ROUNDDOWN(IncomeLimits!AH46*0.3/12,0)</f>
        <v>1256</v>
      </c>
      <c r="Y48" s="89">
        <f>ROUNDDOWN(AVERAGE(IncomeLimits!AI46:'IncomeLimits'!AJ46)*0.3/12,0)</f>
        <v>1386</v>
      </c>
      <c r="Z48" s="78">
        <f>ROUNDDOWN(IncomeLimits!AL46*0.3/12, 0)</f>
        <v>910</v>
      </c>
      <c r="AA48" s="1149">
        <f>ROUNDDOWN(AVERAGE(IncomeLimits!AL46:'IncomeLimits'!AM46)*0.3/12, 0)</f>
        <v>975</v>
      </c>
      <c r="AB48" s="1149">
        <f>ROUNDDOWN(IncomeLimits!AN46*0.3/12, 0)</f>
        <v>1170</v>
      </c>
      <c r="AC48" s="1149">
        <f>ROUNDDOWN(AVERAGE(IncomeLimits!AO46:'IncomeLimits'!AP46)*0.3/12,0)</f>
        <v>1351</v>
      </c>
      <c r="AD48" s="1149">
        <f>ROUNDDOWN(IncomeLimits!AQ46*0.3/12,0)</f>
        <v>1507</v>
      </c>
      <c r="AE48" s="89">
        <f>ROUNDDOWN(AVERAGE(IncomeLimits!AR46:'IncomeLimits'!AS46)*0.3/12,0)</f>
        <v>1663</v>
      </c>
      <c r="AF48" s="88">
        <f>ROUNDDOWN(IncomeLimits!AU46*0.3/12, 0)</f>
        <v>1062</v>
      </c>
      <c r="AG48" s="1149">
        <f>ROUNDDOWN(AVERAGE(IncomeLimits!AU46:'IncomeLimits'!AV46)*0.3/12, 0)</f>
        <v>1137</v>
      </c>
      <c r="AH48" s="1149">
        <f>ROUNDDOWN(IncomeLimits!AW46*0.3/12, 0)</f>
        <v>1365</v>
      </c>
      <c r="AI48" s="1149">
        <f>ROUNDDOWN(AVERAGE(IncomeLimits!AX46:'IncomeLimits'!AY46)*0.3/12,0)</f>
        <v>1576</v>
      </c>
      <c r="AJ48" s="1149">
        <f>ROUNDDOWN(IncomeLimits!AZ46*0.3/12,0)</f>
        <v>1758</v>
      </c>
      <c r="AK48" s="89">
        <f>ROUNDDOWN(AVERAGE(IncomeLimits!BA46:'IncomeLimits'!BB46)*0.3/12,0)</f>
        <v>1940</v>
      </c>
      <c r="AL48" s="78">
        <f>ROUNDDOWN(IncomeLimits!BD46*0.3/12, 0)</f>
        <v>1214</v>
      </c>
      <c r="AM48" s="1149">
        <f>ROUNDDOWN(AVERAGE(IncomeLimits!BD46:'IncomeLimits'!BE46)*0.3/12, 0)</f>
        <v>1300</v>
      </c>
      <c r="AN48" s="1149">
        <f>ROUNDDOWN(IncomeLimits!BF46*0.3/12, 0)</f>
        <v>1560</v>
      </c>
      <c r="AO48" s="1149">
        <f>ROUNDDOWN(AVERAGE(IncomeLimits!BG46:'IncomeLimits'!BH46)*0.3/12,0)</f>
        <v>1802</v>
      </c>
      <c r="AP48" s="1149">
        <f>ROUNDDOWN(IncomeLimits!BI46*0.3/12,0)</f>
        <v>2010</v>
      </c>
      <c r="AQ48" s="89">
        <f>ROUNDDOWN(AVERAGE(IncomeLimits!BJ46:'IncomeLimits'!BK46)*0.3/12,0)</f>
        <v>2218</v>
      </c>
    </row>
    <row r="49" spans="1:43" ht="16" thickBot="1">
      <c r="A49" s="91" t="s">
        <v>7115</v>
      </c>
      <c r="B49" s="333">
        <f>ROUNDDOWN(IncomeLimits!B47*0.3/12, 0)</f>
        <v>303</v>
      </c>
      <c r="C49" s="92">
        <f>ROUNDDOWN(AVERAGE(IncomeLimits!B47:C47)*0.3/12, 0)</f>
        <v>325</v>
      </c>
      <c r="D49" s="92">
        <f>ROUNDDOWN(IncomeLimits!D47*0.3/12, 0)</f>
        <v>390</v>
      </c>
      <c r="E49" s="92">
        <f>ROUNDDOWN(AVERAGE(IncomeLimits!E47:'IncomeLimits'!F47)*0.3/12,0)</f>
        <v>450</v>
      </c>
      <c r="F49" s="92">
        <f>ROUNDDOWN(IncomeLimits!G47*0.3/12,0)</f>
        <v>502</v>
      </c>
      <c r="G49" s="335">
        <f>ROUNDDOWN(AVERAGE(IncomeLimits!H47:'IncomeLimits'!I47)*0.3/12,0)</f>
        <v>554</v>
      </c>
      <c r="H49" s="333">
        <f>ROUNDDOWN(IncomeLimits!K47*0.3/12, 0)</f>
        <v>455</v>
      </c>
      <c r="I49" s="92">
        <f>ROUNDDOWN(AVERAGE(IncomeLimits!K47:'IncomeLimits'!L47)*0.3/12, 0)</f>
        <v>487</v>
      </c>
      <c r="J49" s="92">
        <f>ROUNDDOWN(IncomeLimits!M47*0.3/12, 0)</f>
        <v>585</v>
      </c>
      <c r="K49" s="92">
        <f>ROUNDDOWN(AVERAGE(IncomeLimits!N47:'IncomeLimits'!O47)*0.3/12,0)</f>
        <v>675</v>
      </c>
      <c r="L49" s="92">
        <f>ROUNDDOWN(IncomeLimits!P47*0.3/12,0)</f>
        <v>753</v>
      </c>
      <c r="M49" s="332">
        <f>ROUNDDOWN(AVERAGE(IncomeLimits!Q47:'IncomeLimits'!R47)*0.3/12,0)</f>
        <v>831</v>
      </c>
      <c r="N49" s="334">
        <f>ROUNDDOWN(IncomeLimits!T47*0.3/12, 0)</f>
        <v>607</v>
      </c>
      <c r="O49" s="92">
        <f>ROUNDDOWN(AVERAGE(IncomeLimits!T47:'IncomeLimits'!U47)*0.3/12, 0)</f>
        <v>650</v>
      </c>
      <c r="P49" s="92">
        <f>ROUNDDOWN(IncomeLimits!V47*0.3/12, 0)</f>
        <v>780</v>
      </c>
      <c r="Q49" s="92">
        <f>ROUNDDOWN(AVERAGE(IncomeLimits!W47:'IncomeLimits'!X47)*0.3/12,0)</f>
        <v>901</v>
      </c>
      <c r="R49" s="92">
        <f>ROUNDDOWN(IncomeLimits!Y47*0.3/12,0)</f>
        <v>1005</v>
      </c>
      <c r="S49" s="335">
        <f>ROUNDDOWN(AVERAGE(IncomeLimits!Z47:'IncomeLimits'!AA47)*0.3/12,0)</f>
        <v>1109</v>
      </c>
      <c r="T49" s="333">
        <f>ROUNDDOWN(IncomeLimits!AC47*0.3/12, 0)</f>
        <v>758</v>
      </c>
      <c r="U49" s="92">
        <f>ROUNDDOWN(AVERAGE(IncomeLimits!AC47:'IncomeLimits'!AD47)*0.3/12, 0)</f>
        <v>812</v>
      </c>
      <c r="V49" s="92">
        <f>ROUNDDOWN(IncomeLimits!AE47*0.3/12, 0)</f>
        <v>975</v>
      </c>
      <c r="W49" s="92">
        <f>ROUNDDOWN(AVERAGE(IncomeLimits!AF47:AG47)*0.3/12,0)</f>
        <v>1126</v>
      </c>
      <c r="X49" s="92">
        <f>ROUNDDOWN(IncomeLimits!AH47*0.3/12,0)</f>
        <v>1256</v>
      </c>
      <c r="Y49" s="332">
        <f>ROUNDDOWN(AVERAGE(IncomeLimits!AI47:'IncomeLimits'!AJ47)*0.3/12,0)</f>
        <v>1386</v>
      </c>
      <c r="Z49" s="334">
        <f>ROUNDDOWN(IncomeLimits!AL47*0.3/12, 0)</f>
        <v>910</v>
      </c>
      <c r="AA49" s="92">
        <f>ROUNDDOWN(AVERAGE(IncomeLimits!AL47:'IncomeLimits'!AM47)*0.3/12, 0)</f>
        <v>975</v>
      </c>
      <c r="AB49" s="92">
        <f>ROUNDDOWN(IncomeLimits!AN47*0.3/12, 0)</f>
        <v>1170</v>
      </c>
      <c r="AC49" s="92">
        <f>ROUNDDOWN(AVERAGE(IncomeLimits!AO47:'IncomeLimits'!AP47)*0.3/12,0)</f>
        <v>1351</v>
      </c>
      <c r="AD49" s="92">
        <f>ROUNDDOWN(IncomeLimits!AQ47*0.3/12,0)</f>
        <v>1507</v>
      </c>
      <c r="AE49" s="332">
        <f>ROUNDDOWN(AVERAGE(IncomeLimits!AR47:'IncomeLimits'!AS47)*0.3/12,0)</f>
        <v>1663</v>
      </c>
      <c r="AF49" s="333">
        <f>ROUNDDOWN(IncomeLimits!AU47*0.3/12, 0)</f>
        <v>1062</v>
      </c>
      <c r="AG49" s="92">
        <f>ROUNDDOWN(AVERAGE(IncomeLimits!AU47:'IncomeLimits'!AV47)*0.3/12, 0)</f>
        <v>1137</v>
      </c>
      <c r="AH49" s="92">
        <f>ROUNDDOWN(IncomeLimits!AW47*0.3/12, 0)</f>
        <v>1365</v>
      </c>
      <c r="AI49" s="92">
        <f>ROUNDDOWN(AVERAGE(IncomeLimits!AX47:'IncomeLimits'!AY47)*0.3/12,0)</f>
        <v>1576</v>
      </c>
      <c r="AJ49" s="92">
        <f>ROUNDDOWN(IncomeLimits!AZ47*0.3/12,0)</f>
        <v>1758</v>
      </c>
      <c r="AK49" s="332">
        <f>ROUNDDOWN(AVERAGE(IncomeLimits!BA47:'IncomeLimits'!BB47)*0.3/12,0)</f>
        <v>1940</v>
      </c>
      <c r="AL49" s="334">
        <f>ROUNDDOWN(IncomeLimits!BD47*0.3/12, 0)</f>
        <v>1214</v>
      </c>
      <c r="AM49" s="92">
        <f>ROUNDDOWN(AVERAGE(IncomeLimits!BD47:'IncomeLimits'!BE47)*0.3/12, 0)</f>
        <v>1300</v>
      </c>
      <c r="AN49" s="92">
        <f>ROUNDDOWN(IncomeLimits!BF47*0.3/12, 0)</f>
        <v>1560</v>
      </c>
      <c r="AO49" s="92">
        <f>ROUNDDOWN(AVERAGE(IncomeLimits!BG47:'IncomeLimits'!BH47)*0.3/12,0)</f>
        <v>1802</v>
      </c>
      <c r="AP49" s="92">
        <f>ROUNDDOWN(IncomeLimits!BI47*0.3/12,0)</f>
        <v>2010</v>
      </c>
      <c r="AQ49" s="332">
        <f>ROUNDDOWN(AVERAGE(IncomeLimits!BJ47:'IncomeLimits'!BK47)*0.3/12,0)</f>
        <v>2218</v>
      </c>
    </row>
    <row r="50" spans="1:43">
      <c r="A50" s="739"/>
      <c r="B50" s="739"/>
      <c r="C50" s="739"/>
      <c r="D50" s="739"/>
      <c r="E50" s="739"/>
      <c r="F50" s="739"/>
      <c r="G50" s="739"/>
      <c r="H50" s="739"/>
      <c r="I50" s="739"/>
      <c r="J50" s="739"/>
      <c r="K50" s="739"/>
      <c r="L50" s="739"/>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739"/>
      <c r="AM50" s="739"/>
      <c r="AN50" s="739"/>
      <c r="AO50" s="739"/>
      <c r="AP50" s="739"/>
      <c r="AQ50" s="739"/>
    </row>
    <row r="51" spans="1:43">
      <c r="A51" s="739" t="s">
        <v>7116</v>
      </c>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row>
    <row r="52" spans="1:43">
      <c r="A52" s="739" t="s">
        <v>7117</v>
      </c>
      <c r="B52" s="739"/>
      <c r="C52" s="739"/>
      <c r="D52" s="739"/>
      <c r="E52" s="739"/>
      <c r="F52" s="739"/>
      <c r="G52" s="739"/>
      <c r="H52" s="739"/>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row>
    <row r="53" spans="1:43">
      <c r="A53" s="739"/>
      <c r="B53" s="739"/>
      <c r="C53" s="739"/>
      <c r="D53" s="739"/>
      <c r="E53" s="739"/>
      <c r="F53" s="739"/>
      <c r="G53" s="739"/>
      <c r="H53" s="739"/>
      <c r="I53" s="739"/>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row>
    <row r="54" spans="1:43">
      <c r="A54" s="739" t="s">
        <v>7118</v>
      </c>
      <c r="B54" s="739"/>
      <c r="C54" s="739"/>
      <c r="D54" s="739"/>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row>
    <row r="55" spans="1:43">
      <c r="A55" s="739" t="s">
        <v>7119</v>
      </c>
      <c r="B55" s="739"/>
      <c r="C55" s="739"/>
      <c r="D55" s="739"/>
      <c r="E55" s="739"/>
      <c r="F55" s="739"/>
      <c r="G55" s="739"/>
      <c r="H55" s="739"/>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row>
    <row r="56" spans="1:43">
      <c r="A56" s="739" t="s">
        <v>7120</v>
      </c>
      <c r="B56" s="739"/>
      <c r="C56" s="739"/>
      <c r="D56" s="739"/>
      <c r="E56" s="739"/>
      <c r="F56" s="739"/>
      <c r="G56" s="739"/>
      <c r="H56" s="739"/>
      <c r="I56" s="739"/>
      <c r="J56" s="739"/>
      <c r="K56" s="739"/>
      <c r="L56" s="739"/>
      <c r="M56" s="739"/>
      <c r="N56" s="739"/>
      <c r="O56" s="739"/>
      <c r="P56" s="739"/>
      <c r="Q56" s="739"/>
      <c r="R56" s="739"/>
      <c r="S56" s="739"/>
      <c r="T56" s="739"/>
      <c r="U56" s="739"/>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row>
    <row r="57" spans="1:43">
      <c r="A57" t="s">
        <v>7121</v>
      </c>
    </row>
  </sheetData>
  <sheetProtection algorithmName="SHA-512" hashValue="f7W699fiFG9SUzBe7tvmJb/vhSxj2jMyaKPMK8PTaMfavJF0woUU7TrE8G286pfgBmLpJRKOzuyZKQ1/b5SF3w==" saltValue="bRJdAab8dO5dY/1fXgDwQg==" spinCount="100000" sheet="1" objects="1" scenarios="1" selectLockedCells="1"/>
  <pageMargins left="0.7" right="0.7" top="0.75" bottom="0.75" header="0.3" footer="0.3"/>
  <pageSetup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E2A0-494A-4EE6-A518-7C36AB9E2649}">
  <sheetPr codeName="Sheet42"/>
  <dimension ref="A1:BL60"/>
  <sheetViews>
    <sheetView workbookViewId="0"/>
  </sheetViews>
  <sheetFormatPr baseColWidth="10" defaultColWidth="8.83203125" defaultRowHeight="15" outlineLevelCol="1"/>
  <cols>
    <col min="1" max="1" width="23.5" style="48" bestFit="1" customWidth="1"/>
    <col min="2" max="28" width="8.83203125" customWidth="1" outlineLevel="1"/>
    <col min="257" max="257" width="23.5" bestFit="1" customWidth="1"/>
    <col min="513" max="513" width="23.5" bestFit="1" customWidth="1"/>
    <col min="769" max="769" width="23.5" bestFit="1" customWidth="1"/>
    <col min="1025" max="1025" width="23.5" bestFit="1" customWidth="1"/>
    <col min="1281" max="1281" width="23.5" bestFit="1" customWidth="1"/>
    <col min="1537" max="1537" width="23.5" bestFit="1" customWidth="1"/>
    <col min="1793" max="1793" width="23.5" bestFit="1" customWidth="1"/>
    <col min="2049" max="2049" width="23.5" bestFit="1" customWidth="1"/>
    <col min="2305" max="2305" width="23.5" bestFit="1" customWidth="1"/>
    <col min="2561" max="2561" width="23.5" bestFit="1" customWidth="1"/>
    <col min="2817" max="2817" width="23.5" bestFit="1" customWidth="1"/>
    <col min="3073" max="3073" width="23.5" bestFit="1" customWidth="1"/>
    <col min="3329" max="3329" width="23.5" bestFit="1" customWidth="1"/>
    <col min="3585" max="3585" width="23.5" bestFit="1" customWidth="1"/>
    <col min="3841" max="3841" width="23.5" bestFit="1" customWidth="1"/>
    <col min="4097" max="4097" width="23.5" bestFit="1" customWidth="1"/>
    <col min="4353" max="4353" width="23.5" bestFit="1" customWidth="1"/>
    <col min="4609" max="4609" width="23.5" bestFit="1" customWidth="1"/>
    <col min="4865" max="4865" width="23.5" bestFit="1" customWidth="1"/>
    <col min="5121" max="5121" width="23.5" bestFit="1" customWidth="1"/>
    <col min="5377" max="5377" width="23.5" bestFit="1" customWidth="1"/>
    <col min="5633" max="5633" width="23.5" bestFit="1" customWidth="1"/>
    <col min="5889" max="5889" width="23.5" bestFit="1" customWidth="1"/>
    <col min="6145" max="6145" width="23.5" bestFit="1" customWidth="1"/>
    <col min="6401" max="6401" width="23.5" bestFit="1" customWidth="1"/>
    <col min="6657" max="6657" width="23.5" bestFit="1" customWidth="1"/>
    <col min="6913" max="6913" width="23.5" bestFit="1" customWidth="1"/>
    <col min="7169" max="7169" width="23.5" bestFit="1" customWidth="1"/>
    <col min="7425" max="7425" width="23.5" bestFit="1" customWidth="1"/>
    <col min="7681" max="7681" width="23.5" bestFit="1" customWidth="1"/>
    <col min="7937" max="7937" width="23.5" bestFit="1" customWidth="1"/>
    <col min="8193" max="8193" width="23.5" bestFit="1" customWidth="1"/>
    <col min="8449" max="8449" width="23.5" bestFit="1" customWidth="1"/>
    <col min="8705" max="8705" width="23.5" bestFit="1" customWidth="1"/>
    <col min="8961" max="8961" width="23.5" bestFit="1" customWidth="1"/>
    <col min="9217" max="9217" width="23.5" bestFit="1" customWidth="1"/>
    <col min="9473" max="9473" width="23.5" bestFit="1" customWidth="1"/>
    <col min="9729" max="9729" width="23.5" bestFit="1" customWidth="1"/>
    <col min="9985" max="9985" width="23.5" bestFit="1" customWidth="1"/>
    <col min="10241" max="10241" width="23.5" bestFit="1" customWidth="1"/>
    <col min="10497" max="10497" width="23.5" bestFit="1" customWidth="1"/>
    <col min="10753" max="10753" width="23.5" bestFit="1" customWidth="1"/>
    <col min="11009" max="11009" width="23.5" bestFit="1" customWidth="1"/>
    <col min="11265" max="11265" width="23.5" bestFit="1" customWidth="1"/>
    <col min="11521" max="11521" width="23.5" bestFit="1" customWidth="1"/>
    <col min="11777" max="11777" width="23.5" bestFit="1" customWidth="1"/>
    <col min="12033" max="12033" width="23.5" bestFit="1" customWidth="1"/>
    <col min="12289" max="12289" width="23.5" bestFit="1" customWidth="1"/>
    <col min="12545" max="12545" width="23.5" bestFit="1" customWidth="1"/>
    <col min="12801" max="12801" width="23.5" bestFit="1" customWidth="1"/>
    <col min="13057" max="13057" width="23.5" bestFit="1" customWidth="1"/>
    <col min="13313" max="13313" width="23.5" bestFit="1" customWidth="1"/>
    <col min="13569" max="13569" width="23.5" bestFit="1" customWidth="1"/>
    <col min="13825" max="13825" width="23.5" bestFit="1" customWidth="1"/>
    <col min="14081" max="14081" width="23.5" bestFit="1" customWidth="1"/>
    <col min="14337" max="14337" width="23.5" bestFit="1" customWidth="1"/>
    <col min="14593" max="14593" width="23.5" bestFit="1" customWidth="1"/>
    <col min="14849" max="14849" width="23.5" bestFit="1" customWidth="1"/>
    <col min="15105" max="15105" width="23.5" bestFit="1" customWidth="1"/>
    <col min="15361" max="15361" width="23.5" bestFit="1" customWidth="1"/>
    <col min="15617" max="15617" width="23.5" bestFit="1" customWidth="1"/>
    <col min="15873" max="15873" width="23.5" bestFit="1" customWidth="1"/>
    <col min="16129" max="16129" width="23.5" bestFit="1" customWidth="1"/>
  </cols>
  <sheetData>
    <row r="1" spans="1:64" s="48" customFormat="1">
      <c r="B1" s="2694" t="s">
        <v>7122</v>
      </c>
      <c r="C1" s="2694"/>
      <c r="D1" s="2694"/>
      <c r="E1" s="2694"/>
      <c r="F1" s="2694"/>
      <c r="G1" s="2694"/>
      <c r="H1" s="2694"/>
      <c r="I1" s="2694"/>
      <c r="J1" s="2694"/>
      <c r="K1" s="2694" t="s">
        <v>5050</v>
      </c>
      <c r="L1" s="2694"/>
      <c r="M1" s="2694"/>
      <c r="N1" s="2694"/>
      <c r="O1" s="2694"/>
      <c r="P1" s="2694"/>
      <c r="Q1" s="2694"/>
      <c r="R1" s="2694"/>
      <c r="S1" s="2694"/>
      <c r="T1" s="2694" t="s">
        <v>5055</v>
      </c>
      <c r="U1" s="2694"/>
      <c r="V1" s="2694"/>
      <c r="W1" s="2694"/>
      <c r="X1" s="2694"/>
      <c r="Y1" s="2694"/>
      <c r="Z1" s="2694"/>
      <c r="AA1" s="2694"/>
      <c r="AB1" s="2694"/>
      <c r="AC1" s="2695" t="s">
        <v>5061</v>
      </c>
      <c r="AD1" s="2695"/>
      <c r="AE1" s="2695"/>
      <c r="AF1" s="2695"/>
      <c r="AG1" s="2695"/>
      <c r="AH1" s="2695"/>
      <c r="AI1" s="2695"/>
      <c r="AJ1" s="2695"/>
      <c r="AK1" s="2695"/>
      <c r="AL1" s="2694" t="s">
        <v>5067</v>
      </c>
      <c r="AM1" s="2694"/>
      <c r="AN1" s="2694"/>
      <c r="AO1" s="2694"/>
      <c r="AP1" s="2694"/>
      <c r="AQ1" s="2694"/>
      <c r="AR1" s="2694"/>
      <c r="AS1" s="2694"/>
      <c r="AT1" s="2694"/>
      <c r="AU1" s="2694" t="s">
        <v>5072</v>
      </c>
      <c r="AV1" s="2694"/>
      <c r="AW1" s="2694"/>
      <c r="AX1" s="2694"/>
      <c r="AY1" s="2694"/>
      <c r="AZ1" s="2694"/>
      <c r="BA1" s="2694"/>
      <c r="BB1" s="2694"/>
      <c r="BC1" s="2694"/>
      <c r="BD1" s="2694" t="s">
        <v>5078</v>
      </c>
      <c r="BE1" s="2694"/>
      <c r="BF1" s="2694"/>
      <c r="BG1" s="2694"/>
      <c r="BH1" s="2694"/>
      <c r="BI1" s="2694"/>
      <c r="BJ1" s="2694"/>
      <c r="BK1" s="2694"/>
      <c r="BL1" s="2694"/>
    </row>
    <row r="2" spans="1:64" s="48" customFormat="1">
      <c r="A2" s="48" t="s">
        <v>7114</v>
      </c>
      <c r="B2" s="48" t="s">
        <v>7123</v>
      </c>
      <c r="C2" s="48" t="s">
        <v>7124</v>
      </c>
      <c r="D2" s="48" t="s">
        <v>7125</v>
      </c>
      <c r="E2" s="48" t="s">
        <v>7126</v>
      </c>
      <c r="F2" s="48" t="s">
        <v>7127</v>
      </c>
      <c r="G2" s="48" t="s">
        <v>7128</v>
      </c>
      <c r="H2" s="48" t="s">
        <v>7129</v>
      </c>
      <c r="I2" s="48" t="s">
        <v>7130</v>
      </c>
      <c r="J2" s="48" t="s">
        <v>7131</v>
      </c>
      <c r="K2" s="48" t="s">
        <v>7123</v>
      </c>
      <c r="L2" s="48" t="s">
        <v>7124</v>
      </c>
      <c r="M2" s="48" t="s">
        <v>7125</v>
      </c>
      <c r="N2" s="48" t="s">
        <v>7126</v>
      </c>
      <c r="O2" s="48" t="s">
        <v>7127</v>
      </c>
      <c r="P2" s="48" t="s">
        <v>7128</v>
      </c>
      <c r="Q2" s="48" t="s">
        <v>7129</v>
      </c>
      <c r="R2" s="48" t="s">
        <v>7130</v>
      </c>
      <c r="S2" s="48" t="s">
        <v>7131</v>
      </c>
      <c r="T2" s="48" t="s">
        <v>7123</v>
      </c>
      <c r="U2" s="48" t="s">
        <v>7124</v>
      </c>
      <c r="V2" s="48" t="s">
        <v>7125</v>
      </c>
      <c r="W2" s="48" t="s">
        <v>7126</v>
      </c>
      <c r="X2" s="48" t="s">
        <v>7127</v>
      </c>
      <c r="Y2" s="48" t="s">
        <v>7128</v>
      </c>
      <c r="Z2" s="48" t="s">
        <v>7129</v>
      </c>
      <c r="AA2" s="48" t="s">
        <v>7130</v>
      </c>
      <c r="AB2" s="48" t="s">
        <v>7131</v>
      </c>
      <c r="AC2" s="385" t="s">
        <v>7123</v>
      </c>
      <c r="AD2" s="385" t="s">
        <v>7124</v>
      </c>
      <c r="AE2" s="385" t="s">
        <v>7125</v>
      </c>
      <c r="AF2" s="385" t="s">
        <v>7126</v>
      </c>
      <c r="AG2" s="385" t="s">
        <v>7127</v>
      </c>
      <c r="AH2" s="385" t="s">
        <v>7128</v>
      </c>
      <c r="AI2" s="385" t="s">
        <v>7129</v>
      </c>
      <c r="AJ2" s="385" t="s">
        <v>7130</v>
      </c>
      <c r="AK2" s="385" t="s">
        <v>7131</v>
      </c>
      <c r="AL2" s="48" t="s">
        <v>7123</v>
      </c>
      <c r="AM2" s="48" t="s">
        <v>7124</v>
      </c>
      <c r="AN2" s="48" t="s">
        <v>7125</v>
      </c>
      <c r="AO2" s="48" t="s">
        <v>7126</v>
      </c>
      <c r="AP2" s="48" t="s">
        <v>7127</v>
      </c>
      <c r="AQ2" s="48" t="s">
        <v>7128</v>
      </c>
      <c r="AR2" s="48" t="s">
        <v>7129</v>
      </c>
      <c r="AS2" s="48" t="s">
        <v>7130</v>
      </c>
      <c r="AT2" s="48" t="s">
        <v>7131</v>
      </c>
      <c r="AU2" s="48" t="s">
        <v>7123</v>
      </c>
      <c r="AV2" s="48" t="s">
        <v>7124</v>
      </c>
      <c r="AW2" s="48" t="s">
        <v>7125</v>
      </c>
      <c r="AX2" s="48" t="s">
        <v>7126</v>
      </c>
      <c r="AY2" s="48" t="s">
        <v>7127</v>
      </c>
      <c r="AZ2" s="48" t="s">
        <v>7128</v>
      </c>
      <c r="BA2" s="48" t="s">
        <v>7129</v>
      </c>
      <c r="BB2" s="48" t="s">
        <v>7130</v>
      </c>
      <c r="BC2" s="48" t="s">
        <v>7131</v>
      </c>
      <c r="BD2" s="48" t="s">
        <v>7123</v>
      </c>
      <c r="BE2" s="48" t="s">
        <v>7124</v>
      </c>
      <c r="BF2" s="48" t="s">
        <v>7125</v>
      </c>
      <c r="BG2" s="48" t="s">
        <v>7126</v>
      </c>
      <c r="BH2" s="48" t="s">
        <v>7127</v>
      </c>
      <c r="BI2" s="48" t="s">
        <v>7128</v>
      </c>
      <c r="BJ2" s="48" t="s">
        <v>7129</v>
      </c>
      <c r="BK2" s="48" t="s">
        <v>7130</v>
      </c>
      <c r="BL2" s="48" t="s">
        <v>7131</v>
      </c>
    </row>
    <row r="3" spans="1:64">
      <c r="A3" s="48" t="s">
        <v>262</v>
      </c>
      <c r="B3">
        <f>AC3*0.4</f>
        <v>13720</v>
      </c>
      <c r="C3">
        <f t="shared" ref="C3:J29" si="0">AD3*0.4</f>
        <v>15680</v>
      </c>
      <c r="D3">
        <f t="shared" si="0"/>
        <v>17640</v>
      </c>
      <c r="E3">
        <f t="shared" si="0"/>
        <v>19600</v>
      </c>
      <c r="F3">
        <f t="shared" si="0"/>
        <v>21180</v>
      </c>
      <c r="G3">
        <f t="shared" si="0"/>
        <v>22740</v>
      </c>
      <c r="H3">
        <f t="shared" si="0"/>
        <v>24320</v>
      </c>
      <c r="I3">
        <f t="shared" si="0"/>
        <v>25880</v>
      </c>
      <c r="J3">
        <f t="shared" si="0"/>
        <v>27440</v>
      </c>
      <c r="K3">
        <f>0.6*AC3</f>
        <v>20580</v>
      </c>
      <c r="L3">
        <f t="shared" ref="L3:S29" si="1">0.6*AD3</f>
        <v>23520</v>
      </c>
      <c r="M3">
        <f t="shared" si="1"/>
        <v>26460</v>
      </c>
      <c r="N3">
        <f t="shared" si="1"/>
        <v>29400</v>
      </c>
      <c r="O3">
        <f t="shared" si="1"/>
        <v>31770</v>
      </c>
      <c r="P3">
        <f t="shared" si="1"/>
        <v>34110</v>
      </c>
      <c r="Q3">
        <f t="shared" si="1"/>
        <v>36480</v>
      </c>
      <c r="R3">
        <f t="shared" si="1"/>
        <v>38820</v>
      </c>
      <c r="S3">
        <f t="shared" si="1"/>
        <v>41160</v>
      </c>
      <c r="T3">
        <f>0.8*AC3</f>
        <v>27440</v>
      </c>
      <c r="U3">
        <f t="shared" ref="U3:AB29" si="2">0.8*AD3</f>
        <v>31360</v>
      </c>
      <c r="V3">
        <f t="shared" si="2"/>
        <v>35280</v>
      </c>
      <c r="W3">
        <f t="shared" si="2"/>
        <v>39200</v>
      </c>
      <c r="X3">
        <f t="shared" si="2"/>
        <v>42360</v>
      </c>
      <c r="Y3">
        <f t="shared" si="2"/>
        <v>45480</v>
      </c>
      <c r="Z3">
        <f t="shared" si="2"/>
        <v>48640</v>
      </c>
      <c r="AA3">
        <f t="shared" si="2"/>
        <v>51760</v>
      </c>
      <c r="AB3">
        <f t="shared" si="2"/>
        <v>54880</v>
      </c>
      <c r="AC3" s="381">
        <v>34300</v>
      </c>
      <c r="AD3" s="381">
        <v>39200</v>
      </c>
      <c r="AE3" s="381">
        <v>44100</v>
      </c>
      <c r="AF3" s="381">
        <v>49000</v>
      </c>
      <c r="AG3" s="381">
        <v>52950</v>
      </c>
      <c r="AH3" s="381">
        <v>56850</v>
      </c>
      <c r="AI3" s="381">
        <v>60800</v>
      </c>
      <c r="AJ3" s="381">
        <v>64700</v>
      </c>
      <c r="AK3" s="381">
        <v>68600</v>
      </c>
      <c r="AL3">
        <f>AC3*1.2</f>
        <v>41160</v>
      </c>
      <c r="AM3">
        <f t="shared" ref="AM3:AT27" si="3">AD3*1.2</f>
        <v>47040</v>
      </c>
      <c r="AN3">
        <f t="shared" si="3"/>
        <v>52920</v>
      </c>
      <c r="AO3">
        <f t="shared" si="3"/>
        <v>58800</v>
      </c>
      <c r="AP3">
        <f t="shared" si="3"/>
        <v>63540</v>
      </c>
      <c r="AQ3">
        <f t="shared" si="3"/>
        <v>68220</v>
      </c>
      <c r="AR3">
        <f t="shared" si="3"/>
        <v>72960</v>
      </c>
      <c r="AS3">
        <f t="shared" si="3"/>
        <v>77640</v>
      </c>
      <c r="AT3">
        <f t="shared" si="3"/>
        <v>82320</v>
      </c>
      <c r="AU3">
        <f>AC3*1.4</f>
        <v>48020</v>
      </c>
      <c r="AV3">
        <f t="shared" ref="AV3:BC27" si="4">AD3*1.4</f>
        <v>54880</v>
      </c>
      <c r="AW3">
        <f t="shared" si="4"/>
        <v>61739.999999999993</v>
      </c>
      <c r="AX3">
        <f t="shared" si="4"/>
        <v>68600</v>
      </c>
      <c r="AY3">
        <f t="shared" si="4"/>
        <v>74130</v>
      </c>
      <c r="AZ3">
        <f t="shared" si="4"/>
        <v>79590</v>
      </c>
      <c r="BA3">
        <f t="shared" si="4"/>
        <v>85120</v>
      </c>
      <c r="BB3">
        <f t="shared" si="4"/>
        <v>90580</v>
      </c>
      <c r="BC3">
        <f t="shared" si="4"/>
        <v>96040</v>
      </c>
      <c r="BD3">
        <f t="shared" ref="BD3:BL3" si="5">AC3*1.6</f>
        <v>54880</v>
      </c>
      <c r="BE3">
        <f t="shared" si="5"/>
        <v>62720</v>
      </c>
      <c r="BF3">
        <f t="shared" si="5"/>
        <v>70560</v>
      </c>
      <c r="BG3">
        <f t="shared" si="5"/>
        <v>78400</v>
      </c>
      <c r="BH3">
        <f t="shared" si="5"/>
        <v>84720</v>
      </c>
      <c r="BI3">
        <f t="shared" si="5"/>
        <v>90960</v>
      </c>
      <c r="BJ3">
        <f t="shared" si="5"/>
        <v>97280</v>
      </c>
      <c r="BK3">
        <f t="shared" si="5"/>
        <v>103520</v>
      </c>
      <c r="BL3">
        <f t="shared" si="5"/>
        <v>109760</v>
      </c>
    </row>
    <row r="4" spans="1:64">
      <c r="A4" s="48" t="s">
        <v>288</v>
      </c>
      <c r="B4">
        <f t="shared" ref="B4:J30" si="6">AC4*0.4</f>
        <v>14560</v>
      </c>
      <c r="C4">
        <f t="shared" si="0"/>
        <v>16640</v>
      </c>
      <c r="D4">
        <f t="shared" si="0"/>
        <v>18720</v>
      </c>
      <c r="E4">
        <f t="shared" si="0"/>
        <v>20800</v>
      </c>
      <c r="F4">
        <f t="shared" si="0"/>
        <v>22480</v>
      </c>
      <c r="G4">
        <f t="shared" si="0"/>
        <v>24140</v>
      </c>
      <c r="H4">
        <f t="shared" si="0"/>
        <v>25800</v>
      </c>
      <c r="I4">
        <f t="shared" si="0"/>
        <v>27460</v>
      </c>
      <c r="J4">
        <f t="shared" si="0"/>
        <v>29120</v>
      </c>
      <c r="K4">
        <f t="shared" ref="K4:S30" si="7">0.6*AC4</f>
        <v>21840</v>
      </c>
      <c r="L4">
        <f t="shared" si="1"/>
        <v>24960</v>
      </c>
      <c r="M4">
        <f t="shared" si="1"/>
        <v>28080</v>
      </c>
      <c r="N4">
        <f t="shared" si="1"/>
        <v>31200</v>
      </c>
      <c r="O4">
        <f t="shared" si="1"/>
        <v>33720</v>
      </c>
      <c r="P4">
        <f t="shared" si="1"/>
        <v>36210</v>
      </c>
      <c r="Q4">
        <f t="shared" si="1"/>
        <v>38700</v>
      </c>
      <c r="R4">
        <f t="shared" si="1"/>
        <v>41190</v>
      </c>
      <c r="S4">
        <f t="shared" si="1"/>
        <v>43680</v>
      </c>
      <c r="T4">
        <f t="shared" ref="T4:AB30" si="8">0.8*AC4</f>
        <v>29120</v>
      </c>
      <c r="U4">
        <f t="shared" si="2"/>
        <v>33280</v>
      </c>
      <c r="V4">
        <f t="shared" si="2"/>
        <v>37440</v>
      </c>
      <c r="W4">
        <f t="shared" si="2"/>
        <v>41600</v>
      </c>
      <c r="X4">
        <f t="shared" si="2"/>
        <v>44960</v>
      </c>
      <c r="Y4">
        <f t="shared" si="2"/>
        <v>48280</v>
      </c>
      <c r="Z4">
        <f t="shared" si="2"/>
        <v>51600</v>
      </c>
      <c r="AA4">
        <f t="shared" si="2"/>
        <v>54920</v>
      </c>
      <c r="AB4">
        <f t="shared" si="2"/>
        <v>58240</v>
      </c>
      <c r="AC4" s="381">
        <v>36400</v>
      </c>
      <c r="AD4" s="381">
        <v>41600</v>
      </c>
      <c r="AE4" s="381">
        <v>46800</v>
      </c>
      <c r="AF4" s="381">
        <v>52000</v>
      </c>
      <c r="AG4" s="381">
        <v>56200</v>
      </c>
      <c r="AH4" s="381">
        <v>60350</v>
      </c>
      <c r="AI4" s="381">
        <v>64500</v>
      </c>
      <c r="AJ4" s="381">
        <v>68650</v>
      </c>
      <c r="AK4" s="381">
        <v>72800</v>
      </c>
      <c r="AL4">
        <f t="shared" ref="AL4:AT29" si="9">AC4*1.2</f>
        <v>43680</v>
      </c>
      <c r="AM4">
        <f t="shared" si="3"/>
        <v>49920</v>
      </c>
      <c r="AN4">
        <f t="shared" si="3"/>
        <v>56160</v>
      </c>
      <c r="AO4">
        <f t="shared" si="3"/>
        <v>62400</v>
      </c>
      <c r="AP4">
        <f t="shared" si="3"/>
        <v>67440</v>
      </c>
      <c r="AQ4">
        <f t="shared" si="3"/>
        <v>72420</v>
      </c>
      <c r="AR4">
        <f t="shared" si="3"/>
        <v>77400</v>
      </c>
      <c r="AS4">
        <f t="shared" si="3"/>
        <v>82380</v>
      </c>
      <c r="AT4">
        <f t="shared" si="3"/>
        <v>87360</v>
      </c>
      <c r="AU4">
        <f t="shared" ref="AU4:BC29" si="10">AC4*1.4</f>
        <v>50960</v>
      </c>
      <c r="AV4">
        <f t="shared" si="4"/>
        <v>58239.999999999993</v>
      </c>
      <c r="AW4">
        <f t="shared" si="4"/>
        <v>65519.999999999993</v>
      </c>
      <c r="AX4">
        <f t="shared" si="4"/>
        <v>72800</v>
      </c>
      <c r="AY4">
        <f t="shared" si="4"/>
        <v>78680</v>
      </c>
      <c r="AZ4">
        <f t="shared" si="4"/>
        <v>84490</v>
      </c>
      <c r="BA4">
        <f t="shared" si="4"/>
        <v>90300</v>
      </c>
      <c r="BB4">
        <f t="shared" si="4"/>
        <v>96110</v>
      </c>
      <c r="BC4">
        <f t="shared" si="4"/>
        <v>101920</v>
      </c>
      <c r="BD4">
        <f t="shared" ref="BD4:BD47" si="11">AC4*1.6</f>
        <v>58240</v>
      </c>
      <c r="BE4">
        <f t="shared" ref="BE4:BE47" si="12">AD4*1.6</f>
        <v>66560</v>
      </c>
      <c r="BF4">
        <f t="shared" ref="BF4:BF47" si="13">AE4*1.6</f>
        <v>74880</v>
      </c>
      <c r="BG4">
        <f t="shared" ref="BG4:BG47" si="14">AF4*1.6</f>
        <v>83200</v>
      </c>
      <c r="BH4">
        <f t="shared" ref="BH4:BH47" si="15">AG4*1.6</f>
        <v>89920</v>
      </c>
      <c r="BI4">
        <f t="shared" ref="BI4:BI47" si="16">AH4*1.6</f>
        <v>96560</v>
      </c>
      <c r="BJ4">
        <f t="shared" ref="BJ4:BJ47" si="17">AI4*1.6</f>
        <v>103200</v>
      </c>
      <c r="BK4">
        <f t="shared" ref="BK4:BK47" si="18">AJ4*1.6</f>
        <v>109840</v>
      </c>
      <c r="BL4">
        <f t="shared" ref="BL4:BL47" si="19">AK4*1.6</f>
        <v>116480</v>
      </c>
    </row>
    <row r="5" spans="1:64">
      <c r="A5" s="48" t="s">
        <v>310</v>
      </c>
      <c r="B5">
        <f t="shared" si="6"/>
        <v>13920</v>
      </c>
      <c r="C5">
        <f t="shared" si="0"/>
        <v>15920</v>
      </c>
      <c r="D5">
        <f t="shared" si="0"/>
        <v>17900</v>
      </c>
      <c r="E5">
        <f t="shared" si="0"/>
        <v>19880</v>
      </c>
      <c r="F5">
        <f t="shared" si="0"/>
        <v>21480</v>
      </c>
      <c r="G5">
        <f t="shared" si="0"/>
        <v>23080</v>
      </c>
      <c r="H5">
        <f t="shared" si="0"/>
        <v>24660</v>
      </c>
      <c r="I5">
        <f t="shared" si="0"/>
        <v>26260</v>
      </c>
      <c r="J5">
        <f t="shared" si="0"/>
        <v>27840</v>
      </c>
      <c r="K5">
        <f t="shared" si="7"/>
        <v>20880</v>
      </c>
      <c r="L5">
        <f t="shared" si="1"/>
        <v>23880</v>
      </c>
      <c r="M5">
        <f t="shared" si="1"/>
        <v>26850</v>
      </c>
      <c r="N5">
        <f t="shared" si="1"/>
        <v>29820</v>
      </c>
      <c r="O5">
        <f t="shared" si="1"/>
        <v>32220</v>
      </c>
      <c r="P5">
        <f t="shared" si="1"/>
        <v>34620</v>
      </c>
      <c r="Q5">
        <f t="shared" si="1"/>
        <v>36990</v>
      </c>
      <c r="R5">
        <f t="shared" si="1"/>
        <v>39390</v>
      </c>
      <c r="S5">
        <f t="shared" si="1"/>
        <v>41760</v>
      </c>
      <c r="T5">
        <f t="shared" si="8"/>
        <v>27840</v>
      </c>
      <c r="U5">
        <f t="shared" si="2"/>
        <v>31840</v>
      </c>
      <c r="V5">
        <f t="shared" si="2"/>
        <v>35800</v>
      </c>
      <c r="W5">
        <f t="shared" si="2"/>
        <v>39760</v>
      </c>
      <c r="X5">
        <f t="shared" si="2"/>
        <v>42960</v>
      </c>
      <c r="Y5">
        <f t="shared" si="2"/>
        <v>46160</v>
      </c>
      <c r="Z5">
        <f t="shared" si="2"/>
        <v>49320</v>
      </c>
      <c r="AA5">
        <f t="shared" si="2"/>
        <v>52520</v>
      </c>
      <c r="AB5">
        <f t="shared" si="2"/>
        <v>55680</v>
      </c>
      <c r="AC5" s="381">
        <v>34800</v>
      </c>
      <c r="AD5" s="381">
        <v>39800</v>
      </c>
      <c r="AE5" s="381">
        <v>44750</v>
      </c>
      <c r="AF5" s="381">
        <v>49700</v>
      </c>
      <c r="AG5" s="381">
        <v>53700</v>
      </c>
      <c r="AH5" s="381">
        <v>57700</v>
      </c>
      <c r="AI5" s="381">
        <v>61650</v>
      </c>
      <c r="AJ5" s="381">
        <v>65650</v>
      </c>
      <c r="AK5" s="381">
        <v>69600</v>
      </c>
      <c r="AL5">
        <f t="shared" si="9"/>
        <v>41760</v>
      </c>
      <c r="AM5">
        <f t="shared" si="3"/>
        <v>47760</v>
      </c>
      <c r="AN5">
        <f t="shared" si="3"/>
        <v>53700</v>
      </c>
      <c r="AO5">
        <f t="shared" si="3"/>
        <v>59640</v>
      </c>
      <c r="AP5">
        <f t="shared" si="3"/>
        <v>64440</v>
      </c>
      <c r="AQ5">
        <f t="shared" si="3"/>
        <v>69240</v>
      </c>
      <c r="AR5">
        <f t="shared" si="3"/>
        <v>73980</v>
      </c>
      <c r="AS5">
        <f t="shared" si="3"/>
        <v>78780</v>
      </c>
      <c r="AT5">
        <f t="shared" si="3"/>
        <v>83520</v>
      </c>
      <c r="AU5">
        <f t="shared" si="10"/>
        <v>48720</v>
      </c>
      <c r="AV5">
        <f t="shared" si="4"/>
        <v>55720</v>
      </c>
      <c r="AW5">
        <f t="shared" si="4"/>
        <v>62649.999999999993</v>
      </c>
      <c r="AX5">
        <f t="shared" si="4"/>
        <v>69580</v>
      </c>
      <c r="AY5">
        <f t="shared" si="4"/>
        <v>75180</v>
      </c>
      <c r="AZ5">
        <f t="shared" si="4"/>
        <v>80780</v>
      </c>
      <c r="BA5">
        <f t="shared" si="4"/>
        <v>86310</v>
      </c>
      <c r="BB5">
        <f t="shared" si="4"/>
        <v>91910</v>
      </c>
      <c r="BC5">
        <f t="shared" si="4"/>
        <v>97440</v>
      </c>
      <c r="BD5">
        <f t="shared" si="11"/>
        <v>55680</v>
      </c>
      <c r="BE5">
        <f t="shared" si="12"/>
        <v>63680</v>
      </c>
      <c r="BF5">
        <f t="shared" si="13"/>
        <v>71600</v>
      </c>
      <c r="BG5">
        <f t="shared" si="14"/>
        <v>79520</v>
      </c>
      <c r="BH5">
        <f t="shared" si="15"/>
        <v>85920</v>
      </c>
      <c r="BI5">
        <f t="shared" si="16"/>
        <v>92320</v>
      </c>
      <c r="BJ5">
        <f t="shared" si="17"/>
        <v>98640</v>
      </c>
      <c r="BK5">
        <f t="shared" si="18"/>
        <v>105040</v>
      </c>
      <c r="BL5">
        <f t="shared" si="19"/>
        <v>111360</v>
      </c>
    </row>
    <row r="6" spans="1:64">
      <c r="A6" s="48" t="s">
        <v>328</v>
      </c>
      <c r="B6">
        <f t="shared" si="6"/>
        <v>13960</v>
      </c>
      <c r="C6">
        <f t="shared" si="0"/>
        <v>15940</v>
      </c>
      <c r="D6">
        <f t="shared" si="0"/>
        <v>17940</v>
      </c>
      <c r="E6">
        <f t="shared" si="0"/>
        <v>19920</v>
      </c>
      <c r="F6">
        <f t="shared" si="0"/>
        <v>21520</v>
      </c>
      <c r="G6">
        <f t="shared" si="0"/>
        <v>23120</v>
      </c>
      <c r="H6">
        <f t="shared" si="0"/>
        <v>24720</v>
      </c>
      <c r="I6">
        <f t="shared" si="0"/>
        <v>26300</v>
      </c>
      <c r="J6">
        <f t="shared" si="0"/>
        <v>27900</v>
      </c>
      <c r="K6">
        <f t="shared" si="7"/>
        <v>20940</v>
      </c>
      <c r="L6">
        <f t="shared" si="1"/>
        <v>23910</v>
      </c>
      <c r="M6">
        <f t="shared" si="1"/>
        <v>26910</v>
      </c>
      <c r="N6">
        <f t="shared" si="1"/>
        <v>29880</v>
      </c>
      <c r="O6">
        <f t="shared" si="1"/>
        <v>32280</v>
      </c>
      <c r="P6">
        <f t="shared" si="1"/>
        <v>34680</v>
      </c>
      <c r="Q6">
        <f t="shared" si="1"/>
        <v>37080</v>
      </c>
      <c r="R6">
        <f t="shared" si="1"/>
        <v>39450</v>
      </c>
      <c r="S6">
        <f t="shared" si="1"/>
        <v>41850</v>
      </c>
      <c r="T6">
        <f t="shared" si="8"/>
        <v>27920</v>
      </c>
      <c r="U6">
        <f t="shared" si="2"/>
        <v>31880</v>
      </c>
      <c r="V6">
        <f t="shared" si="2"/>
        <v>35880</v>
      </c>
      <c r="W6">
        <f t="shared" si="2"/>
        <v>39840</v>
      </c>
      <c r="X6">
        <f t="shared" si="2"/>
        <v>43040</v>
      </c>
      <c r="Y6">
        <f t="shared" si="2"/>
        <v>46240</v>
      </c>
      <c r="Z6">
        <f t="shared" si="2"/>
        <v>49440</v>
      </c>
      <c r="AA6">
        <f t="shared" si="2"/>
        <v>52600</v>
      </c>
      <c r="AB6">
        <f t="shared" si="2"/>
        <v>55800</v>
      </c>
      <c r="AC6" s="381">
        <v>34900</v>
      </c>
      <c r="AD6" s="381">
        <v>39850</v>
      </c>
      <c r="AE6" s="381">
        <v>44850</v>
      </c>
      <c r="AF6" s="381">
        <v>49800</v>
      </c>
      <c r="AG6" s="381">
        <v>53800</v>
      </c>
      <c r="AH6" s="381">
        <v>57800</v>
      </c>
      <c r="AI6" s="381">
        <v>61800</v>
      </c>
      <c r="AJ6" s="381">
        <v>65750</v>
      </c>
      <c r="AK6" s="381">
        <v>69750</v>
      </c>
      <c r="AL6">
        <f t="shared" si="9"/>
        <v>41880</v>
      </c>
      <c r="AM6">
        <f t="shared" si="3"/>
        <v>47820</v>
      </c>
      <c r="AN6">
        <f t="shared" si="3"/>
        <v>53820</v>
      </c>
      <c r="AO6">
        <f t="shared" si="3"/>
        <v>59760</v>
      </c>
      <c r="AP6">
        <f t="shared" si="3"/>
        <v>64560</v>
      </c>
      <c r="AQ6">
        <f t="shared" si="3"/>
        <v>69360</v>
      </c>
      <c r="AR6">
        <f t="shared" si="3"/>
        <v>74160</v>
      </c>
      <c r="AS6">
        <f t="shared" si="3"/>
        <v>78900</v>
      </c>
      <c r="AT6">
        <f t="shared" si="3"/>
        <v>83700</v>
      </c>
      <c r="AU6">
        <f t="shared" si="10"/>
        <v>48860</v>
      </c>
      <c r="AV6">
        <f t="shared" si="4"/>
        <v>55790</v>
      </c>
      <c r="AW6">
        <f t="shared" si="4"/>
        <v>62789.999999999993</v>
      </c>
      <c r="AX6">
        <f t="shared" si="4"/>
        <v>69720</v>
      </c>
      <c r="AY6">
        <f t="shared" si="4"/>
        <v>75320</v>
      </c>
      <c r="AZ6">
        <f t="shared" si="4"/>
        <v>80920</v>
      </c>
      <c r="BA6">
        <f t="shared" si="4"/>
        <v>86520</v>
      </c>
      <c r="BB6">
        <f t="shared" si="4"/>
        <v>92050</v>
      </c>
      <c r="BC6">
        <f t="shared" si="4"/>
        <v>97650</v>
      </c>
      <c r="BD6">
        <f t="shared" si="11"/>
        <v>55840</v>
      </c>
      <c r="BE6">
        <f t="shared" si="12"/>
        <v>63760</v>
      </c>
      <c r="BF6">
        <f t="shared" si="13"/>
        <v>71760</v>
      </c>
      <c r="BG6">
        <f t="shared" si="14"/>
        <v>79680</v>
      </c>
      <c r="BH6">
        <f t="shared" si="15"/>
        <v>86080</v>
      </c>
      <c r="BI6">
        <f t="shared" si="16"/>
        <v>92480</v>
      </c>
      <c r="BJ6">
        <f t="shared" si="17"/>
        <v>98880</v>
      </c>
      <c r="BK6">
        <f t="shared" si="18"/>
        <v>105200</v>
      </c>
      <c r="BL6">
        <f t="shared" si="19"/>
        <v>111600</v>
      </c>
    </row>
    <row r="7" spans="1:64">
      <c r="A7" s="48" t="s">
        <v>340</v>
      </c>
      <c r="B7">
        <f t="shared" si="6"/>
        <v>17640</v>
      </c>
      <c r="C7">
        <f t="shared" si="0"/>
        <v>20160</v>
      </c>
      <c r="D7">
        <f t="shared" si="0"/>
        <v>22680</v>
      </c>
      <c r="E7">
        <f t="shared" si="0"/>
        <v>25180</v>
      </c>
      <c r="F7">
        <f t="shared" si="0"/>
        <v>27200</v>
      </c>
      <c r="G7">
        <f t="shared" si="0"/>
        <v>29220</v>
      </c>
      <c r="H7">
        <f t="shared" si="0"/>
        <v>31240</v>
      </c>
      <c r="I7">
        <f t="shared" si="0"/>
        <v>33240</v>
      </c>
      <c r="J7">
        <f t="shared" si="0"/>
        <v>35260</v>
      </c>
      <c r="K7">
        <f t="shared" si="7"/>
        <v>26460</v>
      </c>
      <c r="L7">
        <f t="shared" si="1"/>
        <v>30240</v>
      </c>
      <c r="M7">
        <f t="shared" si="1"/>
        <v>34020</v>
      </c>
      <c r="N7">
        <f t="shared" si="1"/>
        <v>37770</v>
      </c>
      <c r="O7">
        <f t="shared" si="1"/>
        <v>40800</v>
      </c>
      <c r="P7">
        <f t="shared" si="1"/>
        <v>43830</v>
      </c>
      <c r="Q7">
        <f t="shared" si="1"/>
        <v>46860</v>
      </c>
      <c r="R7">
        <f t="shared" si="1"/>
        <v>49860</v>
      </c>
      <c r="S7">
        <f t="shared" si="1"/>
        <v>52890</v>
      </c>
      <c r="T7">
        <f t="shared" si="8"/>
        <v>35280</v>
      </c>
      <c r="U7">
        <f t="shared" si="2"/>
        <v>40320</v>
      </c>
      <c r="V7">
        <f t="shared" si="2"/>
        <v>45360</v>
      </c>
      <c r="W7">
        <f t="shared" si="2"/>
        <v>50360</v>
      </c>
      <c r="X7">
        <f t="shared" si="2"/>
        <v>54400</v>
      </c>
      <c r="Y7">
        <f t="shared" si="2"/>
        <v>58440</v>
      </c>
      <c r="Z7">
        <f t="shared" si="2"/>
        <v>62480</v>
      </c>
      <c r="AA7">
        <f t="shared" si="2"/>
        <v>66480</v>
      </c>
      <c r="AB7">
        <f t="shared" si="2"/>
        <v>70520</v>
      </c>
      <c r="AC7" s="381">
        <v>44100</v>
      </c>
      <c r="AD7" s="381">
        <v>50400</v>
      </c>
      <c r="AE7" s="381">
        <v>56700</v>
      </c>
      <c r="AF7" s="381">
        <v>62950</v>
      </c>
      <c r="AG7" s="381">
        <v>68000</v>
      </c>
      <c r="AH7" s="381">
        <v>73050</v>
      </c>
      <c r="AI7" s="381">
        <v>78100</v>
      </c>
      <c r="AJ7" s="381">
        <v>83100</v>
      </c>
      <c r="AK7" s="381">
        <v>88150</v>
      </c>
      <c r="AL7">
        <f t="shared" si="9"/>
        <v>52920</v>
      </c>
      <c r="AM7">
        <f t="shared" si="3"/>
        <v>60480</v>
      </c>
      <c r="AN7">
        <f t="shared" si="3"/>
        <v>68040</v>
      </c>
      <c r="AO7">
        <f t="shared" si="3"/>
        <v>75540</v>
      </c>
      <c r="AP7">
        <f t="shared" si="3"/>
        <v>81600</v>
      </c>
      <c r="AQ7">
        <f t="shared" si="3"/>
        <v>87660</v>
      </c>
      <c r="AR7">
        <f t="shared" si="3"/>
        <v>93720</v>
      </c>
      <c r="AS7">
        <f t="shared" si="3"/>
        <v>99720</v>
      </c>
      <c r="AT7">
        <f t="shared" si="3"/>
        <v>105780</v>
      </c>
      <c r="AU7">
        <f t="shared" si="10"/>
        <v>61739.999999999993</v>
      </c>
      <c r="AV7">
        <f t="shared" si="4"/>
        <v>70560</v>
      </c>
      <c r="AW7">
        <f t="shared" si="4"/>
        <v>79380</v>
      </c>
      <c r="AX7">
        <f t="shared" si="4"/>
        <v>88130</v>
      </c>
      <c r="AY7">
        <f t="shared" si="4"/>
        <v>95200</v>
      </c>
      <c r="AZ7">
        <f t="shared" si="4"/>
        <v>102270</v>
      </c>
      <c r="BA7">
        <f t="shared" si="4"/>
        <v>109340</v>
      </c>
      <c r="BB7">
        <f t="shared" si="4"/>
        <v>116339.99999999999</v>
      </c>
      <c r="BC7">
        <f t="shared" si="4"/>
        <v>123409.99999999999</v>
      </c>
      <c r="BD7">
        <f t="shared" si="11"/>
        <v>70560</v>
      </c>
      <c r="BE7">
        <f t="shared" si="12"/>
        <v>80640</v>
      </c>
      <c r="BF7">
        <f t="shared" si="13"/>
        <v>90720</v>
      </c>
      <c r="BG7">
        <f t="shared" si="14"/>
        <v>100720</v>
      </c>
      <c r="BH7">
        <f t="shared" si="15"/>
        <v>108800</v>
      </c>
      <c r="BI7">
        <f t="shared" si="16"/>
        <v>116880</v>
      </c>
      <c r="BJ7">
        <f t="shared" si="17"/>
        <v>124960</v>
      </c>
      <c r="BK7">
        <f t="shared" si="18"/>
        <v>132960</v>
      </c>
      <c r="BL7">
        <f t="shared" si="19"/>
        <v>141040</v>
      </c>
    </row>
    <row r="8" spans="1:64">
      <c r="A8" s="48" t="s">
        <v>383</v>
      </c>
      <c r="B8">
        <f t="shared" si="6"/>
        <v>12840</v>
      </c>
      <c r="C8">
        <f t="shared" si="0"/>
        <v>14680</v>
      </c>
      <c r="D8">
        <f t="shared" si="0"/>
        <v>16520</v>
      </c>
      <c r="E8">
        <f t="shared" si="0"/>
        <v>18340</v>
      </c>
      <c r="F8">
        <f t="shared" si="0"/>
        <v>19820</v>
      </c>
      <c r="G8">
        <f t="shared" si="0"/>
        <v>21280</v>
      </c>
      <c r="H8">
        <f t="shared" si="0"/>
        <v>22760</v>
      </c>
      <c r="I8">
        <f t="shared" si="0"/>
        <v>24220</v>
      </c>
      <c r="J8">
        <f t="shared" si="0"/>
        <v>25680</v>
      </c>
      <c r="K8">
        <f t="shared" si="7"/>
        <v>19260</v>
      </c>
      <c r="L8">
        <f t="shared" si="1"/>
        <v>22020</v>
      </c>
      <c r="M8">
        <f t="shared" si="1"/>
        <v>24780</v>
      </c>
      <c r="N8">
        <f t="shared" si="1"/>
        <v>27510</v>
      </c>
      <c r="O8">
        <f t="shared" si="1"/>
        <v>29730</v>
      </c>
      <c r="P8">
        <f t="shared" si="1"/>
        <v>31920</v>
      </c>
      <c r="Q8">
        <f t="shared" si="1"/>
        <v>34140</v>
      </c>
      <c r="R8">
        <f t="shared" si="1"/>
        <v>36330</v>
      </c>
      <c r="S8">
        <f t="shared" si="1"/>
        <v>38520</v>
      </c>
      <c r="T8">
        <f t="shared" si="8"/>
        <v>25680</v>
      </c>
      <c r="U8">
        <f t="shared" si="2"/>
        <v>29360</v>
      </c>
      <c r="V8">
        <f t="shared" si="2"/>
        <v>33040</v>
      </c>
      <c r="W8">
        <f t="shared" si="2"/>
        <v>36680</v>
      </c>
      <c r="X8">
        <f t="shared" si="2"/>
        <v>39640</v>
      </c>
      <c r="Y8">
        <f t="shared" si="2"/>
        <v>42560</v>
      </c>
      <c r="Z8">
        <f t="shared" si="2"/>
        <v>45520</v>
      </c>
      <c r="AA8">
        <f t="shared" si="2"/>
        <v>48440</v>
      </c>
      <c r="AB8">
        <f t="shared" si="2"/>
        <v>51360</v>
      </c>
      <c r="AC8" s="381">
        <v>32100</v>
      </c>
      <c r="AD8" s="381">
        <v>36700</v>
      </c>
      <c r="AE8" s="381">
        <v>41300</v>
      </c>
      <c r="AF8" s="381">
        <v>45850</v>
      </c>
      <c r="AG8" s="381">
        <v>49550</v>
      </c>
      <c r="AH8" s="381">
        <v>53200</v>
      </c>
      <c r="AI8" s="381">
        <v>56900</v>
      </c>
      <c r="AJ8" s="381">
        <v>60550</v>
      </c>
      <c r="AK8" s="381">
        <v>64200</v>
      </c>
      <c r="AL8">
        <f t="shared" si="9"/>
        <v>38520</v>
      </c>
      <c r="AM8">
        <f t="shared" si="3"/>
        <v>44040</v>
      </c>
      <c r="AN8">
        <f t="shared" si="3"/>
        <v>49560</v>
      </c>
      <c r="AO8">
        <f t="shared" si="3"/>
        <v>55020</v>
      </c>
      <c r="AP8">
        <f t="shared" si="3"/>
        <v>59460</v>
      </c>
      <c r="AQ8">
        <f t="shared" si="3"/>
        <v>63840</v>
      </c>
      <c r="AR8">
        <f t="shared" si="3"/>
        <v>68280</v>
      </c>
      <c r="AS8">
        <f t="shared" si="3"/>
        <v>72660</v>
      </c>
      <c r="AT8">
        <f t="shared" si="3"/>
        <v>77040</v>
      </c>
      <c r="AU8">
        <f t="shared" si="10"/>
        <v>44940</v>
      </c>
      <c r="AV8">
        <f t="shared" si="4"/>
        <v>51380</v>
      </c>
      <c r="AW8">
        <f t="shared" si="4"/>
        <v>57819.999999999993</v>
      </c>
      <c r="AX8">
        <f t="shared" si="4"/>
        <v>64189.999999999993</v>
      </c>
      <c r="AY8">
        <f t="shared" si="4"/>
        <v>69370</v>
      </c>
      <c r="AZ8">
        <f t="shared" si="4"/>
        <v>74480</v>
      </c>
      <c r="BA8">
        <f t="shared" si="4"/>
        <v>79660</v>
      </c>
      <c r="BB8">
        <f t="shared" si="4"/>
        <v>84770</v>
      </c>
      <c r="BC8">
        <f t="shared" si="4"/>
        <v>89880</v>
      </c>
      <c r="BD8">
        <f t="shared" si="11"/>
        <v>51360</v>
      </c>
      <c r="BE8">
        <f t="shared" si="12"/>
        <v>58720</v>
      </c>
      <c r="BF8">
        <f t="shared" si="13"/>
        <v>66080</v>
      </c>
      <c r="BG8">
        <f t="shared" si="14"/>
        <v>73360</v>
      </c>
      <c r="BH8">
        <f t="shared" si="15"/>
        <v>79280</v>
      </c>
      <c r="BI8">
        <f t="shared" si="16"/>
        <v>85120</v>
      </c>
      <c r="BJ8">
        <f t="shared" si="17"/>
        <v>91040</v>
      </c>
      <c r="BK8">
        <f t="shared" si="18"/>
        <v>96880</v>
      </c>
      <c r="BL8">
        <f t="shared" si="19"/>
        <v>102720</v>
      </c>
    </row>
    <row r="9" spans="1:64">
      <c r="A9" s="48" t="s">
        <v>386</v>
      </c>
      <c r="B9">
        <f t="shared" si="6"/>
        <v>12940</v>
      </c>
      <c r="C9">
        <f t="shared" si="0"/>
        <v>14780</v>
      </c>
      <c r="D9">
        <f t="shared" si="0"/>
        <v>16620</v>
      </c>
      <c r="E9">
        <f t="shared" si="0"/>
        <v>18460</v>
      </c>
      <c r="F9">
        <f t="shared" si="0"/>
        <v>19940</v>
      </c>
      <c r="G9">
        <f t="shared" si="0"/>
        <v>21420</v>
      </c>
      <c r="H9">
        <f t="shared" si="0"/>
        <v>22900</v>
      </c>
      <c r="I9">
        <f t="shared" si="0"/>
        <v>24380</v>
      </c>
      <c r="J9">
        <f t="shared" si="0"/>
        <v>25860</v>
      </c>
      <c r="K9">
        <f t="shared" si="7"/>
        <v>19410</v>
      </c>
      <c r="L9">
        <f t="shared" si="1"/>
        <v>22170</v>
      </c>
      <c r="M9">
        <f t="shared" si="1"/>
        <v>24930</v>
      </c>
      <c r="N9">
        <f t="shared" si="1"/>
        <v>27690</v>
      </c>
      <c r="O9">
        <f t="shared" si="1"/>
        <v>29910</v>
      </c>
      <c r="P9">
        <f t="shared" si="1"/>
        <v>32130</v>
      </c>
      <c r="Q9">
        <f t="shared" si="1"/>
        <v>34350</v>
      </c>
      <c r="R9">
        <f t="shared" si="1"/>
        <v>36570</v>
      </c>
      <c r="S9">
        <f t="shared" si="1"/>
        <v>38790</v>
      </c>
      <c r="T9">
        <f t="shared" si="8"/>
        <v>25880</v>
      </c>
      <c r="U9">
        <f t="shared" si="2"/>
        <v>29560</v>
      </c>
      <c r="V9">
        <f t="shared" si="2"/>
        <v>33240</v>
      </c>
      <c r="W9">
        <f t="shared" si="2"/>
        <v>36920</v>
      </c>
      <c r="X9">
        <f t="shared" si="2"/>
        <v>39880</v>
      </c>
      <c r="Y9">
        <f t="shared" si="2"/>
        <v>42840</v>
      </c>
      <c r="Z9">
        <f t="shared" si="2"/>
        <v>45800</v>
      </c>
      <c r="AA9">
        <f t="shared" si="2"/>
        <v>48760</v>
      </c>
      <c r="AB9">
        <f t="shared" si="2"/>
        <v>51720</v>
      </c>
      <c r="AC9" s="381">
        <v>32350</v>
      </c>
      <c r="AD9" s="381">
        <v>36950</v>
      </c>
      <c r="AE9" s="381">
        <v>41550</v>
      </c>
      <c r="AF9" s="381">
        <v>46150</v>
      </c>
      <c r="AG9" s="381">
        <v>49850</v>
      </c>
      <c r="AH9" s="381">
        <v>53550</v>
      </c>
      <c r="AI9" s="381">
        <v>57250</v>
      </c>
      <c r="AJ9" s="381">
        <v>60950</v>
      </c>
      <c r="AK9" s="381">
        <v>64650</v>
      </c>
      <c r="AL9">
        <f t="shared" si="9"/>
        <v>38820</v>
      </c>
      <c r="AM9">
        <f t="shared" si="3"/>
        <v>44340</v>
      </c>
      <c r="AN9">
        <f t="shared" si="3"/>
        <v>49860</v>
      </c>
      <c r="AO9">
        <f t="shared" si="3"/>
        <v>55380</v>
      </c>
      <c r="AP9">
        <f t="shared" si="3"/>
        <v>59820</v>
      </c>
      <c r="AQ9">
        <f t="shared" si="3"/>
        <v>64260</v>
      </c>
      <c r="AR9">
        <f t="shared" si="3"/>
        <v>68700</v>
      </c>
      <c r="AS9">
        <f t="shared" si="3"/>
        <v>73140</v>
      </c>
      <c r="AT9">
        <f t="shared" si="3"/>
        <v>77580</v>
      </c>
      <c r="AU9">
        <f t="shared" si="10"/>
        <v>45290</v>
      </c>
      <c r="AV9">
        <f t="shared" si="4"/>
        <v>51730</v>
      </c>
      <c r="AW9">
        <f t="shared" si="4"/>
        <v>58169.999999999993</v>
      </c>
      <c r="AX9">
        <f t="shared" si="4"/>
        <v>64609.999999999993</v>
      </c>
      <c r="AY9">
        <f t="shared" si="4"/>
        <v>69790</v>
      </c>
      <c r="AZ9">
        <f t="shared" si="4"/>
        <v>74970</v>
      </c>
      <c r="BA9">
        <f t="shared" si="4"/>
        <v>80150</v>
      </c>
      <c r="BB9">
        <f t="shared" si="4"/>
        <v>85330</v>
      </c>
      <c r="BC9">
        <f t="shared" si="4"/>
        <v>90510</v>
      </c>
      <c r="BD9">
        <f t="shared" si="11"/>
        <v>51760</v>
      </c>
      <c r="BE9">
        <f t="shared" si="12"/>
        <v>59120</v>
      </c>
      <c r="BF9">
        <f t="shared" si="13"/>
        <v>66480</v>
      </c>
      <c r="BG9">
        <f t="shared" si="14"/>
        <v>73840</v>
      </c>
      <c r="BH9">
        <f t="shared" si="15"/>
        <v>79760</v>
      </c>
      <c r="BI9">
        <f t="shared" si="16"/>
        <v>85680</v>
      </c>
      <c r="BJ9">
        <f t="shared" si="17"/>
        <v>91600</v>
      </c>
      <c r="BK9">
        <f t="shared" si="18"/>
        <v>97520</v>
      </c>
      <c r="BL9">
        <f t="shared" si="19"/>
        <v>103440</v>
      </c>
    </row>
    <row r="10" spans="1:64">
      <c r="A10" s="48" t="s">
        <v>351</v>
      </c>
      <c r="B10">
        <f t="shared" si="6"/>
        <v>13340</v>
      </c>
      <c r="C10">
        <f t="shared" si="0"/>
        <v>15240</v>
      </c>
      <c r="D10">
        <f t="shared" si="0"/>
        <v>17140</v>
      </c>
      <c r="E10">
        <f t="shared" si="0"/>
        <v>19040</v>
      </c>
      <c r="F10">
        <f t="shared" si="0"/>
        <v>20580</v>
      </c>
      <c r="G10">
        <f t="shared" si="0"/>
        <v>22100</v>
      </c>
      <c r="H10">
        <f t="shared" si="0"/>
        <v>23620</v>
      </c>
      <c r="I10">
        <f t="shared" si="0"/>
        <v>25140</v>
      </c>
      <c r="J10">
        <f t="shared" si="0"/>
        <v>26660</v>
      </c>
      <c r="K10">
        <f t="shared" si="7"/>
        <v>20010</v>
      </c>
      <c r="L10">
        <f t="shared" si="1"/>
        <v>22860</v>
      </c>
      <c r="M10">
        <f t="shared" si="1"/>
        <v>25710</v>
      </c>
      <c r="N10">
        <f t="shared" si="1"/>
        <v>28560</v>
      </c>
      <c r="O10">
        <f t="shared" si="1"/>
        <v>30870</v>
      </c>
      <c r="P10">
        <f t="shared" si="1"/>
        <v>33150</v>
      </c>
      <c r="Q10">
        <f t="shared" si="1"/>
        <v>35430</v>
      </c>
      <c r="R10">
        <f t="shared" si="1"/>
        <v>37710</v>
      </c>
      <c r="S10">
        <f t="shared" si="1"/>
        <v>39990</v>
      </c>
      <c r="T10">
        <f t="shared" si="8"/>
        <v>26680</v>
      </c>
      <c r="U10">
        <f t="shared" si="2"/>
        <v>30480</v>
      </c>
      <c r="V10">
        <f t="shared" si="2"/>
        <v>34280</v>
      </c>
      <c r="W10">
        <f t="shared" si="2"/>
        <v>38080</v>
      </c>
      <c r="X10">
        <f t="shared" si="2"/>
        <v>41160</v>
      </c>
      <c r="Y10">
        <f t="shared" si="2"/>
        <v>44200</v>
      </c>
      <c r="Z10">
        <f t="shared" si="2"/>
        <v>47240</v>
      </c>
      <c r="AA10">
        <f t="shared" si="2"/>
        <v>50280</v>
      </c>
      <c r="AB10">
        <f t="shared" si="2"/>
        <v>53320</v>
      </c>
      <c r="AC10" s="381">
        <v>33350</v>
      </c>
      <c r="AD10" s="381">
        <v>38100</v>
      </c>
      <c r="AE10" s="381">
        <v>42850</v>
      </c>
      <c r="AF10" s="381">
        <v>47600</v>
      </c>
      <c r="AG10" s="381">
        <v>51450</v>
      </c>
      <c r="AH10" s="381">
        <v>55250</v>
      </c>
      <c r="AI10" s="381">
        <v>59050</v>
      </c>
      <c r="AJ10" s="381">
        <v>62850</v>
      </c>
      <c r="AK10" s="381">
        <v>66650</v>
      </c>
      <c r="AL10">
        <f t="shared" si="9"/>
        <v>40020</v>
      </c>
      <c r="AM10">
        <f t="shared" si="3"/>
        <v>45720</v>
      </c>
      <c r="AN10">
        <f t="shared" si="3"/>
        <v>51420</v>
      </c>
      <c r="AO10">
        <f t="shared" si="3"/>
        <v>57120</v>
      </c>
      <c r="AP10">
        <f t="shared" si="3"/>
        <v>61740</v>
      </c>
      <c r="AQ10">
        <f t="shared" si="3"/>
        <v>66300</v>
      </c>
      <c r="AR10">
        <f t="shared" si="3"/>
        <v>70860</v>
      </c>
      <c r="AS10">
        <f t="shared" si="3"/>
        <v>75420</v>
      </c>
      <c r="AT10">
        <f t="shared" si="3"/>
        <v>79980</v>
      </c>
      <c r="AU10">
        <f t="shared" si="10"/>
        <v>46690</v>
      </c>
      <c r="AV10">
        <f t="shared" si="4"/>
        <v>53340</v>
      </c>
      <c r="AW10">
        <f t="shared" si="4"/>
        <v>59989.999999999993</v>
      </c>
      <c r="AX10">
        <f t="shared" si="4"/>
        <v>66640</v>
      </c>
      <c r="AY10">
        <f t="shared" si="4"/>
        <v>72030</v>
      </c>
      <c r="AZ10">
        <f t="shared" si="4"/>
        <v>77350</v>
      </c>
      <c r="BA10">
        <f t="shared" si="4"/>
        <v>82670</v>
      </c>
      <c r="BB10">
        <f t="shared" si="4"/>
        <v>87990</v>
      </c>
      <c r="BC10">
        <f t="shared" si="4"/>
        <v>93310</v>
      </c>
      <c r="BD10">
        <f t="shared" si="11"/>
        <v>53360</v>
      </c>
      <c r="BE10">
        <f t="shared" si="12"/>
        <v>60960</v>
      </c>
      <c r="BF10">
        <f t="shared" si="13"/>
        <v>68560</v>
      </c>
      <c r="BG10">
        <f t="shared" si="14"/>
        <v>76160</v>
      </c>
      <c r="BH10">
        <f t="shared" si="15"/>
        <v>82320</v>
      </c>
      <c r="BI10">
        <f t="shared" si="16"/>
        <v>88400</v>
      </c>
      <c r="BJ10">
        <f t="shared" si="17"/>
        <v>94480</v>
      </c>
      <c r="BK10">
        <f t="shared" si="18"/>
        <v>100560</v>
      </c>
      <c r="BL10">
        <f t="shared" si="19"/>
        <v>106640</v>
      </c>
    </row>
    <row r="11" spans="1:64">
      <c r="A11" s="48" t="s">
        <v>391</v>
      </c>
      <c r="B11">
        <f t="shared" si="6"/>
        <v>13220</v>
      </c>
      <c r="C11">
        <f t="shared" si="0"/>
        <v>15120</v>
      </c>
      <c r="D11">
        <f t="shared" si="0"/>
        <v>17000</v>
      </c>
      <c r="E11">
        <f t="shared" si="0"/>
        <v>18880</v>
      </c>
      <c r="F11">
        <f t="shared" si="0"/>
        <v>20400</v>
      </c>
      <c r="G11">
        <f t="shared" si="0"/>
        <v>21920</v>
      </c>
      <c r="H11">
        <f t="shared" si="0"/>
        <v>23420</v>
      </c>
      <c r="I11">
        <f t="shared" si="0"/>
        <v>24940</v>
      </c>
      <c r="J11">
        <f t="shared" si="0"/>
        <v>26440</v>
      </c>
      <c r="K11">
        <f t="shared" si="7"/>
        <v>19830</v>
      </c>
      <c r="L11">
        <f t="shared" si="1"/>
        <v>22680</v>
      </c>
      <c r="M11">
        <f t="shared" si="1"/>
        <v>25500</v>
      </c>
      <c r="N11">
        <f t="shared" si="1"/>
        <v>28320</v>
      </c>
      <c r="O11">
        <f t="shared" si="1"/>
        <v>30600</v>
      </c>
      <c r="P11">
        <f t="shared" si="1"/>
        <v>32880</v>
      </c>
      <c r="Q11">
        <f t="shared" si="1"/>
        <v>35130</v>
      </c>
      <c r="R11">
        <f t="shared" si="1"/>
        <v>37410</v>
      </c>
      <c r="S11">
        <f t="shared" si="1"/>
        <v>39660</v>
      </c>
      <c r="T11">
        <f t="shared" si="8"/>
        <v>26440</v>
      </c>
      <c r="U11">
        <f t="shared" si="2"/>
        <v>30240</v>
      </c>
      <c r="V11">
        <f t="shared" si="2"/>
        <v>34000</v>
      </c>
      <c r="W11">
        <f t="shared" si="2"/>
        <v>37760</v>
      </c>
      <c r="X11">
        <f t="shared" si="2"/>
        <v>40800</v>
      </c>
      <c r="Y11">
        <f t="shared" si="2"/>
        <v>43840</v>
      </c>
      <c r="Z11">
        <f t="shared" si="2"/>
        <v>46840</v>
      </c>
      <c r="AA11">
        <f t="shared" si="2"/>
        <v>49880</v>
      </c>
      <c r="AB11">
        <f t="shared" si="2"/>
        <v>52880</v>
      </c>
      <c r="AC11" s="381">
        <v>33050</v>
      </c>
      <c r="AD11" s="381">
        <v>37800</v>
      </c>
      <c r="AE11" s="381">
        <v>42500</v>
      </c>
      <c r="AF11" s="381">
        <v>47200</v>
      </c>
      <c r="AG11" s="381">
        <v>51000</v>
      </c>
      <c r="AH11" s="381">
        <v>54800</v>
      </c>
      <c r="AI11" s="381">
        <v>58550</v>
      </c>
      <c r="AJ11" s="381">
        <v>62350</v>
      </c>
      <c r="AK11" s="381">
        <v>66100</v>
      </c>
      <c r="AL11">
        <f t="shared" si="9"/>
        <v>39660</v>
      </c>
      <c r="AM11">
        <f t="shared" si="3"/>
        <v>45360</v>
      </c>
      <c r="AN11">
        <f t="shared" si="3"/>
        <v>51000</v>
      </c>
      <c r="AO11">
        <f t="shared" si="3"/>
        <v>56640</v>
      </c>
      <c r="AP11">
        <f t="shared" si="3"/>
        <v>61200</v>
      </c>
      <c r="AQ11">
        <f t="shared" si="3"/>
        <v>65760</v>
      </c>
      <c r="AR11">
        <f t="shared" si="3"/>
        <v>70260</v>
      </c>
      <c r="AS11">
        <f t="shared" si="3"/>
        <v>74820</v>
      </c>
      <c r="AT11">
        <f t="shared" si="3"/>
        <v>79320</v>
      </c>
      <c r="AU11">
        <f t="shared" si="10"/>
        <v>46270</v>
      </c>
      <c r="AV11">
        <f t="shared" si="4"/>
        <v>52920</v>
      </c>
      <c r="AW11">
        <f t="shared" si="4"/>
        <v>59499.999999999993</v>
      </c>
      <c r="AX11">
        <f t="shared" si="4"/>
        <v>66080</v>
      </c>
      <c r="AY11">
        <f t="shared" si="4"/>
        <v>71400</v>
      </c>
      <c r="AZ11">
        <f t="shared" si="4"/>
        <v>76720</v>
      </c>
      <c r="BA11">
        <f t="shared" si="4"/>
        <v>81970</v>
      </c>
      <c r="BB11">
        <f t="shared" si="4"/>
        <v>87290</v>
      </c>
      <c r="BC11">
        <f t="shared" si="4"/>
        <v>92540</v>
      </c>
      <c r="BD11">
        <f t="shared" si="11"/>
        <v>52880</v>
      </c>
      <c r="BE11">
        <f t="shared" si="12"/>
        <v>60480</v>
      </c>
      <c r="BF11">
        <f t="shared" si="13"/>
        <v>68000</v>
      </c>
      <c r="BG11">
        <f t="shared" si="14"/>
        <v>75520</v>
      </c>
      <c r="BH11">
        <f t="shared" si="15"/>
        <v>81600</v>
      </c>
      <c r="BI11">
        <f t="shared" si="16"/>
        <v>87680</v>
      </c>
      <c r="BJ11">
        <f t="shared" si="17"/>
        <v>93680</v>
      </c>
      <c r="BK11">
        <f t="shared" si="18"/>
        <v>99760</v>
      </c>
      <c r="BL11">
        <f t="shared" si="19"/>
        <v>105760</v>
      </c>
    </row>
    <row r="12" spans="1:64">
      <c r="A12" s="48" t="s">
        <v>358</v>
      </c>
      <c r="B12">
        <f t="shared" si="6"/>
        <v>13920</v>
      </c>
      <c r="C12">
        <f t="shared" si="0"/>
        <v>15920</v>
      </c>
      <c r="D12">
        <f t="shared" si="0"/>
        <v>17900</v>
      </c>
      <c r="E12">
        <f t="shared" si="0"/>
        <v>19880</v>
      </c>
      <c r="F12">
        <f t="shared" si="0"/>
        <v>21480</v>
      </c>
      <c r="G12">
        <f t="shared" si="0"/>
        <v>23080</v>
      </c>
      <c r="H12">
        <f t="shared" si="0"/>
        <v>24660</v>
      </c>
      <c r="I12">
        <f t="shared" si="0"/>
        <v>26260</v>
      </c>
      <c r="J12">
        <f t="shared" si="0"/>
        <v>27840</v>
      </c>
      <c r="K12">
        <f t="shared" si="7"/>
        <v>20880</v>
      </c>
      <c r="L12">
        <f t="shared" si="1"/>
        <v>23880</v>
      </c>
      <c r="M12">
        <f t="shared" si="1"/>
        <v>26850</v>
      </c>
      <c r="N12">
        <f t="shared" si="1"/>
        <v>29820</v>
      </c>
      <c r="O12">
        <f t="shared" si="1"/>
        <v>32220</v>
      </c>
      <c r="P12">
        <f t="shared" si="1"/>
        <v>34620</v>
      </c>
      <c r="Q12">
        <f t="shared" si="1"/>
        <v>36990</v>
      </c>
      <c r="R12">
        <f t="shared" si="1"/>
        <v>39390</v>
      </c>
      <c r="S12">
        <f t="shared" si="1"/>
        <v>41760</v>
      </c>
      <c r="T12">
        <f t="shared" si="8"/>
        <v>27840</v>
      </c>
      <c r="U12">
        <f t="shared" si="2"/>
        <v>31840</v>
      </c>
      <c r="V12">
        <f t="shared" si="2"/>
        <v>35800</v>
      </c>
      <c r="W12">
        <f t="shared" si="2"/>
        <v>39760</v>
      </c>
      <c r="X12">
        <f t="shared" si="2"/>
        <v>42960</v>
      </c>
      <c r="Y12">
        <f t="shared" si="2"/>
        <v>46160</v>
      </c>
      <c r="Z12">
        <f t="shared" si="2"/>
        <v>49320</v>
      </c>
      <c r="AA12">
        <f t="shared" si="2"/>
        <v>52520</v>
      </c>
      <c r="AB12">
        <f t="shared" si="2"/>
        <v>55680</v>
      </c>
      <c r="AC12" s="381">
        <v>34800</v>
      </c>
      <c r="AD12" s="381">
        <v>39800</v>
      </c>
      <c r="AE12" s="381">
        <v>44750</v>
      </c>
      <c r="AF12" s="381">
        <v>49700</v>
      </c>
      <c r="AG12" s="381">
        <v>53700</v>
      </c>
      <c r="AH12" s="381">
        <v>57700</v>
      </c>
      <c r="AI12" s="381">
        <v>61650</v>
      </c>
      <c r="AJ12" s="381">
        <v>65650</v>
      </c>
      <c r="AK12" s="381">
        <v>69600</v>
      </c>
      <c r="AL12">
        <f t="shared" si="9"/>
        <v>41760</v>
      </c>
      <c r="AM12">
        <f t="shared" si="3"/>
        <v>47760</v>
      </c>
      <c r="AN12">
        <f t="shared" si="3"/>
        <v>53700</v>
      </c>
      <c r="AO12">
        <f t="shared" si="3"/>
        <v>59640</v>
      </c>
      <c r="AP12">
        <f t="shared" si="3"/>
        <v>64440</v>
      </c>
      <c r="AQ12">
        <f t="shared" si="3"/>
        <v>69240</v>
      </c>
      <c r="AR12">
        <f t="shared" si="3"/>
        <v>73980</v>
      </c>
      <c r="AS12">
        <f t="shared" si="3"/>
        <v>78780</v>
      </c>
      <c r="AT12">
        <f t="shared" si="3"/>
        <v>83520</v>
      </c>
      <c r="AU12">
        <f t="shared" si="10"/>
        <v>48720</v>
      </c>
      <c r="AV12">
        <f t="shared" si="4"/>
        <v>55720</v>
      </c>
      <c r="AW12">
        <f t="shared" si="4"/>
        <v>62649.999999999993</v>
      </c>
      <c r="AX12">
        <f t="shared" si="4"/>
        <v>69580</v>
      </c>
      <c r="AY12">
        <f t="shared" si="4"/>
        <v>75180</v>
      </c>
      <c r="AZ12">
        <f t="shared" si="4"/>
        <v>80780</v>
      </c>
      <c r="BA12">
        <f t="shared" si="4"/>
        <v>86310</v>
      </c>
      <c r="BB12">
        <f t="shared" si="4"/>
        <v>91910</v>
      </c>
      <c r="BC12">
        <f t="shared" si="4"/>
        <v>97440</v>
      </c>
      <c r="BD12">
        <f t="shared" si="11"/>
        <v>55680</v>
      </c>
      <c r="BE12">
        <f t="shared" si="12"/>
        <v>63680</v>
      </c>
      <c r="BF12">
        <f t="shared" si="13"/>
        <v>71600</v>
      </c>
      <c r="BG12">
        <f t="shared" si="14"/>
        <v>79520</v>
      </c>
      <c r="BH12">
        <f t="shared" si="15"/>
        <v>85920</v>
      </c>
      <c r="BI12">
        <f t="shared" si="16"/>
        <v>92320</v>
      </c>
      <c r="BJ12">
        <f t="shared" si="17"/>
        <v>98640</v>
      </c>
      <c r="BK12">
        <f t="shared" si="18"/>
        <v>105040</v>
      </c>
      <c r="BL12">
        <f t="shared" si="19"/>
        <v>111360</v>
      </c>
    </row>
    <row r="13" spans="1:64">
      <c r="A13" s="48" t="s">
        <v>363</v>
      </c>
      <c r="B13">
        <f t="shared" si="6"/>
        <v>13400</v>
      </c>
      <c r="C13">
        <f t="shared" si="0"/>
        <v>15320</v>
      </c>
      <c r="D13">
        <f t="shared" si="0"/>
        <v>17240</v>
      </c>
      <c r="E13">
        <f t="shared" si="0"/>
        <v>19140</v>
      </c>
      <c r="F13">
        <f t="shared" si="0"/>
        <v>20680</v>
      </c>
      <c r="G13">
        <f t="shared" si="0"/>
        <v>22220</v>
      </c>
      <c r="H13">
        <f t="shared" si="0"/>
        <v>23740</v>
      </c>
      <c r="I13">
        <f t="shared" si="0"/>
        <v>25280</v>
      </c>
      <c r="J13">
        <f t="shared" si="0"/>
        <v>26800</v>
      </c>
      <c r="K13">
        <f t="shared" si="7"/>
        <v>20100</v>
      </c>
      <c r="L13">
        <f t="shared" si="1"/>
        <v>22980</v>
      </c>
      <c r="M13">
        <f t="shared" si="1"/>
        <v>25860</v>
      </c>
      <c r="N13">
        <f t="shared" si="1"/>
        <v>28710</v>
      </c>
      <c r="O13">
        <f t="shared" si="1"/>
        <v>31020</v>
      </c>
      <c r="P13">
        <f t="shared" si="1"/>
        <v>33330</v>
      </c>
      <c r="Q13">
        <f t="shared" si="1"/>
        <v>35610</v>
      </c>
      <c r="R13">
        <f t="shared" si="1"/>
        <v>37920</v>
      </c>
      <c r="S13">
        <f t="shared" si="1"/>
        <v>40200</v>
      </c>
      <c r="T13">
        <f t="shared" si="8"/>
        <v>26800</v>
      </c>
      <c r="U13">
        <f t="shared" si="2"/>
        <v>30640</v>
      </c>
      <c r="V13">
        <f t="shared" si="2"/>
        <v>34480</v>
      </c>
      <c r="W13">
        <f t="shared" si="2"/>
        <v>38280</v>
      </c>
      <c r="X13">
        <f t="shared" si="2"/>
        <v>41360</v>
      </c>
      <c r="Y13">
        <f t="shared" si="2"/>
        <v>44440</v>
      </c>
      <c r="Z13">
        <f t="shared" si="2"/>
        <v>47480</v>
      </c>
      <c r="AA13">
        <f t="shared" si="2"/>
        <v>50560</v>
      </c>
      <c r="AB13">
        <f t="shared" si="2"/>
        <v>53600</v>
      </c>
      <c r="AC13" s="381">
        <v>33500</v>
      </c>
      <c r="AD13" s="381">
        <v>38300</v>
      </c>
      <c r="AE13" s="381">
        <v>43100</v>
      </c>
      <c r="AF13" s="381">
        <v>47850</v>
      </c>
      <c r="AG13" s="381">
        <v>51700</v>
      </c>
      <c r="AH13" s="381">
        <v>55550</v>
      </c>
      <c r="AI13" s="381">
        <v>59350</v>
      </c>
      <c r="AJ13" s="381">
        <v>63200</v>
      </c>
      <c r="AK13" s="381">
        <v>67000</v>
      </c>
      <c r="AL13">
        <f t="shared" si="9"/>
        <v>40200</v>
      </c>
      <c r="AM13">
        <f t="shared" si="3"/>
        <v>45960</v>
      </c>
      <c r="AN13">
        <f t="shared" si="3"/>
        <v>51720</v>
      </c>
      <c r="AO13">
        <f t="shared" si="3"/>
        <v>57420</v>
      </c>
      <c r="AP13">
        <f t="shared" si="3"/>
        <v>62040</v>
      </c>
      <c r="AQ13">
        <f t="shared" si="3"/>
        <v>66660</v>
      </c>
      <c r="AR13">
        <f t="shared" si="3"/>
        <v>71220</v>
      </c>
      <c r="AS13">
        <f t="shared" si="3"/>
        <v>75840</v>
      </c>
      <c r="AT13">
        <f t="shared" si="3"/>
        <v>80400</v>
      </c>
      <c r="AU13">
        <f t="shared" si="10"/>
        <v>46900</v>
      </c>
      <c r="AV13">
        <f t="shared" si="4"/>
        <v>53620</v>
      </c>
      <c r="AW13">
        <f t="shared" si="4"/>
        <v>60339.999999999993</v>
      </c>
      <c r="AX13">
        <f t="shared" si="4"/>
        <v>66990</v>
      </c>
      <c r="AY13">
        <f t="shared" si="4"/>
        <v>72380</v>
      </c>
      <c r="AZ13">
        <f t="shared" si="4"/>
        <v>77770</v>
      </c>
      <c r="BA13">
        <f t="shared" si="4"/>
        <v>83090</v>
      </c>
      <c r="BB13">
        <f t="shared" si="4"/>
        <v>88480</v>
      </c>
      <c r="BC13">
        <f t="shared" si="4"/>
        <v>93800</v>
      </c>
      <c r="BD13">
        <f t="shared" si="11"/>
        <v>53600</v>
      </c>
      <c r="BE13">
        <f t="shared" si="12"/>
        <v>61280</v>
      </c>
      <c r="BF13">
        <f t="shared" si="13"/>
        <v>68960</v>
      </c>
      <c r="BG13">
        <f t="shared" si="14"/>
        <v>76560</v>
      </c>
      <c r="BH13">
        <f t="shared" si="15"/>
        <v>82720</v>
      </c>
      <c r="BI13">
        <f t="shared" si="16"/>
        <v>88880</v>
      </c>
      <c r="BJ13">
        <f t="shared" si="17"/>
        <v>94960</v>
      </c>
      <c r="BK13">
        <f t="shared" si="18"/>
        <v>101120</v>
      </c>
      <c r="BL13">
        <f t="shared" si="19"/>
        <v>107200</v>
      </c>
    </row>
    <row r="14" spans="1:64">
      <c r="A14" s="48" t="s">
        <v>404</v>
      </c>
      <c r="B14">
        <f t="shared" si="6"/>
        <v>12380</v>
      </c>
      <c r="C14">
        <f t="shared" si="0"/>
        <v>14140</v>
      </c>
      <c r="D14">
        <f t="shared" si="0"/>
        <v>15900</v>
      </c>
      <c r="E14">
        <f t="shared" si="0"/>
        <v>17660</v>
      </c>
      <c r="F14">
        <f t="shared" si="0"/>
        <v>19080</v>
      </c>
      <c r="G14">
        <f t="shared" si="0"/>
        <v>20500</v>
      </c>
      <c r="H14">
        <f t="shared" si="0"/>
        <v>21900</v>
      </c>
      <c r="I14">
        <f t="shared" si="0"/>
        <v>23320</v>
      </c>
      <c r="J14">
        <f t="shared" si="0"/>
        <v>24740</v>
      </c>
      <c r="K14">
        <f t="shared" si="7"/>
        <v>18570</v>
      </c>
      <c r="L14">
        <f t="shared" si="1"/>
        <v>21210</v>
      </c>
      <c r="M14">
        <f t="shared" si="1"/>
        <v>23850</v>
      </c>
      <c r="N14">
        <f t="shared" si="1"/>
        <v>26490</v>
      </c>
      <c r="O14">
        <f t="shared" si="1"/>
        <v>28620</v>
      </c>
      <c r="P14">
        <f t="shared" si="1"/>
        <v>30750</v>
      </c>
      <c r="Q14">
        <f t="shared" si="1"/>
        <v>32850</v>
      </c>
      <c r="R14">
        <f t="shared" si="1"/>
        <v>34980</v>
      </c>
      <c r="S14">
        <f t="shared" si="1"/>
        <v>37110</v>
      </c>
      <c r="T14">
        <f t="shared" si="8"/>
        <v>24760</v>
      </c>
      <c r="U14">
        <f t="shared" si="2"/>
        <v>28280</v>
      </c>
      <c r="V14">
        <f t="shared" si="2"/>
        <v>31800</v>
      </c>
      <c r="W14">
        <f t="shared" si="2"/>
        <v>35320</v>
      </c>
      <c r="X14">
        <f t="shared" si="2"/>
        <v>38160</v>
      </c>
      <c r="Y14">
        <f t="shared" si="2"/>
        <v>41000</v>
      </c>
      <c r="Z14">
        <f t="shared" si="2"/>
        <v>43800</v>
      </c>
      <c r="AA14">
        <f t="shared" si="2"/>
        <v>46640</v>
      </c>
      <c r="AB14">
        <f t="shared" si="2"/>
        <v>49480</v>
      </c>
      <c r="AC14" s="381">
        <v>30950</v>
      </c>
      <c r="AD14" s="381">
        <v>35350</v>
      </c>
      <c r="AE14" s="381">
        <v>39750</v>
      </c>
      <c r="AF14" s="381">
        <v>44150</v>
      </c>
      <c r="AG14" s="381">
        <v>47700</v>
      </c>
      <c r="AH14" s="381">
        <v>51250</v>
      </c>
      <c r="AI14" s="381">
        <v>54750</v>
      </c>
      <c r="AJ14" s="381">
        <v>58300</v>
      </c>
      <c r="AK14" s="381">
        <v>61850</v>
      </c>
      <c r="AL14">
        <f t="shared" si="9"/>
        <v>37140</v>
      </c>
      <c r="AM14">
        <f t="shared" si="3"/>
        <v>42420</v>
      </c>
      <c r="AN14">
        <f t="shared" si="3"/>
        <v>47700</v>
      </c>
      <c r="AO14">
        <f t="shared" si="3"/>
        <v>52980</v>
      </c>
      <c r="AP14">
        <f t="shared" si="3"/>
        <v>57240</v>
      </c>
      <c r="AQ14">
        <f t="shared" si="3"/>
        <v>61500</v>
      </c>
      <c r="AR14">
        <f t="shared" si="3"/>
        <v>65700</v>
      </c>
      <c r="AS14">
        <f t="shared" si="3"/>
        <v>69960</v>
      </c>
      <c r="AT14">
        <f t="shared" si="3"/>
        <v>74220</v>
      </c>
      <c r="AU14">
        <f t="shared" si="10"/>
        <v>43330</v>
      </c>
      <c r="AV14">
        <f t="shared" si="4"/>
        <v>49490</v>
      </c>
      <c r="AW14">
        <f t="shared" si="4"/>
        <v>55650</v>
      </c>
      <c r="AX14">
        <f t="shared" si="4"/>
        <v>61809.999999999993</v>
      </c>
      <c r="AY14">
        <f t="shared" si="4"/>
        <v>66780</v>
      </c>
      <c r="AZ14">
        <f t="shared" si="4"/>
        <v>71750</v>
      </c>
      <c r="BA14">
        <f t="shared" si="4"/>
        <v>76650</v>
      </c>
      <c r="BB14">
        <f t="shared" si="4"/>
        <v>81620</v>
      </c>
      <c r="BC14">
        <f t="shared" si="4"/>
        <v>86590</v>
      </c>
      <c r="BD14">
        <f t="shared" si="11"/>
        <v>49520</v>
      </c>
      <c r="BE14">
        <f t="shared" si="12"/>
        <v>56560</v>
      </c>
      <c r="BF14">
        <f t="shared" si="13"/>
        <v>63600</v>
      </c>
      <c r="BG14">
        <f t="shared" si="14"/>
        <v>70640</v>
      </c>
      <c r="BH14">
        <f t="shared" si="15"/>
        <v>76320</v>
      </c>
      <c r="BI14">
        <f t="shared" si="16"/>
        <v>82000</v>
      </c>
      <c r="BJ14">
        <f t="shared" si="17"/>
        <v>87600</v>
      </c>
      <c r="BK14">
        <f t="shared" si="18"/>
        <v>93280</v>
      </c>
      <c r="BL14">
        <f t="shared" si="19"/>
        <v>98960</v>
      </c>
    </row>
    <row r="15" spans="1:64">
      <c r="A15" s="48" t="s">
        <v>367</v>
      </c>
      <c r="B15">
        <f t="shared" si="6"/>
        <v>13720</v>
      </c>
      <c r="C15">
        <f t="shared" si="0"/>
        <v>15680</v>
      </c>
      <c r="D15">
        <f t="shared" si="0"/>
        <v>17640</v>
      </c>
      <c r="E15">
        <f t="shared" si="0"/>
        <v>19600</v>
      </c>
      <c r="F15">
        <f t="shared" si="0"/>
        <v>21180</v>
      </c>
      <c r="G15">
        <f t="shared" si="0"/>
        <v>22740</v>
      </c>
      <c r="H15">
        <f t="shared" si="0"/>
        <v>24320</v>
      </c>
      <c r="I15">
        <f t="shared" si="0"/>
        <v>25880</v>
      </c>
      <c r="J15">
        <f t="shared" si="0"/>
        <v>27440</v>
      </c>
      <c r="K15">
        <f t="shared" si="7"/>
        <v>20580</v>
      </c>
      <c r="L15">
        <f t="shared" si="1"/>
        <v>23520</v>
      </c>
      <c r="M15">
        <f t="shared" si="1"/>
        <v>26460</v>
      </c>
      <c r="N15">
        <f t="shared" si="1"/>
        <v>29400</v>
      </c>
      <c r="O15">
        <f t="shared" si="1"/>
        <v>31770</v>
      </c>
      <c r="P15">
        <f t="shared" si="1"/>
        <v>34110</v>
      </c>
      <c r="Q15">
        <f t="shared" si="1"/>
        <v>36480</v>
      </c>
      <c r="R15">
        <f t="shared" si="1"/>
        <v>38820</v>
      </c>
      <c r="S15">
        <f t="shared" si="1"/>
        <v>41160</v>
      </c>
      <c r="T15">
        <f t="shared" si="8"/>
        <v>27440</v>
      </c>
      <c r="U15">
        <f t="shared" si="2"/>
        <v>31360</v>
      </c>
      <c r="V15">
        <f t="shared" si="2"/>
        <v>35280</v>
      </c>
      <c r="W15">
        <f t="shared" si="2"/>
        <v>39200</v>
      </c>
      <c r="X15">
        <f t="shared" si="2"/>
        <v>42360</v>
      </c>
      <c r="Y15">
        <f t="shared" si="2"/>
        <v>45480</v>
      </c>
      <c r="Z15">
        <f t="shared" si="2"/>
        <v>48640</v>
      </c>
      <c r="AA15">
        <f t="shared" si="2"/>
        <v>51760</v>
      </c>
      <c r="AB15">
        <f t="shared" si="2"/>
        <v>54880</v>
      </c>
      <c r="AC15" s="381">
        <v>34300</v>
      </c>
      <c r="AD15" s="381">
        <v>39200</v>
      </c>
      <c r="AE15" s="381">
        <v>44100</v>
      </c>
      <c r="AF15" s="381">
        <v>49000</v>
      </c>
      <c r="AG15" s="381">
        <v>52950</v>
      </c>
      <c r="AH15" s="381">
        <v>56850</v>
      </c>
      <c r="AI15" s="381">
        <v>60800</v>
      </c>
      <c r="AJ15" s="381">
        <v>64700</v>
      </c>
      <c r="AK15" s="381">
        <v>68600</v>
      </c>
      <c r="AL15">
        <f t="shared" si="9"/>
        <v>41160</v>
      </c>
      <c r="AM15">
        <f t="shared" si="3"/>
        <v>47040</v>
      </c>
      <c r="AN15">
        <f t="shared" si="3"/>
        <v>52920</v>
      </c>
      <c r="AO15">
        <f t="shared" si="3"/>
        <v>58800</v>
      </c>
      <c r="AP15">
        <f t="shared" si="3"/>
        <v>63540</v>
      </c>
      <c r="AQ15">
        <f t="shared" si="3"/>
        <v>68220</v>
      </c>
      <c r="AR15">
        <f t="shared" si="3"/>
        <v>72960</v>
      </c>
      <c r="AS15">
        <f t="shared" si="3"/>
        <v>77640</v>
      </c>
      <c r="AT15">
        <f t="shared" si="3"/>
        <v>82320</v>
      </c>
      <c r="AU15">
        <f t="shared" si="10"/>
        <v>48020</v>
      </c>
      <c r="AV15">
        <f t="shared" si="4"/>
        <v>54880</v>
      </c>
      <c r="AW15">
        <f t="shared" si="4"/>
        <v>61739.999999999993</v>
      </c>
      <c r="AX15">
        <f t="shared" si="4"/>
        <v>68600</v>
      </c>
      <c r="AY15">
        <f t="shared" si="4"/>
        <v>74130</v>
      </c>
      <c r="AZ15">
        <f t="shared" si="4"/>
        <v>79590</v>
      </c>
      <c r="BA15">
        <f t="shared" si="4"/>
        <v>85120</v>
      </c>
      <c r="BB15">
        <f t="shared" si="4"/>
        <v>90580</v>
      </c>
      <c r="BC15">
        <f t="shared" si="4"/>
        <v>96040</v>
      </c>
      <c r="BD15">
        <f t="shared" si="11"/>
        <v>54880</v>
      </c>
      <c r="BE15">
        <f t="shared" si="12"/>
        <v>62720</v>
      </c>
      <c r="BF15">
        <f t="shared" si="13"/>
        <v>70560</v>
      </c>
      <c r="BG15">
        <f t="shared" si="14"/>
        <v>78400</v>
      </c>
      <c r="BH15">
        <f t="shared" si="15"/>
        <v>84720</v>
      </c>
      <c r="BI15">
        <f t="shared" si="16"/>
        <v>90960</v>
      </c>
      <c r="BJ15">
        <f t="shared" si="17"/>
        <v>97280</v>
      </c>
      <c r="BK15">
        <f t="shared" si="18"/>
        <v>103520</v>
      </c>
      <c r="BL15">
        <f t="shared" si="19"/>
        <v>109760</v>
      </c>
    </row>
    <row r="16" spans="1:64">
      <c r="A16" s="48" t="s">
        <v>409</v>
      </c>
      <c r="B16">
        <f t="shared" si="6"/>
        <v>12140</v>
      </c>
      <c r="C16">
        <f t="shared" si="0"/>
        <v>13860</v>
      </c>
      <c r="D16">
        <f t="shared" si="0"/>
        <v>15600</v>
      </c>
      <c r="E16">
        <f t="shared" si="0"/>
        <v>17320</v>
      </c>
      <c r="F16">
        <f t="shared" si="0"/>
        <v>18720</v>
      </c>
      <c r="G16">
        <f t="shared" si="0"/>
        <v>20100</v>
      </c>
      <c r="H16">
        <f t="shared" si="0"/>
        <v>21480</v>
      </c>
      <c r="I16">
        <f t="shared" si="0"/>
        <v>22880</v>
      </c>
      <c r="J16">
        <f t="shared" si="0"/>
        <v>24260</v>
      </c>
      <c r="K16">
        <f t="shared" si="7"/>
        <v>18210</v>
      </c>
      <c r="L16">
        <f t="shared" si="1"/>
        <v>20790</v>
      </c>
      <c r="M16">
        <f t="shared" si="1"/>
        <v>23400</v>
      </c>
      <c r="N16">
        <f t="shared" si="1"/>
        <v>25980</v>
      </c>
      <c r="O16">
        <f t="shared" si="1"/>
        <v>28080</v>
      </c>
      <c r="P16">
        <f t="shared" si="1"/>
        <v>30150</v>
      </c>
      <c r="Q16">
        <f t="shared" si="1"/>
        <v>32220</v>
      </c>
      <c r="R16">
        <f t="shared" si="1"/>
        <v>34320</v>
      </c>
      <c r="S16">
        <f t="shared" si="1"/>
        <v>36390</v>
      </c>
      <c r="T16">
        <f t="shared" si="8"/>
        <v>24280</v>
      </c>
      <c r="U16">
        <f t="shared" si="2"/>
        <v>27720</v>
      </c>
      <c r="V16">
        <f t="shared" si="2"/>
        <v>31200</v>
      </c>
      <c r="W16">
        <f t="shared" si="2"/>
        <v>34640</v>
      </c>
      <c r="X16">
        <f t="shared" si="2"/>
        <v>37440</v>
      </c>
      <c r="Y16">
        <f t="shared" si="2"/>
        <v>40200</v>
      </c>
      <c r="Z16">
        <f t="shared" si="2"/>
        <v>42960</v>
      </c>
      <c r="AA16">
        <f t="shared" si="2"/>
        <v>45760</v>
      </c>
      <c r="AB16">
        <f t="shared" si="2"/>
        <v>48520</v>
      </c>
      <c r="AC16" s="381">
        <v>30350</v>
      </c>
      <c r="AD16" s="381">
        <v>34650</v>
      </c>
      <c r="AE16" s="381">
        <v>39000</v>
      </c>
      <c r="AF16" s="381">
        <v>43300</v>
      </c>
      <c r="AG16" s="381">
        <v>46800</v>
      </c>
      <c r="AH16" s="381">
        <v>50250</v>
      </c>
      <c r="AI16" s="381">
        <v>53700</v>
      </c>
      <c r="AJ16" s="381">
        <v>57200</v>
      </c>
      <c r="AK16" s="381">
        <v>60650</v>
      </c>
      <c r="AL16">
        <f t="shared" si="9"/>
        <v>36420</v>
      </c>
      <c r="AM16">
        <f t="shared" si="3"/>
        <v>41580</v>
      </c>
      <c r="AN16">
        <f t="shared" si="3"/>
        <v>46800</v>
      </c>
      <c r="AO16">
        <f t="shared" si="3"/>
        <v>51960</v>
      </c>
      <c r="AP16">
        <f t="shared" si="3"/>
        <v>56160</v>
      </c>
      <c r="AQ16">
        <f t="shared" si="3"/>
        <v>60300</v>
      </c>
      <c r="AR16">
        <f t="shared" si="3"/>
        <v>64440</v>
      </c>
      <c r="AS16">
        <f t="shared" si="3"/>
        <v>68640</v>
      </c>
      <c r="AT16">
        <f t="shared" si="3"/>
        <v>72780</v>
      </c>
      <c r="AU16">
        <f t="shared" si="10"/>
        <v>42490</v>
      </c>
      <c r="AV16">
        <f t="shared" si="4"/>
        <v>48510</v>
      </c>
      <c r="AW16">
        <f t="shared" si="4"/>
        <v>54600</v>
      </c>
      <c r="AX16">
        <f t="shared" si="4"/>
        <v>60619.999999999993</v>
      </c>
      <c r="AY16">
        <f t="shared" si="4"/>
        <v>65519.999999999993</v>
      </c>
      <c r="AZ16">
        <f t="shared" si="4"/>
        <v>70350</v>
      </c>
      <c r="BA16">
        <f t="shared" si="4"/>
        <v>75180</v>
      </c>
      <c r="BB16">
        <f t="shared" si="4"/>
        <v>80080</v>
      </c>
      <c r="BC16">
        <f t="shared" si="4"/>
        <v>84910</v>
      </c>
      <c r="BD16">
        <f t="shared" si="11"/>
        <v>48560</v>
      </c>
      <c r="BE16">
        <f t="shared" si="12"/>
        <v>55440</v>
      </c>
      <c r="BF16">
        <f t="shared" si="13"/>
        <v>62400</v>
      </c>
      <c r="BG16">
        <f t="shared" si="14"/>
        <v>69280</v>
      </c>
      <c r="BH16">
        <f t="shared" si="15"/>
        <v>74880</v>
      </c>
      <c r="BI16">
        <f t="shared" si="16"/>
        <v>80400</v>
      </c>
      <c r="BJ16">
        <f t="shared" si="17"/>
        <v>85920</v>
      </c>
      <c r="BK16">
        <f t="shared" si="18"/>
        <v>91520</v>
      </c>
      <c r="BL16">
        <f t="shared" si="19"/>
        <v>97040</v>
      </c>
    </row>
    <row r="17" spans="1:64">
      <c r="A17" s="48" t="s">
        <v>372</v>
      </c>
      <c r="B17">
        <f t="shared" si="6"/>
        <v>14760</v>
      </c>
      <c r="C17">
        <f t="shared" si="0"/>
        <v>16860</v>
      </c>
      <c r="D17">
        <f t="shared" si="0"/>
        <v>18960</v>
      </c>
      <c r="E17">
        <f t="shared" si="0"/>
        <v>21060</v>
      </c>
      <c r="F17">
        <f t="shared" si="0"/>
        <v>22760</v>
      </c>
      <c r="G17">
        <f t="shared" si="0"/>
        <v>24440</v>
      </c>
      <c r="H17">
        <f t="shared" si="0"/>
        <v>26120</v>
      </c>
      <c r="I17">
        <f t="shared" si="0"/>
        <v>27800</v>
      </c>
      <c r="J17">
        <f t="shared" si="0"/>
        <v>30700</v>
      </c>
      <c r="K17">
        <f t="shared" si="7"/>
        <v>22140</v>
      </c>
      <c r="L17">
        <f t="shared" si="1"/>
        <v>25290</v>
      </c>
      <c r="M17">
        <f t="shared" si="1"/>
        <v>28440</v>
      </c>
      <c r="N17">
        <f t="shared" si="1"/>
        <v>31590</v>
      </c>
      <c r="O17">
        <f t="shared" si="1"/>
        <v>34140</v>
      </c>
      <c r="P17">
        <f t="shared" si="1"/>
        <v>36660</v>
      </c>
      <c r="Q17">
        <f t="shared" si="1"/>
        <v>39180</v>
      </c>
      <c r="R17">
        <f t="shared" si="1"/>
        <v>41700</v>
      </c>
      <c r="S17">
        <f t="shared" si="1"/>
        <v>46050</v>
      </c>
      <c r="T17">
        <f t="shared" si="8"/>
        <v>29520</v>
      </c>
      <c r="U17">
        <f t="shared" si="2"/>
        <v>33720</v>
      </c>
      <c r="V17">
        <f t="shared" si="2"/>
        <v>37920</v>
      </c>
      <c r="W17">
        <f t="shared" si="2"/>
        <v>42120</v>
      </c>
      <c r="X17">
        <f t="shared" si="2"/>
        <v>45520</v>
      </c>
      <c r="Y17">
        <f t="shared" si="2"/>
        <v>48880</v>
      </c>
      <c r="Z17">
        <f t="shared" si="2"/>
        <v>52240</v>
      </c>
      <c r="AA17">
        <f t="shared" si="2"/>
        <v>55600</v>
      </c>
      <c r="AB17">
        <f t="shared" si="2"/>
        <v>61400</v>
      </c>
      <c r="AC17" s="381">
        <v>36900</v>
      </c>
      <c r="AD17" s="381">
        <v>42150</v>
      </c>
      <c r="AE17" s="381">
        <v>47400</v>
      </c>
      <c r="AF17" s="381">
        <v>52650</v>
      </c>
      <c r="AG17" s="381">
        <v>56900</v>
      </c>
      <c r="AH17" s="381">
        <v>61100</v>
      </c>
      <c r="AI17" s="381">
        <v>65300</v>
      </c>
      <c r="AJ17" s="381">
        <v>69500</v>
      </c>
      <c r="AK17" s="381">
        <v>76750</v>
      </c>
      <c r="AL17">
        <f t="shared" si="9"/>
        <v>44280</v>
      </c>
      <c r="AM17">
        <f t="shared" si="3"/>
        <v>50580</v>
      </c>
      <c r="AN17">
        <f t="shared" si="3"/>
        <v>56880</v>
      </c>
      <c r="AO17">
        <f t="shared" si="3"/>
        <v>63180</v>
      </c>
      <c r="AP17">
        <f t="shared" si="3"/>
        <v>68280</v>
      </c>
      <c r="AQ17">
        <f t="shared" si="3"/>
        <v>73320</v>
      </c>
      <c r="AR17">
        <f t="shared" si="3"/>
        <v>78360</v>
      </c>
      <c r="AS17">
        <f t="shared" si="3"/>
        <v>83400</v>
      </c>
      <c r="AT17">
        <f t="shared" si="3"/>
        <v>92100</v>
      </c>
      <c r="AU17">
        <f t="shared" si="10"/>
        <v>51660</v>
      </c>
      <c r="AV17">
        <f t="shared" si="4"/>
        <v>59009.999999999993</v>
      </c>
      <c r="AW17">
        <f t="shared" si="4"/>
        <v>66360</v>
      </c>
      <c r="AX17">
        <f t="shared" si="4"/>
        <v>73710</v>
      </c>
      <c r="AY17">
        <f t="shared" si="4"/>
        <v>79660</v>
      </c>
      <c r="AZ17">
        <f t="shared" si="4"/>
        <v>85540</v>
      </c>
      <c r="BA17">
        <f t="shared" si="4"/>
        <v>91420</v>
      </c>
      <c r="BB17">
        <f t="shared" si="4"/>
        <v>97300</v>
      </c>
      <c r="BC17">
        <f t="shared" si="4"/>
        <v>107450</v>
      </c>
      <c r="BD17">
        <f t="shared" si="11"/>
        <v>59040</v>
      </c>
      <c r="BE17">
        <f t="shared" si="12"/>
        <v>67440</v>
      </c>
      <c r="BF17">
        <f t="shared" si="13"/>
        <v>75840</v>
      </c>
      <c r="BG17">
        <f t="shared" si="14"/>
        <v>84240</v>
      </c>
      <c r="BH17">
        <f t="shared" si="15"/>
        <v>91040</v>
      </c>
      <c r="BI17">
        <f t="shared" si="16"/>
        <v>97760</v>
      </c>
      <c r="BJ17">
        <f t="shared" si="17"/>
        <v>104480</v>
      </c>
      <c r="BK17">
        <f t="shared" si="18"/>
        <v>111200</v>
      </c>
      <c r="BL17">
        <f t="shared" si="19"/>
        <v>122800</v>
      </c>
    </row>
    <row r="18" spans="1:64">
      <c r="A18" s="48" t="s">
        <v>418</v>
      </c>
      <c r="B18">
        <f t="shared" si="6"/>
        <v>14060</v>
      </c>
      <c r="C18">
        <f t="shared" si="0"/>
        <v>16080</v>
      </c>
      <c r="D18">
        <f t="shared" si="0"/>
        <v>18080</v>
      </c>
      <c r="E18">
        <f t="shared" si="0"/>
        <v>20080</v>
      </c>
      <c r="F18">
        <f t="shared" si="0"/>
        <v>21700</v>
      </c>
      <c r="G18">
        <f t="shared" si="0"/>
        <v>23300</v>
      </c>
      <c r="H18">
        <f t="shared" si="0"/>
        <v>24900</v>
      </c>
      <c r="I18">
        <f t="shared" si="0"/>
        <v>26520</v>
      </c>
      <c r="J18">
        <f t="shared" si="0"/>
        <v>28120</v>
      </c>
      <c r="K18">
        <f t="shared" si="7"/>
        <v>21090</v>
      </c>
      <c r="L18">
        <f t="shared" si="1"/>
        <v>24120</v>
      </c>
      <c r="M18">
        <f t="shared" si="1"/>
        <v>27120</v>
      </c>
      <c r="N18">
        <f t="shared" si="1"/>
        <v>30120</v>
      </c>
      <c r="O18">
        <f t="shared" si="1"/>
        <v>32550</v>
      </c>
      <c r="P18">
        <f t="shared" si="1"/>
        <v>34950</v>
      </c>
      <c r="Q18">
        <f t="shared" si="1"/>
        <v>37350</v>
      </c>
      <c r="R18">
        <f t="shared" si="1"/>
        <v>39780</v>
      </c>
      <c r="S18">
        <f t="shared" si="1"/>
        <v>42180</v>
      </c>
      <c r="T18">
        <f t="shared" si="8"/>
        <v>28120</v>
      </c>
      <c r="U18">
        <f t="shared" si="2"/>
        <v>32160</v>
      </c>
      <c r="V18">
        <f t="shared" si="2"/>
        <v>36160</v>
      </c>
      <c r="W18">
        <f t="shared" si="2"/>
        <v>40160</v>
      </c>
      <c r="X18">
        <f t="shared" si="2"/>
        <v>43400</v>
      </c>
      <c r="Y18">
        <f t="shared" si="2"/>
        <v>46600</v>
      </c>
      <c r="Z18">
        <f t="shared" si="2"/>
        <v>49800</v>
      </c>
      <c r="AA18">
        <f t="shared" si="2"/>
        <v>53040</v>
      </c>
      <c r="AB18">
        <f t="shared" si="2"/>
        <v>56240</v>
      </c>
      <c r="AC18" s="381">
        <v>35150</v>
      </c>
      <c r="AD18" s="381">
        <v>40200</v>
      </c>
      <c r="AE18" s="381">
        <v>45200</v>
      </c>
      <c r="AF18" s="381">
        <v>50200</v>
      </c>
      <c r="AG18" s="381">
        <v>54250</v>
      </c>
      <c r="AH18" s="381">
        <v>58250</v>
      </c>
      <c r="AI18" s="381">
        <v>62250</v>
      </c>
      <c r="AJ18" s="381">
        <v>66300</v>
      </c>
      <c r="AK18" s="381">
        <v>70300</v>
      </c>
      <c r="AL18">
        <f t="shared" si="9"/>
        <v>42180</v>
      </c>
      <c r="AM18">
        <f t="shared" si="3"/>
        <v>48240</v>
      </c>
      <c r="AN18">
        <f t="shared" si="3"/>
        <v>54240</v>
      </c>
      <c r="AO18">
        <f t="shared" si="3"/>
        <v>60240</v>
      </c>
      <c r="AP18">
        <f t="shared" si="3"/>
        <v>65100</v>
      </c>
      <c r="AQ18">
        <f t="shared" si="3"/>
        <v>69900</v>
      </c>
      <c r="AR18">
        <f t="shared" si="3"/>
        <v>74700</v>
      </c>
      <c r="AS18">
        <f t="shared" si="3"/>
        <v>79560</v>
      </c>
      <c r="AT18">
        <f t="shared" si="3"/>
        <v>84360</v>
      </c>
      <c r="AU18">
        <f t="shared" si="10"/>
        <v>49210</v>
      </c>
      <c r="AV18">
        <f t="shared" si="4"/>
        <v>56280</v>
      </c>
      <c r="AW18">
        <f t="shared" si="4"/>
        <v>63279.999999999993</v>
      </c>
      <c r="AX18">
        <f t="shared" si="4"/>
        <v>70280</v>
      </c>
      <c r="AY18">
        <f t="shared" si="4"/>
        <v>75950</v>
      </c>
      <c r="AZ18">
        <f t="shared" si="4"/>
        <v>81550</v>
      </c>
      <c r="BA18">
        <f t="shared" si="4"/>
        <v>87150</v>
      </c>
      <c r="BB18">
        <f t="shared" si="4"/>
        <v>92820</v>
      </c>
      <c r="BC18">
        <f t="shared" si="4"/>
        <v>98420</v>
      </c>
      <c r="BD18">
        <f t="shared" si="11"/>
        <v>56240</v>
      </c>
      <c r="BE18">
        <f t="shared" si="12"/>
        <v>64320</v>
      </c>
      <c r="BF18">
        <f t="shared" si="13"/>
        <v>72320</v>
      </c>
      <c r="BG18">
        <f t="shared" si="14"/>
        <v>80320</v>
      </c>
      <c r="BH18">
        <f t="shared" si="15"/>
        <v>86800</v>
      </c>
      <c r="BI18">
        <f t="shared" si="16"/>
        <v>93200</v>
      </c>
      <c r="BJ18">
        <f t="shared" si="17"/>
        <v>99600</v>
      </c>
      <c r="BK18">
        <f t="shared" si="18"/>
        <v>106080</v>
      </c>
      <c r="BL18">
        <f t="shared" si="19"/>
        <v>112480</v>
      </c>
    </row>
    <row r="19" spans="1:64">
      <c r="A19" s="48" t="s">
        <v>376</v>
      </c>
      <c r="B19">
        <f t="shared" si="6"/>
        <v>13700</v>
      </c>
      <c r="C19">
        <f t="shared" si="0"/>
        <v>15660</v>
      </c>
      <c r="D19">
        <f t="shared" si="0"/>
        <v>17620</v>
      </c>
      <c r="E19">
        <f t="shared" si="0"/>
        <v>19560</v>
      </c>
      <c r="F19">
        <f t="shared" si="0"/>
        <v>21140</v>
      </c>
      <c r="G19">
        <f t="shared" si="0"/>
        <v>22700</v>
      </c>
      <c r="H19">
        <f t="shared" si="0"/>
        <v>24260</v>
      </c>
      <c r="I19">
        <f t="shared" si="0"/>
        <v>25820</v>
      </c>
      <c r="J19">
        <f t="shared" si="0"/>
        <v>27400</v>
      </c>
      <c r="K19">
        <f t="shared" si="7"/>
        <v>20550</v>
      </c>
      <c r="L19">
        <f t="shared" si="1"/>
        <v>23490</v>
      </c>
      <c r="M19">
        <f t="shared" si="1"/>
        <v>26430</v>
      </c>
      <c r="N19">
        <f t="shared" si="1"/>
        <v>29340</v>
      </c>
      <c r="O19">
        <f t="shared" si="1"/>
        <v>31710</v>
      </c>
      <c r="P19">
        <f t="shared" si="1"/>
        <v>34050</v>
      </c>
      <c r="Q19">
        <f t="shared" si="1"/>
        <v>36390</v>
      </c>
      <c r="R19">
        <f t="shared" si="1"/>
        <v>38730</v>
      </c>
      <c r="S19">
        <f t="shared" si="1"/>
        <v>41100</v>
      </c>
      <c r="T19">
        <f t="shared" si="8"/>
        <v>27400</v>
      </c>
      <c r="U19">
        <f t="shared" si="2"/>
        <v>31320</v>
      </c>
      <c r="V19">
        <f t="shared" si="2"/>
        <v>35240</v>
      </c>
      <c r="W19">
        <f t="shared" si="2"/>
        <v>39120</v>
      </c>
      <c r="X19">
        <f t="shared" si="2"/>
        <v>42280</v>
      </c>
      <c r="Y19">
        <f t="shared" si="2"/>
        <v>45400</v>
      </c>
      <c r="Z19">
        <f t="shared" si="2"/>
        <v>48520</v>
      </c>
      <c r="AA19">
        <f t="shared" si="2"/>
        <v>51640</v>
      </c>
      <c r="AB19">
        <f t="shared" si="2"/>
        <v>54800</v>
      </c>
      <c r="AC19" s="381">
        <v>34250</v>
      </c>
      <c r="AD19" s="381">
        <v>39150</v>
      </c>
      <c r="AE19" s="381">
        <v>44050</v>
      </c>
      <c r="AF19" s="381">
        <v>48900</v>
      </c>
      <c r="AG19" s="381">
        <v>52850</v>
      </c>
      <c r="AH19" s="381">
        <v>56750</v>
      </c>
      <c r="AI19" s="381">
        <v>60650</v>
      </c>
      <c r="AJ19" s="381">
        <v>64550</v>
      </c>
      <c r="AK19" s="381">
        <v>68500</v>
      </c>
      <c r="AL19">
        <f t="shared" si="9"/>
        <v>41100</v>
      </c>
      <c r="AM19">
        <f t="shared" si="3"/>
        <v>46980</v>
      </c>
      <c r="AN19">
        <f t="shared" si="3"/>
        <v>52860</v>
      </c>
      <c r="AO19">
        <f t="shared" si="3"/>
        <v>58680</v>
      </c>
      <c r="AP19">
        <f t="shared" si="3"/>
        <v>63420</v>
      </c>
      <c r="AQ19">
        <f t="shared" si="3"/>
        <v>68100</v>
      </c>
      <c r="AR19">
        <f t="shared" si="3"/>
        <v>72780</v>
      </c>
      <c r="AS19">
        <f t="shared" si="3"/>
        <v>77460</v>
      </c>
      <c r="AT19">
        <f t="shared" si="3"/>
        <v>82200</v>
      </c>
      <c r="AU19">
        <f t="shared" si="10"/>
        <v>47950</v>
      </c>
      <c r="AV19">
        <f t="shared" si="4"/>
        <v>54810</v>
      </c>
      <c r="AW19">
        <f t="shared" si="4"/>
        <v>61669.999999999993</v>
      </c>
      <c r="AX19">
        <f t="shared" si="4"/>
        <v>68460</v>
      </c>
      <c r="AY19">
        <f t="shared" si="4"/>
        <v>73990</v>
      </c>
      <c r="AZ19">
        <f t="shared" si="4"/>
        <v>79450</v>
      </c>
      <c r="BA19">
        <f t="shared" si="4"/>
        <v>84910</v>
      </c>
      <c r="BB19">
        <f t="shared" si="4"/>
        <v>90370</v>
      </c>
      <c r="BC19">
        <f t="shared" si="4"/>
        <v>95900</v>
      </c>
      <c r="BD19">
        <f t="shared" si="11"/>
        <v>54800</v>
      </c>
      <c r="BE19">
        <f t="shared" si="12"/>
        <v>62640</v>
      </c>
      <c r="BF19">
        <f t="shared" si="13"/>
        <v>70480</v>
      </c>
      <c r="BG19">
        <f t="shared" si="14"/>
        <v>78240</v>
      </c>
      <c r="BH19">
        <f t="shared" si="15"/>
        <v>84560</v>
      </c>
      <c r="BI19">
        <f t="shared" si="16"/>
        <v>90800</v>
      </c>
      <c r="BJ19">
        <f t="shared" si="17"/>
        <v>97040</v>
      </c>
      <c r="BK19">
        <f t="shared" si="18"/>
        <v>103280</v>
      </c>
      <c r="BL19">
        <f t="shared" si="19"/>
        <v>109600</v>
      </c>
    </row>
    <row r="20" spans="1:64">
      <c r="A20" s="48" t="s">
        <v>423</v>
      </c>
      <c r="B20">
        <f t="shared" si="6"/>
        <v>13720</v>
      </c>
      <c r="C20">
        <f t="shared" si="0"/>
        <v>15680</v>
      </c>
      <c r="D20">
        <f t="shared" si="0"/>
        <v>17640</v>
      </c>
      <c r="E20">
        <f t="shared" si="0"/>
        <v>19600</v>
      </c>
      <c r="F20">
        <f t="shared" si="0"/>
        <v>21180</v>
      </c>
      <c r="G20">
        <f t="shared" si="0"/>
        <v>22740</v>
      </c>
      <c r="H20">
        <f t="shared" si="0"/>
        <v>24320</v>
      </c>
      <c r="I20">
        <f t="shared" si="0"/>
        <v>25880</v>
      </c>
      <c r="J20">
        <f t="shared" si="0"/>
        <v>27440</v>
      </c>
      <c r="K20">
        <f t="shared" si="7"/>
        <v>20580</v>
      </c>
      <c r="L20">
        <f t="shared" si="1"/>
        <v>23520</v>
      </c>
      <c r="M20">
        <f t="shared" si="1"/>
        <v>26460</v>
      </c>
      <c r="N20">
        <f t="shared" si="1"/>
        <v>29400</v>
      </c>
      <c r="O20">
        <f t="shared" si="1"/>
        <v>31770</v>
      </c>
      <c r="P20">
        <f t="shared" si="1"/>
        <v>34110</v>
      </c>
      <c r="Q20">
        <f t="shared" si="1"/>
        <v>36480</v>
      </c>
      <c r="R20">
        <f t="shared" si="1"/>
        <v>38820</v>
      </c>
      <c r="S20">
        <f t="shared" si="1"/>
        <v>41160</v>
      </c>
      <c r="T20">
        <f t="shared" si="8"/>
        <v>27440</v>
      </c>
      <c r="U20">
        <f t="shared" si="2"/>
        <v>31360</v>
      </c>
      <c r="V20">
        <f t="shared" si="2"/>
        <v>35280</v>
      </c>
      <c r="W20">
        <f t="shared" si="2"/>
        <v>39200</v>
      </c>
      <c r="X20">
        <f t="shared" si="2"/>
        <v>42360</v>
      </c>
      <c r="Y20">
        <f t="shared" si="2"/>
        <v>45480</v>
      </c>
      <c r="Z20">
        <f t="shared" si="2"/>
        <v>48640</v>
      </c>
      <c r="AA20">
        <f t="shared" si="2"/>
        <v>51760</v>
      </c>
      <c r="AB20">
        <f t="shared" si="2"/>
        <v>54880</v>
      </c>
      <c r="AC20" s="381">
        <v>34300</v>
      </c>
      <c r="AD20" s="381">
        <v>39200</v>
      </c>
      <c r="AE20" s="381">
        <v>44100</v>
      </c>
      <c r="AF20" s="381">
        <v>49000</v>
      </c>
      <c r="AG20" s="381">
        <v>52950</v>
      </c>
      <c r="AH20" s="381">
        <v>56850</v>
      </c>
      <c r="AI20" s="381">
        <v>60800</v>
      </c>
      <c r="AJ20" s="381">
        <v>64700</v>
      </c>
      <c r="AK20" s="381">
        <v>68600</v>
      </c>
      <c r="AL20">
        <f t="shared" si="9"/>
        <v>41160</v>
      </c>
      <c r="AM20">
        <f t="shared" si="3"/>
        <v>47040</v>
      </c>
      <c r="AN20">
        <f t="shared" si="3"/>
        <v>52920</v>
      </c>
      <c r="AO20">
        <f t="shared" si="3"/>
        <v>58800</v>
      </c>
      <c r="AP20">
        <f t="shared" si="3"/>
        <v>63540</v>
      </c>
      <c r="AQ20">
        <f t="shared" si="3"/>
        <v>68220</v>
      </c>
      <c r="AR20">
        <f t="shared" si="3"/>
        <v>72960</v>
      </c>
      <c r="AS20">
        <f t="shared" si="3"/>
        <v>77640</v>
      </c>
      <c r="AT20">
        <f t="shared" si="3"/>
        <v>82320</v>
      </c>
      <c r="AU20">
        <f t="shared" si="10"/>
        <v>48020</v>
      </c>
      <c r="AV20">
        <f t="shared" si="4"/>
        <v>54880</v>
      </c>
      <c r="AW20">
        <f t="shared" si="4"/>
        <v>61739.999999999993</v>
      </c>
      <c r="AX20">
        <f t="shared" si="4"/>
        <v>68600</v>
      </c>
      <c r="AY20">
        <f t="shared" si="4"/>
        <v>74130</v>
      </c>
      <c r="AZ20">
        <f t="shared" si="4"/>
        <v>79590</v>
      </c>
      <c r="BA20">
        <f t="shared" si="4"/>
        <v>85120</v>
      </c>
      <c r="BB20">
        <f t="shared" si="4"/>
        <v>90580</v>
      </c>
      <c r="BC20">
        <f t="shared" si="4"/>
        <v>96040</v>
      </c>
      <c r="BD20">
        <f t="shared" si="11"/>
        <v>54880</v>
      </c>
      <c r="BE20">
        <f t="shared" si="12"/>
        <v>62720</v>
      </c>
      <c r="BF20">
        <f t="shared" si="13"/>
        <v>70560</v>
      </c>
      <c r="BG20">
        <f t="shared" si="14"/>
        <v>78400</v>
      </c>
      <c r="BH20">
        <f t="shared" si="15"/>
        <v>84720</v>
      </c>
      <c r="BI20">
        <f t="shared" si="16"/>
        <v>90960</v>
      </c>
      <c r="BJ20">
        <f t="shared" si="17"/>
        <v>97280</v>
      </c>
      <c r="BK20">
        <f t="shared" si="18"/>
        <v>103520</v>
      </c>
      <c r="BL20">
        <f t="shared" si="19"/>
        <v>109760</v>
      </c>
    </row>
    <row r="21" spans="1:64">
      <c r="A21" s="48" t="s">
        <v>380</v>
      </c>
      <c r="B21">
        <f t="shared" si="6"/>
        <v>13780</v>
      </c>
      <c r="C21">
        <f t="shared" si="0"/>
        <v>15760</v>
      </c>
      <c r="D21">
        <f t="shared" si="0"/>
        <v>17720</v>
      </c>
      <c r="E21">
        <f t="shared" si="0"/>
        <v>19680</v>
      </c>
      <c r="F21">
        <f t="shared" si="0"/>
        <v>21260</v>
      </c>
      <c r="G21">
        <f t="shared" si="0"/>
        <v>22840</v>
      </c>
      <c r="H21">
        <f t="shared" si="0"/>
        <v>24420</v>
      </c>
      <c r="I21">
        <f t="shared" si="0"/>
        <v>25980</v>
      </c>
      <c r="J21">
        <f t="shared" si="0"/>
        <v>27560</v>
      </c>
      <c r="K21">
        <f t="shared" si="7"/>
        <v>20670</v>
      </c>
      <c r="L21">
        <f t="shared" si="1"/>
        <v>23640</v>
      </c>
      <c r="M21">
        <f t="shared" si="1"/>
        <v>26580</v>
      </c>
      <c r="N21">
        <f t="shared" si="1"/>
        <v>29520</v>
      </c>
      <c r="O21">
        <f t="shared" si="1"/>
        <v>31890</v>
      </c>
      <c r="P21">
        <f t="shared" si="1"/>
        <v>34260</v>
      </c>
      <c r="Q21">
        <f t="shared" si="1"/>
        <v>36630</v>
      </c>
      <c r="R21">
        <f t="shared" si="1"/>
        <v>38970</v>
      </c>
      <c r="S21">
        <f t="shared" si="1"/>
        <v>41340</v>
      </c>
      <c r="T21">
        <f t="shared" si="8"/>
        <v>27560</v>
      </c>
      <c r="U21">
        <f t="shared" si="2"/>
        <v>31520</v>
      </c>
      <c r="V21">
        <f t="shared" si="2"/>
        <v>35440</v>
      </c>
      <c r="W21">
        <f t="shared" si="2"/>
        <v>39360</v>
      </c>
      <c r="X21">
        <f t="shared" si="2"/>
        <v>42520</v>
      </c>
      <c r="Y21">
        <f t="shared" si="2"/>
        <v>45680</v>
      </c>
      <c r="Z21">
        <f t="shared" si="2"/>
        <v>48840</v>
      </c>
      <c r="AA21">
        <f t="shared" si="2"/>
        <v>51960</v>
      </c>
      <c r="AB21">
        <f t="shared" si="2"/>
        <v>55120</v>
      </c>
      <c r="AC21" s="381">
        <v>34450</v>
      </c>
      <c r="AD21" s="381">
        <v>39400</v>
      </c>
      <c r="AE21" s="381">
        <v>44300</v>
      </c>
      <c r="AF21" s="381">
        <v>49200</v>
      </c>
      <c r="AG21" s="381">
        <v>53150</v>
      </c>
      <c r="AH21" s="381">
        <v>57100</v>
      </c>
      <c r="AI21" s="381">
        <v>61050</v>
      </c>
      <c r="AJ21" s="381">
        <v>64950</v>
      </c>
      <c r="AK21" s="381">
        <v>68900</v>
      </c>
      <c r="AL21">
        <f t="shared" si="9"/>
        <v>41340</v>
      </c>
      <c r="AM21">
        <f t="shared" si="3"/>
        <v>47280</v>
      </c>
      <c r="AN21">
        <f t="shared" si="3"/>
        <v>53160</v>
      </c>
      <c r="AO21">
        <f t="shared" si="3"/>
        <v>59040</v>
      </c>
      <c r="AP21">
        <f t="shared" si="3"/>
        <v>63780</v>
      </c>
      <c r="AQ21">
        <f t="shared" si="3"/>
        <v>68520</v>
      </c>
      <c r="AR21">
        <f t="shared" si="3"/>
        <v>73260</v>
      </c>
      <c r="AS21">
        <f t="shared" si="3"/>
        <v>77940</v>
      </c>
      <c r="AT21">
        <f t="shared" si="3"/>
        <v>82680</v>
      </c>
      <c r="AU21">
        <f t="shared" si="10"/>
        <v>48230</v>
      </c>
      <c r="AV21">
        <f t="shared" si="4"/>
        <v>55160</v>
      </c>
      <c r="AW21">
        <f t="shared" si="4"/>
        <v>62019.999999999993</v>
      </c>
      <c r="AX21">
        <f t="shared" si="4"/>
        <v>68880</v>
      </c>
      <c r="AY21">
        <f t="shared" si="4"/>
        <v>74410</v>
      </c>
      <c r="AZ21">
        <f t="shared" si="4"/>
        <v>79940</v>
      </c>
      <c r="BA21">
        <f t="shared" si="4"/>
        <v>85470</v>
      </c>
      <c r="BB21">
        <f t="shared" si="4"/>
        <v>90930</v>
      </c>
      <c r="BC21">
        <f t="shared" si="4"/>
        <v>96460</v>
      </c>
      <c r="BD21">
        <f t="shared" si="11"/>
        <v>55120</v>
      </c>
      <c r="BE21">
        <f t="shared" si="12"/>
        <v>63040</v>
      </c>
      <c r="BF21">
        <f t="shared" si="13"/>
        <v>70880</v>
      </c>
      <c r="BG21">
        <f t="shared" si="14"/>
        <v>78720</v>
      </c>
      <c r="BH21">
        <f t="shared" si="15"/>
        <v>85040</v>
      </c>
      <c r="BI21">
        <f t="shared" si="16"/>
        <v>91360</v>
      </c>
      <c r="BJ21">
        <f t="shared" si="17"/>
        <v>97680</v>
      </c>
      <c r="BK21">
        <f t="shared" si="18"/>
        <v>103920</v>
      </c>
      <c r="BL21">
        <f t="shared" si="19"/>
        <v>110240</v>
      </c>
    </row>
    <row r="22" spans="1:64">
      <c r="A22" s="48" t="s">
        <v>430</v>
      </c>
      <c r="B22">
        <f t="shared" si="6"/>
        <v>12700</v>
      </c>
      <c r="C22">
        <f t="shared" si="0"/>
        <v>14500</v>
      </c>
      <c r="D22">
        <f t="shared" si="0"/>
        <v>16320</v>
      </c>
      <c r="E22">
        <f t="shared" si="0"/>
        <v>18120</v>
      </c>
      <c r="F22">
        <f t="shared" si="0"/>
        <v>19580</v>
      </c>
      <c r="G22">
        <f t="shared" si="0"/>
        <v>21020</v>
      </c>
      <c r="H22">
        <f t="shared" si="0"/>
        <v>22480</v>
      </c>
      <c r="I22">
        <f t="shared" si="0"/>
        <v>23920</v>
      </c>
      <c r="J22">
        <f t="shared" si="0"/>
        <v>25380</v>
      </c>
      <c r="K22">
        <f t="shared" si="7"/>
        <v>19050</v>
      </c>
      <c r="L22">
        <f t="shared" si="1"/>
        <v>21750</v>
      </c>
      <c r="M22">
        <f t="shared" si="1"/>
        <v>24480</v>
      </c>
      <c r="N22">
        <f t="shared" si="1"/>
        <v>27180</v>
      </c>
      <c r="O22">
        <f t="shared" si="1"/>
        <v>29370</v>
      </c>
      <c r="P22">
        <f t="shared" si="1"/>
        <v>31530</v>
      </c>
      <c r="Q22">
        <f t="shared" si="1"/>
        <v>33720</v>
      </c>
      <c r="R22">
        <f t="shared" si="1"/>
        <v>35880</v>
      </c>
      <c r="S22">
        <f t="shared" si="1"/>
        <v>38070</v>
      </c>
      <c r="T22">
        <f t="shared" si="8"/>
        <v>25400</v>
      </c>
      <c r="U22">
        <f t="shared" si="2"/>
        <v>29000</v>
      </c>
      <c r="V22">
        <f t="shared" si="2"/>
        <v>32640</v>
      </c>
      <c r="W22">
        <f t="shared" si="2"/>
        <v>36240</v>
      </c>
      <c r="X22">
        <f t="shared" si="2"/>
        <v>39160</v>
      </c>
      <c r="Y22">
        <f t="shared" si="2"/>
        <v>42040</v>
      </c>
      <c r="Z22">
        <f t="shared" si="2"/>
        <v>44960</v>
      </c>
      <c r="AA22">
        <f t="shared" si="2"/>
        <v>47840</v>
      </c>
      <c r="AB22">
        <f t="shared" si="2"/>
        <v>50760</v>
      </c>
      <c r="AC22" s="381">
        <v>31750</v>
      </c>
      <c r="AD22" s="381">
        <v>36250</v>
      </c>
      <c r="AE22" s="381">
        <v>40800</v>
      </c>
      <c r="AF22" s="381">
        <v>45300</v>
      </c>
      <c r="AG22" s="381">
        <v>48950</v>
      </c>
      <c r="AH22" s="381">
        <v>52550</v>
      </c>
      <c r="AI22" s="381">
        <v>56200</v>
      </c>
      <c r="AJ22" s="381">
        <v>59800</v>
      </c>
      <c r="AK22" s="381">
        <v>63450</v>
      </c>
      <c r="AL22">
        <f t="shared" si="9"/>
        <v>38100</v>
      </c>
      <c r="AM22">
        <f t="shared" si="3"/>
        <v>43500</v>
      </c>
      <c r="AN22">
        <f t="shared" si="3"/>
        <v>48960</v>
      </c>
      <c r="AO22">
        <f t="shared" si="3"/>
        <v>54360</v>
      </c>
      <c r="AP22">
        <f t="shared" si="3"/>
        <v>58740</v>
      </c>
      <c r="AQ22">
        <f t="shared" si="3"/>
        <v>63060</v>
      </c>
      <c r="AR22">
        <f t="shared" si="3"/>
        <v>67440</v>
      </c>
      <c r="AS22">
        <f t="shared" si="3"/>
        <v>71760</v>
      </c>
      <c r="AT22">
        <f t="shared" si="3"/>
        <v>76140</v>
      </c>
      <c r="AU22">
        <f t="shared" si="10"/>
        <v>44450</v>
      </c>
      <c r="AV22">
        <f t="shared" si="4"/>
        <v>50750</v>
      </c>
      <c r="AW22">
        <f t="shared" si="4"/>
        <v>57120</v>
      </c>
      <c r="AX22">
        <f t="shared" si="4"/>
        <v>63419.999999999993</v>
      </c>
      <c r="AY22">
        <f t="shared" si="4"/>
        <v>68530</v>
      </c>
      <c r="AZ22">
        <f t="shared" si="4"/>
        <v>73570</v>
      </c>
      <c r="BA22">
        <f t="shared" si="4"/>
        <v>78680</v>
      </c>
      <c r="BB22">
        <f t="shared" si="4"/>
        <v>83720</v>
      </c>
      <c r="BC22">
        <f t="shared" si="4"/>
        <v>88830</v>
      </c>
      <c r="BD22">
        <f t="shared" si="11"/>
        <v>50800</v>
      </c>
      <c r="BE22">
        <f t="shared" si="12"/>
        <v>58000</v>
      </c>
      <c r="BF22">
        <f t="shared" si="13"/>
        <v>65280</v>
      </c>
      <c r="BG22">
        <f t="shared" si="14"/>
        <v>72480</v>
      </c>
      <c r="BH22">
        <f t="shared" si="15"/>
        <v>78320</v>
      </c>
      <c r="BI22">
        <f t="shared" si="16"/>
        <v>84080</v>
      </c>
      <c r="BJ22">
        <f t="shared" si="17"/>
        <v>89920</v>
      </c>
      <c r="BK22">
        <f t="shared" si="18"/>
        <v>95680</v>
      </c>
      <c r="BL22">
        <f t="shared" si="19"/>
        <v>101520</v>
      </c>
    </row>
    <row r="23" spans="1:64">
      <c r="A23" s="48" t="s">
        <v>432</v>
      </c>
      <c r="B23">
        <f t="shared" si="6"/>
        <v>12140</v>
      </c>
      <c r="C23">
        <f t="shared" si="0"/>
        <v>13860</v>
      </c>
      <c r="D23">
        <f t="shared" si="0"/>
        <v>15600</v>
      </c>
      <c r="E23">
        <f t="shared" si="0"/>
        <v>17320</v>
      </c>
      <c r="F23">
        <f t="shared" si="0"/>
        <v>18720</v>
      </c>
      <c r="G23">
        <f t="shared" si="0"/>
        <v>20100</v>
      </c>
      <c r="H23">
        <f t="shared" si="0"/>
        <v>21480</v>
      </c>
      <c r="I23">
        <f t="shared" si="0"/>
        <v>22880</v>
      </c>
      <c r="J23">
        <f t="shared" si="0"/>
        <v>24260</v>
      </c>
      <c r="K23">
        <f t="shared" si="7"/>
        <v>18210</v>
      </c>
      <c r="L23">
        <f t="shared" si="1"/>
        <v>20790</v>
      </c>
      <c r="M23">
        <f t="shared" si="1"/>
        <v>23400</v>
      </c>
      <c r="N23">
        <f t="shared" si="1"/>
        <v>25980</v>
      </c>
      <c r="O23">
        <f t="shared" si="1"/>
        <v>28080</v>
      </c>
      <c r="P23">
        <f t="shared" si="1"/>
        <v>30150</v>
      </c>
      <c r="Q23">
        <f t="shared" si="1"/>
        <v>32220</v>
      </c>
      <c r="R23">
        <f t="shared" si="1"/>
        <v>34320</v>
      </c>
      <c r="S23">
        <f t="shared" si="1"/>
        <v>36390</v>
      </c>
      <c r="T23">
        <f t="shared" si="8"/>
        <v>24280</v>
      </c>
      <c r="U23">
        <f t="shared" si="2"/>
        <v>27720</v>
      </c>
      <c r="V23">
        <f t="shared" si="2"/>
        <v>31200</v>
      </c>
      <c r="W23">
        <f t="shared" si="2"/>
        <v>34640</v>
      </c>
      <c r="X23">
        <f t="shared" si="2"/>
        <v>37440</v>
      </c>
      <c r="Y23">
        <f t="shared" si="2"/>
        <v>40200</v>
      </c>
      <c r="Z23">
        <f t="shared" si="2"/>
        <v>42960</v>
      </c>
      <c r="AA23">
        <f t="shared" si="2"/>
        <v>45760</v>
      </c>
      <c r="AB23">
        <f t="shared" si="2"/>
        <v>48520</v>
      </c>
      <c r="AC23" s="381">
        <v>30350</v>
      </c>
      <c r="AD23" s="381">
        <v>34650</v>
      </c>
      <c r="AE23" s="381">
        <v>39000</v>
      </c>
      <c r="AF23" s="381">
        <v>43300</v>
      </c>
      <c r="AG23" s="381">
        <v>46800</v>
      </c>
      <c r="AH23" s="381">
        <v>50250</v>
      </c>
      <c r="AI23" s="381">
        <v>53700</v>
      </c>
      <c r="AJ23" s="381">
        <v>57200</v>
      </c>
      <c r="AK23" s="381">
        <v>60650</v>
      </c>
      <c r="AL23">
        <f t="shared" si="9"/>
        <v>36420</v>
      </c>
      <c r="AM23">
        <f t="shared" si="3"/>
        <v>41580</v>
      </c>
      <c r="AN23">
        <f t="shared" si="3"/>
        <v>46800</v>
      </c>
      <c r="AO23">
        <f t="shared" si="3"/>
        <v>51960</v>
      </c>
      <c r="AP23">
        <f t="shared" si="3"/>
        <v>56160</v>
      </c>
      <c r="AQ23">
        <f t="shared" si="3"/>
        <v>60300</v>
      </c>
      <c r="AR23">
        <f t="shared" si="3"/>
        <v>64440</v>
      </c>
      <c r="AS23">
        <f t="shared" si="3"/>
        <v>68640</v>
      </c>
      <c r="AT23">
        <f t="shared" si="3"/>
        <v>72780</v>
      </c>
      <c r="AU23">
        <f t="shared" si="10"/>
        <v>42490</v>
      </c>
      <c r="AV23">
        <f t="shared" si="4"/>
        <v>48510</v>
      </c>
      <c r="AW23">
        <f t="shared" si="4"/>
        <v>54600</v>
      </c>
      <c r="AX23">
        <f t="shared" si="4"/>
        <v>60619.999999999993</v>
      </c>
      <c r="AY23">
        <f t="shared" si="4"/>
        <v>65519.999999999993</v>
      </c>
      <c r="AZ23">
        <f t="shared" si="4"/>
        <v>70350</v>
      </c>
      <c r="BA23">
        <f t="shared" si="4"/>
        <v>75180</v>
      </c>
      <c r="BB23">
        <f t="shared" si="4"/>
        <v>80080</v>
      </c>
      <c r="BC23">
        <f t="shared" si="4"/>
        <v>84910</v>
      </c>
      <c r="BD23">
        <f t="shared" si="11"/>
        <v>48560</v>
      </c>
      <c r="BE23">
        <f t="shared" si="12"/>
        <v>55440</v>
      </c>
      <c r="BF23">
        <f t="shared" si="13"/>
        <v>62400</v>
      </c>
      <c r="BG23">
        <f t="shared" si="14"/>
        <v>69280</v>
      </c>
      <c r="BH23">
        <f t="shared" si="15"/>
        <v>74880</v>
      </c>
      <c r="BI23">
        <f t="shared" si="16"/>
        <v>80400</v>
      </c>
      <c r="BJ23">
        <f t="shared" si="17"/>
        <v>85920</v>
      </c>
      <c r="BK23">
        <f t="shared" si="18"/>
        <v>91520</v>
      </c>
      <c r="BL23">
        <f t="shared" si="19"/>
        <v>97040</v>
      </c>
    </row>
    <row r="24" spans="1:64">
      <c r="A24" s="48" t="s">
        <v>382</v>
      </c>
      <c r="B24">
        <f t="shared" si="6"/>
        <v>13280</v>
      </c>
      <c r="C24">
        <f t="shared" si="0"/>
        <v>15180</v>
      </c>
      <c r="D24">
        <f t="shared" si="0"/>
        <v>17080</v>
      </c>
      <c r="E24">
        <f t="shared" si="0"/>
        <v>18960</v>
      </c>
      <c r="F24">
        <f t="shared" si="0"/>
        <v>20480</v>
      </c>
      <c r="G24">
        <f t="shared" si="0"/>
        <v>22000</v>
      </c>
      <c r="H24">
        <f t="shared" si="0"/>
        <v>23520</v>
      </c>
      <c r="I24">
        <f t="shared" si="0"/>
        <v>25040</v>
      </c>
      <c r="J24">
        <f t="shared" si="0"/>
        <v>26560</v>
      </c>
      <c r="K24">
        <f t="shared" si="7"/>
        <v>19920</v>
      </c>
      <c r="L24">
        <f t="shared" si="1"/>
        <v>22770</v>
      </c>
      <c r="M24">
        <f t="shared" si="1"/>
        <v>25620</v>
      </c>
      <c r="N24">
        <f t="shared" si="1"/>
        <v>28440</v>
      </c>
      <c r="O24">
        <f t="shared" si="1"/>
        <v>30720</v>
      </c>
      <c r="P24">
        <f t="shared" si="1"/>
        <v>33000</v>
      </c>
      <c r="Q24">
        <f t="shared" si="1"/>
        <v>35280</v>
      </c>
      <c r="R24">
        <f t="shared" si="1"/>
        <v>37560</v>
      </c>
      <c r="S24">
        <f t="shared" si="1"/>
        <v>39840</v>
      </c>
      <c r="T24">
        <f t="shared" si="8"/>
        <v>26560</v>
      </c>
      <c r="U24">
        <f t="shared" si="2"/>
        <v>30360</v>
      </c>
      <c r="V24">
        <f t="shared" si="2"/>
        <v>34160</v>
      </c>
      <c r="W24">
        <f t="shared" si="2"/>
        <v>37920</v>
      </c>
      <c r="X24">
        <f t="shared" si="2"/>
        <v>40960</v>
      </c>
      <c r="Y24">
        <f t="shared" si="2"/>
        <v>44000</v>
      </c>
      <c r="Z24">
        <f t="shared" si="2"/>
        <v>47040</v>
      </c>
      <c r="AA24">
        <f t="shared" si="2"/>
        <v>50080</v>
      </c>
      <c r="AB24">
        <f t="shared" si="2"/>
        <v>53120</v>
      </c>
      <c r="AC24" s="381">
        <v>33200</v>
      </c>
      <c r="AD24" s="381">
        <v>37950</v>
      </c>
      <c r="AE24" s="381">
        <v>42700</v>
      </c>
      <c r="AF24" s="381">
        <v>47400</v>
      </c>
      <c r="AG24" s="381">
        <v>51200</v>
      </c>
      <c r="AH24" s="381">
        <v>55000</v>
      </c>
      <c r="AI24" s="381">
        <v>58800</v>
      </c>
      <c r="AJ24" s="381">
        <v>62600</v>
      </c>
      <c r="AK24" s="381">
        <v>66400</v>
      </c>
      <c r="AL24">
        <f t="shared" si="9"/>
        <v>39840</v>
      </c>
      <c r="AM24">
        <f t="shared" si="3"/>
        <v>45540</v>
      </c>
      <c r="AN24">
        <f t="shared" si="3"/>
        <v>51240</v>
      </c>
      <c r="AO24">
        <f t="shared" si="3"/>
        <v>56880</v>
      </c>
      <c r="AP24">
        <f t="shared" si="3"/>
        <v>61440</v>
      </c>
      <c r="AQ24">
        <f t="shared" si="3"/>
        <v>66000</v>
      </c>
      <c r="AR24">
        <f t="shared" si="3"/>
        <v>70560</v>
      </c>
      <c r="AS24">
        <f t="shared" si="3"/>
        <v>75120</v>
      </c>
      <c r="AT24">
        <f t="shared" si="3"/>
        <v>79680</v>
      </c>
      <c r="AU24">
        <f t="shared" si="10"/>
        <v>46480</v>
      </c>
      <c r="AV24">
        <f t="shared" si="4"/>
        <v>53130</v>
      </c>
      <c r="AW24">
        <f t="shared" si="4"/>
        <v>59779.999999999993</v>
      </c>
      <c r="AX24">
        <f t="shared" si="4"/>
        <v>66360</v>
      </c>
      <c r="AY24">
        <f t="shared" si="4"/>
        <v>71680</v>
      </c>
      <c r="AZ24">
        <f t="shared" si="4"/>
        <v>77000</v>
      </c>
      <c r="BA24">
        <f t="shared" si="4"/>
        <v>82320</v>
      </c>
      <c r="BB24">
        <f t="shared" si="4"/>
        <v>87640</v>
      </c>
      <c r="BC24">
        <f t="shared" si="4"/>
        <v>92960</v>
      </c>
      <c r="BD24">
        <f t="shared" si="11"/>
        <v>53120</v>
      </c>
      <c r="BE24">
        <f t="shared" si="12"/>
        <v>60720</v>
      </c>
      <c r="BF24">
        <f t="shared" si="13"/>
        <v>68320</v>
      </c>
      <c r="BG24">
        <f t="shared" si="14"/>
        <v>75840</v>
      </c>
      <c r="BH24">
        <f t="shared" si="15"/>
        <v>81920</v>
      </c>
      <c r="BI24">
        <f t="shared" si="16"/>
        <v>88000</v>
      </c>
      <c r="BJ24">
        <f t="shared" si="17"/>
        <v>94080</v>
      </c>
      <c r="BK24">
        <f t="shared" si="18"/>
        <v>100160</v>
      </c>
      <c r="BL24">
        <f t="shared" si="19"/>
        <v>106240</v>
      </c>
    </row>
    <row r="25" spans="1:64">
      <c r="A25" s="48" t="s">
        <v>385</v>
      </c>
      <c r="B25">
        <f>AC25*0.4</f>
        <v>14300</v>
      </c>
      <c r="C25">
        <f t="shared" si="0"/>
        <v>16340</v>
      </c>
      <c r="D25">
        <f t="shared" si="0"/>
        <v>18380</v>
      </c>
      <c r="E25">
        <f t="shared" si="0"/>
        <v>20420</v>
      </c>
      <c r="F25">
        <f t="shared" si="0"/>
        <v>22060</v>
      </c>
      <c r="G25">
        <f t="shared" si="0"/>
        <v>23700</v>
      </c>
      <c r="H25">
        <f t="shared" si="0"/>
        <v>25340</v>
      </c>
      <c r="I25">
        <f t="shared" si="0"/>
        <v>26960</v>
      </c>
      <c r="J25">
        <f t="shared" si="0"/>
        <v>28600</v>
      </c>
      <c r="K25">
        <f t="shared" si="7"/>
        <v>21450</v>
      </c>
      <c r="L25">
        <f t="shared" si="1"/>
        <v>24510</v>
      </c>
      <c r="M25">
        <f t="shared" si="1"/>
        <v>27570</v>
      </c>
      <c r="N25">
        <f t="shared" si="1"/>
        <v>30630</v>
      </c>
      <c r="O25">
        <f t="shared" si="1"/>
        <v>33090</v>
      </c>
      <c r="P25">
        <f t="shared" si="1"/>
        <v>35550</v>
      </c>
      <c r="Q25">
        <f t="shared" si="1"/>
        <v>38010</v>
      </c>
      <c r="R25">
        <f t="shared" si="1"/>
        <v>40440</v>
      </c>
      <c r="S25">
        <f t="shared" si="1"/>
        <v>42900</v>
      </c>
      <c r="T25">
        <f t="shared" si="8"/>
        <v>28600</v>
      </c>
      <c r="U25">
        <f t="shared" si="2"/>
        <v>32680</v>
      </c>
      <c r="V25">
        <f t="shared" si="2"/>
        <v>36760</v>
      </c>
      <c r="W25">
        <f t="shared" si="2"/>
        <v>40840</v>
      </c>
      <c r="X25">
        <f t="shared" si="2"/>
        <v>44120</v>
      </c>
      <c r="Y25">
        <f t="shared" si="2"/>
        <v>47400</v>
      </c>
      <c r="Z25">
        <f t="shared" si="2"/>
        <v>50680</v>
      </c>
      <c r="AA25">
        <f t="shared" si="2"/>
        <v>53920</v>
      </c>
      <c r="AB25">
        <f t="shared" si="2"/>
        <v>57200</v>
      </c>
      <c r="AC25" s="381">
        <v>35750</v>
      </c>
      <c r="AD25" s="381">
        <v>40850</v>
      </c>
      <c r="AE25" s="381">
        <v>45950</v>
      </c>
      <c r="AF25" s="381">
        <v>51050</v>
      </c>
      <c r="AG25" s="381">
        <v>55150</v>
      </c>
      <c r="AH25" s="381">
        <v>59250</v>
      </c>
      <c r="AI25" s="381">
        <v>63350</v>
      </c>
      <c r="AJ25" s="381">
        <v>67400</v>
      </c>
      <c r="AK25" s="381">
        <v>71500</v>
      </c>
      <c r="AL25">
        <f t="shared" si="9"/>
        <v>42900</v>
      </c>
      <c r="AM25">
        <f t="shared" si="3"/>
        <v>49020</v>
      </c>
      <c r="AN25">
        <f t="shared" si="3"/>
        <v>55140</v>
      </c>
      <c r="AO25">
        <f t="shared" si="3"/>
        <v>61260</v>
      </c>
      <c r="AP25">
        <f t="shared" si="3"/>
        <v>66180</v>
      </c>
      <c r="AQ25">
        <f t="shared" si="3"/>
        <v>71100</v>
      </c>
      <c r="AR25">
        <f t="shared" si="3"/>
        <v>76020</v>
      </c>
      <c r="AS25">
        <f t="shared" si="3"/>
        <v>80880</v>
      </c>
      <c r="AT25">
        <f t="shared" si="3"/>
        <v>85800</v>
      </c>
      <c r="AU25">
        <f t="shared" si="10"/>
        <v>50050</v>
      </c>
      <c r="AV25">
        <f t="shared" si="4"/>
        <v>57190</v>
      </c>
      <c r="AW25">
        <f t="shared" si="4"/>
        <v>64329.999999999993</v>
      </c>
      <c r="AX25">
        <f t="shared" si="4"/>
        <v>71470</v>
      </c>
      <c r="AY25">
        <f t="shared" si="4"/>
        <v>77210</v>
      </c>
      <c r="AZ25">
        <f t="shared" si="4"/>
        <v>82950</v>
      </c>
      <c r="BA25">
        <f t="shared" si="4"/>
        <v>88690</v>
      </c>
      <c r="BB25">
        <f t="shared" si="4"/>
        <v>94360</v>
      </c>
      <c r="BC25">
        <f t="shared" si="4"/>
        <v>100100</v>
      </c>
      <c r="BD25">
        <f t="shared" si="11"/>
        <v>57200</v>
      </c>
      <c r="BE25">
        <f t="shared" si="12"/>
        <v>65360</v>
      </c>
      <c r="BF25">
        <f t="shared" si="13"/>
        <v>73520</v>
      </c>
      <c r="BG25">
        <f t="shared" si="14"/>
        <v>81680</v>
      </c>
      <c r="BH25">
        <f t="shared" si="15"/>
        <v>88240</v>
      </c>
      <c r="BI25">
        <f t="shared" si="16"/>
        <v>94800</v>
      </c>
      <c r="BJ25">
        <f t="shared" si="17"/>
        <v>101360</v>
      </c>
      <c r="BK25">
        <f t="shared" si="18"/>
        <v>107840</v>
      </c>
      <c r="BL25">
        <f t="shared" si="19"/>
        <v>114400</v>
      </c>
    </row>
    <row r="26" spans="1:64">
      <c r="A26" s="48" t="s">
        <v>442</v>
      </c>
      <c r="B26">
        <f t="shared" si="6"/>
        <v>12140</v>
      </c>
      <c r="C26">
        <f t="shared" si="0"/>
        <v>13860</v>
      </c>
      <c r="D26">
        <f t="shared" si="0"/>
        <v>15600</v>
      </c>
      <c r="E26">
        <f t="shared" si="0"/>
        <v>17320</v>
      </c>
      <c r="F26">
        <f t="shared" si="0"/>
        <v>18720</v>
      </c>
      <c r="G26">
        <f t="shared" si="0"/>
        <v>20100</v>
      </c>
      <c r="H26">
        <f t="shared" si="0"/>
        <v>21480</v>
      </c>
      <c r="I26">
        <f t="shared" si="0"/>
        <v>22880</v>
      </c>
      <c r="J26">
        <f t="shared" si="0"/>
        <v>24260</v>
      </c>
      <c r="K26">
        <f t="shared" si="7"/>
        <v>18210</v>
      </c>
      <c r="L26">
        <f t="shared" si="1"/>
        <v>20790</v>
      </c>
      <c r="M26">
        <f t="shared" si="1"/>
        <v>23400</v>
      </c>
      <c r="N26">
        <f t="shared" si="1"/>
        <v>25980</v>
      </c>
      <c r="O26">
        <f t="shared" si="1"/>
        <v>28080</v>
      </c>
      <c r="P26">
        <f t="shared" si="1"/>
        <v>30150</v>
      </c>
      <c r="Q26">
        <f t="shared" si="1"/>
        <v>32220</v>
      </c>
      <c r="R26">
        <f t="shared" si="1"/>
        <v>34320</v>
      </c>
      <c r="S26">
        <f t="shared" si="1"/>
        <v>36390</v>
      </c>
      <c r="T26">
        <f t="shared" si="8"/>
        <v>24280</v>
      </c>
      <c r="U26">
        <f t="shared" si="2"/>
        <v>27720</v>
      </c>
      <c r="V26">
        <f t="shared" si="2"/>
        <v>31200</v>
      </c>
      <c r="W26">
        <f t="shared" si="2"/>
        <v>34640</v>
      </c>
      <c r="X26">
        <f t="shared" si="2"/>
        <v>37440</v>
      </c>
      <c r="Y26">
        <f t="shared" si="2"/>
        <v>40200</v>
      </c>
      <c r="Z26">
        <f t="shared" si="2"/>
        <v>42960</v>
      </c>
      <c r="AA26">
        <f t="shared" si="2"/>
        <v>45760</v>
      </c>
      <c r="AB26">
        <f t="shared" si="2"/>
        <v>48520</v>
      </c>
      <c r="AC26" s="381">
        <v>30350</v>
      </c>
      <c r="AD26" s="381">
        <v>34650</v>
      </c>
      <c r="AE26" s="381">
        <v>39000</v>
      </c>
      <c r="AF26" s="381">
        <v>43300</v>
      </c>
      <c r="AG26" s="381">
        <v>46800</v>
      </c>
      <c r="AH26" s="381">
        <v>50250</v>
      </c>
      <c r="AI26" s="381">
        <v>53700</v>
      </c>
      <c r="AJ26" s="381">
        <v>57200</v>
      </c>
      <c r="AK26" s="381">
        <v>60650</v>
      </c>
      <c r="AL26">
        <f t="shared" si="9"/>
        <v>36420</v>
      </c>
      <c r="AM26">
        <f t="shared" si="3"/>
        <v>41580</v>
      </c>
      <c r="AN26">
        <f t="shared" si="3"/>
        <v>46800</v>
      </c>
      <c r="AO26">
        <f t="shared" si="3"/>
        <v>51960</v>
      </c>
      <c r="AP26">
        <f t="shared" si="3"/>
        <v>56160</v>
      </c>
      <c r="AQ26">
        <f t="shared" si="3"/>
        <v>60300</v>
      </c>
      <c r="AR26">
        <f t="shared" si="3"/>
        <v>64440</v>
      </c>
      <c r="AS26">
        <f t="shared" si="3"/>
        <v>68640</v>
      </c>
      <c r="AT26">
        <f t="shared" si="3"/>
        <v>72780</v>
      </c>
      <c r="AU26">
        <f t="shared" si="10"/>
        <v>42490</v>
      </c>
      <c r="AV26">
        <f t="shared" si="4"/>
        <v>48510</v>
      </c>
      <c r="AW26">
        <f t="shared" si="4"/>
        <v>54600</v>
      </c>
      <c r="AX26">
        <f t="shared" si="4"/>
        <v>60619.999999999993</v>
      </c>
      <c r="AY26">
        <f t="shared" si="4"/>
        <v>65519.999999999993</v>
      </c>
      <c r="AZ26">
        <f t="shared" si="4"/>
        <v>70350</v>
      </c>
      <c r="BA26">
        <f t="shared" si="4"/>
        <v>75180</v>
      </c>
      <c r="BB26">
        <f t="shared" si="4"/>
        <v>80080</v>
      </c>
      <c r="BC26">
        <f t="shared" si="4"/>
        <v>84910</v>
      </c>
      <c r="BD26">
        <f t="shared" si="11"/>
        <v>48560</v>
      </c>
      <c r="BE26">
        <f t="shared" si="12"/>
        <v>55440</v>
      </c>
      <c r="BF26">
        <f t="shared" si="13"/>
        <v>62400</v>
      </c>
      <c r="BG26">
        <f t="shared" si="14"/>
        <v>69280</v>
      </c>
      <c r="BH26">
        <f t="shared" si="15"/>
        <v>74880</v>
      </c>
      <c r="BI26">
        <f t="shared" si="16"/>
        <v>80400</v>
      </c>
      <c r="BJ26">
        <f t="shared" si="17"/>
        <v>85920</v>
      </c>
      <c r="BK26">
        <f t="shared" si="18"/>
        <v>91520</v>
      </c>
      <c r="BL26">
        <f t="shared" si="19"/>
        <v>97040</v>
      </c>
    </row>
    <row r="27" spans="1:64">
      <c r="A27" s="48" t="s">
        <v>388</v>
      </c>
      <c r="B27">
        <f t="shared" si="6"/>
        <v>13080</v>
      </c>
      <c r="C27">
        <f t="shared" si="0"/>
        <v>14960</v>
      </c>
      <c r="D27">
        <f t="shared" si="0"/>
        <v>16820</v>
      </c>
      <c r="E27">
        <f t="shared" si="0"/>
        <v>18700</v>
      </c>
      <c r="F27">
        <f t="shared" si="0"/>
        <v>20180</v>
      </c>
      <c r="G27">
        <f t="shared" si="0"/>
        <v>21680</v>
      </c>
      <c r="H27">
        <f t="shared" si="0"/>
        <v>23180</v>
      </c>
      <c r="I27">
        <f t="shared" si="0"/>
        <v>24680</v>
      </c>
      <c r="J27">
        <f t="shared" si="0"/>
        <v>26180</v>
      </c>
      <c r="K27">
        <f t="shared" si="7"/>
        <v>19620</v>
      </c>
      <c r="L27">
        <f t="shared" si="1"/>
        <v>22440</v>
      </c>
      <c r="M27">
        <f t="shared" si="1"/>
        <v>25230</v>
      </c>
      <c r="N27">
        <f t="shared" si="1"/>
        <v>28050</v>
      </c>
      <c r="O27">
        <f t="shared" si="1"/>
        <v>30270</v>
      </c>
      <c r="P27">
        <f t="shared" si="1"/>
        <v>32520</v>
      </c>
      <c r="Q27">
        <f t="shared" si="1"/>
        <v>34770</v>
      </c>
      <c r="R27">
        <f t="shared" si="1"/>
        <v>37020</v>
      </c>
      <c r="S27">
        <f t="shared" si="1"/>
        <v>39270</v>
      </c>
      <c r="T27">
        <f t="shared" si="8"/>
        <v>26160</v>
      </c>
      <c r="U27">
        <f t="shared" si="2"/>
        <v>29920</v>
      </c>
      <c r="V27">
        <f t="shared" si="2"/>
        <v>33640</v>
      </c>
      <c r="W27">
        <f t="shared" si="2"/>
        <v>37400</v>
      </c>
      <c r="X27">
        <f t="shared" si="2"/>
        <v>40360</v>
      </c>
      <c r="Y27">
        <f t="shared" si="2"/>
        <v>43360</v>
      </c>
      <c r="Z27">
        <f t="shared" si="2"/>
        <v>46360</v>
      </c>
      <c r="AA27">
        <f t="shared" si="2"/>
        <v>49360</v>
      </c>
      <c r="AB27">
        <f t="shared" si="2"/>
        <v>52360</v>
      </c>
      <c r="AC27" s="381">
        <v>32700</v>
      </c>
      <c r="AD27" s="381">
        <v>37400</v>
      </c>
      <c r="AE27" s="381">
        <v>42050</v>
      </c>
      <c r="AF27" s="381">
        <v>46750</v>
      </c>
      <c r="AG27" s="381">
        <v>50450</v>
      </c>
      <c r="AH27" s="381">
        <v>54200</v>
      </c>
      <c r="AI27" s="381">
        <v>57950</v>
      </c>
      <c r="AJ27" s="381">
        <v>61700</v>
      </c>
      <c r="AK27" s="381">
        <v>65450</v>
      </c>
      <c r="AL27">
        <f t="shared" si="9"/>
        <v>39240</v>
      </c>
      <c r="AM27">
        <f t="shared" si="3"/>
        <v>44880</v>
      </c>
      <c r="AN27">
        <f t="shared" si="3"/>
        <v>50460</v>
      </c>
      <c r="AO27">
        <f t="shared" si="3"/>
        <v>56100</v>
      </c>
      <c r="AP27">
        <f t="shared" si="3"/>
        <v>60540</v>
      </c>
      <c r="AQ27">
        <f t="shared" si="3"/>
        <v>65040</v>
      </c>
      <c r="AR27">
        <f t="shared" si="3"/>
        <v>69540</v>
      </c>
      <c r="AS27">
        <f t="shared" si="3"/>
        <v>74040</v>
      </c>
      <c r="AT27">
        <f t="shared" si="3"/>
        <v>78540</v>
      </c>
      <c r="AU27">
        <f t="shared" si="10"/>
        <v>45780</v>
      </c>
      <c r="AV27">
        <f t="shared" si="4"/>
        <v>52360</v>
      </c>
      <c r="AW27">
        <f t="shared" si="4"/>
        <v>58869.999999999993</v>
      </c>
      <c r="AX27">
        <f t="shared" si="4"/>
        <v>65449.999999999993</v>
      </c>
      <c r="AY27">
        <f t="shared" si="4"/>
        <v>70630</v>
      </c>
      <c r="AZ27">
        <f t="shared" si="4"/>
        <v>75880</v>
      </c>
      <c r="BA27">
        <f t="shared" si="4"/>
        <v>81130</v>
      </c>
      <c r="BB27">
        <f t="shared" si="4"/>
        <v>86380</v>
      </c>
      <c r="BC27">
        <f t="shared" si="4"/>
        <v>91630</v>
      </c>
      <c r="BD27">
        <f t="shared" si="11"/>
        <v>52320</v>
      </c>
      <c r="BE27">
        <f t="shared" si="12"/>
        <v>59840</v>
      </c>
      <c r="BF27">
        <f t="shared" si="13"/>
        <v>67280</v>
      </c>
      <c r="BG27">
        <f t="shared" si="14"/>
        <v>74800</v>
      </c>
      <c r="BH27">
        <f t="shared" si="15"/>
        <v>80720</v>
      </c>
      <c r="BI27">
        <f t="shared" si="16"/>
        <v>86720</v>
      </c>
      <c r="BJ27">
        <f t="shared" si="17"/>
        <v>92720</v>
      </c>
      <c r="BK27">
        <f t="shared" si="18"/>
        <v>98720</v>
      </c>
      <c r="BL27">
        <f t="shared" si="19"/>
        <v>104720</v>
      </c>
    </row>
    <row r="28" spans="1:64">
      <c r="A28" s="48" t="s">
        <v>445</v>
      </c>
      <c r="B28">
        <f t="shared" ref="B28" si="20">AC28*0.4</f>
        <v>12500</v>
      </c>
      <c r="C28">
        <f t="shared" ref="C28" si="21">AD28*0.4</f>
        <v>14280</v>
      </c>
      <c r="D28">
        <f t="shared" ref="D28" si="22">AE28*0.4</f>
        <v>16060</v>
      </c>
      <c r="E28">
        <f t="shared" ref="E28" si="23">AF28*0.4</f>
        <v>17840</v>
      </c>
      <c r="F28">
        <f t="shared" ref="F28" si="24">AG28*0.4</f>
        <v>19280</v>
      </c>
      <c r="G28">
        <f t="shared" ref="G28" si="25">AH28*0.4</f>
        <v>20700</v>
      </c>
      <c r="H28">
        <f t="shared" ref="H28" si="26">AI28*0.4</f>
        <v>22140</v>
      </c>
      <c r="I28">
        <f t="shared" ref="I28" si="27">AJ28*0.4</f>
        <v>23560</v>
      </c>
      <c r="J28">
        <f t="shared" ref="J28" si="28">AK28*0.4</f>
        <v>24980</v>
      </c>
      <c r="K28">
        <f t="shared" ref="K28" si="29">0.6*AC28</f>
        <v>18750</v>
      </c>
      <c r="L28">
        <f t="shared" ref="L28" si="30">0.6*AD28</f>
        <v>21420</v>
      </c>
      <c r="M28">
        <f t="shared" ref="M28" si="31">0.6*AE28</f>
        <v>24090</v>
      </c>
      <c r="N28">
        <f t="shared" ref="N28" si="32">0.6*AF28</f>
        <v>26760</v>
      </c>
      <c r="O28">
        <f t="shared" ref="O28" si="33">0.6*AG28</f>
        <v>28920</v>
      </c>
      <c r="P28">
        <f t="shared" ref="P28" si="34">0.6*AH28</f>
        <v>31050</v>
      </c>
      <c r="Q28">
        <f t="shared" ref="Q28" si="35">0.6*AI28</f>
        <v>33210</v>
      </c>
      <c r="R28">
        <f t="shared" ref="R28" si="36">0.6*AJ28</f>
        <v>35340</v>
      </c>
      <c r="S28">
        <f t="shared" ref="S28" si="37">0.6*AK28</f>
        <v>37470</v>
      </c>
      <c r="T28">
        <f t="shared" ref="T28" si="38">0.8*AC28</f>
        <v>25000</v>
      </c>
      <c r="U28">
        <f t="shared" ref="U28" si="39">0.8*AD28</f>
        <v>28560</v>
      </c>
      <c r="V28">
        <f t="shared" ref="V28" si="40">0.8*AE28</f>
        <v>32120</v>
      </c>
      <c r="W28">
        <f t="shared" ref="W28" si="41">0.8*AF28</f>
        <v>35680</v>
      </c>
      <c r="X28">
        <f t="shared" ref="X28" si="42">0.8*AG28</f>
        <v>38560</v>
      </c>
      <c r="Y28">
        <f t="shared" ref="Y28" si="43">0.8*AH28</f>
        <v>41400</v>
      </c>
      <c r="Z28">
        <f t="shared" ref="Z28" si="44">0.8*AI28</f>
        <v>44280</v>
      </c>
      <c r="AA28">
        <f t="shared" ref="AA28" si="45">0.8*AJ28</f>
        <v>47120</v>
      </c>
      <c r="AB28">
        <f t="shared" ref="AB28" si="46">0.8*AK28</f>
        <v>49960</v>
      </c>
      <c r="AC28" s="381">
        <v>31250</v>
      </c>
      <c r="AD28" s="381">
        <v>35700</v>
      </c>
      <c r="AE28" s="381">
        <v>40150</v>
      </c>
      <c r="AF28" s="381">
        <v>44600</v>
      </c>
      <c r="AG28" s="381">
        <v>48200</v>
      </c>
      <c r="AH28" s="381">
        <v>51750</v>
      </c>
      <c r="AI28" s="381">
        <v>55350</v>
      </c>
      <c r="AJ28" s="381">
        <v>58900</v>
      </c>
      <c r="AK28" s="381">
        <v>62450</v>
      </c>
      <c r="AL28">
        <f t="shared" ref="AL28" si="47">AC28*1.2</f>
        <v>37500</v>
      </c>
      <c r="AM28">
        <f t="shared" ref="AM28" si="48">AD28*1.2</f>
        <v>42840</v>
      </c>
      <c r="AN28">
        <f t="shared" ref="AN28" si="49">AE28*1.2</f>
        <v>48180</v>
      </c>
      <c r="AO28">
        <f t="shared" ref="AO28" si="50">AF28*1.2</f>
        <v>53520</v>
      </c>
      <c r="AP28">
        <f t="shared" ref="AP28" si="51">AG28*1.2</f>
        <v>57840</v>
      </c>
      <c r="AQ28">
        <f t="shared" ref="AQ28" si="52">AH28*1.2</f>
        <v>62100</v>
      </c>
      <c r="AR28">
        <f t="shared" ref="AR28" si="53">AI28*1.2</f>
        <v>66420</v>
      </c>
      <c r="AS28">
        <f t="shared" ref="AS28" si="54">AJ28*1.2</f>
        <v>70680</v>
      </c>
      <c r="AT28">
        <f t="shared" ref="AT28" si="55">AK28*1.2</f>
        <v>74940</v>
      </c>
      <c r="AU28">
        <f t="shared" ref="AU28" si="56">AC28*1.4</f>
        <v>43750</v>
      </c>
      <c r="AV28">
        <f t="shared" ref="AV28" si="57">AD28*1.4</f>
        <v>49980</v>
      </c>
      <c r="AW28">
        <f t="shared" ref="AW28" si="58">AE28*1.4</f>
        <v>56210</v>
      </c>
      <c r="AX28">
        <f t="shared" ref="AX28" si="59">AF28*1.4</f>
        <v>62439.999999999993</v>
      </c>
      <c r="AY28">
        <f t="shared" ref="AY28" si="60">AG28*1.4</f>
        <v>67480</v>
      </c>
      <c r="AZ28">
        <f t="shared" ref="AZ28" si="61">AH28*1.4</f>
        <v>72450</v>
      </c>
      <c r="BA28">
        <f t="shared" ref="BA28" si="62">AI28*1.4</f>
        <v>77490</v>
      </c>
      <c r="BB28">
        <f t="shared" ref="BB28" si="63">AJ28*1.4</f>
        <v>82460</v>
      </c>
      <c r="BC28">
        <f t="shared" ref="BC28" si="64">AK28*1.4</f>
        <v>87430</v>
      </c>
      <c r="BD28">
        <f t="shared" ref="BD28" si="65">AC28*1.6</f>
        <v>50000</v>
      </c>
      <c r="BE28">
        <f t="shared" ref="BE28" si="66">AD28*1.6</f>
        <v>57120</v>
      </c>
      <c r="BF28">
        <f t="shared" ref="BF28" si="67">AE28*1.6</f>
        <v>64240</v>
      </c>
      <c r="BG28">
        <f t="shared" ref="BG28" si="68">AF28*1.6</f>
        <v>71360</v>
      </c>
      <c r="BH28">
        <f t="shared" ref="BH28" si="69">AG28*1.6</f>
        <v>77120</v>
      </c>
      <c r="BI28">
        <f t="shared" ref="BI28" si="70">AH28*1.6</f>
        <v>82800</v>
      </c>
      <c r="BJ28">
        <f t="shared" ref="BJ28" si="71">AI28*1.6</f>
        <v>88560</v>
      </c>
      <c r="BK28">
        <f t="shared" ref="BK28" si="72">AJ28*1.6</f>
        <v>94240</v>
      </c>
      <c r="BL28">
        <f t="shared" ref="BL28" si="73">AK28*1.6</f>
        <v>99920</v>
      </c>
    </row>
    <row r="29" spans="1:64">
      <c r="A29" s="48" t="s">
        <v>390</v>
      </c>
      <c r="B29">
        <f t="shared" si="6"/>
        <v>14560</v>
      </c>
      <c r="C29">
        <f t="shared" si="0"/>
        <v>16640</v>
      </c>
      <c r="D29">
        <f t="shared" si="0"/>
        <v>18720</v>
      </c>
      <c r="E29">
        <f t="shared" si="0"/>
        <v>20800</v>
      </c>
      <c r="F29">
        <f t="shared" si="0"/>
        <v>22480</v>
      </c>
      <c r="G29">
        <f t="shared" si="0"/>
        <v>24140</v>
      </c>
      <c r="H29">
        <f t="shared" si="0"/>
        <v>25800</v>
      </c>
      <c r="I29">
        <f t="shared" si="0"/>
        <v>27460</v>
      </c>
      <c r="J29">
        <f t="shared" si="0"/>
        <v>29120</v>
      </c>
      <c r="K29">
        <f t="shared" si="7"/>
        <v>21840</v>
      </c>
      <c r="L29">
        <f t="shared" si="1"/>
        <v>24960</v>
      </c>
      <c r="M29">
        <f t="shared" si="1"/>
        <v>28080</v>
      </c>
      <c r="N29">
        <f t="shared" si="1"/>
        <v>31200</v>
      </c>
      <c r="O29">
        <f t="shared" si="1"/>
        <v>33720</v>
      </c>
      <c r="P29">
        <f t="shared" si="1"/>
        <v>36210</v>
      </c>
      <c r="Q29">
        <f t="shared" si="1"/>
        <v>38700</v>
      </c>
      <c r="R29">
        <f t="shared" si="1"/>
        <v>41190</v>
      </c>
      <c r="S29">
        <f t="shared" si="1"/>
        <v>43680</v>
      </c>
      <c r="T29">
        <f t="shared" si="8"/>
        <v>29120</v>
      </c>
      <c r="U29">
        <f t="shared" si="2"/>
        <v>33280</v>
      </c>
      <c r="V29">
        <f t="shared" si="2"/>
        <v>37440</v>
      </c>
      <c r="W29">
        <f t="shared" si="2"/>
        <v>41600</v>
      </c>
      <c r="X29">
        <f t="shared" si="2"/>
        <v>44960</v>
      </c>
      <c r="Y29">
        <f t="shared" si="2"/>
        <v>48280</v>
      </c>
      <c r="Z29">
        <f t="shared" si="2"/>
        <v>51600</v>
      </c>
      <c r="AA29">
        <f t="shared" si="2"/>
        <v>54920</v>
      </c>
      <c r="AB29">
        <f t="shared" si="2"/>
        <v>58240</v>
      </c>
      <c r="AC29" s="381">
        <v>36400</v>
      </c>
      <c r="AD29" s="381">
        <v>41600</v>
      </c>
      <c r="AE29" s="381">
        <v>46800</v>
      </c>
      <c r="AF29" s="381">
        <v>52000</v>
      </c>
      <c r="AG29" s="381">
        <v>56200</v>
      </c>
      <c r="AH29" s="381">
        <v>60350</v>
      </c>
      <c r="AI29" s="381">
        <v>64500</v>
      </c>
      <c r="AJ29" s="381">
        <v>68650</v>
      </c>
      <c r="AK29" s="381">
        <v>72800</v>
      </c>
      <c r="AL29">
        <f t="shared" si="9"/>
        <v>43680</v>
      </c>
      <c r="AM29">
        <f t="shared" si="9"/>
        <v>49920</v>
      </c>
      <c r="AN29">
        <f t="shared" si="9"/>
        <v>56160</v>
      </c>
      <c r="AO29">
        <f t="shared" si="9"/>
        <v>62400</v>
      </c>
      <c r="AP29">
        <f t="shared" si="9"/>
        <v>67440</v>
      </c>
      <c r="AQ29">
        <f t="shared" si="9"/>
        <v>72420</v>
      </c>
      <c r="AR29">
        <f t="shared" si="9"/>
        <v>77400</v>
      </c>
      <c r="AS29">
        <f t="shared" si="9"/>
        <v>82380</v>
      </c>
      <c r="AT29">
        <f t="shared" si="9"/>
        <v>87360</v>
      </c>
      <c r="AU29">
        <f t="shared" si="10"/>
        <v>50960</v>
      </c>
      <c r="AV29">
        <f t="shared" si="10"/>
        <v>58239.999999999993</v>
      </c>
      <c r="AW29">
        <f t="shared" si="10"/>
        <v>65519.999999999993</v>
      </c>
      <c r="AX29">
        <f t="shared" si="10"/>
        <v>72800</v>
      </c>
      <c r="AY29">
        <f t="shared" si="10"/>
        <v>78680</v>
      </c>
      <c r="AZ29">
        <f t="shared" si="10"/>
        <v>84490</v>
      </c>
      <c r="BA29">
        <f t="shared" si="10"/>
        <v>90300</v>
      </c>
      <c r="BB29">
        <f t="shared" si="10"/>
        <v>96110</v>
      </c>
      <c r="BC29">
        <f t="shared" si="10"/>
        <v>101920</v>
      </c>
      <c r="BD29">
        <f t="shared" si="11"/>
        <v>58240</v>
      </c>
      <c r="BE29">
        <f t="shared" si="12"/>
        <v>66560</v>
      </c>
      <c r="BF29">
        <f t="shared" si="13"/>
        <v>74880</v>
      </c>
      <c r="BG29">
        <f t="shared" si="14"/>
        <v>83200</v>
      </c>
      <c r="BH29">
        <f t="shared" si="15"/>
        <v>89920</v>
      </c>
      <c r="BI29">
        <f t="shared" si="16"/>
        <v>96560</v>
      </c>
      <c r="BJ29">
        <f t="shared" si="17"/>
        <v>103200</v>
      </c>
      <c r="BK29">
        <f t="shared" si="18"/>
        <v>109840</v>
      </c>
      <c r="BL29">
        <f t="shared" si="19"/>
        <v>116480</v>
      </c>
    </row>
    <row r="30" spans="1:64">
      <c r="A30" s="48" t="s">
        <v>393</v>
      </c>
      <c r="B30">
        <f t="shared" si="6"/>
        <v>14300</v>
      </c>
      <c r="C30">
        <f t="shared" si="6"/>
        <v>16340</v>
      </c>
      <c r="D30">
        <f t="shared" si="6"/>
        <v>18380</v>
      </c>
      <c r="E30">
        <f t="shared" si="6"/>
        <v>20420</v>
      </c>
      <c r="F30">
        <f t="shared" si="6"/>
        <v>22060</v>
      </c>
      <c r="G30">
        <f t="shared" si="6"/>
        <v>23700</v>
      </c>
      <c r="H30">
        <f t="shared" si="6"/>
        <v>25340</v>
      </c>
      <c r="I30">
        <f t="shared" si="6"/>
        <v>26960</v>
      </c>
      <c r="J30">
        <f t="shared" si="6"/>
        <v>28600</v>
      </c>
      <c r="K30">
        <f t="shared" si="7"/>
        <v>21450</v>
      </c>
      <c r="L30">
        <f t="shared" si="7"/>
        <v>24510</v>
      </c>
      <c r="M30">
        <f t="shared" si="7"/>
        <v>27570</v>
      </c>
      <c r="N30">
        <f t="shared" si="7"/>
        <v>30630</v>
      </c>
      <c r="O30">
        <f t="shared" si="7"/>
        <v>33090</v>
      </c>
      <c r="P30">
        <f t="shared" si="7"/>
        <v>35550</v>
      </c>
      <c r="Q30">
        <f t="shared" si="7"/>
        <v>38010</v>
      </c>
      <c r="R30">
        <f t="shared" si="7"/>
        <v>40440</v>
      </c>
      <c r="S30">
        <f t="shared" si="7"/>
        <v>42900</v>
      </c>
      <c r="T30">
        <f t="shared" si="8"/>
        <v>28600</v>
      </c>
      <c r="U30">
        <f t="shared" si="8"/>
        <v>32680</v>
      </c>
      <c r="V30">
        <f t="shared" si="8"/>
        <v>36760</v>
      </c>
      <c r="W30">
        <f t="shared" si="8"/>
        <v>40840</v>
      </c>
      <c r="X30">
        <f t="shared" si="8"/>
        <v>44120</v>
      </c>
      <c r="Y30">
        <f t="shared" si="8"/>
        <v>47400</v>
      </c>
      <c r="Z30">
        <f t="shared" si="8"/>
        <v>50680</v>
      </c>
      <c r="AA30">
        <f t="shared" si="8"/>
        <v>53920</v>
      </c>
      <c r="AB30">
        <f t="shared" si="8"/>
        <v>57200</v>
      </c>
      <c r="AC30" s="381">
        <v>35750</v>
      </c>
      <c r="AD30" s="381">
        <v>40850</v>
      </c>
      <c r="AE30" s="381">
        <v>45950</v>
      </c>
      <c r="AF30" s="381">
        <v>51050</v>
      </c>
      <c r="AG30" s="381">
        <v>55150</v>
      </c>
      <c r="AH30" s="381">
        <v>59250</v>
      </c>
      <c r="AI30" s="381">
        <v>63350</v>
      </c>
      <c r="AJ30" s="381">
        <v>67400</v>
      </c>
      <c r="AK30" s="381">
        <v>71500</v>
      </c>
      <c r="AL30">
        <f t="shared" ref="AL30:AT47" si="74">AC30*1.2</f>
        <v>42900</v>
      </c>
      <c r="AM30">
        <f t="shared" si="74"/>
        <v>49020</v>
      </c>
      <c r="AN30">
        <f t="shared" si="74"/>
        <v>55140</v>
      </c>
      <c r="AO30">
        <f t="shared" si="74"/>
        <v>61260</v>
      </c>
      <c r="AP30">
        <f t="shared" si="74"/>
        <v>66180</v>
      </c>
      <c r="AQ30">
        <f t="shared" si="74"/>
        <v>71100</v>
      </c>
      <c r="AR30">
        <f t="shared" si="74"/>
        <v>76020</v>
      </c>
      <c r="AS30">
        <f t="shared" si="74"/>
        <v>80880</v>
      </c>
      <c r="AT30">
        <f t="shared" si="74"/>
        <v>85800</v>
      </c>
      <c r="AU30">
        <f t="shared" ref="AU30:BC47" si="75">AC30*1.4</f>
        <v>50050</v>
      </c>
      <c r="AV30">
        <f t="shared" si="75"/>
        <v>57190</v>
      </c>
      <c r="AW30">
        <f t="shared" si="75"/>
        <v>64329.999999999993</v>
      </c>
      <c r="AX30">
        <f t="shared" si="75"/>
        <v>71470</v>
      </c>
      <c r="AY30">
        <f t="shared" si="75"/>
        <v>77210</v>
      </c>
      <c r="AZ30">
        <f t="shared" si="75"/>
        <v>82950</v>
      </c>
      <c r="BA30">
        <f t="shared" si="75"/>
        <v>88690</v>
      </c>
      <c r="BB30">
        <f t="shared" si="75"/>
        <v>94360</v>
      </c>
      <c r="BC30">
        <f t="shared" si="75"/>
        <v>100100</v>
      </c>
      <c r="BD30">
        <f t="shared" si="11"/>
        <v>57200</v>
      </c>
      <c r="BE30">
        <f t="shared" si="12"/>
        <v>65360</v>
      </c>
      <c r="BF30">
        <f t="shared" si="13"/>
        <v>73520</v>
      </c>
      <c r="BG30">
        <f t="shared" si="14"/>
        <v>81680</v>
      </c>
      <c r="BH30">
        <f t="shared" si="15"/>
        <v>88240</v>
      </c>
      <c r="BI30">
        <f t="shared" si="16"/>
        <v>94800</v>
      </c>
      <c r="BJ30">
        <f t="shared" si="17"/>
        <v>101360</v>
      </c>
      <c r="BK30">
        <f t="shared" si="18"/>
        <v>107840</v>
      </c>
      <c r="BL30">
        <f t="shared" si="19"/>
        <v>114400</v>
      </c>
    </row>
    <row r="31" spans="1:64">
      <c r="A31" s="48" t="s">
        <v>449</v>
      </c>
      <c r="B31">
        <f t="shared" ref="B31:J46" si="76">AC31*0.4</f>
        <v>12460</v>
      </c>
      <c r="C31">
        <f t="shared" si="76"/>
        <v>14240</v>
      </c>
      <c r="D31">
        <f t="shared" si="76"/>
        <v>16020</v>
      </c>
      <c r="E31">
        <f t="shared" si="76"/>
        <v>17800</v>
      </c>
      <c r="F31">
        <f t="shared" si="76"/>
        <v>19240</v>
      </c>
      <c r="G31">
        <f t="shared" si="76"/>
        <v>20660</v>
      </c>
      <c r="H31">
        <f t="shared" si="76"/>
        <v>22080</v>
      </c>
      <c r="I31">
        <f t="shared" si="76"/>
        <v>23500</v>
      </c>
      <c r="J31">
        <f t="shared" si="76"/>
        <v>24920</v>
      </c>
      <c r="K31">
        <f t="shared" ref="K31:S46" si="77">0.6*AC31</f>
        <v>18690</v>
      </c>
      <c r="L31">
        <f t="shared" si="77"/>
        <v>21360</v>
      </c>
      <c r="M31">
        <f t="shared" si="77"/>
        <v>24030</v>
      </c>
      <c r="N31">
        <f t="shared" si="77"/>
        <v>26700</v>
      </c>
      <c r="O31">
        <f t="shared" si="77"/>
        <v>28860</v>
      </c>
      <c r="P31">
        <f t="shared" si="77"/>
        <v>30990</v>
      </c>
      <c r="Q31">
        <f t="shared" si="77"/>
        <v>33120</v>
      </c>
      <c r="R31">
        <f t="shared" si="77"/>
        <v>35250</v>
      </c>
      <c r="S31">
        <f t="shared" si="77"/>
        <v>37380</v>
      </c>
      <c r="T31">
        <f t="shared" ref="T31:AB46" si="78">0.8*AC31</f>
        <v>24920</v>
      </c>
      <c r="U31">
        <f t="shared" si="78"/>
        <v>28480</v>
      </c>
      <c r="V31">
        <f t="shared" si="78"/>
        <v>32040</v>
      </c>
      <c r="W31">
        <f t="shared" si="78"/>
        <v>35600</v>
      </c>
      <c r="X31">
        <f t="shared" si="78"/>
        <v>38480</v>
      </c>
      <c r="Y31">
        <f t="shared" si="78"/>
        <v>41320</v>
      </c>
      <c r="Z31">
        <f t="shared" si="78"/>
        <v>44160</v>
      </c>
      <c r="AA31">
        <f t="shared" si="78"/>
        <v>47000</v>
      </c>
      <c r="AB31">
        <f t="shared" si="78"/>
        <v>49840</v>
      </c>
      <c r="AC31" s="381">
        <v>31150</v>
      </c>
      <c r="AD31" s="381">
        <v>35600</v>
      </c>
      <c r="AE31" s="381">
        <v>40050</v>
      </c>
      <c r="AF31" s="381">
        <v>44500</v>
      </c>
      <c r="AG31" s="381">
        <v>48100</v>
      </c>
      <c r="AH31" s="381">
        <v>51650</v>
      </c>
      <c r="AI31" s="381">
        <v>55200</v>
      </c>
      <c r="AJ31" s="381">
        <v>58750</v>
      </c>
      <c r="AK31" s="381">
        <v>62300</v>
      </c>
      <c r="AL31">
        <f t="shared" si="74"/>
        <v>37380</v>
      </c>
      <c r="AM31">
        <f t="shared" si="74"/>
        <v>42720</v>
      </c>
      <c r="AN31">
        <f t="shared" si="74"/>
        <v>48060</v>
      </c>
      <c r="AO31">
        <f t="shared" si="74"/>
        <v>53400</v>
      </c>
      <c r="AP31">
        <f t="shared" si="74"/>
        <v>57720</v>
      </c>
      <c r="AQ31">
        <f t="shared" si="74"/>
        <v>61980</v>
      </c>
      <c r="AR31">
        <f t="shared" si="74"/>
        <v>66240</v>
      </c>
      <c r="AS31">
        <f t="shared" si="74"/>
        <v>70500</v>
      </c>
      <c r="AT31">
        <f t="shared" si="74"/>
        <v>74760</v>
      </c>
      <c r="AU31">
        <f t="shared" si="75"/>
        <v>43610</v>
      </c>
      <c r="AV31">
        <f t="shared" si="75"/>
        <v>49840</v>
      </c>
      <c r="AW31">
        <f t="shared" si="75"/>
        <v>56070</v>
      </c>
      <c r="AX31">
        <f t="shared" si="75"/>
        <v>62299.999999999993</v>
      </c>
      <c r="AY31">
        <f t="shared" si="75"/>
        <v>67340</v>
      </c>
      <c r="AZ31">
        <f t="shared" si="75"/>
        <v>72310</v>
      </c>
      <c r="BA31">
        <f t="shared" si="75"/>
        <v>77280</v>
      </c>
      <c r="BB31">
        <f t="shared" si="75"/>
        <v>82250</v>
      </c>
      <c r="BC31">
        <f t="shared" si="75"/>
        <v>87220</v>
      </c>
      <c r="BD31">
        <f t="shared" si="11"/>
        <v>49840</v>
      </c>
      <c r="BE31">
        <f t="shared" si="12"/>
        <v>56960</v>
      </c>
      <c r="BF31">
        <f t="shared" si="13"/>
        <v>64080</v>
      </c>
      <c r="BG31">
        <f t="shared" si="14"/>
        <v>71200</v>
      </c>
      <c r="BH31">
        <f t="shared" si="15"/>
        <v>76960</v>
      </c>
      <c r="BI31">
        <f t="shared" si="16"/>
        <v>82640</v>
      </c>
      <c r="BJ31">
        <f t="shared" si="17"/>
        <v>88320</v>
      </c>
      <c r="BK31">
        <f t="shared" si="18"/>
        <v>94000</v>
      </c>
      <c r="BL31">
        <f t="shared" si="19"/>
        <v>99680</v>
      </c>
    </row>
    <row r="32" spans="1:64">
      <c r="A32" s="48" t="s">
        <v>395</v>
      </c>
      <c r="B32">
        <f t="shared" si="76"/>
        <v>17400</v>
      </c>
      <c r="C32">
        <f t="shared" si="76"/>
        <v>19880</v>
      </c>
      <c r="D32">
        <f t="shared" si="76"/>
        <v>22360</v>
      </c>
      <c r="E32">
        <f t="shared" si="76"/>
        <v>24840</v>
      </c>
      <c r="F32">
        <f t="shared" si="76"/>
        <v>26840</v>
      </c>
      <c r="G32">
        <f t="shared" si="76"/>
        <v>28820</v>
      </c>
      <c r="H32">
        <f t="shared" si="76"/>
        <v>30820</v>
      </c>
      <c r="I32">
        <f t="shared" si="76"/>
        <v>32800</v>
      </c>
      <c r="J32">
        <f t="shared" si="76"/>
        <v>34780</v>
      </c>
      <c r="K32">
        <f t="shared" si="77"/>
        <v>26100</v>
      </c>
      <c r="L32">
        <f t="shared" si="77"/>
        <v>29820</v>
      </c>
      <c r="M32">
        <f t="shared" si="77"/>
        <v>33540</v>
      </c>
      <c r="N32">
        <f t="shared" si="77"/>
        <v>37260</v>
      </c>
      <c r="O32">
        <f t="shared" si="77"/>
        <v>40260</v>
      </c>
      <c r="P32">
        <f t="shared" si="77"/>
        <v>43230</v>
      </c>
      <c r="Q32">
        <f t="shared" si="77"/>
        <v>46230</v>
      </c>
      <c r="R32">
        <f t="shared" si="77"/>
        <v>49200</v>
      </c>
      <c r="S32">
        <f t="shared" si="77"/>
        <v>52170</v>
      </c>
      <c r="T32">
        <f t="shared" si="78"/>
        <v>34800</v>
      </c>
      <c r="U32">
        <f t="shared" si="78"/>
        <v>39760</v>
      </c>
      <c r="V32">
        <f t="shared" si="78"/>
        <v>44720</v>
      </c>
      <c r="W32">
        <f t="shared" si="78"/>
        <v>49680</v>
      </c>
      <c r="X32">
        <f t="shared" si="78"/>
        <v>53680</v>
      </c>
      <c r="Y32">
        <f t="shared" si="78"/>
        <v>57640</v>
      </c>
      <c r="Z32">
        <f t="shared" si="78"/>
        <v>61640</v>
      </c>
      <c r="AA32">
        <f t="shared" si="78"/>
        <v>65600</v>
      </c>
      <c r="AB32">
        <f t="shared" si="78"/>
        <v>69560</v>
      </c>
      <c r="AC32" s="381">
        <v>43500</v>
      </c>
      <c r="AD32" s="381">
        <v>49700</v>
      </c>
      <c r="AE32" s="381">
        <v>55900</v>
      </c>
      <c r="AF32" s="381">
        <v>62100</v>
      </c>
      <c r="AG32" s="381">
        <v>67100</v>
      </c>
      <c r="AH32" s="381">
        <v>72050</v>
      </c>
      <c r="AI32" s="381">
        <v>77050</v>
      </c>
      <c r="AJ32" s="381">
        <v>82000</v>
      </c>
      <c r="AK32" s="381">
        <v>86950</v>
      </c>
      <c r="AL32">
        <f t="shared" si="74"/>
        <v>52200</v>
      </c>
      <c r="AM32">
        <f t="shared" si="74"/>
        <v>59640</v>
      </c>
      <c r="AN32">
        <f t="shared" si="74"/>
        <v>67080</v>
      </c>
      <c r="AO32">
        <f t="shared" si="74"/>
        <v>74520</v>
      </c>
      <c r="AP32">
        <f t="shared" si="74"/>
        <v>80520</v>
      </c>
      <c r="AQ32">
        <f t="shared" si="74"/>
        <v>86460</v>
      </c>
      <c r="AR32">
        <f t="shared" si="74"/>
        <v>92460</v>
      </c>
      <c r="AS32">
        <f t="shared" si="74"/>
        <v>98400</v>
      </c>
      <c r="AT32">
        <f t="shared" si="74"/>
        <v>104340</v>
      </c>
      <c r="AU32">
        <f t="shared" si="75"/>
        <v>60899.999999999993</v>
      </c>
      <c r="AV32">
        <f t="shared" si="75"/>
        <v>69580</v>
      </c>
      <c r="AW32">
        <f t="shared" si="75"/>
        <v>78260</v>
      </c>
      <c r="AX32">
        <f t="shared" si="75"/>
        <v>86940</v>
      </c>
      <c r="AY32">
        <f t="shared" si="75"/>
        <v>93940</v>
      </c>
      <c r="AZ32">
        <f t="shared" si="75"/>
        <v>100870</v>
      </c>
      <c r="BA32">
        <f t="shared" si="75"/>
        <v>107870</v>
      </c>
      <c r="BB32">
        <f t="shared" si="75"/>
        <v>114799.99999999999</v>
      </c>
      <c r="BC32">
        <f t="shared" si="75"/>
        <v>121729.99999999999</v>
      </c>
      <c r="BD32">
        <f t="shared" si="11"/>
        <v>69600</v>
      </c>
      <c r="BE32">
        <f t="shared" si="12"/>
        <v>79520</v>
      </c>
      <c r="BF32">
        <f t="shared" si="13"/>
        <v>89440</v>
      </c>
      <c r="BG32">
        <f t="shared" si="14"/>
        <v>99360</v>
      </c>
      <c r="BH32">
        <f t="shared" si="15"/>
        <v>107360</v>
      </c>
      <c r="BI32">
        <f t="shared" si="16"/>
        <v>115280</v>
      </c>
      <c r="BJ32">
        <f t="shared" si="17"/>
        <v>123280</v>
      </c>
      <c r="BK32">
        <f t="shared" si="18"/>
        <v>131200</v>
      </c>
      <c r="BL32">
        <f t="shared" si="19"/>
        <v>139120</v>
      </c>
    </row>
    <row r="33" spans="1:64">
      <c r="A33" s="48" t="s">
        <v>452</v>
      </c>
      <c r="B33">
        <f t="shared" si="76"/>
        <v>12880</v>
      </c>
      <c r="C33">
        <f t="shared" si="76"/>
        <v>14720</v>
      </c>
      <c r="D33">
        <f t="shared" si="76"/>
        <v>16560</v>
      </c>
      <c r="E33">
        <f t="shared" si="76"/>
        <v>18400</v>
      </c>
      <c r="F33">
        <f t="shared" si="76"/>
        <v>19880</v>
      </c>
      <c r="G33">
        <f t="shared" si="76"/>
        <v>21360</v>
      </c>
      <c r="H33">
        <f t="shared" si="76"/>
        <v>22820</v>
      </c>
      <c r="I33">
        <f t="shared" si="76"/>
        <v>24300</v>
      </c>
      <c r="J33">
        <f t="shared" si="76"/>
        <v>25760</v>
      </c>
      <c r="K33">
        <f t="shared" si="77"/>
        <v>19320</v>
      </c>
      <c r="L33">
        <f t="shared" si="77"/>
        <v>22080</v>
      </c>
      <c r="M33">
        <f t="shared" si="77"/>
        <v>24840</v>
      </c>
      <c r="N33">
        <f t="shared" si="77"/>
        <v>27600</v>
      </c>
      <c r="O33">
        <f t="shared" si="77"/>
        <v>29820</v>
      </c>
      <c r="P33">
        <f t="shared" si="77"/>
        <v>32040</v>
      </c>
      <c r="Q33">
        <f t="shared" si="77"/>
        <v>34230</v>
      </c>
      <c r="R33">
        <f t="shared" si="77"/>
        <v>36450</v>
      </c>
      <c r="S33">
        <f t="shared" si="77"/>
        <v>38640</v>
      </c>
      <c r="T33">
        <f t="shared" si="78"/>
        <v>25760</v>
      </c>
      <c r="U33">
        <f t="shared" si="78"/>
        <v>29440</v>
      </c>
      <c r="V33">
        <f t="shared" si="78"/>
        <v>33120</v>
      </c>
      <c r="W33">
        <f t="shared" si="78"/>
        <v>36800</v>
      </c>
      <c r="X33">
        <f t="shared" si="78"/>
        <v>39760</v>
      </c>
      <c r="Y33">
        <f t="shared" si="78"/>
        <v>42720</v>
      </c>
      <c r="Z33">
        <f t="shared" si="78"/>
        <v>45640</v>
      </c>
      <c r="AA33">
        <f t="shared" si="78"/>
        <v>48600</v>
      </c>
      <c r="AB33">
        <f t="shared" si="78"/>
        <v>51520</v>
      </c>
      <c r="AC33" s="381">
        <v>32200</v>
      </c>
      <c r="AD33" s="381">
        <v>36800</v>
      </c>
      <c r="AE33" s="381">
        <v>41400</v>
      </c>
      <c r="AF33" s="381">
        <v>46000</v>
      </c>
      <c r="AG33" s="381">
        <v>49700</v>
      </c>
      <c r="AH33" s="381">
        <v>53400</v>
      </c>
      <c r="AI33" s="381">
        <v>57050</v>
      </c>
      <c r="AJ33" s="381">
        <v>60750</v>
      </c>
      <c r="AK33" s="381">
        <v>64400</v>
      </c>
      <c r="AL33">
        <f t="shared" si="74"/>
        <v>38640</v>
      </c>
      <c r="AM33">
        <f t="shared" si="74"/>
        <v>44160</v>
      </c>
      <c r="AN33">
        <f t="shared" si="74"/>
        <v>49680</v>
      </c>
      <c r="AO33">
        <f t="shared" si="74"/>
        <v>55200</v>
      </c>
      <c r="AP33">
        <f t="shared" si="74"/>
        <v>59640</v>
      </c>
      <c r="AQ33">
        <f t="shared" si="74"/>
        <v>64080</v>
      </c>
      <c r="AR33">
        <f t="shared" si="74"/>
        <v>68460</v>
      </c>
      <c r="AS33">
        <f t="shared" si="74"/>
        <v>72900</v>
      </c>
      <c r="AT33">
        <f t="shared" si="74"/>
        <v>77280</v>
      </c>
      <c r="AU33">
        <f t="shared" si="75"/>
        <v>45080</v>
      </c>
      <c r="AV33">
        <f t="shared" si="75"/>
        <v>51520</v>
      </c>
      <c r="AW33">
        <f t="shared" si="75"/>
        <v>57959.999999999993</v>
      </c>
      <c r="AX33">
        <f t="shared" si="75"/>
        <v>64399.999999999993</v>
      </c>
      <c r="AY33">
        <f t="shared" si="75"/>
        <v>69580</v>
      </c>
      <c r="AZ33">
        <f t="shared" si="75"/>
        <v>74760</v>
      </c>
      <c r="BA33">
        <f t="shared" si="75"/>
        <v>79870</v>
      </c>
      <c r="BB33">
        <f t="shared" si="75"/>
        <v>85050</v>
      </c>
      <c r="BC33">
        <f t="shared" si="75"/>
        <v>90160</v>
      </c>
      <c r="BD33">
        <f t="shared" si="11"/>
        <v>51520</v>
      </c>
      <c r="BE33">
        <f t="shared" si="12"/>
        <v>58880</v>
      </c>
      <c r="BF33">
        <f t="shared" si="13"/>
        <v>66240</v>
      </c>
      <c r="BG33">
        <f t="shared" si="14"/>
        <v>73600</v>
      </c>
      <c r="BH33">
        <f t="shared" si="15"/>
        <v>79520</v>
      </c>
      <c r="BI33">
        <f t="shared" si="16"/>
        <v>85440</v>
      </c>
      <c r="BJ33">
        <f t="shared" si="17"/>
        <v>91280</v>
      </c>
      <c r="BK33">
        <f t="shared" si="18"/>
        <v>97200</v>
      </c>
      <c r="BL33">
        <f t="shared" si="19"/>
        <v>103040</v>
      </c>
    </row>
    <row r="34" spans="1:64">
      <c r="A34" s="48" t="s">
        <v>454</v>
      </c>
      <c r="B34">
        <f t="shared" si="76"/>
        <v>13880</v>
      </c>
      <c r="C34">
        <f t="shared" si="76"/>
        <v>15860</v>
      </c>
      <c r="D34">
        <f t="shared" si="76"/>
        <v>17840</v>
      </c>
      <c r="E34">
        <f t="shared" si="76"/>
        <v>19820</v>
      </c>
      <c r="F34">
        <f t="shared" si="76"/>
        <v>21420</v>
      </c>
      <c r="G34">
        <f t="shared" si="76"/>
        <v>23000</v>
      </c>
      <c r="H34">
        <f t="shared" si="76"/>
        <v>24580</v>
      </c>
      <c r="I34">
        <f t="shared" si="76"/>
        <v>26180</v>
      </c>
      <c r="J34">
        <f t="shared" si="76"/>
        <v>27760</v>
      </c>
      <c r="K34">
        <f t="shared" si="77"/>
        <v>20820</v>
      </c>
      <c r="L34">
        <f t="shared" si="77"/>
        <v>23790</v>
      </c>
      <c r="M34">
        <f t="shared" si="77"/>
        <v>26760</v>
      </c>
      <c r="N34">
        <f t="shared" si="77"/>
        <v>29730</v>
      </c>
      <c r="O34">
        <f t="shared" si="77"/>
        <v>32130</v>
      </c>
      <c r="P34">
        <f t="shared" si="77"/>
        <v>34500</v>
      </c>
      <c r="Q34">
        <f t="shared" si="77"/>
        <v>36870</v>
      </c>
      <c r="R34">
        <f t="shared" si="77"/>
        <v>39270</v>
      </c>
      <c r="S34">
        <f t="shared" si="77"/>
        <v>41640</v>
      </c>
      <c r="T34">
        <f t="shared" si="78"/>
        <v>27760</v>
      </c>
      <c r="U34">
        <f t="shared" si="78"/>
        <v>31720</v>
      </c>
      <c r="V34">
        <f t="shared" si="78"/>
        <v>35680</v>
      </c>
      <c r="W34">
        <f t="shared" si="78"/>
        <v>39640</v>
      </c>
      <c r="X34">
        <f t="shared" si="78"/>
        <v>42840</v>
      </c>
      <c r="Y34">
        <f t="shared" si="78"/>
        <v>46000</v>
      </c>
      <c r="Z34">
        <f t="shared" si="78"/>
        <v>49160</v>
      </c>
      <c r="AA34">
        <f t="shared" si="78"/>
        <v>52360</v>
      </c>
      <c r="AB34">
        <f t="shared" si="78"/>
        <v>55520</v>
      </c>
      <c r="AC34" s="381">
        <v>34700</v>
      </c>
      <c r="AD34" s="381">
        <v>39650</v>
      </c>
      <c r="AE34" s="381">
        <v>44600</v>
      </c>
      <c r="AF34" s="381">
        <v>49550</v>
      </c>
      <c r="AG34" s="381">
        <v>53550</v>
      </c>
      <c r="AH34" s="381">
        <v>57500</v>
      </c>
      <c r="AI34" s="381">
        <v>61450</v>
      </c>
      <c r="AJ34" s="381">
        <v>65450</v>
      </c>
      <c r="AK34" s="381">
        <v>69400</v>
      </c>
      <c r="AL34">
        <f t="shared" si="74"/>
        <v>41640</v>
      </c>
      <c r="AM34">
        <f t="shared" si="74"/>
        <v>47580</v>
      </c>
      <c r="AN34">
        <f t="shared" si="74"/>
        <v>53520</v>
      </c>
      <c r="AO34">
        <f t="shared" si="74"/>
        <v>59460</v>
      </c>
      <c r="AP34">
        <f t="shared" si="74"/>
        <v>64260</v>
      </c>
      <c r="AQ34">
        <f t="shared" si="74"/>
        <v>69000</v>
      </c>
      <c r="AR34">
        <f t="shared" si="74"/>
        <v>73740</v>
      </c>
      <c r="AS34">
        <f t="shared" si="74"/>
        <v>78540</v>
      </c>
      <c r="AT34">
        <f t="shared" si="74"/>
        <v>83280</v>
      </c>
      <c r="AU34">
        <f t="shared" si="75"/>
        <v>48580</v>
      </c>
      <c r="AV34">
        <f t="shared" si="75"/>
        <v>55510</v>
      </c>
      <c r="AW34">
        <f t="shared" si="75"/>
        <v>62439.999999999993</v>
      </c>
      <c r="AX34">
        <f t="shared" si="75"/>
        <v>69370</v>
      </c>
      <c r="AY34">
        <f t="shared" si="75"/>
        <v>74970</v>
      </c>
      <c r="AZ34">
        <f t="shared" si="75"/>
        <v>80500</v>
      </c>
      <c r="BA34">
        <f t="shared" si="75"/>
        <v>86030</v>
      </c>
      <c r="BB34">
        <f t="shared" si="75"/>
        <v>91630</v>
      </c>
      <c r="BC34">
        <f t="shared" si="75"/>
        <v>97160</v>
      </c>
      <c r="BD34">
        <f t="shared" si="11"/>
        <v>55520</v>
      </c>
      <c r="BE34">
        <f t="shared" si="12"/>
        <v>63440</v>
      </c>
      <c r="BF34">
        <f t="shared" si="13"/>
        <v>71360</v>
      </c>
      <c r="BG34">
        <f t="shared" si="14"/>
        <v>79280</v>
      </c>
      <c r="BH34">
        <f t="shared" si="15"/>
        <v>85680</v>
      </c>
      <c r="BI34">
        <f t="shared" si="16"/>
        <v>92000</v>
      </c>
      <c r="BJ34">
        <f t="shared" si="17"/>
        <v>98320</v>
      </c>
      <c r="BK34">
        <f t="shared" si="18"/>
        <v>104720</v>
      </c>
      <c r="BL34">
        <f t="shared" si="19"/>
        <v>111040</v>
      </c>
    </row>
    <row r="35" spans="1:64">
      <c r="A35" s="48" t="s">
        <v>398</v>
      </c>
      <c r="B35">
        <f t="shared" si="76"/>
        <v>13640</v>
      </c>
      <c r="C35">
        <f t="shared" si="76"/>
        <v>15580</v>
      </c>
      <c r="D35">
        <f t="shared" si="76"/>
        <v>17520</v>
      </c>
      <c r="E35">
        <f t="shared" si="76"/>
        <v>19460</v>
      </c>
      <c r="F35">
        <f t="shared" si="76"/>
        <v>21020</v>
      </c>
      <c r="G35">
        <f t="shared" si="76"/>
        <v>22580</v>
      </c>
      <c r="H35">
        <f t="shared" si="76"/>
        <v>24140</v>
      </c>
      <c r="I35">
        <f t="shared" si="76"/>
        <v>25700</v>
      </c>
      <c r="J35">
        <f t="shared" si="76"/>
        <v>27260</v>
      </c>
      <c r="K35">
        <f t="shared" si="77"/>
        <v>20460</v>
      </c>
      <c r="L35">
        <f t="shared" si="77"/>
        <v>23370</v>
      </c>
      <c r="M35">
        <f t="shared" si="77"/>
        <v>26280</v>
      </c>
      <c r="N35">
        <f t="shared" si="77"/>
        <v>29190</v>
      </c>
      <c r="O35">
        <f t="shared" si="77"/>
        <v>31530</v>
      </c>
      <c r="P35">
        <f t="shared" si="77"/>
        <v>33870</v>
      </c>
      <c r="Q35">
        <f t="shared" si="77"/>
        <v>36210</v>
      </c>
      <c r="R35">
        <f t="shared" si="77"/>
        <v>38550</v>
      </c>
      <c r="S35">
        <f t="shared" si="77"/>
        <v>40890</v>
      </c>
      <c r="T35">
        <f t="shared" si="78"/>
        <v>27280</v>
      </c>
      <c r="U35">
        <f t="shared" si="78"/>
        <v>31160</v>
      </c>
      <c r="V35">
        <f t="shared" si="78"/>
        <v>35040</v>
      </c>
      <c r="W35">
        <f t="shared" si="78"/>
        <v>38920</v>
      </c>
      <c r="X35">
        <f t="shared" si="78"/>
        <v>42040</v>
      </c>
      <c r="Y35">
        <f t="shared" si="78"/>
        <v>45160</v>
      </c>
      <c r="Z35">
        <f t="shared" si="78"/>
        <v>48280</v>
      </c>
      <c r="AA35">
        <f t="shared" si="78"/>
        <v>51400</v>
      </c>
      <c r="AB35">
        <f t="shared" si="78"/>
        <v>54520</v>
      </c>
      <c r="AC35" s="381">
        <v>34100</v>
      </c>
      <c r="AD35" s="381">
        <v>38950</v>
      </c>
      <c r="AE35" s="381">
        <v>43800</v>
      </c>
      <c r="AF35" s="381">
        <v>48650</v>
      </c>
      <c r="AG35" s="381">
        <v>52550</v>
      </c>
      <c r="AH35" s="381">
        <v>56450</v>
      </c>
      <c r="AI35" s="381">
        <v>60350</v>
      </c>
      <c r="AJ35" s="381">
        <v>64250</v>
      </c>
      <c r="AK35" s="381">
        <v>68150</v>
      </c>
      <c r="AL35">
        <f t="shared" si="74"/>
        <v>40920</v>
      </c>
      <c r="AM35">
        <f t="shared" si="74"/>
        <v>46740</v>
      </c>
      <c r="AN35">
        <f t="shared" si="74"/>
        <v>52560</v>
      </c>
      <c r="AO35">
        <f t="shared" si="74"/>
        <v>58380</v>
      </c>
      <c r="AP35">
        <f t="shared" si="74"/>
        <v>63060</v>
      </c>
      <c r="AQ35">
        <f t="shared" si="74"/>
        <v>67740</v>
      </c>
      <c r="AR35">
        <f t="shared" si="74"/>
        <v>72420</v>
      </c>
      <c r="AS35">
        <f t="shared" si="74"/>
        <v>77100</v>
      </c>
      <c r="AT35">
        <f t="shared" si="74"/>
        <v>81780</v>
      </c>
      <c r="AU35">
        <f t="shared" si="75"/>
        <v>47740</v>
      </c>
      <c r="AV35">
        <f t="shared" si="75"/>
        <v>54530</v>
      </c>
      <c r="AW35">
        <f t="shared" si="75"/>
        <v>61319.999999999993</v>
      </c>
      <c r="AX35">
        <f t="shared" si="75"/>
        <v>68110</v>
      </c>
      <c r="AY35">
        <f t="shared" si="75"/>
        <v>73570</v>
      </c>
      <c r="AZ35">
        <f t="shared" si="75"/>
        <v>79030</v>
      </c>
      <c r="BA35">
        <f t="shared" si="75"/>
        <v>84490</v>
      </c>
      <c r="BB35">
        <f t="shared" si="75"/>
        <v>89950</v>
      </c>
      <c r="BC35">
        <f t="shared" si="75"/>
        <v>95410</v>
      </c>
      <c r="BD35">
        <f t="shared" si="11"/>
        <v>54560</v>
      </c>
      <c r="BE35">
        <f t="shared" si="12"/>
        <v>62320</v>
      </c>
      <c r="BF35">
        <f t="shared" si="13"/>
        <v>70080</v>
      </c>
      <c r="BG35">
        <f t="shared" si="14"/>
        <v>77840</v>
      </c>
      <c r="BH35">
        <f t="shared" si="15"/>
        <v>84080</v>
      </c>
      <c r="BI35">
        <f t="shared" si="16"/>
        <v>90320</v>
      </c>
      <c r="BJ35">
        <f t="shared" si="17"/>
        <v>96560</v>
      </c>
      <c r="BK35">
        <f t="shared" si="18"/>
        <v>102800</v>
      </c>
      <c r="BL35">
        <f t="shared" si="19"/>
        <v>109040</v>
      </c>
    </row>
    <row r="36" spans="1:64">
      <c r="A36" s="48" t="s">
        <v>400</v>
      </c>
      <c r="B36">
        <f t="shared" si="76"/>
        <v>12140</v>
      </c>
      <c r="C36">
        <f t="shared" si="76"/>
        <v>13860</v>
      </c>
      <c r="D36">
        <f t="shared" si="76"/>
        <v>15600</v>
      </c>
      <c r="E36">
        <f t="shared" si="76"/>
        <v>17320</v>
      </c>
      <c r="F36">
        <f t="shared" si="76"/>
        <v>18720</v>
      </c>
      <c r="G36">
        <f t="shared" si="76"/>
        <v>20100</v>
      </c>
      <c r="H36">
        <f t="shared" si="76"/>
        <v>21480</v>
      </c>
      <c r="I36">
        <f t="shared" si="76"/>
        <v>22880</v>
      </c>
      <c r="J36">
        <f t="shared" si="76"/>
        <v>24260</v>
      </c>
      <c r="K36">
        <f t="shared" si="77"/>
        <v>18210</v>
      </c>
      <c r="L36">
        <f t="shared" si="77"/>
        <v>20790</v>
      </c>
      <c r="M36">
        <f t="shared" si="77"/>
        <v>23400</v>
      </c>
      <c r="N36">
        <f t="shared" si="77"/>
        <v>25980</v>
      </c>
      <c r="O36">
        <f t="shared" si="77"/>
        <v>28080</v>
      </c>
      <c r="P36">
        <f t="shared" si="77"/>
        <v>30150</v>
      </c>
      <c r="Q36">
        <f t="shared" si="77"/>
        <v>32220</v>
      </c>
      <c r="R36">
        <f t="shared" si="77"/>
        <v>34320</v>
      </c>
      <c r="S36">
        <f t="shared" si="77"/>
        <v>36390</v>
      </c>
      <c r="T36">
        <f t="shared" si="78"/>
        <v>24280</v>
      </c>
      <c r="U36">
        <f t="shared" si="78"/>
        <v>27720</v>
      </c>
      <c r="V36">
        <f t="shared" si="78"/>
        <v>31200</v>
      </c>
      <c r="W36">
        <f t="shared" si="78"/>
        <v>34640</v>
      </c>
      <c r="X36">
        <f t="shared" si="78"/>
        <v>37440</v>
      </c>
      <c r="Y36">
        <f t="shared" si="78"/>
        <v>40200</v>
      </c>
      <c r="Z36">
        <f t="shared" si="78"/>
        <v>42960</v>
      </c>
      <c r="AA36">
        <f t="shared" si="78"/>
        <v>45760</v>
      </c>
      <c r="AB36">
        <f t="shared" si="78"/>
        <v>48520</v>
      </c>
      <c r="AC36" s="381">
        <v>30350</v>
      </c>
      <c r="AD36" s="381">
        <v>34650</v>
      </c>
      <c r="AE36" s="381">
        <v>39000</v>
      </c>
      <c r="AF36" s="381">
        <v>43300</v>
      </c>
      <c r="AG36" s="381">
        <v>46800</v>
      </c>
      <c r="AH36" s="381">
        <v>50250</v>
      </c>
      <c r="AI36" s="381">
        <v>53700</v>
      </c>
      <c r="AJ36" s="381">
        <v>57200</v>
      </c>
      <c r="AK36" s="381">
        <v>60650</v>
      </c>
      <c r="AL36">
        <f t="shared" si="74"/>
        <v>36420</v>
      </c>
      <c r="AM36">
        <f t="shared" si="74"/>
        <v>41580</v>
      </c>
      <c r="AN36">
        <f t="shared" si="74"/>
        <v>46800</v>
      </c>
      <c r="AO36">
        <f t="shared" si="74"/>
        <v>51960</v>
      </c>
      <c r="AP36">
        <f t="shared" si="74"/>
        <v>56160</v>
      </c>
      <c r="AQ36">
        <f t="shared" si="74"/>
        <v>60300</v>
      </c>
      <c r="AR36">
        <f t="shared" si="74"/>
        <v>64440</v>
      </c>
      <c r="AS36">
        <f t="shared" si="74"/>
        <v>68640</v>
      </c>
      <c r="AT36">
        <f t="shared" si="74"/>
        <v>72780</v>
      </c>
      <c r="AU36">
        <f t="shared" si="75"/>
        <v>42490</v>
      </c>
      <c r="AV36">
        <f t="shared" si="75"/>
        <v>48510</v>
      </c>
      <c r="AW36">
        <f t="shared" si="75"/>
        <v>54600</v>
      </c>
      <c r="AX36">
        <f t="shared" si="75"/>
        <v>60619.999999999993</v>
      </c>
      <c r="AY36">
        <f t="shared" si="75"/>
        <v>65519.999999999993</v>
      </c>
      <c r="AZ36">
        <f t="shared" si="75"/>
        <v>70350</v>
      </c>
      <c r="BA36">
        <f t="shared" si="75"/>
        <v>75180</v>
      </c>
      <c r="BB36">
        <f t="shared" si="75"/>
        <v>80080</v>
      </c>
      <c r="BC36">
        <f t="shared" si="75"/>
        <v>84910</v>
      </c>
      <c r="BD36">
        <f t="shared" si="11"/>
        <v>48560</v>
      </c>
      <c r="BE36">
        <f t="shared" si="12"/>
        <v>55440</v>
      </c>
      <c r="BF36">
        <f t="shared" si="13"/>
        <v>62400</v>
      </c>
      <c r="BG36">
        <f t="shared" si="14"/>
        <v>69280</v>
      </c>
      <c r="BH36">
        <f t="shared" si="15"/>
        <v>74880</v>
      </c>
      <c r="BI36">
        <f t="shared" si="16"/>
        <v>80400</v>
      </c>
      <c r="BJ36">
        <f t="shared" si="17"/>
        <v>85920</v>
      </c>
      <c r="BK36">
        <f t="shared" si="18"/>
        <v>91520</v>
      </c>
      <c r="BL36">
        <f t="shared" si="19"/>
        <v>97040</v>
      </c>
    </row>
    <row r="37" spans="1:64">
      <c r="A37" s="48" t="s">
        <v>406</v>
      </c>
      <c r="B37">
        <f t="shared" si="76"/>
        <v>17400</v>
      </c>
      <c r="C37">
        <f t="shared" si="76"/>
        <v>19880</v>
      </c>
      <c r="D37">
        <f t="shared" si="76"/>
        <v>22360</v>
      </c>
      <c r="E37">
        <f t="shared" si="76"/>
        <v>24840</v>
      </c>
      <c r="F37">
        <f t="shared" si="76"/>
        <v>26840</v>
      </c>
      <c r="G37">
        <f t="shared" si="76"/>
        <v>28820</v>
      </c>
      <c r="H37">
        <f t="shared" si="76"/>
        <v>30820</v>
      </c>
      <c r="I37">
        <f t="shared" si="76"/>
        <v>32800</v>
      </c>
      <c r="J37">
        <f t="shared" si="76"/>
        <v>34780</v>
      </c>
      <c r="K37">
        <f t="shared" si="77"/>
        <v>26100</v>
      </c>
      <c r="L37">
        <f t="shared" si="77"/>
        <v>29820</v>
      </c>
      <c r="M37">
        <f t="shared" si="77"/>
        <v>33540</v>
      </c>
      <c r="N37">
        <f t="shared" si="77"/>
        <v>37260</v>
      </c>
      <c r="O37">
        <f t="shared" si="77"/>
        <v>40260</v>
      </c>
      <c r="P37">
        <f t="shared" si="77"/>
        <v>43230</v>
      </c>
      <c r="Q37">
        <f t="shared" si="77"/>
        <v>46230</v>
      </c>
      <c r="R37">
        <f t="shared" si="77"/>
        <v>49200</v>
      </c>
      <c r="S37">
        <f t="shared" si="77"/>
        <v>52170</v>
      </c>
      <c r="T37">
        <f t="shared" si="78"/>
        <v>34800</v>
      </c>
      <c r="U37">
        <f t="shared" si="78"/>
        <v>39760</v>
      </c>
      <c r="V37">
        <f t="shared" si="78"/>
        <v>44720</v>
      </c>
      <c r="W37">
        <f t="shared" si="78"/>
        <v>49680</v>
      </c>
      <c r="X37">
        <f t="shared" si="78"/>
        <v>53680</v>
      </c>
      <c r="Y37">
        <f t="shared" si="78"/>
        <v>57640</v>
      </c>
      <c r="Z37">
        <f t="shared" si="78"/>
        <v>61640</v>
      </c>
      <c r="AA37">
        <f t="shared" si="78"/>
        <v>65600</v>
      </c>
      <c r="AB37">
        <f t="shared" si="78"/>
        <v>69560</v>
      </c>
      <c r="AC37" s="381">
        <v>43500</v>
      </c>
      <c r="AD37" s="381">
        <v>49700</v>
      </c>
      <c r="AE37" s="381">
        <v>55900</v>
      </c>
      <c r="AF37" s="381">
        <v>62100</v>
      </c>
      <c r="AG37" s="381">
        <v>67100</v>
      </c>
      <c r="AH37" s="381">
        <v>72050</v>
      </c>
      <c r="AI37" s="381">
        <v>77050</v>
      </c>
      <c r="AJ37" s="381">
        <v>82000</v>
      </c>
      <c r="AK37" s="381">
        <v>86950</v>
      </c>
      <c r="AL37">
        <f t="shared" si="74"/>
        <v>52200</v>
      </c>
      <c r="AM37">
        <f t="shared" si="74"/>
        <v>59640</v>
      </c>
      <c r="AN37">
        <f t="shared" si="74"/>
        <v>67080</v>
      </c>
      <c r="AO37">
        <f t="shared" si="74"/>
        <v>74520</v>
      </c>
      <c r="AP37">
        <f t="shared" si="74"/>
        <v>80520</v>
      </c>
      <c r="AQ37">
        <f t="shared" si="74"/>
        <v>86460</v>
      </c>
      <c r="AR37">
        <f t="shared" si="74"/>
        <v>92460</v>
      </c>
      <c r="AS37">
        <f t="shared" si="74"/>
        <v>98400</v>
      </c>
      <c r="AT37">
        <f t="shared" si="74"/>
        <v>104340</v>
      </c>
      <c r="AU37">
        <f t="shared" si="75"/>
        <v>60899.999999999993</v>
      </c>
      <c r="AV37">
        <f t="shared" si="75"/>
        <v>69580</v>
      </c>
      <c r="AW37">
        <f t="shared" si="75"/>
        <v>78260</v>
      </c>
      <c r="AX37">
        <f t="shared" si="75"/>
        <v>86940</v>
      </c>
      <c r="AY37">
        <f t="shared" si="75"/>
        <v>93940</v>
      </c>
      <c r="AZ37">
        <f t="shared" si="75"/>
        <v>100870</v>
      </c>
      <c r="BA37">
        <f t="shared" si="75"/>
        <v>107870</v>
      </c>
      <c r="BB37">
        <f t="shared" si="75"/>
        <v>114799.99999999999</v>
      </c>
      <c r="BC37">
        <f t="shared" si="75"/>
        <v>121729.99999999999</v>
      </c>
      <c r="BD37">
        <f t="shared" si="11"/>
        <v>69600</v>
      </c>
      <c r="BE37">
        <f t="shared" si="12"/>
        <v>79520</v>
      </c>
      <c r="BF37">
        <f t="shared" si="13"/>
        <v>89440</v>
      </c>
      <c r="BG37">
        <f t="shared" si="14"/>
        <v>99360</v>
      </c>
      <c r="BH37">
        <f t="shared" si="15"/>
        <v>107360</v>
      </c>
      <c r="BI37">
        <f t="shared" si="16"/>
        <v>115280</v>
      </c>
      <c r="BJ37">
        <f t="shared" si="17"/>
        <v>123280</v>
      </c>
      <c r="BK37">
        <f t="shared" si="18"/>
        <v>131200</v>
      </c>
      <c r="BL37">
        <f t="shared" si="19"/>
        <v>139120</v>
      </c>
    </row>
    <row r="38" spans="1:64">
      <c r="A38" s="48" t="s">
        <v>461</v>
      </c>
      <c r="B38">
        <f t="shared" si="76"/>
        <v>13380</v>
      </c>
      <c r="C38">
        <f t="shared" si="76"/>
        <v>15300</v>
      </c>
      <c r="D38">
        <f t="shared" si="76"/>
        <v>17220</v>
      </c>
      <c r="E38">
        <f t="shared" si="76"/>
        <v>19140</v>
      </c>
      <c r="F38">
        <f t="shared" si="76"/>
        <v>20680</v>
      </c>
      <c r="G38">
        <f t="shared" si="76"/>
        <v>22220</v>
      </c>
      <c r="H38">
        <f t="shared" si="76"/>
        <v>23720</v>
      </c>
      <c r="I38">
        <f t="shared" si="76"/>
        <v>25260</v>
      </c>
      <c r="J38">
        <f t="shared" si="76"/>
        <v>26800</v>
      </c>
      <c r="K38">
        <f t="shared" si="77"/>
        <v>20070</v>
      </c>
      <c r="L38">
        <f t="shared" si="77"/>
        <v>22950</v>
      </c>
      <c r="M38">
        <f t="shared" si="77"/>
        <v>25830</v>
      </c>
      <c r="N38">
        <f t="shared" si="77"/>
        <v>28710</v>
      </c>
      <c r="O38">
        <f t="shared" si="77"/>
        <v>31020</v>
      </c>
      <c r="P38">
        <f t="shared" si="77"/>
        <v>33330</v>
      </c>
      <c r="Q38">
        <f t="shared" si="77"/>
        <v>35580</v>
      </c>
      <c r="R38">
        <f t="shared" si="77"/>
        <v>37890</v>
      </c>
      <c r="S38">
        <f t="shared" si="77"/>
        <v>40200</v>
      </c>
      <c r="T38">
        <f t="shared" si="78"/>
        <v>26760</v>
      </c>
      <c r="U38">
        <f t="shared" si="78"/>
        <v>30600</v>
      </c>
      <c r="V38">
        <f t="shared" si="78"/>
        <v>34440</v>
      </c>
      <c r="W38">
        <f t="shared" si="78"/>
        <v>38280</v>
      </c>
      <c r="X38">
        <f t="shared" si="78"/>
        <v>41360</v>
      </c>
      <c r="Y38">
        <f t="shared" si="78"/>
        <v>44440</v>
      </c>
      <c r="Z38">
        <f t="shared" si="78"/>
        <v>47440</v>
      </c>
      <c r="AA38">
        <f t="shared" si="78"/>
        <v>50520</v>
      </c>
      <c r="AB38">
        <f t="shared" si="78"/>
        <v>53600</v>
      </c>
      <c r="AC38" s="381">
        <v>33450</v>
      </c>
      <c r="AD38" s="381">
        <v>38250</v>
      </c>
      <c r="AE38" s="381">
        <v>43050</v>
      </c>
      <c r="AF38" s="381">
        <v>47850</v>
      </c>
      <c r="AG38" s="381">
        <v>51700</v>
      </c>
      <c r="AH38" s="381">
        <v>55550</v>
      </c>
      <c r="AI38" s="381">
        <v>59300</v>
      </c>
      <c r="AJ38" s="381">
        <v>63150</v>
      </c>
      <c r="AK38" s="381">
        <v>67000</v>
      </c>
      <c r="AL38">
        <f t="shared" si="74"/>
        <v>40140</v>
      </c>
      <c r="AM38">
        <f t="shared" si="74"/>
        <v>45900</v>
      </c>
      <c r="AN38">
        <f t="shared" si="74"/>
        <v>51660</v>
      </c>
      <c r="AO38">
        <f t="shared" si="74"/>
        <v>57420</v>
      </c>
      <c r="AP38">
        <f t="shared" si="74"/>
        <v>62040</v>
      </c>
      <c r="AQ38">
        <f t="shared" si="74"/>
        <v>66660</v>
      </c>
      <c r="AR38">
        <f t="shared" si="74"/>
        <v>71160</v>
      </c>
      <c r="AS38">
        <f t="shared" si="74"/>
        <v>75780</v>
      </c>
      <c r="AT38">
        <f t="shared" si="74"/>
        <v>80400</v>
      </c>
      <c r="AU38">
        <f t="shared" si="75"/>
        <v>46830</v>
      </c>
      <c r="AV38">
        <f t="shared" si="75"/>
        <v>53550</v>
      </c>
      <c r="AW38">
        <f t="shared" si="75"/>
        <v>60269.999999999993</v>
      </c>
      <c r="AX38">
        <f t="shared" si="75"/>
        <v>66990</v>
      </c>
      <c r="AY38">
        <f t="shared" si="75"/>
        <v>72380</v>
      </c>
      <c r="AZ38">
        <f t="shared" si="75"/>
        <v>77770</v>
      </c>
      <c r="BA38">
        <f t="shared" si="75"/>
        <v>83020</v>
      </c>
      <c r="BB38">
        <f t="shared" si="75"/>
        <v>88410</v>
      </c>
      <c r="BC38">
        <f t="shared" si="75"/>
        <v>93800</v>
      </c>
      <c r="BD38">
        <f t="shared" si="11"/>
        <v>53520</v>
      </c>
      <c r="BE38">
        <f t="shared" si="12"/>
        <v>61200</v>
      </c>
      <c r="BF38">
        <f t="shared" si="13"/>
        <v>68880</v>
      </c>
      <c r="BG38">
        <f t="shared" si="14"/>
        <v>76560</v>
      </c>
      <c r="BH38">
        <f t="shared" si="15"/>
        <v>82720</v>
      </c>
      <c r="BI38">
        <f t="shared" si="16"/>
        <v>88880</v>
      </c>
      <c r="BJ38">
        <f t="shared" si="17"/>
        <v>94880</v>
      </c>
      <c r="BK38">
        <f t="shared" si="18"/>
        <v>101040</v>
      </c>
      <c r="BL38">
        <f t="shared" si="19"/>
        <v>107200</v>
      </c>
    </row>
    <row r="39" spans="1:64">
      <c r="A39" s="48" t="s">
        <v>403</v>
      </c>
      <c r="B39">
        <f t="shared" si="76"/>
        <v>12160</v>
      </c>
      <c r="C39">
        <f t="shared" si="76"/>
        <v>13900</v>
      </c>
      <c r="D39">
        <f t="shared" si="76"/>
        <v>15640</v>
      </c>
      <c r="E39">
        <f t="shared" si="76"/>
        <v>17360</v>
      </c>
      <c r="F39">
        <f t="shared" si="76"/>
        <v>18760</v>
      </c>
      <c r="G39">
        <f t="shared" si="76"/>
        <v>20140</v>
      </c>
      <c r="H39">
        <f t="shared" si="76"/>
        <v>21540</v>
      </c>
      <c r="I39">
        <f t="shared" si="76"/>
        <v>22920</v>
      </c>
      <c r="J39">
        <f t="shared" si="76"/>
        <v>24320</v>
      </c>
      <c r="K39">
        <f t="shared" si="77"/>
        <v>18240</v>
      </c>
      <c r="L39">
        <f t="shared" si="77"/>
        <v>20850</v>
      </c>
      <c r="M39">
        <f t="shared" si="77"/>
        <v>23460</v>
      </c>
      <c r="N39">
        <f t="shared" si="77"/>
        <v>26040</v>
      </c>
      <c r="O39">
        <f t="shared" si="77"/>
        <v>28140</v>
      </c>
      <c r="P39">
        <f t="shared" si="77"/>
        <v>30210</v>
      </c>
      <c r="Q39">
        <f t="shared" si="77"/>
        <v>32310</v>
      </c>
      <c r="R39">
        <f t="shared" si="77"/>
        <v>34380</v>
      </c>
      <c r="S39">
        <f t="shared" si="77"/>
        <v>36480</v>
      </c>
      <c r="T39">
        <f t="shared" si="78"/>
        <v>24320</v>
      </c>
      <c r="U39">
        <f t="shared" si="78"/>
        <v>27800</v>
      </c>
      <c r="V39">
        <f t="shared" si="78"/>
        <v>31280</v>
      </c>
      <c r="W39">
        <f t="shared" si="78"/>
        <v>34720</v>
      </c>
      <c r="X39">
        <f t="shared" si="78"/>
        <v>37520</v>
      </c>
      <c r="Y39">
        <f t="shared" si="78"/>
        <v>40280</v>
      </c>
      <c r="Z39">
        <f t="shared" si="78"/>
        <v>43080</v>
      </c>
      <c r="AA39">
        <f t="shared" si="78"/>
        <v>45840</v>
      </c>
      <c r="AB39">
        <f t="shared" si="78"/>
        <v>48640</v>
      </c>
      <c r="AC39" s="381">
        <v>30400</v>
      </c>
      <c r="AD39" s="381">
        <v>34750</v>
      </c>
      <c r="AE39" s="381">
        <v>39100</v>
      </c>
      <c r="AF39" s="381">
        <v>43400</v>
      </c>
      <c r="AG39" s="381">
        <v>46900</v>
      </c>
      <c r="AH39" s="381">
        <v>50350</v>
      </c>
      <c r="AI39" s="381">
        <v>53850</v>
      </c>
      <c r="AJ39" s="381">
        <v>57300</v>
      </c>
      <c r="AK39" s="381">
        <v>60800</v>
      </c>
      <c r="AL39">
        <f t="shared" si="74"/>
        <v>36480</v>
      </c>
      <c r="AM39">
        <f t="shared" si="74"/>
        <v>41700</v>
      </c>
      <c r="AN39">
        <f t="shared" si="74"/>
        <v>46920</v>
      </c>
      <c r="AO39">
        <f t="shared" si="74"/>
        <v>52080</v>
      </c>
      <c r="AP39">
        <f t="shared" si="74"/>
        <v>56280</v>
      </c>
      <c r="AQ39">
        <f t="shared" si="74"/>
        <v>60420</v>
      </c>
      <c r="AR39">
        <f t="shared" si="74"/>
        <v>64620</v>
      </c>
      <c r="AS39">
        <f t="shared" si="74"/>
        <v>68760</v>
      </c>
      <c r="AT39">
        <f t="shared" si="74"/>
        <v>72960</v>
      </c>
      <c r="AU39">
        <f t="shared" si="75"/>
        <v>42560</v>
      </c>
      <c r="AV39">
        <f t="shared" si="75"/>
        <v>48650</v>
      </c>
      <c r="AW39">
        <f t="shared" si="75"/>
        <v>54740</v>
      </c>
      <c r="AX39">
        <f t="shared" si="75"/>
        <v>60759.999999999993</v>
      </c>
      <c r="AY39">
        <f t="shared" si="75"/>
        <v>65660</v>
      </c>
      <c r="AZ39">
        <f t="shared" si="75"/>
        <v>70490</v>
      </c>
      <c r="BA39">
        <f t="shared" si="75"/>
        <v>75390</v>
      </c>
      <c r="BB39">
        <f t="shared" si="75"/>
        <v>80220</v>
      </c>
      <c r="BC39">
        <f t="shared" si="75"/>
        <v>85120</v>
      </c>
      <c r="BD39">
        <f t="shared" si="11"/>
        <v>48640</v>
      </c>
      <c r="BE39">
        <f t="shared" si="12"/>
        <v>55600</v>
      </c>
      <c r="BF39">
        <f t="shared" si="13"/>
        <v>62560</v>
      </c>
      <c r="BG39">
        <f t="shared" si="14"/>
        <v>69440</v>
      </c>
      <c r="BH39">
        <f t="shared" si="15"/>
        <v>75040</v>
      </c>
      <c r="BI39">
        <f t="shared" si="16"/>
        <v>80560</v>
      </c>
      <c r="BJ39">
        <f t="shared" si="17"/>
        <v>86160</v>
      </c>
      <c r="BK39">
        <f t="shared" si="18"/>
        <v>91680</v>
      </c>
      <c r="BL39">
        <f t="shared" si="19"/>
        <v>97280</v>
      </c>
    </row>
    <row r="40" spans="1:64">
      <c r="A40" s="48" t="s">
        <v>465</v>
      </c>
      <c r="B40">
        <f t="shared" si="76"/>
        <v>12760</v>
      </c>
      <c r="C40">
        <f t="shared" si="76"/>
        <v>14580</v>
      </c>
      <c r="D40">
        <f t="shared" si="76"/>
        <v>16400</v>
      </c>
      <c r="E40">
        <f t="shared" si="76"/>
        <v>18220</v>
      </c>
      <c r="F40">
        <f t="shared" si="76"/>
        <v>19680</v>
      </c>
      <c r="G40">
        <f t="shared" si="76"/>
        <v>21140</v>
      </c>
      <c r="H40">
        <f t="shared" si="76"/>
        <v>22600</v>
      </c>
      <c r="I40">
        <f t="shared" si="76"/>
        <v>24060</v>
      </c>
      <c r="J40">
        <f t="shared" si="76"/>
        <v>25520</v>
      </c>
      <c r="K40">
        <f t="shared" si="77"/>
        <v>19140</v>
      </c>
      <c r="L40">
        <f t="shared" si="77"/>
        <v>21870</v>
      </c>
      <c r="M40">
        <f t="shared" si="77"/>
        <v>24600</v>
      </c>
      <c r="N40">
        <f t="shared" si="77"/>
        <v>27330</v>
      </c>
      <c r="O40">
        <f t="shared" si="77"/>
        <v>29520</v>
      </c>
      <c r="P40">
        <f t="shared" si="77"/>
        <v>31710</v>
      </c>
      <c r="Q40">
        <f t="shared" si="77"/>
        <v>33900</v>
      </c>
      <c r="R40">
        <f t="shared" si="77"/>
        <v>36090</v>
      </c>
      <c r="S40">
        <f t="shared" si="77"/>
        <v>38280</v>
      </c>
      <c r="T40">
        <f t="shared" si="78"/>
        <v>25520</v>
      </c>
      <c r="U40">
        <f t="shared" si="78"/>
        <v>29160</v>
      </c>
      <c r="V40">
        <f t="shared" si="78"/>
        <v>32800</v>
      </c>
      <c r="W40">
        <f t="shared" si="78"/>
        <v>36440</v>
      </c>
      <c r="X40">
        <f t="shared" si="78"/>
        <v>39360</v>
      </c>
      <c r="Y40">
        <f t="shared" si="78"/>
        <v>42280</v>
      </c>
      <c r="Z40">
        <f t="shared" si="78"/>
        <v>45200</v>
      </c>
      <c r="AA40">
        <f t="shared" si="78"/>
        <v>48120</v>
      </c>
      <c r="AB40">
        <f t="shared" si="78"/>
        <v>51040</v>
      </c>
      <c r="AC40" s="381">
        <v>31900</v>
      </c>
      <c r="AD40" s="381">
        <v>36450</v>
      </c>
      <c r="AE40" s="381">
        <v>41000</v>
      </c>
      <c r="AF40" s="381">
        <v>45550</v>
      </c>
      <c r="AG40" s="381">
        <v>49200</v>
      </c>
      <c r="AH40" s="381">
        <v>52850</v>
      </c>
      <c r="AI40" s="381">
        <v>56500</v>
      </c>
      <c r="AJ40" s="381">
        <v>60150</v>
      </c>
      <c r="AK40" s="381">
        <v>63800</v>
      </c>
      <c r="AL40">
        <f t="shared" si="74"/>
        <v>38280</v>
      </c>
      <c r="AM40">
        <f t="shared" si="74"/>
        <v>43740</v>
      </c>
      <c r="AN40">
        <f t="shared" si="74"/>
        <v>49200</v>
      </c>
      <c r="AO40">
        <f t="shared" si="74"/>
        <v>54660</v>
      </c>
      <c r="AP40">
        <f t="shared" si="74"/>
        <v>59040</v>
      </c>
      <c r="AQ40">
        <f t="shared" si="74"/>
        <v>63420</v>
      </c>
      <c r="AR40">
        <f t="shared" si="74"/>
        <v>67800</v>
      </c>
      <c r="AS40">
        <f t="shared" si="74"/>
        <v>72180</v>
      </c>
      <c r="AT40">
        <f t="shared" si="74"/>
        <v>76560</v>
      </c>
      <c r="AU40">
        <f t="shared" si="75"/>
        <v>44660</v>
      </c>
      <c r="AV40">
        <f t="shared" si="75"/>
        <v>51030</v>
      </c>
      <c r="AW40">
        <f t="shared" si="75"/>
        <v>57399.999999999993</v>
      </c>
      <c r="AX40">
        <f t="shared" si="75"/>
        <v>63769.999999999993</v>
      </c>
      <c r="AY40">
        <f t="shared" si="75"/>
        <v>68880</v>
      </c>
      <c r="AZ40">
        <f t="shared" si="75"/>
        <v>73990</v>
      </c>
      <c r="BA40">
        <f t="shared" si="75"/>
        <v>79100</v>
      </c>
      <c r="BB40">
        <f t="shared" si="75"/>
        <v>84210</v>
      </c>
      <c r="BC40">
        <f t="shared" si="75"/>
        <v>89320</v>
      </c>
      <c r="BD40">
        <f t="shared" si="11"/>
        <v>51040</v>
      </c>
      <c r="BE40">
        <f t="shared" si="12"/>
        <v>58320</v>
      </c>
      <c r="BF40">
        <f t="shared" si="13"/>
        <v>65600</v>
      </c>
      <c r="BG40">
        <f t="shared" si="14"/>
        <v>72880</v>
      </c>
      <c r="BH40">
        <f t="shared" si="15"/>
        <v>78720</v>
      </c>
      <c r="BI40">
        <f t="shared" si="16"/>
        <v>84560</v>
      </c>
      <c r="BJ40">
        <f t="shared" si="17"/>
        <v>90400</v>
      </c>
      <c r="BK40">
        <f t="shared" si="18"/>
        <v>96240</v>
      </c>
      <c r="BL40">
        <f t="shared" si="19"/>
        <v>102080</v>
      </c>
    </row>
    <row r="41" spans="1:64">
      <c r="A41" s="48" t="s">
        <v>468</v>
      </c>
      <c r="B41">
        <f t="shared" si="76"/>
        <v>14180</v>
      </c>
      <c r="C41">
        <f t="shared" si="76"/>
        <v>16200</v>
      </c>
      <c r="D41">
        <f t="shared" si="76"/>
        <v>18220</v>
      </c>
      <c r="E41">
        <f t="shared" si="76"/>
        <v>20240</v>
      </c>
      <c r="F41">
        <f t="shared" si="76"/>
        <v>21860</v>
      </c>
      <c r="G41">
        <f t="shared" si="76"/>
        <v>23480</v>
      </c>
      <c r="H41">
        <f t="shared" si="76"/>
        <v>25100</v>
      </c>
      <c r="I41">
        <f t="shared" si="76"/>
        <v>26720</v>
      </c>
      <c r="J41">
        <f t="shared" si="76"/>
        <v>28340</v>
      </c>
      <c r="K41">
        <f t="shared" si="77"/>
        <v>21270</v>
      </c>
      <c r="L41">
        <f t="shared" si="77"/>
        <v>24300</v>
      </c>
      <c r="M41">
        <f t="shared" si="77"/>
        <v>27330</v>
      </c>
      <c r="N41">
        <f t="shared" si="77"/>
        <v>30360</v>
      </c>
      <c r="O41">
        <f t="shared" si="77"/>
        <v>32790</v>
      </c>
      <c r="P41">
        <f t="shared" si="77"/>
        <v>35220</v>
      </c>
      <c r="Q41">
        <f t="shared" si="77"/>
        <v>37650</v>
      </c>
      <c r="R41">
        <f t="shared" si="77"/>
        <v>40080</v>
      </c>
      <c r="S41">
        <f t="shared" si="77"/>
        <v>42510</v>
      </c>
      <c r="T41">
        <f t="shared" si="78"/>
        <v>28360</v>
      </c>
      <c r="U41">
        <f t="shared" si="78"/>
        <v>32400</v>
      </c>
      <c r="V41">
        <f t="shared" si="78"/>
        <v>36440</v>
      </c>
      <c r="W41">
        <f t="shared" si="78"/>
        <v>40480</v>
      </c>
      <c r="X41">
        <f t="shared" si="78"/>
        <v>43720</v>
      </c>
      <c r="Y41">
        <f t="shared" si="78"/>
        <v>46960</v>
      </c>
      <c r="Z41">
        <f t="shared" si="78"/>
        <v>50200</v>
      </c>
      <c r="AA41">
        <f t="shared" si="78"/>
        <v>53440</v>
      </c>
      <c r="AB41">
        <f t="shared" si="78"/>
        <v>56680</v>
      </c>
      <c r="AC41" s="381">
        <v>35450</v>
      </c>
      <c r="AD41" s="381">
        <v>40500</v>
      </c>
      <c r="AE41" s="381">
        <v>45550</v>
      </c>
      <c r="AF41" s="381">
        <v>50600</v>
      </c>
      <c r="AG41" s="381">
        <v>54650</v>
      </c>
      <c r="AH41" s="381">
        <v>58700</v>
      </c>
      <c r="AI41" s="381">
        <v>62750</v>
      </c>
      <c r="AJ41" s="381">
        <v>66800</v>
      </c>
      <c r="AK41" s="381">
        <v>70850</v>
      </c>
      <c r="AL41">
        <f t="shared" si="74"/>
        <v>42540</v>
      </c>
      <c r="AM41">
        <f t="shared" si="74"/>
        <v>48600</v>
      </c>
      <c r="AN41">
        <f t="shared" si="74"/>
        <v>54660</v>
      </c>
      <c r="AO41">
        <f t="shared" si="74"/>
        <v>60720</v>
      </c>
      <c r="AP41">
        <f t="shared" si="74"/>
        <v>65580</v>
      </c>
      <c r="AQ41">
        <f t="shared" si="74"/>
        <v>70440</v>
      </c>
      <c r="AR41">
        <f t="shared" si="74"/>
        <v>75300</v>
      </c>
      <c r="AS41">
        <f t="shared" si="74"/>
        <v>80160</v>
      </c>
      <c r="AT41">
        <f t="shared" si="74"/>
        <v>85020</v>
      </c>
      <c r="AU41">
        <f t="shared" si="75"/>
        <v>49630</v>
      </c>
      <c r="AV41">
        <f t="shared" si="75"/>
        <v>56700</v>
      </c>
      <c r="AW41">
        <f t="shared" si="75"/>
        <v>63769.999999999993</v>
      </c>
      <c r="AX41">
        <f t="shared" si="75"/>
        <v>70840</v>
      </c>
      <c r="AY41">
        <f t="shared" si="75"/>
        <v>76510</v>
      </c>
      <c r="AZ41">
        <f t="shared" si="75"/>
        <v>82180</v>
      </c>
      <c r="BA41">
        <f t="shared" si="75"/>
        <v>87850</v>
      </c>
      <c r="BB41">
        <f t="shared" si="75"/>
        <v>93520</v>
      </c>
      <c r="BC41">
        <f t="shared" si="75"/>
        <v>99190</v>
      </c>
      <c r="BD41">
        <f t="shared" si="11"/>
        <v>56720</v>
      </c>
      <c r="BE41">
        <f t="shared" si="12"/>
        <v>64800</v>
      </c>
      <c r="BF41">
        <f t="shared" si="13"/>
        <v>72880</v>
      </c>
      <c r="BG41">
        <f t="shared" si="14"/>
        <v>80960</v>
      </c>
      <c r="BH41">
        <f t="shared" si="15"/>
        <v>87440</v>
      </c>
      <c r="BI41">
        <f t="shared" si="16"/>
        <v>93920</v>
      </c>
      <c r="BJ41">
        <f t="shared" si="17"/>
        <v>100400</v>
      </c>
      <c r="BK41">
        <f t="shared" si="18"/>
        <v>106880</v>
      </c>
      <c r="BL41">
        <f t="shared" si="19"/>
        <v>113360</v>
      </c>
    </row>
    <row r="42" spans="1:64">
      <c r="A42" s="48" t="s">
        <v>408</v>
      </c>
      <c r="B42">
        <f t="shared" si="76"/>
        <v>14300</v>
      </c>
      <c r="C42">
        <f t="shared" si="76"/>
        <v>16340</v>
      </c>
      <c r="D42">
        <f t="shared" si="76"/>
        <v>18380</v>
      </c>
      <c r="E42">
        <f t="shared" si="76"/>
        <v>20420</v>
      </c>
      <c r="F42">
        <f t="shared" si="76"/>
        <v>22060</v>
      </c>
      <c r="G42">
        <f t="shared" si="76"/>
        <v>23700</v>
      </c>
      <c r="H42">
        <f t="shared" si="76"/>
        <v>25340</v>
      </c>
      <c r="I42">
        <f t="shared" si="76"/>
        <v>26960</v>
      </c>
      <c r="J42">
        <f t="shared" si="76"/>
        <v>28600</v>
      </c>
      <c r="K42">
        <f t="shared" si="77"/>
        <v>21450</v>
      </c>
      <c r="L42">
        <f t="shared" si="77"/>
        <v>24510</v>
      </c>
      <c r="M42">
        <f t="shared" si="77"/>
        <v>27570</v>
      </c>
      <c r="N42">
        <f t="shared" si="77"/>
        <v>30630</v>
      </c>
      <c r="O42">
        <f t="shared" si="77"/>
        <v>33090</v>
      </c>
      <c r="P42">
        <f t="shared" si="77"/>
        <v>35550</v>
      </c>
      <c r="Q42">
        <f t="shared" si="77"/>
        <v>38010</v>
      </c>
      <c r="R42">
        <f t="shared" si="77"/>
        <v>40440</v>
      </c>
      <c r="S42">
        <f t="shared" si="77"/>
        <v>42900</v>
      </c>
      <c r="T42">
        <f t="shared" si="78"/>
        <v>28600</v>
      </c>
      <c r="U42">
        <f t="shared" si="78"/>
        <v>32680</v>
      </c>
      <c r="V42">
        <f t="shared" si="78"/>
        <v>36760</v>
      </c>
      <c r="W42">
        <f t="shared" si="78"/>
        <v>40840</v>
      </c>
      <c r="X42">
        <f t="shared" si="78"/>
        <v>44120</v>
      </c>
      <c r="Y42">
        <f t="shared" si="78"/>
        <v>47400</v>
      </c>
      <c r="Z42">
        <f t="shared" si="78"/>
        <v>50680</v>
      </c>
      <c r="AA42">
        <f t="shared" si="78"/>
        <v>53920</v>
      </c>
      <c r="AB42">
        <f t="shared" si="78"/>
        <v>57200</v>
      </c>
      <c r="AC42" s="381">
        <v>35750</v>
      </c>
      <c r="AD42" s="381">
        <v>40850</v>
      </c>
      <c r="AE42" s="381">
        <v>45950</v>
      </c>
      <c r="AF42" s="381">
        <v>51050</v>
      </c>
      <c r="AG42" s="381">
        <v>55150</v>
      </c>
      <c r="AH42" s="381">
        <v>59250</v>
      </c>
      <c r="AI42" s="381">
        <v>63350</v>
      </c>
      <c r="AJ42" s="381">
        <v>67400</v>
      </c>
      <c r="AK42" s="381">
        <v>71500</v>
      </c>
      <c r="AL42">
        <f t="shared" si="74"/>
        <v>42900</v>
      </c>
      <c r="AM42">
        <f t="shared" si="74"/>
        <v>49020</v>
      </c>
      <c r="AN42">
        <f t="shared" si="74"/>
        <v>55140</v>
      </c>
      <c r="AO42">
        <f t="shared" si="74"/>
        <v>61260</v>
      </c>
      <c r="AP42">
        <f t="shared" si="74"/>
        <v>66180</v>
      </c>
      <c r="AQ42">
        <f t="shared" si="74"/>
        <v>71100</v>
      </c>
      <c r="AR42">
        <f t="shared" si="74"/>
        <v>76020</v>
      </c>
      <c r="AS42">
        <f t="shared" si="74"/>
        <v>80880</v>
      </c>
      <c r="AT42">
        <f t="shared" si="74"/>
        <v>85800</v>
      </c>
      <c r="AU42">
        <f t="shared" si="75"/>
        <v>50050</v>
      </c>
      <c r="AV42">
        <f t="shared" si="75"/>
        <v>57190</v>
      </c>
      <c r="AW42">
        <f t="shared" si="75"/>
        <v>64329.999999999993</v>
      </c>
      <c r="AX42">
        <f t="shared" si="75"/>
        <v>71470</v>
      </c>
      <c r="AY42">
        <f t="shared" si="75"/>
        <v>77210</v>
      </c>
      <c r="AZ42">
        <f t="shared" si="75"/>
        <v>82950</v>
      </c>
      <c r="BA42">
        <f t="shared" si="75"/>
        <v>88690</v>
      </c>
      <c r="BB42">
        <f t="shared" si="75"/>
        <v>94360</v>
      </c>
      <c r="BC42">
        <f t="shared" si="75"/>
        <v>100100</v>
      </c>
      <c r="BD42">
        <f t="shared" si="11"/>
        <v>57200</v>
      </c>
      <c r="BE42">
        <f t="shared" si="12"/>
        <v>65360</v>
      </c>
      <c r="BF42">
        <f t="shared" si="13"/>
        <v>73520</v>
      </c>
      <c r="BG42">
        <f t="shared" si="14"/>
        <v>81680</v>
      </c>
      <c r="BH42">
        <f t="shared" si="15"/>
        <v>88240</v>
      </c>
      <c r="BI42">
        <f t="shared" si="16"/>
        <v>94800</v>
      </c>
      <c r="BJ42">
        <f t="shared" si="17"/>
        <v>101360</v>
      </c>
      <c r="BK42">
        <f t="shared" si="18"/>
        <v>107840</v>
      </c>
      <c r="BL42">
        <f t="shared" si="19"/>
        <v>114400</v>
      </c>
    </row>
    <row r="43" spans="1:64">
      <c r="A43" s="48" t="s">
        <v>411</v>
      </c>
      <c r="B43">
        <f t="shared" si="76"/>
        <v>14300</v>
      </c>
      <c r="C43">
        <f t="shared" si="76"/>
        <v>16340</v>
      </c>
      <c r="D43">
        <f t="shared" si="76"/>
        <v>18380</v>
      </c>
      <c r="E43">
        <f t="shared" si="76"/>
        <v>20420</v>
      </c>
      <c r="F43">
        <f t="shared" si="76"/>
        <v>22060</v>
      </c>
      <c r="G43">
        <f t="shared" si="76"/>
        <v>23700</v>
      </c>
      <c r="H43">
        <f t="shared" si="76"/>
        <v>25340</v>
      </c>
      <c r="I43">
        <f t="shared" si="76"/>
        <v>26960</v>
      </c>
      <c r="J43">
        <f t="shared" si="76"/>
        <v>28600</v>
      </c>
      <c r="K43">
        <f t="shared" si="77"/>
        <v>21450</v>
      </c>
      <c r="L43">
        <f t="shared" si="77"/>
        <v>24510</v>
      </c>
      <c r="M43">
        <f t="shared" si="77"/>
        <v>27570</v>
      </c>
      <c r="N43">
        <f t="shared" si="77"/>
        <v>30630</v>
      </c>
      <c r="O43">
        <f t="shared" si="77"/>
        <v>33090</v>
      </c>
      <c r="P43">
        <f t="shared" si="77"/>
        <v>35550</v>
      </c>
      <c r="Q43">
        <f t="shared" si="77"/>
        <v>38010</v>
      </c>
      <c r="R43">
        <f t="shared" si="77"/>
        <v>40440</v>
      </c>
      <c r="S43">
        <f t="shared" si="77"/>
        <v>42900</v>
      </c>
      <c r="T43">
        <f t="shared" si="78"/>
        <v>28600</v>
      </c>
      <c r="U43">
        <f t="shared" si="78"/>
        <v>32680</v>
      </c>
      <c r="V43">
        <f t="shared" si="78"/>
        <v>36760</v>
      </c>
      <c r="W43">
        <f t="shared" si="78"/>
        <v>40840</v>
      </c>
      <c r="X43">
        <f t="shared" si="78"/>
        <v>44120</v>
      </c>
      <c r="Y43">
        <f t="shared" si="78"/>
        <v>47400</v>
      </c>
      <c r="Z43">
        <f t="shared" si="78"/>
        <v>50680</v>
      </c>
      <c r="AA43">
        <f t="shared" si="78"/>
        <v>53920</v>
      </c>
      <c r="AB43">
        <f t="shared" si="78"/>
        <v>57200</v>
      </c>
      <c r="AC43" s="381">
        <v>35750</v>
      </c>
      <c r="AD43" s="381">
        <v>40850</v>
      </c>
      <c r="AE43" s="381">
        <v>45950</v>
      </c>
      <c r="AF43" s="381">
        <v>51050</v>
      </c>
      <c r="AG43" s="381">
        <v>55150</v>
      </c>
      <c r="AH43" s="381">
        <v>59250</v>
      </c>
      <c r="AI43" s="381">
        <v>63350</v>
      </c>
      <c r="AJ43" s="381">
        <v>67400</v>
      </c>
      <c r="AK43" s="381">
        <v>71500</v>
      </c>
      <c r="AL43">
        <f t="shared" si="74"/>
        <v>42900</v>
      </c>
      <c r="AM43">
        <f t="shared" si="74"/>
        <v>49020</v>
      </c>
      <c r="AN43">
        <f t="shared" si="74"/>
        <v>55140</v>
      </c>
      <c r="AO43">
        <f t="shared" si="74"/>
        <v>61260</v>
      </c>
      <c r="AP43">
        <f t="shared" si="74"/>
        <v>66180</v>
      </c>
      <c r="AQ43">
        <f t="shared" si="74"/>
        <v>71100</v>
      </c>
      <c r="AR43">
        <f t="shared" si="74"/>
        <v>76020</v>
      </c>
      <c r="AS43">
        <f t="shared" si="74"/>
        <v>80880</v>
      </c>
      <c r="AT43">
        <f t="shared" si="74"/>
        <v>85800</v>
      </c>
      <c r="AU43">
        <f t="shared" si="75"/>
        <v>50050</v>
      </c>
      <c r="AV43">
        <f t="shared" si="75"/>
        <v>57190</v>
      </c>
      <c r="AW43">
        <f t="shared" si="75"/>
        <v>64329.999999999993</v>
      </c>
      <c r="AX43">
        <f t="shared" si="75"/>
        <v>71470</v>
      </c>
      <c r="AY43">
        <f t="shared" si="75"/>
        <v>77210</v>
      </c>
      <c r="AZ43">
        <f t="shared" si="75"/>
        <v>82950</v>
      </c>
      <c r="BA43">
        <f t="shared" si="75"/>
        <v>88690</v>
      </c>
      <c r="BB43">
        <f t="shared" si="75"/>
        <v>94360</v>
      </c>
      <c r="BC43">
        <f t="shared" si="75"/>
        <v>100100</v>
      </c>
      <c r="BD43">
        <f t="shared" si="11"/>
        <v>57200</v>
      </c>
      <c r="BE43">
        <f t="shared" si="12"/>
        <v>65360</v>
      </c>
      <c r="BF43">
        <f t="shared" si="13"/>
        <v>73520</v>
      </c>
      <c r="BG43">
        <f t="shared" si="14"/>
        <v>81680</v>
      </c>
      <c r="BH43">
        <f t="shared" si="15"/>
        <v>88240</v>
      </c>
      <c r="BI43">
        <f t="shared" si="16"/>
        <v>94800</v>
      </c>
      <c r="BJ43">
        <f t="shared" si="17"/>
        <v>101360</v>
      </c>
      <c r="BK43">
        <f t="shared" si="18"/>
        <v>107840</v>
      </c>
      <c r="BL43">
        <f t="shared" si="19"/>
        <v>114400</v>
      </c>
    </row>
    <row r="44" spans="1:64">
      <c r="A44" s="48" t="s">
        <v>470</v>
      </c>
      <c r="B44">
        <f t="shared" si="76"/>
        <v>12540</v>
      </c>
      <c r="C44">
        <f t="shared" si="76"/>
        <v>14320</v>
      </c>
      <c r="D44">
        <f t="shared" si="76"/>
        <v>16120</v>
      </c>
      <c r="E44">
        <f t="shared" si="76"/>
        <v>17900</v>
      </c>
      <c r="F44">
        <f t="shared" si="76"/>
        <v>19340</v>
      </c>
      <c r="G44">
        <f t="shared" si="76"/>
        <v>20780</v>
      </c>
      <c r="H44">
        <f t="shared" si="76"/>
        <v>22200</v>
      </c>
      <c r="I44">
        <f t="shared" si="76"/>
        <v>23640</v>
      </c>
      <c r="J44">
        <f t="shared" si="76"/>
        <v>25060</v>
      </c>
      <c r="K44">
        <f t="shared" si="77"/>
        <v>18810</v>
      </c>
      <c r="L44">
        <f t="shared" si="77"/>
        <v>21480</v>
      </c>
      <c r="M44">
        <f t="shared" si="77"/>
        <v>24180</v>
      </c>
      <c r="N44">
        <f t="shared" si="77"/>
        <v>26850</v>
      </c>
      <c r="O44">
        <f t="shared" si="77"/>
        <v>29010</v>
      </c>
      <c r="P44">
        <f t="shared" si="77"/>
        <v>31170</v>
      </c>
      <c r="Q44">
        <f t="shared" si="77"/>
        <v>33300</v>
      </c>
      <c r="R44">
        <f t="shared" si="77"/>
        <v>35460</v>
      </c>
      <c r="S44">
        <f t="shared" si="77"/>
        <v>37590</v>
      </c>
      <c r="T44">
        <f t="shared" si="78"/>
        <v>25080</v>
      </c>
      <c r="U44">
        <f t="shared" si="78"/>
        <v>28640</v>
      </c>
      <c r="V44">
        <f t="shared" si="78"/>
        <v>32240</v>
      </c>
      <c r="W44">
        <f t="shared" si="78"/>
        <v>35800</v>
      </c>
      <c r="X44">
        <f t="shared" si="78"/>
        <v>38680</v>
      </c>
      <c r="Y44">
        <f t="shared" si="78"/>
        <v>41560</v>
      </c>
      <c r="Z44">
        <f t="shared" si="78"/>
        <v>44400</v>
      </c>
      <c r="AA44">
        <f t="shared" si="78"/>
        <v>47280</v>
      </c>
      <c r="AB44">
        <f t="shared" si="78"/>
        <v>50120</v>
      </c>
      <c r="AC44" s="381">
        <v>31350</v>
      </c>
      <c r="AD44" s="381">
        <v>35800</v>
      </c>
      <c r="AE44" s="381">
        <v>40300</v>
      </c>
      <c r="AF44" s="381">
        <v>44750</v>
      </c>
      <c r="AG44" s="381">
        <v>48350</v>
      </c>
      <c r="AH44" s="381">
        <v>51950</v>
      </c>
      <c r="AI44" s="381">
        <v>55500</v>
      </c>
      <c r="AJ44" s="381">
        <v>59100</v>
      </c>
      <c r="AK44" s="381">
        <v>62650</v>
      </c>
      <c r="AL44">
        <f t="shared" si="74"/>
        <v>37620</v>
      </c>
      <c r="AM44">
        <f t="shared" si="74"/>
        <v>42960</v>
      </c>
      <c r="AN44">
        <f t="shared" si="74"/>
        <v>48360</v>
      </c>
      <c r="AO44">
        <f t="shared" si="74"/>
        <v>53700</v>
      </c>
      <c r="AP44">
        <f t="shared" si="74"/>
        <v>58020</v>
      </c>
      <c r="AQ44">
        <f t="shared" si="74"/>
        <v>62340</v>
      </c>
      <c r="AR44">
        <f t="shared" si="74"/>
        <v>66600</v>
      </c>
      <c r="AS44">
        <f t="shared" si="74"/>
        <v>70920</v>
      </c>
      <c r="AT44">
        <f t="shared" si="74"/>
        <v>75180</v>
      </c>
      <c r="AU44">
        <f t="shared" si="75"/>
        <v>43890</v>
      </c>
      <c r="AV44">
        <f t="shared" si="75"/>
        <v>50120</v>
      </c>
      <c r="AW44">
        <f t="shared" si="75"/>
        <v>56420</v>
      </c>
      <c r="AX44">
        <f t="shared" si="75"/>
        <v>62649.999999999993</v>
      </c>
      <c r="AY44">
        <f t="shared" si="75"/>
        <v>67690</v>
      </c>
      <c r="AZ44">
        <f t="shared" si="75"/>
        <v>72730</v>
      </c>
      <c r="BA44">
        <f t="shared" si="75"/>
        <v>77700</v>
      </c>
      <c r="BB44">
        <f t="shared" si="75"/>
        <v>82740</v>
      </c>
      <c r="BC44">
        <f t="shared" si="75"/>
        <v>87710</v>
      </c>
      <c r="BD44">
        <f t="shared" si="11"/>
        <v>50160</v>
      </c>
      <c r="BE44">
        <f t="shared" si="12"/>
        <v>57280</v>
      </c>
      <c r="BF44">
        <f t="shared" si="13"/>
        <v>64480</v>
      </c>
      <c r="BG44">
        <f t="shared" si="14"/>
        <v>71600</v>
      </c>
      <c r="BH44">
        <f t="shared" si="15"/>
        <v>77360</v>
      </c>
      <c r="BI44">
        <f t="shared" si="16"/>
        <v>83120</v>
      </c>
      <c r="BJ44">
        <f t="shared" si="17"/>
        <v>88800</v>
      </c>
      <c r="BK44">
        <f t="shared" si="18"/>
        <v>94560</v>
      </c>
      <c r="BL44">
        <f t="shared" si="19"/>
        <v>100240</v>
      </c>
    </row>
    <row r="45" spans="1:64">
      <c r="A45" s="48" t="s">
        <v>413</v>
      </c>
      <c r="B45">
        <f t="shared" si="76"/>
        <v>13860</v>
      </c>
      <c r="C45">
        <f t="shared" si="76"/>
        <v>15840</v>
      </c>
      <c r="D45">
        <f t="shared" si="76"/>
        <v>17820</v>
      </c>
      <c r="E45">
        <f t="shared" si="76"/>
        <v>19800</v>
      </c>
      <c r="F45">
        <f t="shared" si="76"/>
        <v>21380</v>
      </c>
      <c r="G45">
        <f t="shared" si="76"/>
        <v>22960</v>
      </c>
      <c r="H45">
        <f t="shared" si="76"/>
        <v>24540</v>
      </c>
      <c r="I45">
        <f t="shared" si="76"/>
        <v>26120</v>
      </c>
      <c r="J45">
        <f t="shared" si="76"/>
        <v>27720</v>
      </c>
      <c r="K45">
        <f t="shared" si="77"/>
        <v>20790</v>
      </c>
      <c r="L45">
        <f t="shared" si="77"/>
        <v>23760</v>
      </c>
      <c r="M45">
        <f t="shared" si="77"/>
        <v>26730</v>
      </c>
      <c r="N45">
        <f t="shared" si="77"/>
        <v>29700</v>
      </c>
      <c r="O45">
        <f t="shared" si="77"/>
        <v>32070</v>
      </c>
      <c r="P45">
        <f t="shared" si="77"/>
        <v>34440</v>
      </c>
      <c r="Q45">
        <f t="shared" si="77"/>
        <v>36810</v>
      </c>
      <c r="R45">
        <f t="shared" si="77"/>
        <v>39180</v>
      </c>
      <c r="S45">
        <f t="shared" si="77"/>
        <v>41580</v>
      </c>
      <c r="T45">
        <f t="shared" si="78"/>
        <v>27720</v>
      </c>
      <c r="U45">
        <f t="shared" si="78"/>
        <v>31680</v>
      </c>
      <c r="V45">
        <f t="shared" si="78"/>
        <v>35640</v>
      </c>
      <c r="W45">
        <f t="shared" si="78"/>
        <v>39600</v>
      </c>
      <c r="X45">
        <f t="shared" si="78"/>
        <v>42760</v>
      </c>
      <c r="Y45">
        <f t="shared" si="78"/>
        <v>45920</v>
      </c>
      <c r="Z45">
        <f t="shared" si="78"/>
        <v>49080</v>
      </c>
      <c r="AA45">
        <f t="shared" si="78"/>
        <v>52240</v>
      </c>
      <c r="AB45">
        <f t="shared" si="78"/>
        <v>55440</v>
      </c>
      <c r="AC45" s="381">
        <v>34650</v>
      </c>
      <c r="AD45" s="381">
        <v>39600</v>
      </c>
      <c r="AE45" s="381">
        <v>44550</v>
      </c>
      <c r="AF45" s="381">
        <v>49500</v>
      </c>
      <c r="AG45" s="381">
        <v>53450</v>
      </c>
      <c r="AH45" s="381">
        <v>57400</v>
      </c>
      <c r="AI45" s="381">
        <v>61350</v>
      </c>
      <c r="AJ45" s="381">
        <v>65300</v>
      </c>
      <c r="AK45" s="381">
        <v>69300</v>
      </c>
      <c r="AL45">
        <f t="shared" si="74"/>
        <v>41580</v>
      </c>
      <c r="AM45">
        <f t="shared" si="74"/>
        <v>47520</v>
      </c>
      <c r="AN45">
        <f t="shared" si="74"/>
        <v>53460</v>
      </c>
      <c r="AO45">
        <f t="shared" si="74"/>
        <v>59400</v>
      </c>
      <c r="AP45">
        <f t="shared" si="74"/>
        <v>64140</v>
      </c>
      <c r="AQ45">
        <f t="shared" si="74"/>
        <v>68880</v>
      </c>
      <c r="AR45">
        <f t="shared" si="74"/>
        <v>73620</v>
      </c>
      <c r="AS45">
        <f t="shared" si="74"/>
        <v>78360</v>
      </c>
      <c r="AT45">
        <f t="shared" si="74"/>
        <v>83160</v>
      </c>
      <c r="AU45">
        <f t="shared" si="75"/>
        <v>48510</v>
      </c>
      <c r="AV45">
        <f t="shared" si="75"/>
        <v>55440</v>
      </c>
      <c r="AW45">
        <f t="shared" si="75"/>
        <v>62369.999999999993</v>
      </c>
      <c r="AX45">
        <f t="shared" si="75"/>
        <v>69300</v>
      </c>
      <c r="AY45">
        <f t="shared" si="75"/>
        <v>74830</v>
      </c>
      <c r="AZ45">
        <f t="shared" si="75"/>
        <v>80360</v>
      </c>
      <c r="BA45">
        <f t="shared" si="75"/>
        <v>85890</v>
      </c>
      <c r="BB45">
        <f t="shared" si="75"/>
        <v>91420</v>
      </c>
      <c r="BC45">
        <f t="shared" si="75"/>
        <v>97020</v>
      </c>
      <c r="BD45">
        <f t="shared" si="11"/>
        <v>55440</v>
      </c>
      <c r="BE45">
        <f t="shared" si="12"/>
        <v>63360</v>
      </c>
      <c r="BF45">
        <f t="shared" si="13"/>
        <v>71280</v>
      </c>
      <c r="BG45">
        <f t="shared" si="14"/>
        <v>79200</v>
      </c>
      <c r="BH45">
        <f t="shared" si="15"/>
        <v>85520</v>
      </c>
      <c r="BI45">
        <f t="shared" si="16"/>
        <v>91840</v>
      </c>
      <c r="BJ45">
        <f t="shared" si="17"/>
        <v>98160</v>
      </c>
      <c r="BK45">
        <f t="shared" si="18"/>
        <v>104480</v>
      </c>
      <c r="BL45">
        <f t="shared" si="19"/>
        <v>110880</v>
      </c>
    </row>
    <row r="46" spans="1:64">
      <c r="A46" s="48" t="s">
        <v>472</v>
      </c>
      <c r="B46">
        <f t="shared" si="76"/>
        <v>12140</v>
      </c>
      <c r="C46">
        <f t="shared" si="76"/>
        <v>13860</v>
      </c>
      <c r="D46">
        <f t="shared" si="76"/>
        <v>15600</v>
      </c>
      <c r="E46">
        <f t="shared" si="76"/>
        <v>17320</v>
      </c>
      <c r="F46">
        <f t="shared" si="76"/>
        <v>18720</v>
      </c>
      <c r="G46">
        <f t="shared" si="76"/>
        <v>20100</v>
      </c>
      <c r="H46">
        <f t="shared" si="76"/>
        <v>21480</v>
      </c>
      <c r="I46">
        <f t="shared" si="76"/>
        <v>22880</v>
      </c>
      <c r="J46">
        <f t="shared" si="76"/>
        <v>24260</v>
      </c>
      <c r="K46">
        <f t="shared" si="77"/>
        <v>18210</v>
      </c>
      <c r="L46">
        <f t="shared" si="77"/>
        <v>20790</v>
      </c>
      <c r="M46">
        <f t="shared" si="77"/>
        <v>23400</v>
      </c>
      <c r="N46">
        <f t="shared" si="77"/>
        <v>25980</v>
      </c>
      <c r="O46">
        <f t="shared" si="77"/>
        <v>28080</v>
      </c>
      <c r="P46">
        <f t="shared" si="77"/>
        <v>30150</v>
      </c>
      <c r="Q46">
        <f t="shared" si="77"/>
        <v>32220</v>
      </c>
      <c r="R46">
        <f t="shared" si="77"/>
        <v>34320</v>
      </c>
      <c r="S46">
        <f t="shared" si="77"/>
        <v>36390</v>
      </c>
      <c r="T46">
        <f t="shared" si="78"/>
        <v>24280</v>
      </c>
      <c r="U46">
        <f t="shared" si="78"/>
        <v>27720</v>
      </c>
      <c r="V46">
        <f t="shared" si="78"/>
        <v>31200</v>
      </c>
      <c r="W46">
        <f t="shared" si="78"/>
        <v>34640</v>
      </c>
      <c r="X46">
        <f t="shared" si="78"/>
        <v>37440</v>
      </c>
      <c r="Y46">
        <f t="shared" si="78"/>
        <v>40200</v>
      </c>
      <c r="Z46">
        <f t="shared" si="78"/>
        <v>42960</v>
      </c>
      <c r="AA46">
        <f t="shared" si="78"/>
        <v>45760</v>
      </c>
      <c r="AB46">
        <f t="shared" si="78"/>
        <v>48520</v>
      </c>
      <c r="AC46" s="381">
        <v>30350</v>
      </c>
      <c r="AD46" s="381">
        <v>34650</v>
      </c>
      <c r="AE46" s="381">
        <v>39000</v>
      </c>
      <c r="AF46" s="381">
        <v>43300</v>
      </c>
      <c r="AG46" s="381">
        <v>46800</v>
      </c>
      <c r="AH46" s="381">
        <v>50250</v>
      </c>
      <c r="AI46" s="381">
        <v>53700</v>
      </c>
      <c r="AJ46" s="381">
        <v>57200</v>
      </c>
      <c r="AK46" s="381">
        <v>60650</v>
      </c>
      <c r="AL46">
        <f t="shared" si="74"/>
        <v>36420</v>
      </c>
      <c r="AM46">
        <f t="shared" si="74"/>
        <v>41580</v>
      </c>
      <c r="AN46">
        <f t="shared" si="74"/>
        <v>46800</v>
      </c>
      <c r="AO46">
        <f t="shared" si="74"/>
        <v>51960</v>
      </c>
      <c r="AP46">
        <f t="shared" si="74"/>
        <v>56160</v>
      </c>
      <c r="AQ46">
        <f t="shared" si="74"/>
        <v>60300</v>
      </c>
      <c r="AR46">
        <f t="shared" si="74"/>
        <v>64440</v>
      </c>
      <c r="AS46">
        <f t="shared" si="74"/>
        <v>68640</v>
      </c>
      <c r="AT46">
        <f t="shared" si="74"/>
        <v>72780</v>
      </c>
      <c r="AU46">
        <f t="shared" si="75"/>
        <v>42490</v>
      </c>
      <c r="AV46">
        <f t="shared" si="75"/>
        <v>48510</v>
      </c>
      <c r="AW46">
        <f t="shared" si="75"/>
        <v>54600</v>
      </c>
      <c r="AX46">
        <f t="shared" si="75"/>
        <v>60619.999999999993</v>
      </c>
      <c r="AY46">
        <f t="shared" si="75"/>
        <v>65519.999999999993</v>
      </c>
      <c r="AZ46">
        <f t="shared" si="75"/>
        <v>70350</v>
      </c>
      <c r="BA46">
        <f t="shared" si="75"/>
        <v>75180</v>
      </c>
      <c r="BB46">
        <f t="shared" si="75"/>
        <v>80080</v>
      </c>
      <c r="BC46">
        <f t="shared" si="75"/>
        <v>84910</v>
      </c>
      <c r="BD46">
        <f t="shared" si="11"/>
        <v>48560</v>
      </c>
      <c r="BE46">
        <f t="shared" si="12"/>
        <v>55440</v>
      </c>
      <c r="BF46">
        <f t="shared" si="13"/>
        <v>62400</v>
      </c>
      <c r="BG46">
        <f t="shared" si="14"/>
        <v>69280</v>
      </c>
      <c r="BH46">
        <f t="shared" si="15"/>
        <v>74880</v>
      </c>
      <c r="BI46">
        <f t="shared" si="16"/>
        <v>80400</v>
      </c>
      <c r="BJ46">
        <f t="shared" si="17"/>
        <v>85920</v>
      </c>
      <c r="BK46">
        <f t="shared" si="18"/>
        <v>91520</v>
      </c>
      <c r="BL46">
        <f t="shared" si="19"/>
        <v>97040</v>
      </c>
    </row>
    <row r="47" spans="1:64">
      <c r="A47" s="48" t="s">
        <v>7115</v>
      </c>
      <c r="B47">
        <f t="shared" ref="B47:J47" si="79">AC47*0.4</f>
        <v>12140</v>
      </c>
      <c r="C47">
        <f t="shared" si="79"/>
        <v>13860</v>
      </c>
      <c r="D47">
        <f t="shared" si="79"/>
        <v>15600</v>
      </c>
      <c r="E47">
        <f t="shared" si="79"/>
        <v>17320</v>
      </c>
      <c r="F47">
        <f t="shared" si="79"/>
        <v>18720</v>
      </c>
      <c r="G47">
        <f t="shared" si="79"/>
        <v>20100</v>
      </c>
      <c r="H47">
        <f t="shared" si="79"/>
        <v>21480</v>
      </c>
      <c r="I47">
        <f t="shared" si="79"/>
        <v>22880</v>
      </c>
      <c r="J47">
        <f t="shared" si="79"/>
        <v>24260</v>
      </c>
      <c r="K47">
        <f t="shared" ref="K47:S47" si="80">0.6*AC47</f>
        <v>18210</v>
      </c>
      <c r="L47">
        <f t="shared" si="80"/>
        <v>20790</v>
      </c>
      <c r="M47">
        <f t="shared" si="80"/>
        <v>23400</v>
      </c>
      <c r="N47">
        <f t="shared" si="80"/>
        <v>25980</v>
      </c>
      <c r="O47">
        <f t="shared" si="80"/>
        <v>28080</v>
      </c>
      <c r="P47">
        <f t="shared" si="80"/>
        <v>30150</v>
      </c>
      <c r="Q47">
        <f t="shared" si="80"/>
        <v>32220</v>
      </c>
      <c r="R47">
        <f t="shared" si="80"/>
        <v>34320</v>
      </c>
      <c r="S47">
        <f t="shared" si="80"/>
        <v>36390</v>
      </c>
      <c r="T47">
        <f t="shared" ref="T47:AB47" si="81">0.8*AC47</f>
        <v>24280</v>
      </c>
      <c r="U47">
        <f t="shared" si="81"/>
        <v>27720</v>
      </c>
      <c r="V47">
        <f t="shared" si="81"/>
        <v>31200</v>
      </c>
      <c r="W47">
        <f t="shared" si="81"/>
        <v>34640</v>
      </c>
      <c r="X47">
        <f t="shared" si="81"/>
        <v>37440</v>
      </c>
      <c r="Y47">
        <f t="shared" si="81"/>
        <v>40200</v>
      </c>
      <c r="Z47">
        <f t="shared" si="81"/>
        <v>42960</v>
      </c>
      <c r="AA47">
        <f t="shared" si="81"/>
        <v>45760</v>
      </c>
      <c r="AB47">
        <f t="shared" si="81"/>
        <v>48520</v>
      </c>
      <c r="AC47" s="382">
        <v>30350</v>
      </c>
      <c r="AD47" s="383">
        <v>34650</v>
      </c>
      <c r="AE47" s="383">
        <v>39000</v>
      </c>
      <c r="AF47" s="383">
        <v>43300</v>
      </c>
      <c r="AG47" s="383">
        <v>46800</v>
      </c>
      <c r="AH47" s="383">
        <v>50250</v>
      </c>
      <c r="AI47" s="383">
        <v>53700</v>
      </c>
      <c r="AJ47" s="383">
        <v>57200</v>
      </c>
      <c r="AK47" s="384">
        <v>60650</v>
      </c>
      <c r="AL47">
        <f t="shared" si="74"/>
        <v>36420</v>
      </c>
      <c r="AM47">
        <f t="shared" si="74"/>
        <v>41580</v>
      </c>
      <c r="AN47">
        <f t="shared" si="74"/>
        <v>46800</v>
      </c>
      <c r="AO47">
        <f t="shared" si="74"/>
        <v>51960</v>
      </c>
      <c r="AP47">
        <f t="shared" si="74"/>
        <v>56160</v>
      </c>
      <c r="AQ47">
        <f t="shared" si="74"/>
        <v>60300</v>
      </c>
      <c r="AR47">
        <f t="shared" si="74"/>
        <v>64440</v>
      </c>
      <c r="AS47">
        <f t="shared" si="74"/>
        <v>68640</v>
      </c>
      <c r="AT47">
        <f t="shared" si="74"/>
        <v>72780</v>
      </c>
      <c r="AU47">
        <f t="shared" si="75"/>
        <v>42490</v>
      </c>
      <c r="AV47">
        <f t="shared" si="75"/>
        <v>48510</v>
      </c>
      <c r="AW47">
        <f t="shared" si="75"/>
        <v>54600</v>
      </c>
      <c r="AX47">
        <f t="shared" si="75"/>
        <v>60619.999999999993</v>
      </c>
      <c r="AY47">
        <f t="shared" si="75"/>
        <v>65519.999999999993</v>
      </c>
      <c r="AZ47">
        <f t="shared" si="75"/>
        <v>70350</v>
      </c>
      <c r="BA47">
        <f t="shared" si="75"/>
        <v>75180</v>
      </c>
      <c r="BB47">
        <f t="shared" si="75"/>
        <v>80080</v>
      </c>
      <c r="BC47">
        <f t="shared" si="75"/>
        <v>84910</v>
      </c>
      <c r="BD47">
        <f t="shared" si="11"/>
        <v>48560</v>
      </c>
      <c r="BE47">
        <f t="shared" si="12"/>
        <v>55440</v>
      </c>
      <c r="BF47">
        <f t="shared" si="13"/>
        <v>62400</v>
      </c>
      <c r="BG47">
        <f t="shared" si="14"/>
        <v>69280</v>
      </c>
      <c r="BH47">
        <f t="shared" si="15"/>
        <v>74880</v>
      </c>
      <c r="BI47">
        <f t="shared" si="16"/>
        <v>80400</v>
      </c>
      <c r="BJ47">
        <f t="shared" si="17"/>
        <v>85920</v>
      </c>
      <c r="BK47">
        <f t="shared" si="18"/>
        <v>91520</v>
      </c>
      <c r="BL47">
        <f t="shared" si="19"/>
        <v>97040</v>
      </c>
    </row>
    <row r="49" spans="1:2">
      <c r="A49" s="48" t="s">
        <v>7132</v>
      </c>
    </row>
    <row r="50" spans="1:2">
      <c r="A50" s="48" t="s">
        <v>7117</v>
      </c>
    </row>
    <row r="52" spans="1:2">
      <c r="B52" t="s">
        <v>7118</v>
      </c>
    </row>
    <row r="53" spans="1:2">
      <c r="B53" t="s">
        <v>7133</v>
      </c>
    </row>
    <row r="54" spans="1:2">
      <c r="B54" t="s">
        <v>7120</v>
      </c>
    </row>
    <row r="55" spans="1:2">
      <c r="B55" t="s">
        <v>7121</v>
      </c>
    </row>
    <row r="57" spans="1:2">
      <c r="A57" s="48" t="s">
        <v>7134</v>
      </c>
      <c r="B57" t="s">
        <v>7135</v>
      </c>
    </row>
    <row r="58" spans="1:2">
      <c r="B58" t="s">
        <v>7136</v>
      </c>
    </row>
    <row r="60" spans="1:2">
      <c r="B60" t="s">
        <v>7137</v>
      </c>
    </row>
  </sheetData>
  <sheetProtection algorithmName="SHA-512" hashValue="UKyH8/c6NplWX8ToVP8wGjf3sFmzZ+cbe4WhCcDWg1Wvdr8hX7GPPzY4AdEb/P4ZASFflId6/4XdECfFOiH67g==" saltValue="bFSxLwSU00LC9p0fXl/W8w==" spinCount="100000" sheet="1" objects="1" scenarios="1" selectLockedCells="1"/>
  <mergeCells count="7">
    <mergeCell ref="K1:S1"/>
    <mergeCell ref="B1:J1"/>
    <mergeCell ref="BD1:BL1"/>
    <mergeCell ref="AU1:BC1"/>
    <mergeCell ref="AL1:AT1"/>
    <mergeCell ref="AC1:AK1"/>
    <mergeCell ref="T1:AB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F8F6-1913-4D08-8A14-40A40D8BA8B4}">
  <sheetPr codeName="Sheet32"/>
  <dimension ref="A1:I494"/>
  <sheetViews>
    <sheetView topLeftCell="A62" workbookViewId="0">
      <selection activeCell="D95" sqref="D95"/>
    </sheetView>
  </sheetViews>
  <sheetFormatPr baseColWidth="10" defaultColWidth="9.1640625" defaultRowHeight="15"/>
  <cols>
    <col min="1" max="1" width="79.5" customWidth="1"/>
    <col min="2" max="2" width="35.1640625" style="57" customWidth="1"/>
    <col min="3" max="3" width="59.33203125" customWidth="1"/>
    <col min="4" max="4" width="15.33203125" style="57" customWidth="1"/>
    <col min="5" max="5" width="12" style="457" customWidth="1"/>
    <col min="6" max="6" width="31.5" style="449" customWidth="1"/>
    <col min="7" max="7" width="32" customWidth="1"/>
    <col min="8" max="8" width="8.83203125" style="528" customWidth="1"/>
  </cols>
  <sheetData>
    <row r="1" spans="1:8" ht="16" thickBot="1">
      <c r="A1" s="437" t="s">
        <v>473</v>
      </c>
      <c r="B1" s="447" t="s">
        <v>474</v>
      </c>
      <c r="C1" s="437" t="s">
        <v>475</v>
      </c>
      <c r="D1" s="447" t="s">
        <v>476</v>
      </c>
      <c r="E1" s="454" t="s">
        <v>477</v>
      </c>
      <c r="F1" s="448" t="s">
        <v>201</v>
      </c>
      <c r="G1" s="437" t="s">
        <v>478</v>
      </c>
    </row>
    <row r="2" spans="1:8" s="49" customFormat="1">
      <c r="A2" s="1756" t="s">
        <v>479</v>
      </c>
      <c r="B2" s="1756"/>
      <c r="C2" s="1756"/>
      <c r="D2" s="1756"/>
      <c r="E2" s="1756"/>
      <c r="F2" s="450"/>
      <c r="G2" s="445"/>
      <c r="H2" s="594"/>
    </row>
    <row r="3" spans="1:8" s="46" customFormat="1">
      <c r="A3" s="438" t="s">
        <v>480</v>
      </c>
      <c r="B3" s="439" t="s">
        <v>481</v>
      </c>
      <c r="C3" s="439" t="s">
        <v>482</v>
      </c>
      <c r="D3" s="439" t="s">
        <v>483</v>
      </c>
      <c r="E3" s="455" t="s">
        <v>484</v>
      </c>
      <c r="F3" s="1077"/>
      <c r="G3" s="440"/>
      <c r="H3" s="593"/>
    </row>
    <row r="4" spans="1:8" s="46" customFormat="1">
      <c r="A4" s="438" t="s">
        <v>485</v>
      </c>
      <c r="B4" s="439" t="s">
        <v>481</v>
      </c>
      <c r="C4" s="439" t="s">
        <v>486</v>
      </c>
      <c r="D4" s="439" t="s">
        <v>486</v>
      </c>
      <c r="E4" s="456" t="s">
        <v>484</v>
      </c>
      <c r="F4" s="1726"/>
      <c r="G4" s="440"/>
      <c r="H4" s="593"/>
    </row>
    <row r="5" spans="1:8" s="46" customFormat="1">
      <c r="A5" s="438" t="s">
        <v>487</v>
      </c>
      <c r="B5" s="439" t="s">
        <v>481</v>
      </c>
      <c r="C5" s="439" t="s">
        <v>488</v>
      </c>
      <c r="D5" s="439" t="s">
        <v>489</v>
      </c>
      <c r="E5" s="455" t="s">
        <v>484</v>
      </c>
      <c r="F5" s="1726"/>
      <c r="G5" s="440"/>
      <c r="H5" s="593"/>
    </row>
    <row r="6" spans="1:8" s="46" customFormat="1">
      <c r="A6" s="438" t="s">
        <v>490</v>
      </c>
      <c r="B6" s="439" t="s">
        <v>481</v>
      </c>
      <c r="C6" s="439" t="s">
        <v>491</v>
      </c>
      <c r="D6" s="439" t="s">
        <v>492</v>
      </c>
      <c r="E6" s="455" t="s">
        <v>484</v>
      </c>
      <c r="F6" s="451"/>
      <c r="G6" s="440"/>
      <c r="H6" s="593"/>
    </row>
    <row r="7" spans="1:8" s="46" customFormat="1">
      <c r="A7" s="439" t="s">
        <v>493</v>
      </c>
      <c r="B7" s="731" t="s">
        <v>481</v>
      </c>
      <c r="C7" s="439" t="s">
        <v>494</v>
      </c>
      <c r="D7" s="439" t="s">
        <v>495</v>
      </c>
      <c r="E7" s="453" t="s">
        <v>484</v>
      </c>
      <c r="F7" s="451"/>
      <c r="G7" s="440"/>
      <c r="H7" s="593"/>
    </row>
    <row r="8" spans="1:8" s="46" customFormat="1">
      <c r="A8" s="439" t="s">
        <v>496</v>
      </c>
      <c r="B8" s="439" t="s">
        <v>481</v>
      </c>
      <c r="C8" s="439" t="s">
        <v>497</v>
      </c>
      <c r="D8" s="439" t="s">
        <v>498</v>
      </c>
      <c r="E8" s="453" t="s">
        <v>484</v>
      </c>
      <c r="F8" s="451"/>
      <c r="G8" s="440"/>
      <c r="H8" s="593"/>
    </row>
    <row r="9" spans="1:8" s="49" customFormat="1">
      <c r="A9" s="1746" t="s">
        <v>499</v>
      </c>
      <c r="B9" s="1746"/>
      <c r="C9" s="1746"/>
      <c r="D9" s="1746"/>
      <c r="E9" s="1746"/>
      <c r="F9" s="450"/>
      <c r="G9" s="445"/>
      <c r="H9" s="594"/>
    </row>
    <row r="10" spans="1:8" s="49" customFormat="1">
      <c r="A10" s="1745" t="s">
        <v>500</v>
      </c>
      <c r="B10" s="1745"/>
      <c r="C10" s="1745"/>
      <c r="D10" s="1745"/>
      <c r="E10" s="1745"/>
      <c r="F10" s="452"/>
      <c r="G10" s="446"/>
      <c r="H10" s="594"/>
    </row>
    <row r="11" spans="1:8" s="46" customFormat="1">
      <c r="A11" s="438" t="s">
        <v>501</v>
      </c>
      <c r="B11" s="439" t="s">
        <v>481</v>
      </c>
      <c r="C11" s="439" t="s">
        <v>502</v>
      </c>
      <c r="D11" s="440" t="s">
        <v>173</v>
      </c>
      <c r="E11" s="453" t="s">
        <v>173</v>
      </c>
      <c r="F11" s="459"/>
      <c r="G11" s="440"/>
      <c r="H11" s="593"/>
    </row>
    <row r="12" spans="1:8" s="46" customFormat="1">
      <c r="A12" s="438" t="s">
        <v>503</v>
      </c>
      <c r="B12" s="439" t="s">
        <v>173</v>
      </c>
      <c r="C12" s="440" t="s">
        <v>173</v>
      </c>
      <c r="D12" s="440" t="s">
        <v>173</v>
      </c>
      <c r="E12" s="444" t="s">
        <v>173</v>
      </c>
      <c r="F12" s="459" t="str">
        <f>IF(Is_project_a_Scattered_Site?="","",Is_project_a_Scattered_Site?)</f>
        <v/>
      </c>
      <c r="G12" s="440"/>
      <c r="H12" s="593"/>
    </row>
    <row r="13" spans="1:8" s="46" customFormat="1">
      <c r="A13" s="438" t="s">
        <v>504</v>
      </c>
      <c r="B13" s="439" t="s">
        <v>173</v>
      </c>
      <c r="C13" s="440" t="s">
        <v>173</v>
      </c>
      <c r="D13" s="440" t="s">
        <v>173</v>
      </c>
      <c r="E13" s="444" t="s">
        <v>173</v>
      </c>
      <c r="F13" s="461" t="str">
        <f>IF('3. Project Location'!H6="","",'3. Project Location'!H6)</f>
        <v/>
      </c>
      <c r="G13" s="440"/>
      <c r="H13" s="593"/>
    </row>
    <row r="14" spans="1:8" s="46" customFormat="1">
      <c r="A14" s="438" t="s">
        <v>505</v>
      </c>
      <c r="B14" s="439" t="s">
        <v>506</v>
      </c>
      <c r="C14" s="439" t="s">
        <v>507</v>
      </c>
      <c r="D14" s="439" t="s">
        <v>508</v>
      </c>
      <c r="E14" s="453" t="s">
        <v>509</v>
      </c>
      <c r="F14" s="22" t="str">
        <f>IF(Property_address="","",Property_address)</f>
        <v/>
      </c>
      <c r="G14" s="440"/>
      <c r="H14" s="593"/>
    </row>
    <row r="15" spans="1:8" s="46" customFormat="1">
      <c r="A15" s="438" t="s">
        <v>510</v>
      </c>
      <c r="B15" s="439" t="s">
        <v>506</v>
      </c>
      <c r="C15" s="439" t="s">
        <v>510</v>
      </c>
      <c r="D15" s="439" t="s">
        <v>510</v>
      </c>
      <c r="E15" s="453" t="s">
        <v>509</v>
      </c>
      <c r="F15" s="22" t="str">
        <f>IF(Property_City="","",Property_City)</f>
        <v/>
      </c>
      <c r="G15" s="440"/>
      <c r="H15" s="593"/>
    </row>
    <row r="16" spans="1:8" s="46" customFormat="1">
      <c r="A16" s="440" t="s">
        <v>225</v>
      </c>
      <c r="B16" s="439" t="s">
        <v>506</v>
      </c>
      <c r="C16" s="440" t="s">
        <v>225</v>
      </c>
      <c r="D16" s="444" t="s">
        <v>225</v>
      </c>
      <c r="E16" s="453" t="s">
        <v>509</v>
      </c>
      <c r="F16" s="458" t="s">
        <v>455</v>
      </c>
      <c r="G16" s="440"/>
      <c r="H16" s="593"/>
    </row>
    <row r="17" spans="1:8" s="46" customFormat="1">
      <c r="A17" s="438" t="s">
        <v>511</v>
      </c>
      <c r="B17" s="439" t="s">
        <v>506</v>
      </c>
      <c r="C17" s="439" t="s">
        <v>511</v>
      </c>
      <c r="D17" s="439" t="s">
        <v>512</v>
      </c>
      <c r="E17" s="453" t="s">
        <v>509</v>
      </c>
      <c r="F17" s="458" t="str">
        <f>IF(Property_County="","",Property_County&amp;" "&amp;"County")</f>
        <v/>
      </c>
      <c r="G17" s="440"/>
      <c r="H17" s="593"/>
    </row>
    <row r="18" spans="1:8" s="46" customFormat="1">
      <c r="A18" s="444" t="s">
        <v>513</v>
      </c>
      <c r="B18" s="439" t="s">
        <v>506</v>
      </c>
      <c r="C18" s="440" t="s">
        <v>514</v>
      </c>
      <c r="D18" s="444" t="s">
        <v>515</v>
      </c>
      <c r="E18" s="453" t="s">
        <v>509</v>
      </c>
      <c r="F18" s="22" t="str">
        <f>IF(Property_Zip_Code="","",Property_Zip_Code)</f>
        <v/>
      </c>
      <c r="G18" s="440"/>
      <c r="H18" s="593"/>
    </row>
    <row r="19" spans="1:8" s="46" customFormat="1">
      <c r="A19" s="444" t="s">
        <v>516</v>
      </c>
      <c r="B19" s="439" t="s">
        <v>506</v>
      </c>
      <c r="C19" s="440" t="s">
        <v>517</v>
      </c>
      <c r="D19" s="444" t="s">
        <v>518</v>
      </c>
      <c r="E19" s="453" t="s">
        <v>519</v>
      </c>
      <c r="F19" s="22" t="b">
        <f>IF('3. Project Location'!D13&lt;&gt;"YES",FALSE,TRUE)</f>
        <v>0</v>
      </c>
      <c r="G19" s="440" t="s">
        <v>520</v>
      </c>
      <c r="H19" s="593"/>
    </row>
    <row r="20" spans="1:8" s="46" customFormat="1">
      <c r="A20" s="444" t="s">
        <v>521</v>
      </c>
      <c r="B20" s="439" t="s">
        <v>506</v>
      </c>
      <c r="C20" s="440" t="s">
        <v>173</v>
      </c>
      <c r="D20" s="444" t="s">
        <v>521</v>
      </c>
      <c r="E20" s="453" t="s">
        <v>509</v>
      </c>
      <c r="F20" s="22" t="str">
        <f>IF(Property_Census_Tract="","",Property_Census_Tract)</f>
        <v/>
      </c>
      <c r="G20" s="440" t="s">
        <v>522</v>
      </c>
      <c r="H20" s="593"/>
    </row>
    <row r="21" spans="1:8" s="46" customFormat="1">
      <c r="A21" s="444" t="s">
        <v>523</v>
      </c>
      <c r="B21" s="439" t="s">
        <v>506</v>
      </c>
      <c r="C21" s="440" t="s">
        <v>524</v>
      </c>
      <c r="D21" s="444" t="s">
        <v>525</v>
      </c>
      <c r="E21" s="453" t="s">
        <v>526</v>
      </c>
      <c r="F21" s="22" t="b">
        <f>IF('3. Project Location'!F13&lt;&gt;"YES",FALSE,TRUE)</f>
        <v>0</v>
      </c>
      <c r="G21" s="440" t="s">
        <v>527</v>
      </c>
      <c r="H21" s="593"/>
    </row>
    <row r="22" spans="1:8" s="46" customFormat="1">
      <c r="A22" s="444" t="s">
        <v>528</v>
      </c>
      <c r="B22" s="444" t="s">
        <v>173</v>
      </c>
      <c r="C22" s="440" t="s">
        <v>173</v>
      </c>
      <c r="D22" s="444" t="s">
        <v>173</v>
      </c>
      <c r="E22" s="453" t="s">
        <v>173</v>
      </c>
      <c r="F22" s="460"/>
      <c r="G22" s="440"/>
      <c r="H22" s="593"/>
    </row>
    <row r="23" spans="1:8" s="46" customFormat="1">
      <c r="A23" s="440" t="s">
        <v>529</v>
      </c>
      <c r="B23" s="439" t="s">
        <v>506</v>
      </c>
      <c r="C23" s="440" t="s">
        <v>530</v>
      </c>
      <c r="D23" s="444" t="s">
        <v>531</v>
      </c>
      <c r="E23" s="453" t="s">
        <v>509</v>
      </c>
      <c r="F23" s="22" t="str">
        <f>IF(Revitalization="Yes","True","False")</f>
        <v>False</v>
      </c>
      <c r="G23" s="440"/>
      <c r="H23" s="593"/>
    </row>
    <row r="24" spans="1:8" s="49" customFormat="1">
      <c r="A24" s="1745" t="s">
        <v>532</v>
      </c>
      <c r="B24" s="1745"/>
      <c r="C24" s="1745"/>
      <c r="D24" s="1745"/>
      <c r="E24" s="1745"/>
      <c r="F24" s="452"/>
      <c r="G24" s="446"/>
      <c r="H24" s="594"/>
    </row>
    <row r="25" spans="1:8" s="46" customFormat="1">
      <c r="A25" s="444" t="s">
        <v>532</v>
      </c>
      <c r="B25" s="444" t="s">
        <v>533</v>
      </c>
      <c r="C25" s="444" t="s">
        <v>532</v>
      </c>
      <c r="D25" s="444" t="s">
        <v>532</v>
      </c>
      <c r="E25" s="453" t="s">
        <v>509</v>
      </c>
      <c r="F25" s="22" t="str">
        <f>IF(Political_Jurisdiction="","",Political_Jurisdiction)</f>
        <v/>
      </c>
      <c r="G25" s="440"/>
      <c r="H25" s="593"/>
    </row>
    <row r="26" spans="1:8" s="46" customFormat="1">
      <c r="A26" s="444" t="s">
        <v>534</v>
      </c>
      <c r="B26" s="444" t="s">
        <v>533</v>
      </c>
      <c r="C26" s="444" t="s">
        <v>534</v>
      </c>
      <c r="D26" s="444" t="s">
        <v>534</v>
      </c>
      <c r="E26" s="453" t="s">
        <v>509</v>
      </c>
      <c r="F26" s="22" t="str">
        <f>IF(Jurisdiction_CEO_First_Name="","",Jurisdiction_CEO_First_Name)</f>
        <v/>
      </c>
      <c r="G26" s="440"/>
      <c r="H26" s="593"/>
    </row>
    <row r="27" spans="1:8" s="46" customFormat="1">
      <c r="A27" s="444" t="s">
        <v>535</v>
      </c>
      <c r="B27" s="444" t="s">
        <v>533</v>
      </c>
      <c r="C27" s="444" t="s">
        <v>535</v>
      </c>
      <c r="D27" s="444" t="s">
        <v>535</v>
      </c>
      <c r="E27" s="453" t="s">
        <v>509</v>
      </c>
      <c r="F27" s="22" t="str">
        <f>IF(Jurisdiction_CEO_Last_Name="","",Jurisdiction_CEO_Last_Name)</f>
        <v/>
      </c>
      <c r="G27" s="440"/>
      <c r="H27" s="593"/>
    </row>
    <row r="28" spans="1:8" s="46" customFormat="1">
      <c r="A28" s="440" t="s">
        <v>536</v>
      </c>
      <c r="B28" s="444" t="s">
        <v>533</v>
      </c>
      <c r="C28" s="440" t="s">
        <v>536</v>
      </c>
      <c r="D28" s="440" t="s">
        <v>537</v>
      </c>
      <c r="E28" s="453" t="s">
        <v>509</v>
      </c>
      <c r="F28" s="22" t="str">
        <f>IF(Jurisdiction_Title="","",Jurisdiction_Title)</f>
        <v/>
      </c>
      <c r="G28" s="440"/>
      <c r="H28" s="593"/>
    </row>
    <row r="29" spans="1:8" s="46" customFormat="1">
      <c r="A29" s="444" t="s">
        <v>538</v>
      </c>
      <c r="B29" s="444" t="s">
        <v>533</v>
      </c>
      <c r="C29" s="444" t="s">
        <v>538</v>
      </c>
      <c r="D29" s="444" t="s">
        <v>538</v>
      </c>
      <c r="E29" s="453" t="s">
        <v>509</v>
      </c>
      <c r="F29" s="22" t="str">
        <f>IF(Jurisdiction_Street_Address="","",Jurisdiction_Street_Address)</f>
        <v/>
      </c>
      <c r="G29" s="440"/>
      <c r="H29" s="593"/>
    </row>
    <row r="30" spans="1:8" s="46" customFormat="1">
      <c r="A30" s="444" t="s">
        <v>539</v>
      </c>
      <c r="B30" s="444" t="s">
        <v>533</v>
      </c>
      <c r="C30" s="444" t="s">
        <v>539</v>
      </c>
      <c r="D30" s="444" t="s">
        <v>539</v>
      </c>
      <c r="E30" s="453" t="s">
        <v>509</v>
      </c>
      <c r="F30" s="22" t="str">
        <f>IF(Jurisdiction_City="","",Jurisdiction_City)</f>
        <v/>
      </c>
      <c r="G30" s="440"/>
      <c r="H30" s="593"/>
    </row>
    <row r="31" spans="1:8" s="46" customFormat="1">
      <c r="A31" s="444" t="s">
        <v>540</v>
      </c>
      <c r="B31" s="444" t="s">
        <v>533</v>
      </c>
      <c r="C31" s="444" t="s">
        <v>540</v>
      </c>
      <c r="D31" s="444" t="s">
        <v>540</v>
      </c>
      <c r="E31" s="453" t="s">
        <v>509</v>
      </c>
      <c r="F31" s="22" t="str">
        <f>IF(Jurisdiction_Zip_Code="","",Jurisdiction_Zip_Code)</f>
        <v/>
      </c>
      <c r="G31" s="440"/>
      <c r="H31" s="593"/>
    </row>
    <row r="32" spans="1:8" s="46" customFormat="1">
      <c r="A32" s="444" t="s">
        <v>541</v>
      </c>
      <c r="B32" s="444" t="s">
        <v>533</v>
      </c>
      <c r="C32" s="444" t="s">
        <v>541</v>
      </c>
      <c r="D32" s="444" t="s">
        <v>541</v>
      </c>
      <c r="E32" s="453" t="s">
        <v>509</v>
      </c>
      <c r="F32" s="22" t="str">
        <f>IF(Jurisdiction_Phone="","",Jurisdiction_Phone)</f>
        <v/>
      </c>
      <c r="G32" s="440"/>
      <c r="H32" s="593"/>
    </row>
    <row r="33" spans="1:8" s="46" customFormat="1">
      <c r="A33" s="444" t="s">
        <v>542</v>
      </c>
      <c r="B33" s="444" t="s">
        <v>533</v>
      </c>
      <c r="C33" s="444" t="s">
        <v>543</v>
      </c>
      <c r="D33" s="444" t="s">
        <v>543</v>
      </c>
      <c r="E33" s="453" t="s">
        <v>509</v>
      </c>
      <c r="F33" s="22" t="str">
        <f>IF(Jurisdiction_E_Mail_Address="","",Jurisdiction_E_Mail_Address)</f>
        <v/>
      </c>
      <c r="G33" s="440"/>
      <c r="H33" s="593"/>
    </row>
    <row r="34" spans="1:8" s="46" customFormat="1">
      <c r="A34" s="444"/>
      <c r="B34" s="444"/>
      <c r="C34" s="444"/>
      <c r="D34" s="444"/>
      <c r="E34" s="453"/>
      <c r="F34" s="444"/>
      <c r="G34" s="440"/>
      <c r="H34" s="593"/>
    </row>
    <row r="35" spans="1:8" s="46" customFormat="1">
      <c r="A35" s="444" t="s">
        <v>544</v>
      </c>
      <c r="B35" s="736" t="s">
        <v>545</v>
      </c>
      <c r="C35" s="444" t="s">
        <v>546</v>
      </c>
      <c r="D35" s="444" t="s">
        <v>544</v>
      </c>
      <c r="E35" s="453" t="s">
        <v>509</v>
      </c>
      <c r="F35" s="22">
        <f>'3. Project Location'!D25</f>
        <v>0</v>
      </c>
      <c r="G35" s="440"/>
      <c r="H35" s="593"/>
    </row>
    <row r="36" spans="1:8" s="46" customFormat="1">
      <c r="A36" s="444" t="s">
        <v>547</v>
      </c>
      <c r="B36" s="736" t="s">
        <v>545</v>
      </c>
      <c r="C36" s="444" t="s">
        <v>548</v>
      </c>
      <c r="D36" s="444" t="s">
        <v>547</v>
      </c>
      <c r="E36" s="453" t="s">
        <v>509</v>
      </c>
      <c r="F36" s="22" t="str">
        <f>'3. Project Location'!D26</f>
        <v/>
      </c>
      <c r="G36" s="440"/>
      <c r="H36" s="593"/>
    </row>
    <row r="37" spans="1:8" s="46" customFormat="1">
      <c r="A37" s="444" t="s">
        <v>549</v>
      </c>
      <c r="B37" s="736" t="s">
        <v>545</v>
      </c>
      <c r="C37" s="444" t="s">
        <v>550</v>
      </c>
      <c r="D37" s="444" t="s">
        <v>549</v>
      </c>
      <c r="E37" s="453" t="s">
        <v>509</v>
      </c>
      <c r="F37" s="22">
        <f>'3. Project Location'!D27</f>
        <v>0</v>
      </c>
      <c r="G37" s="440"/>
      <c r="H37" s="593"/>
    </row>
    <row r="38" spans="1:8" s="49" customFormat="1">
      <c r="A38" s="1746" t="s">
        <v>551</v>
      </c>
      <c r="B38" s="1746"/>
      <c r="C38" s="1746"/>
      <c r="D38" s="1746"/>
      <c r="E38" s="1746"/>
      <c r="F38" s="450"/>
      <c r="G38" s="445"/>
      <c r="H38" s="594"/>
    </row>
    <row r="39" spans="1:8" s="49" customFormat="1">
      <c r="A39" s="1745" t="s">
        <v>552</v>
      </c>
      <c r="B39" s="1745"/>
      <c r="C39" s="1745"/>
      <c r="D39" s="1745"/>
      <c r="E39" s="1745"/>
      <c r="F39" s="452"/>
      <c r="G39" s="446"/>
      <c r="H39" s="594"/>
    </row>
    <row r="40" spans="1:8" s="46" customFormat="1">
      <c r="A40" s="444" t="s">
        <v>208</v>
      </c>
      <c r="B40" s="444" t="s">
        <v>506</v>
      </c>
      <c r="C40" s="440" t="s">
        <v>553</v>
      </c>
      <c r="D40" s="444" t="s">
        <v>554</v>
      </c>
      <c r="E40" s="453" t="s">
        <v>509</v>
      </c>
      <c r="F40" s="513" t="str">
        <f>IF(Project_Type="","",Project_Type)</f>
        <v/>
      </c>
      <c r="G40" s="440"/>
      <c r="H40" s="593"/>
    </row>
    <row r="41" spans="1:8" s="46" customFormat="1">
      <c r="A41" s="444" t="s">
        <v>555</v>
      </c>
      <c r="B41" s="444" t="s">
        <v>506</v>
      </c>
      <c r="C41" s="440" t="s">
        <v>556</v>
      </c>
      <c r="D41" s="444" t="s">
        <v>17</v>
      </c>
      <c r="E41" s="453" t="s">
        <v>509</v>
      </c>
      <c r="F41" s="765" t="s">
        <v>557</v>
      </c>
      <c r="G41" s="766" t="s">
        <v>558</v>
      </c>
    </row>
    <row r="42" spans="1:8" s="46" customFormat="1">
      <c r="A42" s="438" t="s">
        <v>559</v>
      </c>
      <c r="B42" s="444" t="s">
        <v>506</v>
      </c>
      <c r="C42" s="439" t="s">
        <v>560</v>
      </c>
      <c r="D42" s="439" t="s">
        <v>561</v>
      </c>
      <c r="E42" s="453" t="s">
        <v>509</v>
      </c>
      <c r="F42" s="514">
        <f>New_Construction_Units</f>
        <v>0</v>
      </c>
      <c r="G42" s="440"/>
      <c r="H42" s="593"/>
    </row>
    <row r="43" spans="1:8" s="46" customFormat="1">
      <c r="A43" s="438" t="s">
        <v>562</v>
      </c>
      <c r="B43" s="439" t="s">
        <v>506</v>
      </c>
      <c r="C43" s="439" t="s">
        <v>563</v>
      </c>
      <c r="D43" s="439" t="s">
        <v>564</v>
      </c>
      <c r="E43" s="453" t="s">
        <v>509</v>
      </c>
      <c r="F43" s="22">
        <f>Acquisition_Rehab_Units</f>
        <v>0</v>
      </c>
      <c r="G43" s="440"/>
      <c r="H43" s="593"/>
    </row>
    <row r="44" spans="1:8" s="46" customFormat="1">
      <c r="A44" s="438" t="s">
        <v>565</v>
      </c>
      <c r="B44" s="439" t="s">
        <v>506</v>
      </c>
      <c r="C44" s="439" t="s">
        <v>566</v>
      </c>
      <c r="D44" s="439" t="s">
        <v>567</v>
      </c>
      <c r="E44" s="453" t="s">
        <v>509</v>
      </c>
      <c r="F44" s="468">
        <f>Adaptive_Reuse_Units</f>
        <v>0</v>
      </c>
      <c r="G44" s="440"/>
      <c r="H44" s="593"/>
    </row>
    <row r="45" spans="1:8" s="46" customFormat="1">
      <c r="A45" s="438" t="s">
        <v>568</v>
      </c>
      <c r="B45" s="439" t="s">
        <v>173</v>
      </c>
      <c r="C45" s="439" t="s">
        <v>173</v>
      </c>
      <c r="D45" s="439" t="s">
        <v>173</v>
      </c>
      <c r="E45" s="453" t="s">
        <v>173</v>
      </c>
      <c r="F45" s="467"/>
      <c r="G45" s="440" t="s">
        <v>569</v>
      </c>
      <c r="H45" s="593"/>
    </row>
    <row r="46" spans="1:8" s="46" customFormat="1">
      <c r="A46" s="438" t="s">
        <v>570</v>
      </c>
      <c r="B46" s="439" t="s">
        <v>173</v>
      </c>
      <c r="C46" s="439" t="s">
        <v>173</v>
      </c>
      <c r="D46" s="439" t="s">
        <v>173</v>
      </c>
      <c r="E46" s="453" t="s">
        <v>173</v>
      </c>
      <c r="F46" s="440"/>
      <c r="G46" s="440" t="s">
        <v>569</v>
      </c>
      <c r="H46" s="593"/>
    </row>
    <row r="47" spans="1:8" s="46" customFormat="1">
      <c r="A47" s="438" t="s">
        <v>571</v>
      </c>
      <c r="B47" s="439" t="s">
        <v>173</v>
      </c>
      <c r="C47" s="439" t="s">
        <v>173</v>
      </c>
      <c r="D47" s="439" t="s">
        <v>572</v>
      </c>
      <c r="E47" s="453" t="s">
        <v>509</v>
      </c>
      <c r="F47" t="b">
        <f>IF(Will_this_project_be_receiving_project_based_federal_rental_assistance?="Yes","True",FALSE)</f>
        <v>0</v>
      </c>
      <c r="G47" s="440"/>
      <c r="H47" s="593"/>
    </row>
    <row r="48" spans="1:8" s="46" customFormat="1">
      <c r="A48" s="438" t="s">
        <v>573</v>
      </c>
      <c r="B48" s="439" t="s">
        <v>574</v>
      </c>
      <c r="C48" s="439" t="s">
        <v>575</v>
      </c>
      <c r="D48" s="439" t="s">
        <v>575</v>
      </c>
      <c r="E48" s="453" t="s">
        <v>509</v>
      </c>
      <c r="F48" t="str">
        <f>IF(If_yes__provide_the_subsidy_source="","",If_yes__provide_the_subsidy_source)</f>
        <v/>
      </c>
      <c r="G48" s="440"/>
      <c r="H48" s="593"/>
    </row>
    <row r="49" spans="1:8" s="46" customFormat="1">
      <c r="A49" s="438" t="s">
        <v>576</v>
      </c>
      <c r="B49" s="439" t="s">
        <v>506</v>
      </c>
      <c r="C49" s="439" t="s">
        <v>577</v>
      </c>
      <c r="D49" s="439" t="s">
        <v>578</v>
      </c>
      <c r="E49" s="453" t="s">
        <v>509</v>
      </c>
      <c r="F49" t="str">
        <f>IF(And_Number_of_Units="","",And_Number_of_Units)</f>
        <v/>
      </c>
      <c r="G49" s="440"/>
      <c r="H49" s="593"/>
    </row>
    <row r="50" spans="1:8" s="46" customFormat="1">
      <c r="A50" s="508"/>
      <c r="B50" s="509"/>
      <c r="C50" s="509"/>
      <c r="D50" s="509"/>
      <c r="E50" s="510"/>
      <c r="F50" s="509"/>
      <c r="G50" s="512"/>
      <c r="H50" s="593"/>
    </row>
    <row r="51" spans="1:8" s="46" customFormat="1">
      <c r="A51" s="438" t="s">
        <v>579</v>
      </c>
      <c r="B51" s="439" t="s">
        <v>574</v>
      </c>
      <c r="C51" s="439" t="s">
        <v>580</v>
      </c>
      <c r="D51" s="439" t="s">
        <v>579</v>
      </c>
      <c r="E51" s="453" t="s">
        <v>509</v>
      </c>
      <c r="F51" s="59" t="str">
        <f>IF(HUD_RAD="","",(HUD_RAD))</f>
        <v/>
      </c>
      <c r="G51" s="440"/>
      <c r="H51" s="593"/>
    </row>
    <row r="52" spans="1:8" s="46" customFormat="1">
      <c r="A52" s="440" t="s">
        <v>581</v>
      </c>
      <c r="B52" s="439" t="s">
        <v>574</v>
      </c>
      <c r="C52" s="439" t="s">
        <v>582</v>
      </c>
      <c r="D52" s="439" t="s">
        <v>582</v>
      </c>
      <c r="E52" s="453" t="s">
        <v>509</v>
      </c>
      <c r="F52">
        <f>HUD_RAD_Number_of_Units</f>
        <v>0</v>
      </c>
      <c r="G52" s="440"/>
      <c r="H52" s="593"/>
    </row>
    <row r="53" spans="1:8" s="46" customFormat="1">
      <c r="A53" s="438" t="s">
        <v>583</v>
      </c>
      <c r="B53" s="439" t="s">
        <v>506</v>
      </c>
      <c r="C53" s="439" t="s">
        <v>584</v>
      </c>
      <c r="D53" s="439" t="s">
        <v>585</v>
      </c>
      <c r="E53" s="453" t="s">
        <v>509</v>
      </c>
      <c r="F53" t="str">
        <f>IF(RD_Rental_Assistance="Yes","True","False")</f>
        <v>False</v>
      </c>
      <c r="G53" s="440"/>
      <c r="H53" s="593"/>
    </row>
    <row r="54" spans="1:8" s="46" customFormat="1">
      <c r="A54" s="440" t="s">
        <v>586</v>
      </c>
      <c r="B54" s="439" t="s">
        <v>574</v>
      </c>
      <c r="C54" s="439" t="s">
        <v>587</v>
      </c>
      <c r="D54" s="439" t="s">
        <v>587</v>
      </c>
      <c r="E54" s="453" t="s">
        <v>509</v>
      </c>
      <c r="F54">
        <f>RD_Rental_Assistance_Number_of_Units</f>
        <v>0</v>
      </c>
      <c r="G54" s="440"/>
      <c r="H54" s="593"/>
    </row>
    <row r="55" spans="1:8" s="46" customFormat="1">
      <c r="A55" s="438" t="s">
        <v>588</v>
      </c>
      <c r="B55" s="440" t="s">
        <v>173</v>
      </c>
      <c r="C55" s="440" t="s">
        <v>173</v>
      </c>
      <c r="D55" s="440" t="s">
        <v>589</v>
      </c>
      <c r="E55" s="453" t="s">
        <v>509</v>
      </c>
      <c r="F55" t="str">
        <f>IF(Section_221_d__3__BMIR="Yes","True","False")</f>
        <v>False</v>
      </c>
      <c r="G55" s="440"/>
      <c r="H55" s="593"/>
    </row>
    <row r="56" spans="1:8" s="46" customFormat="1">
      <c r="A56" s="440" t="s">
        <v>590</v>
      </c>
      <c r="B56" s="439" t="s">
        <v>574</v>
      </c>
      <c r="C56" s="439" t="s">
        <v>591</v>
      </c>
      <c r="D56" s="439" t="s">
        <v>591</v>
      </c>
      <c r="E56" s="453" t="s">
        <v>509</v>
      </c>
      <c r="F56">
        <f>Section_221_d__3__BMIR_Number_of_Units</f>
        <v>0</v>
      </c>
      <c r="G56" s="440"/>
      <c r="H56" s="593"/>
    </row>
    <row r="57" spans="1:8" s="46" customFormat="1">
      <c r="A57" s="438" t="s">
        <v>592</v>
      </c>
      <c r="B57" s="439" t="s">
        <v>173</v>
      </c>
      <c r="C57" s="439" t="s">
        <v>173</v>
      </c>
      <c r="D57" s="439" t="s">
        <v>593</v>
      </c>
      <c r="E57" s="453" t="s">
        <v>509</v>
      </c>
      <c r="F57" t="str">
        <f>IF(Section_236="Yes","true","False")</f>
        <v>False</v>
      </c>
      <c r="G57" s="440"/>
      <c r="H57" s="593"/>
    </row>
    <row r="58" spans="1:8" s="46" customFormat="1">
      <c r="A58" s="440" t="s">
        <v>594</v>
      </c>
      <c r="B58" s="439" t="s">
        <v>574</v>
      </c>
      <c r="C58" s="439" t="s">
        <v>595</v>
      </c>
      <c r="D58" s="439" t="s">
        <v>595</v>
      </c>
      <c r="E58" s="453" t="s">
        <v>509</v>
      </c>
      <c r="F58">
        <f>Section_236_Number_of_Units</f>
        <v>0</v>
      </c>
      <c r="G58" s="440"/>
      <c r="H58" s="593"/>
    </row>
    <row r="59" spans="1:8" s="46" customFormat="1">
      <c r="A59" s="438" t="s">
        <v>596</v>
      </c>
      <c r="B59" s="439" t="s">
        <v>173</v>
      </c>
      <c r="C59" s="439" t="s">
        <v>173</v>
      </c>
      <c r="D59" s="439" t="s">
        <v>597</v>
      </c>
      <c r="E59" s="453" t="s">
        <v>509</v>
      </c>
      <c r="F59" t="str">
        <f>IF(Section_8_Rent_Supplemental_or_Rental_Assistance_Payment="Yes","True","False")</f>
        <v>False</v>
      </c>
      <c r="G59" s="440"/>
      <c r="H59" s="593"/>
    </row>
    <row r="60" spans="1:8" s="46" customFormat="1">
      <c r="A60" s="440" t="s">
        <v>598</v>
      </c>
      <c r="B60" s="439" t="s">
        <v>574</v>
      </c>
      <c r="C60" s="439" t="s">
        <v>599</v>
      </c>
      <c r="D60" s="439" t="s">
        <v>600</v>
      </c>
      <c r="E60" s="455" t="s">
        <v>509</v>
      </c>
      <c r="F60">
        <f>Section_8_Rent_Supplemental_or_Rental_Assistance_Payment_Number_of_Units</f>
        <v>0</v>
      </c>
      <c r="G60" s="440"/>
      <c r="H60" s="593"/>
    </row>
    <row r="61" spans="1:8" s="46" customFormat="1">
      <c r="A61" s="438" t="s">
        <v>601</v>
      </c>
      <c r="B61" s="439" t="s">
        <v>574</v>
      </c>
      <c r="C61" s="439" t="s">
        <v>602</v>
      </c>
      <c r="D61" s="439" t="s">
        <v>603</v>
      </c>
      <c r="E61" s="455" t="s">
        <v>509</v>
      </c>
      <c r="F61" s="59" t="str">
        <f>IF(Section_8_Housing_Assistance_Payment_Contract="","",Section_8_Housing_Assistance_Payment_Contract)</f>
        <v/>
      </c>
      <c r="G61" s="440" t="s">
        <v>604</v>
      </c>
      <c r="H61" s="593"/>
    </row>
    <row r="62" spans="1:8" s="46" customFormat="1">
      <c r="A62" s="440" t="s">
        <v>605</v>
      </c>
      <c r="B62" s="439" t="s">
        <v>574</v>
      </c>
      <c r="C62" s="439" t="s">
        <v>606</v>
      </c>
      <c r="D62" s="439" t="s">
        <v>607</v>
      </c>
      <c r="E62" s="455" t="s">
        <v>509</v>
      </c>
      <c r="F62">
        <f>Section_8_Housing_Assistance_Payment_Contract_Number_of_Units</f>
        <v>0</v>
      </c>
      <c r="G62" s="440"/>
      <c r="H62" s="593"/>
    </row>
    <row r="63" spans="1:8" s="46" customFormat="1">
      <c r="A63" s="438" t="s">
        <v>608</v>
      </c>
      <c r="B63" s="439" t="s">
        <v>574</v>
      </c>
      <c r="C63" s="439" t="s">
        <v>347</v>
      </c>
      <c r="D63" s="439" t="s">
        <v>347</v>
      </c>
      <c r="E63" s="455" t="s">
        <v>509</v>
      </c>
      <c r="F63" s="59" t="str">
        <f>IF(Other="","",Other)</f>
        <v/>
      </c>
      <c r="G63" s="440" t="s">
        <v>604</v>
      </c>
      <c r="H63" s="593"/>
    </row>
    <row r="64" spans="1:8" s="46" customFormat="1">
      <c r="A64" s="440" t="s">
        <v>609</v>
      </c>
      <c r="B64" s="439" t="s">
        <v>574</v>
      </c>
      <c r="C64" s="439" t="s">
        <v>610</v>
      </c>
      <c r="D64" s="439" t="s">
        <v>611</v>
      </c>
      <c r="E64" s="455" t="s">
        <v>509</v>
      </c>
      <c r="F64">
        <f>Other_Number_of_Units</f>
        <v>0</v>
      </c>
      <c r="G64" s="440"/>
      <c r="H64" s="593"/>
    </row>
    <row r="65" spans="1:8" s="46" customFormat="1">
      <c r="A65" s="511"/>
      <c r="B65" s="512"/>
      <c r="C65" s="512"/>
      <c r="D65" s="512"/>
      <c r="E65" s="512"/>
      <c r="F65" s="512"/>
      <c r="G65" s="512"/>
      <c r="H65" s="593"/>
    </row>
    <row r="66" spans="1:8" s="46" customFormat="1">
      <c r="A66" s="438" t="s">
        <v>612</v>
      </c>
      <c r="B66" s="439" t="s">
        <v>173</v>
      </c>
      <c r="C66" s="439" t="s">
        <v>173</v>
      </c>
      <c r="D66" s="439" t="s">
        <v>613</v>
      </c>
      <c r="E66" s="455" t="s">
        <v>509</v>
      </c>
      <c r="F66" t="str">
        <f>IF(Is_HUD_approval_for_transfer_of_physical_asset_required?="Yes","true","False")</f>
        <v>False</v>
      </c>
      <c r="G66" s="440" t="s">
        <v>614</v>
      </c>
      <c r="H66" s="593"/>
    </row>
    <row r="67" spans="1:8" s="46" customFormat="1">
      <c r="A67" s="438" t="s">
        <v>615</v>
      </c>
      <c r="B67" s="439" t="s">
        <v>574</v>
      </c>
      <c r="C67" s="439" t="s">
        <v>616</v>
      </c>
      <c r="D67" s="439" t="s">
        <v>617</v>
      </c>
      <c r="E67" s="455" t="s">
        <v>509</v>
      </c>
      <c r="F67" s="59" t="str">
        <f>IF(Is_RD_approval_for_transfer_of_physical_asset_required?="","",Is_RD_approval_for_transfer_of_physical_asset_required?)</f>
        <v/>
      </c>
      <c r="G67" s="440"/>
      <c r="H67" s="593"/>
    </row>
    <row r="68" spans="1:8" s="46" customFormat="1">
      <c r="A68" s="438" t="s">
        <v>618</v>
      </c>
      <c r="B68" s="439" t="s">
        <v>574</v>
      </c>
      <c r="C68" s="439" t="s">
        <v>619</v>
      </c>
      <c r="D68" s="439" t="s">
        <v>620</v>
      </c>
      <c r="E68" s="455" t="s">
        <v>509</v>
      </c>
      <c r="F68" s="59" t="str">
        <f>IF(Is_WHEDA_approval_for_transfer_of_physical_asset_required?="","",Is_WHEDA_approval_for_transfer_of_physical_asset_required?)</f>
        <v/>
      </c>
      <c r="G68" s="440"/>
      <c r="H68" s="593"/>
    </row>
    <row r="69" spans="1:8" s="46" customFormat="1">
      <c r="A69" s="438" t="s">
        <v>621</v>
      </c>
      <c r="B69" s="439" t="s">
        <v>574</v>
      </c>
      <c r="C69" s="439" t="s">
        <v>622</v>
      </c>
      <c r="D69" s="439" t="s">
        <v>623</v>
      </c>
      <c r="E69" s="455" t="s">
        <v>509</v>
      </c>
      <c r="F69" s="59" t="str">
        <f>IF(Any_existing_LURA?="","",Any_existing_LURA?)</f>
        <v/>
      </c>
      <c r="G69" s="440"/>
      <c r="H69" s="593"/>
    </row>
    <row r="70" spans="1:8" s="46" customFormat="1">
      <c r="A70" s="441" t="s">
        <v>624</v>
      </c>
      <c r="B70" s="442" t="s">
        <v>574</v>
      </c>
      <c r="C70" s="442" t="s">
        <v>625</v>
      </c>
      <c r="D70" s="439" t="s">
        <v>626</v>
      </c>
      <c r="E70" s="455" t="s">
        <v>509</v>
      </c>
      <c r="F70" t="str">
        <f>IF(LURA_Project_Number="","",LURA_Project_Number)</f>
        <v/>
      </c>
      <c r="G70" s="443"/>
      <c r="H70" s="593"/>
    </row>
    <row r="71" spans="1:8" s="49" customFormat="1">
      <c r="A71" s="1745" t="s">
        <v>627</v>
      </c>
      <c r="B71" s="1745"/>
      <c r="C71" s="1745"/>
      <c r="D71" s="1745"/>
      <c r="E71" s="1745"/>
      <c r="F71" s="452"/>
      <c r="G71" s="446"/>
      <c r="H71" s="594"/>
    </row>
    <row r="72" spans="1:8" s="49" customFormat="1">
      <c r="A72" s="438" t="s">
        <v>261</v>
      </c>
      <c r="B72" s="439" t="s">
        <v>173</v>
      </c>
      <c r="C72" s="439" t="s">
        <v>173</v>
      </c>
      <c r="D72" s="439" t="s">
        <v>173</v>
      </c>
      <c r="E72" s="439" t="s">
        <v>173</v>
      </c>
      <c r="F72" t="str">
        <f>IF(Family="Yes","True","False")</f>
        <v>False</v>
      </c>
      <c r="G72" s="440"/>
      <c r="H72" s="594"/>
    </row>
    <row r="73" spans="1:8" s="46" customFormat="1">
      <c r="A73" s="438" t="s">
        <v>628</v>
      </c>
      <c r="B73" s="439" t="s">
        <v>574</v>
      </c>
      <c r="C73" s="439" t="s">
        <v>628</v>
      </c>
      <c r="D73" s="455" t="s">
        <v>629</v>
      </c>
      <c r="E73" s="455" t="s">
        <v>509</v>
      </c>
      <c r="F73">
        <f>Family_Number_of_Units</f>
        <v>0</v>
      </c>
      <c r="G73" s="440"/>
      <c r="H73" s="593"/>
    </row>
    <row r="74" spans="1:8" s="46" customFormat="1">
      <c r="A74" s="438" t="s">
        <v>630</v>
      </c>
      <c r="B74" s="439" t="s">
        <v>173</v>
      </c>
      <c r="C74" s="439" t="s">
        <v>173</v>
      </c>
      <c r="D74" s="439" t="s">
        <v>173</v>
      </c>
      <c r="E74" s="439" t="s">
        <v>173</v>
      </c>
      <c r="F74" t="str">
        <f>IF(Elderly="Yes","True","False")</f>
        <v>False</v>
      </c>
      <c r="G74" s="440"/>
      <c r="H74" s="593"/>
    </row>
    <row r="75" spans="1:8" s="46" customFormat="1">
      <c r="A75" s="438" t="s">
        <v>631</v>
      </c>
      <c r="B75" s="439" t="s">
        <v>574</v>
      </c>
      <c r="C75" s="439" t="s">
        <v>631</v>
      </c>
      <c r="D75" s="455" t="s">
        <v>632</v>
      </c>
      <c r="E75" s="455" t="s">
        <v>509</v>
      </c>
      <c r="F75">
        <f>Age_Restricted_Number_of_Units</f>
        <v>0</v>
      </c>
      <c r="G75" s="440"/>
      <c r="H75" s="593"/>
    </row>
    <row r="76" spans="1:8" s="46" customFormat="1">
      <c r="A76" s="438" t="s">
        <v>633</v>
      </c>
      <c r="B76" s="439" t="s">
        <v>173</v>
      </c>
      <c r="C76" s="439" t="s">
        <v>173</v>
      </c>
      <c r="D76" s="439" t="s">
        <v>173</v>
      </c>
      <c r="E76" s="439" t="s">
        <v>173</v>
      </c>
      <c r="F76" t="str">
        <f>IF(Homeless="Yes","True","False")</f>
        <v>False</v>
      </c>
      <c r="G76" s="440"/>
      <c r="H76" s="593"/>
    </row>
    <row r="77" spans="1:8" s="46" customFormat="1">
      <c r="A77" s="438" t="s">
        <v>634</v>
      </c>
      <c r="B77" s="439" t="s">
        <v>574</v>
      </c>
      <c r="C77" s="439" t="s">
        <v>634</v>
      </c>
      <c r="D77" s="455" t="s">
        <v>635</v>
      </c>
      <c r="E77" s="455" t="s">
        <v>509</v>
      </c>
      <c r="F77">
        <f>Homeless_Number_of_Units</f>
        <v>0</v>
      </c>
      <c r="G77" s="440"/>
      <c r="H77" s="593"/>
    </row>
    <row r="78" spans="1:8" s="46" customFormat="1">
      <c r="A78" s="438" t="s">
        <v>636</v>
      </c>
      <c r="B78" s="439" t="s">
        <v>173</v>
      </c>
      <c r="C78" s="439" t="s">
        <v>173</v>
      </c>
      <c r="D78" s="439" t="s">
        <v>173</v>
      </c>
      <c r="E78" s="439" t="s">
        <v>173</v>
      </c>
      <c r="F78" t="str">
        <f>IF(Supportive_Housing="Yes","True","False")</f>
        <v>False</v>
      </c>
      <c r="G78" s="440"/>
      <c r="H78" s="593"/>
    </row>
    <row r="79" spans="1:8" s="46" customFormat="1">
      <c r="A79" s="438" t="s">
        <v>637</v>
      </c>
      <c r="B79" s="439" t="s">
        <v>574</v>
      </c>
      <c r="C79" s="439" t="s">
        <v>638</v>
      </c>
      <c r="D79" s="455" t="s">
        <v>639</v>
      </c>
      <c r="E79" s="455" t="s">
        <v>509</v>
      </c>
      <c r="F79">
        <f>Supportive_Housing_Number_of_Units</f>
        <v>0</v>
      </c>
      <c r="G79" s="440"/>
      <c r="H79" s="593"/>
    </row>
    <row r="80" spans="1:8" s="46" customFormat="1">
      <c r="A80" s="438" t="s">
        <v>640</v>
      </c>
      <c r="B80" s="439" t="s">
        <v>173</v>
      </c>
      <c r="C80" s="439" t="s">
        <v>173</v>
      </c>
      <c r="D80" s="439" t="s">
        <v>173</v>
      </c>
      <c r="E80" s="439" t="s">
        <v>173</v>
      </c>
      <c r="F80" t="str">
        <f>IF(Single_Room_Occupancy="Yes","True","False")</f>
        <v>False</v>
      </c>
      <c r="G80" s="440"/>
      <c r="H80" s="593"/>
    </row>
    <row r="81" spans="1:8" s="46" customFormat="1">
      <c r="A81" s="438" t="s">
        <v>641</v>
      </c>
      <c r="B81" s="439" t="s">
        <v>574</v>
      </c>
      <c r="C81" s="439" t="s">
        <v>641</v>
      </c>
      <c r="D81" s="439" t="s">
        <v>641</v>
      </c>
      <c r="E81" s="455" t="s">
        <v>509</v>
      </c>
      <c r="F81">
        <f>Single_Room_Occupancy_Number_of_Units</f>
        <v>0</v>
      </c>
      <c r="G81" s="440"/>
      <c r="H81" s="593"/>
    </row>
    <row r="82" spans="1:8" s="46" customFormat="1">
      <c r="A82" s="438" t="s">
        <v>642</v>
      </c>
      <c r="B82" s="439" t="s">
        <v>173</v>
      </c>
      <c r="C82" s="439" t="s">
        <v>173</v>
      </c>
      <c r="D82" s="439" t="s">
        <v>173</v>
      </c>
      <c r="E82" s="439" t="s">
        <v>173</v>
      </c>
      <c r="F82" t="str">
        <f>IF(CBRF="Yes","True","False")</f>
        <v>False</v>
      </c>
      <c r="G82" s="440"/>
      <c r="H82" s="593"/>
    </row>
    <row r="83" spans="1:8" s="46" customFormat="1">
      <c r="A83" s="438" t="s">
        <v>643</v>
      </c>
      <c r="B83" s="439" t="s">
        <v>574</v>
      </c>
      <c r="C83" s="439" t="s">
        <v>643</v>
      </c>
      <c r="D83" s="439" t="s">
        <v>643</v>
      </c>
      <c r="E83" s="455" t="s">
        <v>509</v>
      </c>
      <c r="F83">
        <f>CBRF_Number_of_Units</f>
        <v>0</v>
      </c>
      <c r="G83" s="440"/>
      <c r="H83" s="593"/>
    </row>
    <row r="84" spans="1:8" s="46" customFormat="1">
      <c r="A84" s="438" t="s">
        <v>644</v>
      </c>
      <c r="B84" s="439" t="s">
        <v>173</v>
      </c>
      <c r="C84" s="439" t="s">
        <v>173</v>
      </c>
      <c r="D84" s="439" t="s">
        <v>173</v>
      </c>
      <c r="E84" s="439" t="s">
        <v>173</v>
      </c>
      <c r="F84" t="str">
        <f>IF(RCAC="Yes","True","False")</f>
        <v>False</v>
      </c>
      <c r="G84" s="440"/>
      <c r="H84" s="593"/>
    </row>
    <row r="85" spans="1:8" s="46" customFormat="1">
      <c r="A85" s="438" t="s">
        <v>645</v>
      </c>
      <c r="B85" s="439" t="s">
        <v>574</v>
      </c>
      <c r="C85" s="439" t="s">
        <v>645</v>
      </c>
      <c r="D85" s="439" t="s">
        <v>645</v>
      </c>
      <c r="E85" s="455" t="s">
        <v>509</v>
      </c>
      <c r="F85">
        <f>RCAC_Number_of_Units</f>
        <v>0</v>
      </c>
      <c r="G85" s="440"/>
      <c r="H85" s="593"/>
    </row>
    <row r="86" spans="1:8" s="46" customFormat="1">
      <c r="A86" s="440" t="s">
        <v>646</v>
      </c>
      <c r="B86" s="439" t="s">
        <v>574</v>
      </c>
      <c r="C86" s="440" t="s">
        <v>647</v>
      </c>
      <c r="D86" s="440" t="s">
        <v>647</v>
      </c>
      <c r="E86" s="440" t="s">
        <v>509</v>
      </c>
      <c r="F86" s="59" t="str">
        <f>IF(AND(F73=0,F75=0,F77=0,F79=0,F81=0,F83=0,F85=0),"",IF(AND(F73&gt;F75,F73&gt;F77,F73&gt;F79,F73&gt;F81,F73&gt;F83,F73&gt;F85),"Family",IF(AND(F75&gt;F73,F75&gt;F77,F75&gt;F79,F75&gt;F81,F75&gt;F83,F75&gt;F85),"Elderly",IF(AND(F77&gt;F73,F77&gt;F75,F77&gt;F79,F77&gt;F81,F77&gt;F83,F77&gt;F85),"Homeless",IF(AND(F79&gt;F73,F79&gt;F75,F79&gt;F77,F79&gt;F81,F79&gt;F83,F79&gt;F85),"Supportive Housing",IF(AND(F81&gt;F73,F81&gt;F75,F81&gt;F77,F81&gt;F79,F81&gt;F83,F81&gt;F85),"Single Room Occupancy",IF(AND(F83&gt;F73,F83&gt;F75,F83&gt;F77,F83&gt;F79,F83&gt;F81,F83&gt;F85),"CBRF",IF(AND(F85&gt;F73,F85&gt;F75,F85&gt;F77,F85&gt;F79,F85&gt;F81,F85&gt;F83),"RCAC",IF(MATCH(F73,F75),"Family","")))))))))</f>
        <v/>
      </c>
      <c r="G86" s="440" t="s">
        <v>648</v>
      </c>
      <c r="H86" s="593"/>
    </row>
    <row r="87" spans="1:8" s="49" customFormat="1">
      <c r="A87" s="1745" t="s">
        <v>649</v>
      </c>
      <c r="B87" s="1745"/>
      <c r="C87" s="1745"/>
      <c r="D87" s="1745"/>
      <c r="E87" s="1745"/>
      <c r="F87" s="452"/>
      <c r="G87" s="446"/>
      <c r="H87" s="594"/>
    </row>
    <row r="88" spans="1:8" s="46" customFormat="1">
      <c r="A88" s="438" t="s">
        <v>650</v>
      </c>
      <c r="B88" s="439" t="s">
        <v>533</v>
      </c>
      <c r="C88" s="439" t="s">
        <v>651</v>
      </c>
      <c r="D88" s="439" t="s">
        <v>652</v>
      </c>
      <c r="E88" s="455" t="s">
        <v>509</v>
      </c>
      <c r="F88" s="59" t="str">
        <f>IF(Is_this_an_application_for_additional_credit?="","",Is_this_an_application_for_additional_credit?)</f>
        <v/>
      </c>
      <c r="G88" s="440"/>
      <c r="H88" s="593"/>
    </row>
    <row r="89" spans="1:8" s="46" customFormat="1">
      <c r="A89" s="438" t="s">
        <v>653</v>
      </c>
      <c r="B89" s="439" t="s">
        <v>533</v>
      </c>
      <c r="C89" s="439" t="s">
        <v>654</v>
      </c>
      <c r="D89" s="439" t="s">
        <v>655</v>
      </c>
      <c r="E89" s="455" t="s">
        <v>509</v>
      </c>
      <c r="F89" t="str">
        <f>IF(If_yes__list_name_of_project_and_WHEDA_application_number="","",If_yes__list_name_of_project_and_WHEDA_application_number)</f>
        <v/>
      </c>
      <c r="G89" s="440"/>
      <c r="H89" s="593"/>
    </row>
    <row r="90" spans="1:8" s="46" customFormat="1">
      <c r="A90" s="438" t="s">
        <v>656</v>
      </c>
      <c r="B90" s="439" t="s">
        <v>533</v>
      </c>
      <c r="C90" s="439" t="s">
        <v>657</v>
      </c>
      <c r="D90" s="439" t="s">
        <v>658</v>
      </c>
      <c r="E90" s="455" t="s">
        <v>509</v>
      </c>
      <c r="F90" s="59" t="str">
        <f>IF(Is_this_a_credit_application_for_a_property_that_has_completed_its_HTC_compliance_period?="","",Is_this_a_credit_application_for_a_property_that_has_completed_its_HTC_compliance_period?)</f>
        <v/>
      </c>
      <c r="G90" s="440"/>
      <c r="H90" s="593"/>
    </row>
    <row r="91" spans="1:8" s="46" customFormat="1">
      <c r="A91" s="438" t="s">
        <v>653</v>
      </c>
      <c r="B91" s="439" t="s">
        <v>533</v>
      </c>
      <c r="C91" s="439" t="s">
        <v>659</v>
      </c>
      <c r="D91" s="439" t="s">
        <v>660</v>
      </c>
      <c r="E91" s="455" t="s">
        <v>509</v>
      </c>
      <c r="F91" t="str">
        <f>IF(Name_Project_App_Nunber="","",Name_Project_App_Nunber)</f>
        <v/>
      </c>
      <c r="G91" s="440"/>
      <c r="H91" s="593"/>
    </row>
    <row r="92" spans="1:8" s="46" customFormat="1">
      <c r="A92" s="438" t="s">
        <v>661</v>
      </c>
      <c r="B92" s="439" t="s">
        <v>173</v>
      </c>
      <c r="C92" s="439" t="s">
        <v>173</v>
      </c>
      <c r="D92" s="439" t="s">
        <v>173</v>
      </c>
      <c r="E92" s="455" t="s">
        <v>173</v>
      </c>
      <c r="F92" s="515">
        <f>'4. Project Description'!D51</f>
        <v>0</v>
      </c>
      <c r="G92" s="440"/>
      <c r="H92" s="593"/>
    </row>
    <row r="93" spans="1:8" s="46" customFormat="1">
      <c r="A93" s="511"/>
      <c r="B93" s="512"/>
      <c r="C93" s="512"/>
      <c r="D93" s="512"/>
      <c r="E93" s="512"/>
      <c r="F93" s="512"/>
      <c r="G93" s="512"/>
      <c r="H93" s="593"/>
    </row>
    <row r="94" spans="1:8" s="46" customFormat="1">
      <c r="A94" s="438" t="s">
        <v>662</v>
      </c>
      <c r="B94" s="439" t="s">
        <v>533</v>
      </c>
      <c r="C94" s="439" t="s">
        <v>663</v>
      </c>
      <c r="D94" s="439" t="s">
        <v>662</v>
      </c>
      <c r="E94" s="455" t="s">
        <v>509</v>
      </c>
      <c r="F94" s="59" t="str">
        <f>IF(Set_Aside="","",Set_Aside)</f>
        <v/>
      </c>
      <c r="G94" s="440"/>
      <c r="H94" s="593"/>
    </row>
    <row r="95" spans="1:8" s="46" customFormat="1">
      <c r="A95" s="438" t="s">
        <v>664</v>
      </c>
      <c r="B95" s="439" t="s">
        <v>533</v>
      </c>
      <c r="C95" s="439" t="s">
        <v>665</v>
      </c>
      <c r="D95" s="439" t="s">
        <v>666</v>
      </c>
      <c r="E95" s="455" t="s">
        <v>509</v>
      </c>
      <c r="F95" s="59" t="str">
        <f>IF(Credit_percentage_applied_for="","",Credit_percentage_applied_for)</f>
        <v/>
      </c>
      <c r="G95" s="440"/>
      <c r="H95" s="593"/>
    </row>
    <row r="96" spans="1:8" s="46" customFormat="1">
      <c r="A96" s="438" t="s">
        <v>667</v>
      </c>
      <c r="B96" s="439" t="s">
        <v>173</v>
      </c>
      <c r="C96" s="439" t="s">
        <v>173</v>
      </c>
      <c r="D96" s="439" t="s">
        <v>173</v>
      </c>
      <c r="E96" s="455" t="s">
        <v>173</v>
      </c>
      <c r="F96" s="516"/>
      <c r="G96" s="440"/>
      <c r="H96" s="593"/>
    </row>
    <row r="97" spans="1:8" s="46" customFormat="1">
      <c r="A97" s="438" t="s">
        <v>668</v>
      </c>
      <c r="B97" s="439" t="s">
        <v>173</v>
      </c>
      <c r="C97" s="439" t="s">
        <v>173</v>
      </c>
      <c r="D97" s="439" t="s">
        <v>173</v>
      </c>
      <c r="E97" s="455" t="s">
        <v>173</v>
      </c>
      <c r="F97" s="516"/>
      <c r="G97" s="440"/>
      <c r="H97" s="593"/>
    </row>
    <row r="98" spans="1:8" s="46" customFormat="1">
      <c r="A98" s="511"/>
      <c r="B98" s="512"/>
      <c r="C98" s="512"/>
      <c r="D98" s="512"/>
      <c r="E98" s="512"/>
      <c r="F98" s="512"/>
      <c r="G98" s="512"/>
      <c r="H98" s="593"/>
    </row>
    <row r="99" spans="1:8" s="46" customFormat="1">
      <c r="A99" s="438" t="s">
        <v>669</v>
      </c>
      <c r="B99" s="439" t="s">
        <v>533</v>
      </c>
      <c r="C99" s="439" t="s">
        <v>670</v>
      </c>
      <c r="D99" s="439" t="s">
        <v>671</v>
      </c>
      <c r="E99" s="455" t="s">
        <v>509</v>
      </c>
      <c r="F99" s="59" t="str" cm="1">
        <f t="array" ref="F99">IFERROR(INDEX('ProLink Mapping'!N25:P25,MATCH(TRUE,'ProLink Mapping'!N25:P25&lt;&gt;"",0)),"")</f>
        <v/>
      </c>
      <c r="G99" s="440"/>
      <c r="H99" s="593"/>
    </row>
    <row r="100" spans="1:8" s="49" customFormat="1">
      <c r="A100" s="1745" t="s">
        <v>672</v>
      </c>
      <c r="B100" s="1745"/>
      <c r="C100" s="1745"/>
      <c r="D100" s="1745"/>
      <c r="E100" s="1745"/>
      <c r="F100" s="452"/>
      <c r="G100" s="446"/>
      <c r="H100" s="594"/>
    </row>
    <row r="101" spans="1:8" s="46" customFormat="1">
      <c r="A101" s="438" t="s">
        <v>673</v>
      </c>
      <c r="B101" s="439" t="s">
        <v>506</v>
      </c>
      <c r="C101" s="439" t="s">
        <v>173</v>
      </c>
      <c r="D101" s="439" t="s">
        <v>674</v>
      </c>
      <c r="E101" s="455" t="s">
        <v>509</v>
      </c>
      <c r="F101" t="str">
        <f>IF(Elevator_Building="Yes","True","False")</f>
        <v>False</v>
      </c>
      <c r="G101" s="440" t="s">
        <v>675</v>
      </c>
      <c r="H101" s="593"/>
    </row>
    <row r="102" spans="1:8" s="46" customFormat="1">
      <c r="A102" s="438" t="s">
        <v>676</v>
      </c>
      <c r="B102" s="439" t="s">
        <v>677</v>
      </c>
      <c r="C102" s="439" t="s">
        <v>678</v>
      </c>
      <c r="D102" s="439" t="s">
        <v>679</v>
      </c>
      <c r="E102" s="455" t="s">
        <v>509</v>
      </c>
      <c r="F102">
        <f>IF(Elevator_Building="",Number_of_Stories_No_Elevator,Number_of_Stories_Elevator)</f>
        <v>0</v>
      </c>
      <c r="G102" s="440"/>
      <c r="H102" s="593"/>
    </row>
    <row r="103" spans="1:8" s="46" customFormat="1">
      <c r="A103" s="438" t="s">
        <v>680</v>
      </c>
      <c r="B103" s="439" t="s">
        <v>173</v>
      </c>
      <c r="C103" s="439" t="s">
        <v>173</v>
      </c>
      <c r="D103" s="439" t="s">
        <v>173</v>
      </c>
      <c r="E103" s="455" t="s">
        <v>173</v>
      </c>
      <c r="F103" s="51" t="str">
        <f>IF(Non_elevator_Building="Yes","True","False")</f>
        <v>False</v>
      </c>
      <c r="G103" s="440"/>
      <c r="H103" s="593"/>
    </row>
    <row r="104" spans="1:8" s="46" customFormat="1">
      <c r="A104" s="438" t="s">
        <v>681</v>
      </c>
      <c r="B104" s="439" t="s">
        <v>173</v>
      </c>
      <c r="C104" s="439" t="s">
        <v>173</v>
      </c>
      <c r="D104" s="439" t="s">
        <v>173</v>
      </c>
      <c r="E104" s="455" t="s">
        <v>173</v>
      </c>
      <c r="F104" s="517">
        <f>Number_of_Stories_No_Elevator</f>
        <v>0</v>
      </c>
      <c r="G104" s="440"/>
      <c r="H104" s="593"/>
    </row>
    <row r="105" spans="1:8" s="46" customFormat="1">
      <c r="A105" s="438" t="s">
        <v>682</v>
      </c>
      <c r="B105" s="439" t="s">
        <v>173</v>
      </c>
      <c r="C105" s="439" t="s">
        <v>173</v>
      </c>
      <c r="D105" s="439" t="s">
        <v>173</v>
      </c>
      <c r="E105" s="455" t="s">
        <v>173</v>
      </c>
      <c r="F105" t="str">
        <f>IF(Row_House_Town_House="Yes","True","False")</f>
        <v>False</v>
      </c>
      <c r="G105" s="440"/>
      <c r="H105" s="593"/>
    </row>
    <row r="106" spans="1:8" s="46" customFormat="1">
      <c r="A106" s="438" t="s">
        <v>683</v>
      </c>
      <c r="B106" s="439" t="s">
        <v>173</v>
      </c>
      <c r="C106" s="439" t="s">
        <v>173</v>
      </c>
      <c r="D106" s="439" t="s">
        <v>173</v>
      </c>
      <c r="E106" s="455" t="s">
        <v>173</v>
      </c>
      <c r="F106" t="str">
        <f>IF(Detached_Single_Family="Yes","True","False")</f>
        <v>False</v>
      </c>
      <c r="G106" s="440"/>
      <c r="H106" s="593"/>
    </row>
    <row r="107" spans="1:8" s="46" customFormat="1">
      <c r="A107" s="438" t="s">
        <v>684</v>
      </c>
      <c r="B107" s="439" t="s">
        <v>173</v>
      </c>
      <c r="C107" s="439" t="s">
        <v>173</v>
      </c>
      <c r="D107" s="439" t="s">
        <v>173</v>
      </c>
      <c r="E107" s="455" t="s">
        <v>173</v>
      </c>
      <c r="F107" t="str">
        <f>IF(Detached_Two_Family__Duplex="Yes","True","False")</f>
        <v>False</v>
      </c>
      <c r="G107" s="440"/>
      <c r="H107" s="593"/>
    </row>
    <row r="108" spans="1:8" s="46" customFormat="1">
      <c r="A108" s="438" t="s">
        <v>685</v>
      </c>
      <c r="B108" s="439" t="s">
        <v>173</v>
      </c>
      <c r="C108" s="439" t="s">
        <v>173</v>
      </c>
      <c r="D108" s="439" t="s">
        <v>173</v>
      </c>
      <c r="E108" s="455" t="s">
        <v>173</v>
      </c>
      <c r="F108" s="517"/>
      <c r="G108" s="440"/>
      <c r="H108" s="593"/>
    </row>
    <row r="109" spans="1:8" s="46" customFormat="1">
      <c r="A109" s="438" t="s">
        <v>686</v>
      </c>
      <c r="B109" s="439" t="s">
        <v>677</v>
      </c>
      <c r="C109" s="438" t="s">
        <v>686</v>
      </c>
      <c r="D109" s="439" t="s">
        <v>239</v>
      </c>
      <c r="E109" s="455" t="s">
        <v>509</v>
      </c>
      <c r="F109" s="59" t="str" cm="1">
        <f t="array" ref="F109">IFERROR(INDEX('ProLink Mapping'!D38:H38,MATCH(TRUE,'ProLink Mapping'!D38:H38&lt;&gt;"",0)),"")</f>
        <v>Apartments</v>
      </c>
      <c r="G109" s="440" t="s">
        <v>687</v>
      </c>
      <c r="H109" s="593"/>
    </row>
    <row r="110" spans="1:8" s="49" customFormat="1">
      <c r="A110" s="1745" t="s">
        <v>688</v>
      </c>
      <c r="B110" s="1745"/>
      <c r="C110" s="1745"/>
      <c r="D110" s="1745"/>
      <c r="E110" s="1745"/>
      <c r="F110" s="452"/>
      <c r="G110" s="446"/>
      <c r="H110" s="594"/>
    </row>
    <row r="111" spans="1:8" s="46" customFormat="1">
      <c r="A111" s="438" t="s">
        <v>689</v>
      </c>
      <c r="B111" s="439" t="s">
        <v>173</v>
      </c>
      <c r="C111" s="439" t="s">
        <v>173</v>
      </c>
      <c r="D111" s="439" t="s">
        <v>173</v>
      </c>
      <c r="E111" s="455" t="s">
        <v>173</v>
      </c>
      <c r="F111" s="518" t="str">
        <f>IF('4. Project Description'!D72="","",'4. Project Description'!D72)</f>
        <v/>
      </c>
      <c r="G111" s="440"/>
      <c r="H111" s="593"/>
    </row>
    <row r="112" spans="1:8" s="46" customFormat="1">
      <c r="A112" s="438" t="s">
        <v>690</v>
      </c>
      <c r="B112" s="439" t="s">
        <v>173</v>
      </c>
      <c r="C112" s="439" t="s">
        <v>173</v>
      </c>
      <c r="D112" s="439" t="s">
        <v>173</v>
      </c>
      <c r="E112" s="455" t="s">
        <v>173</v>
      </c>
      <c r="F112" s="518">
        <f>'4. Project Description'!D73</f>
        <v>0</v>
      </c>
      <c r="G112" s="440"/>
      <c r="H112" s="593"/>
    </row>
    <row r="113" spans="1:8" s="46" customFormat="1">
      <c r="A113" s="438" t="s">
        <v>691</v>
      </c>
      <c r="B113" s="439" t="s">
        <v>173</v>
      </c>
      <c r="C113" s="439" t="s">
        <v>173</v>
      </c>
      <c r="D113" s="439" t="s">
        <v>173</v>
      </c>
      <c r="E113" s="455" t="s">
        <v>173</v>
      </c>
      <c r="F113" s="518">
        <f>'4. Project Description'!D74</f>
        <v>0</v>
      </c>
      <c r="G113" s="440"/>
      <c r="H113" s="593"/>
    </row>
    <row r="114" spans="1:8" s="46" customFormat="1">
      <c r="A114" s="438" t="s">
        <v>692</v>
      </c>
      <c r="B114" s="439" t="s">
        <v>173</v>
      </c>
      <c r="C114" s="439" t="s">
        <v>173</v>
      </c>
      <c r="D114" s="439" t="s">
        <v>173</v>
      </c>
      <c r="E114" s="455" t="s">
        <v>173</v>
      </c>
      <c r="F114" s="518">
        <f>'4. Project Description'!D75</f>
        <v>0</v>
      </c>
      <c r="G114" s="440"/>
      <c r="H114" s="593"/>
    </row>
    <row r="115" spans="1:8" s="49" customFormat="1">
      <c r="A115" s="1745" t="s">
        <v>693</v>
      </c>
      <c r="B115" s="1745"/>
      <c r="C115" s="1745"/>
      <c r="D115" s="1745"/>
      <c r="E115" s="1745"/>
      <c r="F115" s="452"/>
      <c r="G115" s="446"/>
      <c r="H115" s="594"/>
    </row>
    <row r="116" spans="1:8" s="46" customFormat="1">
      <c r="A116" s="438" t="s">
        <v>694</v>
      </c>
      <c r="B116" s="439" t="s">
        <v>695</v>
      </c>
      <c r="C116" s="439" t="s">
        <v>694</v>
      </c>
      <c r="D116" s="439" t="s">
        <v>694</v>
      </c>
      <c r="E116" s="455" t="s">
        <v>509</v>
      </c>
      <c r="F116" s="59" t="str">
        <f>IF(Rental="","",Rental)</f>
        <v/>
      </c>
      <c r="G116" s="440"/>
      <c r="H116" s="593"/>
    </row>
    <row r="117" spans="1:8" s="46" customFormat="1">
      <c r="A117" s="438" t="s">
        <v>696</v>
      </c>
      <c r="B117" s="439" t="s">
        <v>695</v>
      </c>
      <c r="C117" s="439" t="s">
        <v>696</v>
      </c>
      <c r="D117" s="438" t="s">
        <v>696</v>
      </c>
      <c r="E117" s="455" t="s">
        <v>509</v>
      </c>
      <c r="F117" s="59" t="str">
        <f>IF(Rental_Targeted_For_Eventual_Resident_Ownership="","",Rental_Targeted_For_Eventual_Resident_Ownership)</f>
        <v/>
      </c>
      <c r="G117" s="440"/>
      <c r="H117" s="593"/>
    </row>
    <row r="118" spans="1:8" s="49" customFormat="1">
      <c r="A118" s="1745" t="s">
        <v>697</v>
      </c>
      <c r="B118" s="1745"/>
      <c r="C118" s="1745"/>
      <c r="D118" s="1745"/>
      <c r="E118" s="1745"/>
      <c r="F118" s="452"/>
      <c r="G118" s="446"/>
      <c r="H118" s="594"/>
    </row>
    <row r="119" spans="1:8" s="46" customFormat="1">
      <c r="A119" s="438" t="s">
        <v>698</v>
      </c>
      <c r="B119" s="439" t="s">
        <v>173</v>
      </c>
      <c r="C119" s="439" t="s">
        <v>173</v>
      </c>
      <c r="D119" s="439" t="s">
        <v>173</v>
      </c>
      <c r="E119" s="439" t="s">
        <v>173</v>
      </c>
      <c r="F119" s="518">
        <f>Construction_Loan_Closing</f>
        <v>0</v>
      </c>
      <c r="G119" s="440"/>
      <c r="H119" s="593"/>
    </row>
    <row r="120" spans="1:8" s="46" customFormat="1">
      <c r="A120" s="438" t="s">
        <v>699</v>
      </c>
      <c r="B120" s="439" t="s">
        <v>700</v>
      </c>
      <c r="C120" s="439" t="s">
        <v>701</v>
      </c>
      <c r="D120" s="439" t="s">
        <v>701</v>
      </c>
      <c r="E120" s="455" t="s">
        <v>509</v>
      </c>
      <c r="F120" s="65" t="str">
        <f>IF(Construction_Start_Date="","",Construction_Start_Date)</f>
        <v/>
      </c>
      <c r="G120" s="440"/>
      <c r="H120" s="593"/>
    </row>
    <row r="121" spans="1:8" s="46" customFormat="1">
      <c r="A121" s="438" t="s">
        <v>702</v>
      </c>
      <c r="B121" s="439" t="s">
        <v>700</v>
      </c>
      <c r="C121" s="439" t="s">
        <v>703</v>
      </c>
      <c r="D121" s="439" t="s">
        <v>703</v>
      </c>
      <c r="E121" s="455" t="s">
        <v>509</v>
      </c>
      <c r="F121" s="65" t="str">
        <f>IF(Construction_Complete="","",Construction_Complete)</f>
        <v/>
      </c>
      <c r="G121" s="440"/>
      <c r="H121" s="593"/>
    </row>
    <row r="122" spans="1:8" s="46" customFormat="1">
      <c r="A122" s="438" t="s">
        <v>704</v>
      </c>
      <c r="B122" s="439" t="s">
        <v>173</v>
      </c>
      <c r="C122" s="439" t="s">
        <v>173</v>
      </c>
      <c r="D122" s="439" t="s">
        <v>173</v>
      </c>
      <c r="E122" s="439" t="s">
        <v>173</v>
      </c>
      <c r="F122" s="518">
        <f>Date_first_building_is_to_be_placed_in_service</f>
        <v>0</v>
      </c>
      <c r="G122" s="440"/>
      <c r="H122" s="593"/>
    </row>
    <row r="123" spans="1:8" s="46" customFormat="1">
      <c r="A123" s="438" t="s">
        <v>705</v>
      </c>
      <c r="B123" s="439" t="s">
        <v>173</v>
      </c>
      <c r="C123" s="439" t="s">
        <v>173</v>
      </c>
      <c r="D123" s="439" t="s">
        <v>173</v>
      </c>
      <c r="E123" s="439" t="s">
        <v>173</v>
      </c>
      <c r="F123" s="518">
        <f>Date_last_building_is_to_be_placed_in_service</f>
        <v>0</v>
      </c>
      <c r="G123" s="440"/>
      <c r="H123" s="593"/>
    </row>
    <row r="124" spans="1:8" s="46" customFormat="1">
      <c r="A124" s="438" t="s">
        <v>706</v>
      </c>
      <c r="B124" s="439" t="s">
        <v>173</v>
      </c>
      <c r="C124" s="439" t="s">
        <v>173</v>
      </c>
      <c r="D124" s="439" t="s">
        <v>173</v>
      </c>
      <c r="E124" s="439" t="s">
        <v>173</v>
      </c>
      <c r="F124" s="518">
        <f>'4. Project Description'!D93</f>
        <v>0</v>
      </c>
      <c r="G124" s="440"/>
      <c r="H124" s="593"/>
    </row>
    <row r="125" spans="1:8" s="46" customFormat="1">
      <c r="A125" s="438" t="s">
        <v>707</v>
      </c>
      <c r="B125" s="439" t="s">
        <v>173</v>
      </c>
      <c r="C125" s="439" t="s">
        <v>173</v>
      </c>
      <c r="D125" s="439" t="s">
        <v>173</v>
      </c>
      <c r="E125" s="439" t="s">
        <v>173</v>
      </c>
      <c r="F125" s="518">
        <f>'4. Project Description'!F93</f>
        <v>0</v>
      </c>
      <c r="G125" s="440"/>
      <c r="H125" s="593"/>
    </row>
    <row r="126" spans="1:8" s="46" customFormat="1">
      <c r="A126" s="511"/>
      <c r="B126" s="512"/>
      <c r="C126" s="512"/>
      <c r="D126" s="512"/>
      <c r="E126" s="512"/>
      <c r="F126" s="512"/>
      <c r="G126" s="512"/>
      <c r="H126" s="593"/>
    </row>
    <row r="127" spans="1:8" s="46" customFormat="1">
      <c r="A127" s="438" t="s">
        <v>708</v>
      </c>
      <c r="B127" s="439" t="s">
        <v>173</v>
      </c>
      <c r="C127" s="439" t="s">
        <v>173</v>
      </c>
      <c r="D127" s="439" t="s">
        <v>173</v>
      </c>
      <c r="E127" s="439" t="s">
        <v>173</v>
      </c>
      <c r="F127" s="518">
        <f>'4. Project Description'!F87</f>
        <v>0</v>
      </c>
      <c r="G127" s="440"/>
      <c r="H127" s="593"/>
    </row>
    <row r="128" spans="1:8" s="46" customFormat="1">
      <c r="A128" s="438" t="s">
        <v>709</v>
      </c>
      <c r="B128" s="439" t="s">
        <v>173</v>
      </c>
      <c r="C128" s="439" t="s">
        <v>173</v>
      </c>
      <c r="D128" s="439" t="s">
        <v>173</v>
      </c>
      <c r="E128" s="439" t="s">
        <v>173</v>
      </c>
      <c r="F128" s="518">
        <f>'4. Project Description'!F88</f>
        <v>0</v>
      </c>
      <c r="G128" s="440"/>
      <c r="H128" s="593"/>
    </row>
    <row r="129" spans="1:8" s="46" customFormat="1">
      <c r="A129" s="438" t="s">
        <v>710</v>
      </c>
      <c r="B129" s="439" t="s">
        <v>173</v>
      </c>
      <c r="C129" s="439" t="s">
        <v>173</v>
      </c>
      <c r="D129" s="439" t="s">
        <v>173</v>
      </c>
      <c r="E129" s="439" t="s">
        <v>173</v>
      </c>
      <c r="F129" s="518">
        <f>'4. Project Description'!F89</f>
        <v>0</v>
      </c>
      <c r="G129" s="440"/>
      <c r="H129" s="593"/>
    </row>
    <row r="130" spans="1:8" s="46" customFormat="1">
      <c r="A130" s="438"/>
      <c r="B130" s="439"/>
      <c r="C130" s="439"/>
      <c r="D130" s="439"/>
      <c r="E130" s="439"/>
      <c r="F130" s="518"/>
      <c r="G130" s="440"/>
      <c r="H130" s="593"/>
    </row>
    <row r="131" spans="1:8" s="597" customFormat="1">
      <c r="A131" s="1746" t="s">
        <v>711</v>
      </c>
      <c r="B131" s="1746"/>
      <c r="C131" s="1746"/>
      <c r="D131" s="1746"/>
      <c r="E131" s="1746"/>
      <c r="F131" s="1666"/>
      <c r="G131" s="1666"/>
      <c r="H131" s="600"/>
    </row>
    <row r="132" spans="1:8" s="598" customFormat="1">
      <c r="A132" s="1745" t="s">
        <v>712</v>
      </c>
      <c r="B132" s="1745"/>
      <c r="C132" s="1745"/>
      <c r="D132" s="1745"/>
      <c r="E132" s="1745"/>
      <c r="F132" s="1665"/>
      <c r="G132" s="1665"/>
      <c r="H132" s="601"/>
    </row>
    <row r="133" spans="1:8" s="599" customFormat="1">
      <c r="A133" s="438" t="s">
        <v>713</v>
      </c>
      <c r="B133" s="438" t="s">
        <v>700</v>
      </c>
      <c r="C133" s="438" t="s">
        <v>714</v>
      </c>
      <c r="D133" s="438" t="s">
        <v>714</v>
      </c>
      <c r="E133" s="438" t="s">
        <v>509</v>
      </c>
      <c r="F133" t="str">
        <f>IF(Developer_Name = "","",Developer_Name)</f>
        <v/>
      </c>
      <c r="G133" s="438"/>
      <c r="H133" s="595"/>
    </row>
    <row r="134" spans="1:8" s="599" customFormat="1">
      <c r="A134" s="438" t="s">
        <v>715</v>
      </c>
      <c r="B134" s="438" t="s">
        <v>700</v>
      </c>
      <c r="C134" s="438" t="s">
        <v>716</v>
      </c>
      <c r="D134" s="438" t="s">
        <v>716</v>
      </c>
      <c r="E134" s="438" t="s">
        <v>509</v>
      </c>
      <c r="F134" t="str">
        <f>DEV_Contact_First_Name&amp;" "&amp;DEV_Contact_Last_Name</f>
        <v xml:space="preserve"> </v>
      </c>
      <c r="G134" s="438"/>
      <c r="H134" s="595"/>
    </row>
    <row r="135" spans="1:8" s="599" customFormat="1">
      <c r="A135" s="438" t="s">
        <v>717</v>
      </c>
      <c r="B135" s="438" t="s">
        <v>700</v>
      </c>
      <c r="C135" s="438" t="s">
        <v>718</v>
      </c>
      <c r="D135" s="438" t="s">
        <v>718</v>
      </c>
      <c r="E135" s="438" t="s">
        <v>509</v>
      </c>
      <c r="F135" t="str">
        <f>IF(DEV_Telephone_Number="","",DEV_Telephone_Number)</f>
        <v/>
      </c>
      <c r="G135" s="438"/>
      <c r="H135" s="595"/>
    </row>
    <row r="136" spans="1:8" s="599" customFormat="1">
      <c r="A136" s="438" t="s">
        <v>719</v>
      </c>
      <c r="B136" s="438" t="s">
        <v>720</v>
      </c>
      <c r="C136" s="438" t="s">
        <v>721</v>
      </c>
      <c r="D136" s="438" t="s">
        <v>721</v>
      </c>
      <c r="E136" s="438" t="s">
        <v>509</v>
      </c>
      <c r="F136" s="59" t="str">
        <f>IF(Judgements="","",Judgements)</f>
        <v/>
      </c>
      <c r="G136" s="438"/>
      <c r="H136" s="595"/>
    </row>
    <row r="137" spans="1:8" s="599" customFormat="1">
      <c r="A137" s="438" t="s">
        <v>722</v>
      </c>
      <c r="B137" s="438" t="s">
        <v>720</v>
      </c>
      <c r="C137" s="438" t="s">
        <v>723</v>
      </c>
      <c r="D137" s="438" t="s">
        <v>723</v>
      </c>
      <c r="E137" s="438" t="s">
        <v>509</v>
      </c>
      <c r="F137" s="59" t="str">
        <f>IF(Litigation="","",Litigation)</f>
        <v/>
      </c>
      <c r="G137" s="438"/>
      <c r="H137" s="595"/>
    </row>
    <row r="138" spans="1:8" s="599" customFormat="1">
      <c r="A138" s="438" t="s">
        <v>724</v>
      </c>
      <c r="B138" s="438" t="s">
        <v>720</v>
      </c>
      <c r="C138" s="438" t="s">
        <v>725</v>
      </c>
      <c r="D138" s="438" t="s">
        <v>725</v>
      </c>
      <c r="E138" s="438" t="s">
        <v>509</v>
      </c>
      <c r="F138" s="59" t="str">
        <f>IF(Environmental_Issues="","",Environmental_Issues)</f>
        <v/>
      </c>
      <c r="G138" s="438"/>
      <c r="H138" s="595"/>
    </row>
    <row r="139" spans="1:8" s="599" customFormat="1">
      <c r="A139" s="438" t="s">
        <v>726</v>
      </c>
      <c r="B139" s="438" t="s">
        <v>720</v>
      </c>
      <c r="C139" s="438" t="s">
        <v>727</v>
      </c>
      <c r="D139" s="438" t="s">
        <v>727</v>
      </c>
      <c r="E139" s="438" t="s">
        <v>509</v>
      </c>
      <c r="F139" t="str">
        <f>IF(Explanation="","",Explanation)</f>
        <v/>
      </c>
      <c r="G139" s="438"/>
      <c r="H139" s="595"/>
    </row>
    <row r="140" spans="1:8" s="599" customFormat="1">
      <c r="A140" s="511"/>
      <c r="B140" s="512"/>
      <c r="C140" s="512"/>
      <c r="D140" s="512"/>
      <c r="E140" s="512"/>
      <c r="F140" s="512"/>
      <c r="G140" s="512" t="s">
        <v>728</v>
      </c>
      <c r="H140" s="595"/>
    </row>
    <row r="141" spans="1:8" s="597" customFormat="1">
      <c r="A141" s="1746" t="s">
        <v>729</v>
      </c>
      <c r="B141" s="1746"/>
      <c r="C141" s="1746"/>
      <c r="D141" s="1746"/>
      <c r="E141" s="1746"/>
      <c r="F141" s="1666"/>
      <c r="G141" s="1666"/>
      <c r="H141" s="600"/>
    </row>
    <row r="142" spans="1:8" s="598" customFormat="1">
      <c r="A142" s="1745" t="s">
        <v>730</v>
      </c>
      <c r="B142" s="1745"/>
      <c r="C142" s="1745"/>
      <c r="D142" s="1745"/>
      <c r="E142" s="1745"/>
      <c r="F142" s="1665"/>
      <c r="G142" s="1665"/>
      <c r="H142" s="601"/>
    </row>
    <row r="143" spans="1:8" s="599" customFormat="1">
      <c r="A143" s="438" t="s">
        <v>731</v>
      </c>
      <c r="B143" s="438"/>
      <c r="C143" s="438"/>
      <c r="D143" s="438"/>
      <c r="E143" s="438"/>
      <c r="F143" s="542"/>
      <c r="G143" s="438"/>
      <c r="H143" s="595"/>
    </row>
    <row r="144" spans="1:8" s="599" customFormat="1">
      <c r="A144" s="438" t="s">
        <v>732</v>
      </c>
      <c r="B144" s="438" t="s">
        <v>733</v>
      </c>
      <c r="C144" s="438" t="s">
        <v>732</v>
      </c>
      <c r="D144" s="438" t="s">
        <v>732</v>
      </c>
      <c r="E144" s="438" t="s">
        <v>734</v>
      </c>
      <c r="F144">
        <f>Total_Buildable_Acreage</f>
        <v>0</v>
      </c>
      <c r="G144" s="438"/>
      <c r="H144" s="595"/>
    </row>
    <row r="145" spans="1:8" s="599" customFormat="1">
      <c r="A145" s="438" t="s">
        <v>735</v>
      </c>
      <c r="B145" s="438" t="s">
        <v>733</v>
      </c>
      <c r="C145" s="438" t="s">
        <v>736</v>
      </c>
      <c r="D145" s="438" t="s">
        <v>737</v>
      </c>
      <c r="E145" s="438" t="s">
        <v>734</v>
      </c>
      <c r="F145" s="59" t="str">
        <f>IF(Demotition_Required="","",Demotition_Required)</f>
        <v/>
      </c>
      <c r="G145" s="438"/>
      <c r="H145" s="595"/>
    </row>
    <row r="146" spans="1:8" s="599" customFormat="1">
      <c r="A146" s="438" t="s">
        <v>738</v>
      </c>
      <c r="B146" s="438" t="s">
        <v>733</v>
      </c>
      <c r="C146" s="438" t="s">
        <v>739</v>
      </c>
      <c r="D146" s="438" t="s">
        <v>740</v>
      </c>
      <c r="E146" s="438" t="s">
        <v>734</v>
      </c>
      <c r="F146" s="59" t="str">
        <f>IF(Buildings_Occupied="","",Buildings_Occupied)</f>
        <v/>
      </c>
      <c r="G146" s="438"/>
      <c r="H146" s="595"/>
    </row>
    <row r="147" spans="1:8" s="599" customFormat="1">
      <c r="A147" s="438" t="s">
        <v>741</v>
      </c>
      <c r="B147" s="438" t="s">
        <v>733</v>
      </c>
      <c r="C147" s="438" t="s">
        <v>742</v>
      </c>
      <c r="D147" s="438" t="s">
        <v>743</v>
      </c>
      <c r="E147" s="438" t="s">
        <v>744</v>
      </c>
      <c r="F147" s="59" t="str">
        <f>IF(Temporary_Displaced="","",Temporary_Displaced)</f>
        <v/>
      </c>
      <c r="G147" s="438"/>
      <c r="H147" s="595"/>
    </row>
    <row r="148" spans="1:8" s="599" customFormat="1">
      <c r="A148" s="438" t="s">
        <v>745</v>
      </c>
      <c r="B148" s="438" t="s">
        <v>733</v>
      </c>
      <c r="C148" s="438" t="s">
        <v>746</v>
      </c>
      <c r="D148" s="438" t="s">
        <v>747</v>
      </c>
      <c r="E148" s="438" t="s">
        <v>744</v>
      </c>
      <c r="F148" s="59" t="str">
        <f>IF(Permanently_Displaced="","",Permanently_Displaced)</f>
        <v/>
      </c>
      <c r="G148" s="438"/>
      <c r="H148" s="595"/>
    </row>
    <row r="149" spans="1:8" s="599" customFormat="1">
      <c r="A149" s="438" t="s">
        <v>748</v>
      </c>
      <c r="B149" s="438" t="s">
        <v>733</v>
      </c>
      <c r="C149" s="438" t="s">
        <v>749</v>
      </c>
      <c r="D149" s="438" t="s">
        <v>750</v>
      </c>
      <c r="E149" s="438" t="s">
        <v>744</v>
      </c>
      <c r="F149" s="59" t="str">
        <f>IF(Flood_Zone="","",Flood_Zone)</f>
        <v/>
      </c>
      <c r="G149" s="438"/>
      <c r="H149" s="595"/>
    </row>
    <row r="150" spans="1:8" s="598" customFormat="1">
      <c r="A150" s="1745" t="s">
        <v>751</v>
      </c>
      <c r="B150" s="1745"/>
      <c r="C150" s="1745"/>
      <c r="D150" s="1745"/>
      <c r="E150" s="1745"/>
      <c r="F150" s="1665"/>
      <c r="G150" s="1665"/>
      <c r="H150" s="601"/>
    </row>
    <row r="151" spans="1:8" s="599" customFormat="1">
      <c r="A151" s="438" t="s">
        <v>752</v>
      </c>
      <c r="B151" s="438"/>
      <c r="C151" s="438"/>
      <c r="D151" s="438"/>
      <c r="E151" s="438"/>
      <c r="F151" s="438"/>
      <c r="G151" s="438"/>
      <c r="H151" s="595"/>
    </row>
    <row r="152" spans="1:8" s="597" customFormat="1">
      <c r="A152" s="1746" t="s">
        <v>753</v>
      </c>
      <c r="B152" s="1746"/>
      <c r="C152" s="1746"/>
      <c r="D152" s="1746"/>
      <c r="E152" s="1746"/>
      <c r="F152" s="1666"/>
      <c r="G152" s="1666"/>
      <c r="H152" s="600"/>
    </row>
    <row r="153" spans="1:8" s="598" customFormat="1">
      <c r="A153" s="1745" t="s">
        <v>754</v>
      </c>
      <c r="B153" s="1745"/>
      <c r="C153" s="1745"/>
      <c r="D153" s="1745"/>
      <c r="E153" s="1745"/>
      <c r="F153" s="1665"/>
      <c r="G153" s="1665"/>
      <c r="H153" s="601"/>
    </row>
    <row r="154" spans="1:8" s="599" customFormat="1">
      <c r="A154" s="438" t="s">
        <v>752</v>
      </c>
      <c r="B154" s="438"/>
      <c r="C154" s="438"/>
      <c r="D154" s="438"/>
      <c r="E154" s="438"/>
      <c r="F154" s="438"/>
      <c r="G154" s="438"/>
      <c r="H154" s="595"/>
    </row>
    <row r="155" spans="1:8" s="597" customFormat="1">
      <c r="A155" s="1746" t="s">
        <v>755</v>
      </c>
      <c r="B155" s="1746"/>
      <c r="C155" s="1746"/>
      <c r="D155" s="1746"/>
      <c r="E155" s="1746"/>
      <c r="F155" s="1666"/>
      <c r="G155" s="1666"/>
      <c r="H155" s="600"/>
    </row>
    <row r="156" spans="1:8" s="598" customFormat="1">
      <c r="A156" s="1745" t="s">
        <v>756</v>
      </c>
      <c r="B156" s="1745"/>
      <c r="C156" s="1745"/>
      <c r="D156" s="1745"/>
      <c r="E156" s="1745"/>
      <c r="F156" s="1665"/>
      <c r="G156" s="1665"/>
      <c r="H156" s="601"/>
    </row>
    <row r="157" spans="1:8" s="599" customFormat="1">
      <c r="A157" s="438" t="s">
        <v>752</v>
      </c>
      <c r="B157" s="438"/>
      <c r="C157" s="438"/>
      <c r="D157" s="438"/>
      <c r="E157" s="438"/>
      <c r="F157" s="438"/>
      <c r="G157" s="438"/>
      <c r="H157" s="595"/>
    </row>
    <row r="158" spans="1:8" s="597" customFormat="1">
      <c r="A158" s="1746" t="s">
        <v>757</v>
      </c>
      <c r="B158" s="1746"/>
      <c r="C158" s="1746"/>
      <c r="D158" s="1746"/>
      <c r="E158" s="1746"/>
      <c r="F158" s="1666"/>
      <c r="G158" s="1666"/>
      <c r="H158" s="600"/>
    </row>
    <row r="159" spans="1:8" s="598" customFormat="1">
      <c r="A159" s="1745" t="s">
        <v>758</v>
      </c>
      <c r="B159" s="1745"/>
      <c r="C159" s="1745"/>
      <c r="D159" s="1745"/>
      <c r="E159" s="1745"/>
      <c r="F159" s="1665"/>
      <c r="G159" s="1665"/>
      <c r="H159" s="601"/>
    </row>
    <row r="160" spans="1:8" s="599" customFormat="1">
      <c r="A160" s="438" t="s">
        <v>759</v>
      </c>
      <c r="B160" s="438" t="s">
        <v>760</v>
      </c>
      <c r="C160" s="438" t="s">
        <v>759</v>
      </c>
      <c r="D160" s="438" t="s">
        <v>759</v>
      </c>
      <c r="E160" s="438" t="s">
        <v>734</v>
      </c>
      <c r="F160" t="str">
        <f>UPPER(IF(Owner_Name = "","",Owner_Name))</f>
        <v/>
      </c>
      <c r="G160" s="438"/>
      <c r="H160" s="595"/>
    </row>
    <row r="161" spans="1:8" s="599" customFormat="1">
      <c r="A161" s="438" t="s">
        <v>761</v>
      </c>
      <c r="B161" s="438" t="s">
        <v>760</v>
      </c>
      <c r="C161" s="438" t="s">
        <v>761</v>
      </c>
      <c r="D161" s="438" t="s">
        <v>762</v>
      </c>
      <c r="E161" s="438" t="s">
        <v>734</v>
      </c>
      <c r="F161" t="str">
        <f>IF(Ownership_Contact_Person_First_Name="","",Ownership_Contact_Person_First_Name)</f>
        <v/>
      </c>
      <c r="G161" s="438"/>
      <c r="H161" s="595"/>
    </row>
    <row r="162" spans="1:8" s="599" customFormat="1">
      <c r="A162" s="438" t="s">
        <v>761</v>
      </c>
      <c r="B162" s="438" t="s">
        <v>760</v>
      </c>
      <c r="C162" s="438" t="s">
        <v>761</v>
      </c>
      <c r="D162" s="438" t="s">
        <v>763</v>
      </c>
      <c r="E162" s="438" t="s">
        <v>734</v>
      </c>
      <c r="F162" t="str">
        <f>IF(Ownership_Contact_Person_Last_Name="","",Ownership_Contact_Person_Last_Name)</f>
        <v/>
      </c>
      <c r="G162" s="438"/>
      <c r="H162" s="595"/>
    </row>
    <row r="163" spans="1:8" s="599" customFormat="1">
      <c r="A163" s="438" t="s">
        <v>510</v>
      </c>
      <c r="B163" s="438" t="s">
        <v>764</v>
      </c>
      <c r="C163" s="438" t="s">
        <v>510</v>
      </c>
      <c r="D163" s="438" t="s">
        <v>765</v>
      </c>
      <c r="E163" s="438" t="s">
        <v>744</v>
      </c>
      <c r="F163" t="str">
        <f>IF(Owner_City="","",Owner_City)</f>
        <v/>
      </c>
      <c r="G163" s="438"/>
      <c r="H163" s="595"/>
    </row>
    <row r="164" spans="1:8" s="599" customFormat="1">
      <c r="A164" s="438" t="s">
        <v>225</v>
      </c>
      <c r="B164" s="438" t="s">
        <v>764</v>
      </c>
      <c r="C164" s="438" t="s">
        <v>766</v>
      </c>
      <c r="D164" s="438" t="s">
        <v>767</v>
      </c>
      <c r="E164" s="438" t="s">
        <v>484</v>
      </c>
      <c r="F164" s="59" t="str">
        <f>IF(Owner_State="","",Owner_State)</f>
        <v/>
      </c>
      <c r="G164" s="438"/>
      <c r="H164" s="595"/>
    </row>
    <row r="165" spans="1:8" s="599" customFormat="1">
      <c r="A165" s="438" t="s">
        <v>768</v>
      </c>
      <c r="B165" s="438" t="s">
        <v>764</v>
      </c>
      <c r="C165" s="438" t="s">
        <v>769</v>
      </c>
      <c r="D165" s="438" t="s">
        <v>770</v>
      </c>
      <c r="E165" s="438" t="s">
        <v>771</v>
      </c>
      <c r="F165" t="str">
        <f>IF(Owner_Zip="","",Owner_Zip)</f>
        <v/>
      </c>
      <c r="G165" s="438"/>
      <c r="H165" s="595"/>
    </row>
    <row r="166" spans="1:8" s="599" customFormat="1">
      <c r="A166" s="1746" t="s">
        <v>772</v>
      </c>
      <c r="B166" s="1746"/>
      <c r="C166" s="1746"/>
      <c r="D166" s="1746"/>
      <c r="E166" s="1746"/>
      <c r="F166" s="438"/>
      <c r="G166" s="438"/>
      <c r="H166" s="595"/>
    </row>
    <row r="167" spans="1:8" s="599" customFormat="1">
      <c r="A167" s="1745"/>
      <c r="B167" s="1745"/>
      <c r="C167" s="1745"/>
      <c r="D167" s="1745"/>
      <c r="E167" s="1745"/>
      <c r="F167" s="438"/>
      <c r="G167" s="438"/>
      <c r="H167" s="595"/>
    </row>
    <row r="168" spans="1:8">
      <c r="A168" s="1746" t="s">
        <v>773</v>
      </c>
      <c r="B168" s="1746"/>
      <c r="C168" s="1746"/>
      <c r="D168" s="1746"/>
      <c r="E168" s="1746"/>
      <c r="F168" s="1666"/>
      <c r="G168" s="1666"/>
    </row>
    <row r="169" spans="1:8" s="599" customFormat="1">
      <c r="A169" s="438" t="s">
        <v>774</v>
      </c>
      <c r="B169" s="438" t="s">
        <v>720</v>
      </c>
      <c r="C169" s="438" t="s">
        <v>774</v>
      </c>
      <c r="D169" s="438" t="s">
        <v>774</v>
      </c>
      <c r="E169" s="438" t="s">
        <v>509</v>
      </c>
      <c r="F169" s="485" t="b">
        <f>IF('10. Project and Unit Amenities'!D19&lt;&gt;"YES",FALSE,TRUE)</f>
        <v>0</v>
      </c>
      <c r="G169" s="438"/>
      <c r="H169" s="595"/>
    </row>
    <row r="170" spans="1:8" s="599" customFormat="1">
      <c r="A170" s="438" t="s">
        <v>775</v>
      </c>
      <c r="B170" s="438" t="s">
        <v>720</v>
      </c>
      <c r="C170" s="438" t="s">
        <v>776</v>
      </c>
      <c r="D170" s="438" t="s">
        <v>776</v>
      </c>
      <c r="E170" s="438" t="s">
        <v>509</v>
      </c>
      <c r="F170" s="485">
        <f>ROUND('10. Project and Unit Amenities'!J26,0)</f>
        <v>0</v>
      </c>
      <c r="G170" s="438"/>
      <c r="H170" s="595"/>
    </row>
    <row r="171" spans="1:8" s="599" customFormat="1">
      <c r="A171" s="438"/>
      <c r="B171" s="438"/>
      <c r="C171" s="438"/>
      <c r="D171" s="438"/>
      <c r="E171" s="438"/>
      <c r="F171" s="438"/>
      <c r="G171" s="438"/>
      <c r="H171" s="595"/>
    </row>
    <row r="172" spans="1:8" s="599" customFormat="1">
      <c r="A172" s="1746" t="s">
        <v>777</v>
      </c>
      <c r="B172" s="1746"/>
      <c r="C172" s="1746"/>
      <c r="D172" s="1746"/>
      <c r="E172" s="1746"/>
      <c r="F172" s="1666"/>
      <c r="G172" s="1666"/>
      <c r="H172" s="595"/>
    </row>
    <row r="173" spans="1:8" s="599" customFormat="1">
      <c r="A173" s="438" t="s">
        <v>778</v>
      </c>
      <c r="B173" s="438" t="s">
        <v>720</v>
      </c>
      <c r="C173" s="438" t="s">
        <v>779</v>
      </c>
      <c r="D173" s="438" t="s">
        <v>780</v>
      </c>
      <c r="E173" s="438" t="s">
        <v>509</v>
      </c>
      <c r="F173" s="485">
        <f>'12. Funding Sources'!I44</f>
        <v>0</v>
      </c>
      <c r="G173" s="438" t="s">
        <v>781</v>
      </c>
      <c r="H173" s="595"/>
    </row>
    <row r="174" spans="1:8" s="599" customFormat="1">
      <c r="A174" s="438" t="s">
        <v>782</v>
      </c>
      <c r="B174" s="438" t="s">
        <v>720</v>
      </c>
      <c r="C174" s="438" t="s">
        <v>779</v>
      </c>
      <c r="D174" s="438" t="s">
        <v>783</v>
      </c>
      <c r="E174" s="438" t="s">
        <v>509</v>
      </c>
      <c r="F174" s="485">
        <f>'12. Funding Sources'!I46</f>
        <v>0</v>
      </c>
      <c r="G174" s="438" t="s">
        <v>784</v>
      </c>
      <c r="H174" s="595"/>
    </row>
    <row r="175" spans="1:8" s="599" customFormat="1">
      <c r="A175" s="438"/>
      <c r="B175" s="438"/>
      <c r="C175" s="438"/>
      <c r="D175" s="438"/>
      <c r="E175" s="438"/>
      <c r="F175" s="438"/>
      <c r="G175" s="438"/>
      <c r="H175" s="595"/>
    </row>
    <row r="176" spans="1:8">
      <c r="A176" s="1746" t="s">
        <v>785</v>
      </c>
      <c r="B176" s="1746"/>
      <c r="C176" s="1746"/>
      <c r="D176" s="1746"/>
      <c r="E176" s="1746"/>
      <c r="F176" s="1666"/>
      <c r="G176" s="1666"/>
    </row>
    <row r="177" spans="1:8" s="606" customFormat="1">
      <c r="A177" s="604"/>
      <c r="B177" s="604"/>
      <c r="C177" s="604"/>
      <c r="D177" s="604"/>
      <c r="E177" s="604"/>
      <c r="F177" s="604"/>
      <c r="G177" s="604"/>
      <c r="H177" s="605"/>
    </row>
    <row r="178" spans="1:8" s="599" customFormat="1">
      <c r="A178" s="438" t="s">
        <v>786</v>
      </c>
      <c r="B178" s="438" t="s">
        <v>787</v>
      </c>
      <c r="C178" s="438" t="s">
        <v>788</v>
      </c>
      <c r="D178" s="438" t="s">
        <v>788</v>
      </c>
      <c r="E178" s="438" t="s">
        <v>744</v>
      </c>
      <c r="F178" s="608">
        <f>'14. Project Costs'!H159</f>
        <v>0</v>
      </c>
      <c r="G178" s="438"/>
      <c r="H178" s="595"/>
    </row>
    <row r="179" spans="1:8" s="599" customFormat="1">
      <c r="A179" s="438" t="s">
        <v>789</v>
      </c>
      <c r="B179" s="438" t="s">
        <v>787</v>
      </c>
      <c r="C179" s="438" t="s">
        <v>790</v>
      </c>
      <c r="D179" s="438" t="s">
        <v>790</v>
      </c>
      <c r="E179" s="438" t="s">
        <v>744</v>
      </c>
      <c r="F179" s="608">
        <f>'14. Project Costs'!M159</f>
        <v>0</v>
      </c>
      <c r="G179" s="438"/>
      <c r="H179" s="595"/>
    </row>
    <row r="180" spans="1:8" s="599" customFormat="1">
      <c r="A180" s="438" t="s">
        <v>791</v>
      </c>
      <c r="B180" s="438" t="s">
        <v>787</v>
      </c>
      <c r="C180" s="438" t="s">
        <v>792</v>
      </c>
      <c r="D180" s="438" t="s">
        <v>792</v>
      </c>
      <c r="E180" s="438" t="s">
        <v>744</v>
      </c>
      <c r="F180" s="608">
        <f>'14. Project Costs'!N159</f>
        <v>0</v>
      </c>
      <c r="G180" s="438"/>
      <c r="H180" s="595"/>
    </row>
    <row r="181" spans="1:8" s="599" customFormat="1">
      <c r="A181" s="438" t="s">
        <v>793</v>
      </c>
      <c r="B181" s="438" t="s">
        <v>787</v>
      </c>
      <c r="C181" s="438" t="s">
        <v>794</v>
      </c>
      <c r="D181" s="438" t="s">
        <v>794</v>
      </c>
      <c r="E181" s="438" t="s">
        <v>744</v>
      </c>
      <c r="F181" s="607">
        <f>PC_SFT_Accting_Fees_4</f>
        <v>0</v>
      </c>
      <c r="G181" s="438"/>
      <c r="H181" s="595"/>
    </row>
    <row r="182" spans="1:8" s="599" customFormat="1">
      <c r="A182" s="438" t="s">
        <v>795</v>
      </c>
      <c r="B182" s="438" t="s">
        <v>787</v>
      </c>
      <c r="C182" s="438" t="s">
        <v>796</v>
      </c>
      <c r="D182" s="438" t="s">
        <v>797</v>
      </c>
      <c r="E182" s="438" t="s">
        <v>744</v>
      </c>
      <c r="F182" s="608">
        <f>'14. Project Costs'!G159</f>
        <v>0</v>
      </c>
      <c r="G182" s="438"/>
      <c r="H182" s="595"/>
    </row>
    <row r="183" spans="1:8" s="599" customFormat="1">
      <c r="A183" s="438" t="s">
        <v>798</v>
      </c>
      <c r="B183" s="438" t="s">
        <v>787</v>
      </c>
      <c r="C183" s="438" t="s">
        <v>799</v>
      </c>
      <c r="D183" s="438" t="s">
        <v>799</v>
      </c>
      <c r="E183" s="438" t="s">
        <v>509</v>
      </c>
      <c r="F183" s="607">
        <f>PC_SFT_Accting_Fees_Total</f>
        <v>0</v>
      </c>
      <c r="G183" s="438"/>
      <c r="H183" s="595"/>
    </row>
    <row r="184" spans="1:8" s="599" customFormat="1">
      <c r="A184" s="438"/>
      <c r="B184" s="438"/>
      <c r="C184" s="438"/>
      <c r="D184" s="438"/>
      <c r="E184" s="438"/>
      <c r="F184" s="438"/>
      <c r="G184" s="438"/>
      <c r="H184" s="595"/>
    </row>
    <row r="185" spans="1:8">
      <c r="A185" s="1746" t="s">
        <v>800</v>
      </c>
      <c r="B185" s="1746"/>
      <c r="C185" s="1746"/>
      <c r="D185" s="1746"/>
      <c r="E185" s="1746"/>
      <c r="F185" s="1666"/>
      <c r="G185" s="1666"/>
    </row>
    <row r="186" spans="1:8">
      <c r="A186" s="1754" t="s">
        <v>801</v>
      </c>
      <c r="B186" s="1755"/>
      <c r="C186" s="1755"/>
      <c r="D186" s="1755"/>
      <c r="E186" s="1755"/>
      <c r="F186" s="1668"/>
      <c r="G186" s="1668"/>
    </row>
    <row r="187" spans="1:8">
      <c r="A187" s="438" t="s">
        <v>802</v>
      </c>
      <c r="B187" s="438" t="s">
        <v>803</v>
      </c>
      <c r="C187" s="438" t="s">
        <v>802</v>
      </c>
      <c r="D187" s="438"/>
      <c r="E187" s="438"/>
      <c r="F187" s="732">
        <f>'15. Credit Calculation'!H8</f>
        <v>0</v>
      </c>
      <c r="G187" s="438"/>
    </row>
    <row r="188" spans="1:8">
      <c r="A188" s="438" t="s">
        <v>804</v>
      </c>
      <c r="B188" s="438" t="s">
        <v>803</v>
      </c>
      <c r="C188" s="438" t="s">
        <v>804</v>
      </c>
      <c r="D188" s="438"/>
      <c r="E188" s="438"/>
      <c r="F188" s="732">
        <f>'15. Credit Calculation'!P8</f>
        <v>0</v>
      </c>
      <c r="G188" s="438"/>
    </row>
    <row r="189" spans="1:8">
      <c r="A189" s="438" t="s">
        <v>805</v>
      </c>
      <c r="B189" s="438" t="s">
        <v>803</v>
      </c>
      <c r="C189" s="438" t="s">
        <v>805</v>
      </c>
      <c r="D189" s="438"/>
      <c r="E189" s="438"/>
      <c r="F189" s="70">
        <f>'15. Credit Calculation'!H9</f>
        <v>0</v>
      </c>
      <c r="G189" s="438"/>
    </row>
    <row r="190" spans="1:8">
      <c r="A190" s="438" t="s">
        <v>806</v>
      </c>
      <c r="B190" s="438" t="s">
        <v>803</v>
      </c>
      <c r="C190" s="438" t="s">
        <v>806</v>
      </c>
      <c r="D190" s="438"/>
      <c r="E190" s="438"/>
      <c r="F190" s="70">
        <f>'15. Credit Calculation'!P9</f>
        <v>0</v>
      </c>
      <c r="G190" s="438"/>
    </row>
    <row r="191" spans="1:8">
      <c r="A191" s="438" t="s">
        <v>807</v>
      </c>
      <c r="B191" s="438" t="s">
        <v>803</v>
      </c>
      <c r="C191" s="438" t="s">
        <v>807</v>
      </c>
      <c r="D191" s="438"/>
      <c r="E191" s="438"/>
      <c r="F191" s="732">
        <f>'15. Credit Calculation'!H10</f>
        <v>0</v>
      </c>
      <c r="G191" s="438"/>
    </row>
    <row r="192" spans="1:8">
      <c r="A192" s="438" t="s">
        <v>808</v>
      </c>
      <c r="B192" s="438" t="s">
        <v>803</v>
      </c>
      <c r="C192" s="438" t="s">
        <v>808</v>
      </c>
      <c r="D192" s="438"/>
      <c r="E192" s="438"/>
      <c r="F192" s="732">
        <f>'15. Credit Calculation'!P10</f>
        <v>0</v>
      </c>
      <c r="G192" s="438"/>
    </row>
    <row r="193" spans="1:7">
      <c r="A193" s="438" t="s">
        <v>809</v>
      </c>
      <c r="B193" s="438" t="s">
        <v>803</v>
      </c>
      <c r="C193" s="438" t="s">
        <v>809</v>
      </c>
      <c r="D193" s="438"/>
      <c r="E193" s="438"/>
      <c r="F193" s="732">
        <f>'15. Credit Calculation'!H12</f>
        <v>0</v>
      </c>
      <c r="G193" s="438"/>
    </row>
    <row r="194" spans="1:7">
      <c r="A194" s="438" t="s">
        <v>810</v>
      </c>
      <c r="B194" s="438" t="s">
        <v>803</v>
      </c>
      <c r="C194" s="438" t="s">
        <v>810</v>
      </c>
      <c r="D194" s="438"/>
      <c r="E194" s="438"/>
      <c r="F194" s="732">
        <f>'15. Credit Calculation'!P12</f>
        <v>0</v>
      </c>
      <c r="G194" s="438"/>
    </row>
    <row r="195" spans="1:7">
      <c r="A195" s="1754" t="s">
        <v>811</v>
      </c>
      <c r="B195" s="1755"/>
      <c r="C195" s="1755"/>
      <c r="D195" s="1755"/>
      <c r="E195" s="1755"/>
      <c r="F195" s="1668"/>
      <c r="G195" s="1668"/>
    </row>
    <row r="196" spans="1:7">
      <c r="A196" s="444" t="s">
        <v>812</v>
      </c>
      <c r="B196" s="444" t="s">
        <v>803</v>
      </c>
      <c r="C196" s="444" t="s">
        <v>812</v>
      </c>
      <c r="D196" s="438"/>
      <c r="E196" s="438"/>
      <c r="F196" s="732">
        <f>'15. Credit Calculation'!H15</f>
        <v>0</v>
      </c>
      <c r="G196" s="438"/>
    </row>
    <row r="197" spans="1:7">
      <c r="A197" s="444" t="s">
        <v>813</v>
      </c>
      <c r="B197" s="444" t="s">
        <v>803</v>
      </c>
      <c r="C197" s="444" t="s">
        <v>813</v>
      </c>
      <c r="D197" s="438"/>
      <c r="E197" s="438"/>
      <c r="F197" s="732">
        <f>'15. Credit Calculation'!P15</f>
        <v>0</v>
      </c>
      <c r="G197" s="438"/>
    </row>
    <row r="198" spans="1:7">
      <c r="A198" s="444" t="s">
        <v>814</v>
      </c>
      <c r="B198" s="444" t="s">
        <v>803</v>
      </c>
      <c r="C198" s="444" t="s">
        <v>814</v>
      </c>
      <c r="D198" s="438"/>
      <c r="E198" s="438"/>
      <c r="F198" s="732">
        <f>'15. Credit Calculation'!H16</f>
        <v>0</v>
      </c>
      <c r="G198" s="438"/>
    </row>
    <row r="199" spans="1:7">
      <c r="A199" s="444" t="s">
        <v>815</v>
      </c>
      <c r="B199" s="444" t="s">
        <v>803</v>
      </c>
      <c r="C199" s="444" t="s">
        <v>815</v>
      </c>
      <c r="D199" s="438"/>
      <c r="E199" s="438"/>
      <c r="F199" s="732">
        <f>'15. Credit Calculation'!P16</f>
        <v>0</v>
      </c>
      <c r="G199" s="438"/>
    </row>
    <row r="200" spans="1:7">
      <c r="A200" s="444" t="s">
        <v>816</v>
      </c>
      <c r="B200" s="444" t="s">
        <v>803</v>
      </c>
      <c r="C200" s="444" t="s">
        <v>816</v>
      </c>
      <c r="D200" s="438"/>
      <c r="E200" s="438"/>
      <c r="F200"/>
      <c r="G200" s="438"/>
    </row>
    <row r="201" spans="1:7">
      <c r="A201" s="444" t="s">
        <v>817</v>
      </c>
      <c r="B201" s="444" t="s">
        <v>803</v>
      </c>
      <c r="C201" s="444" t="s">
        <v>817</v>
      </c>
      <c r="D201" s="438"/>
      <c r="E201" s="438"/>
      <c r="F201"/>
      <c r="G201" s="438"/>
    </row>
    <row r="202" spans="1:7">
      <c r="A202" s="444" t="s">
        <v>818</v>
      </c>
      <c r="B202" s="444" t="s">
        <v>803</v>
      </c>
      <c r="C202" s="444" t="s">
        <v>818</v>
      </c>
      <c r="D202" s="438"/>
      <c r="E202" s="438"/>
      <c r="F202" s="732">
        <f>'15. Credit Calculation'!H18</f>
        <v>0</v>
      </c>
      <c r="G202" s="438"/>
    </row>
    <row r="203" spans="1:7">
      <c r="A203" s="444" t="s">
        <v>819</v>
      </c>
      <c r="B203" s="444" t="s">
        <v>803</v>
      </c>
      <c r="C203" s="444" t="s">
        <v>819</v>
      </c>
      <c r="D203" s="438"/>
      <c r="E203" s="438"/>
      <c r="F203" s="732">
        <f>'15. Credit Calculation'!P18</f>
        <v>0</v>
      </c>
      <c r="G203" s="438"/>
    </row>
    <row r="204" spans="1:7">
      <c r="A204" s="444" t="s">
        <v>820</v>
      </c>
      <c r="B204" s="444" t="s">
        <v>803</v>
      </c>
      <c r="C204" s="444" t="s">
        <v>820</v>
      </c>
      <c r="D204" s="438"/>
      <c r="E204" s="438"/>
      <c r="F204" s="732">
        <f>'15. Credit Calculation'!H19</f>
        <v>0</v>
      </c>
      <c r="G204" s="438"/>
    </row>
    <row r="205" spans="1:7">
      <c r="A205" s="444" t="s">
        <v>821</v>
      </c>
      <c r="B205" s="444" t="s">
        <v>803</v>
      </c>
      <c r="C205" s="444" t="s">
        <v>821</v>
      </c>
      <c r="D205" s="438"/>
      <c r="E205" s="438"/>
      <c r="F205" s="732">
        <f>'15. Credit Calculation'!P19</f>
        <v>0</v>
      </c>
      <c r="G205" s="438"/>
    </row>
    <row r="206" spans="1:7">
      <c r="A206" s="444" t="s">
        <v>822</v>
      </c>
      <c r="B206" s="444" t="s">
        <v>803</v>
      </c>
      <c r="C206" s="444" t="s">
        <v>822</v>
      </c>
      <c r="D206" s="438"/>
      <c r="E206" s="438"/>
      <c r="F206" s="732">
        <f>'15. Credit Calculation'!H20</f>
        <v>0</v>
      </c>
      <c r="G206" s="438"/>
    </row>
    <row r="207" spans="1:7">
      <c r="A207" s="444" t="s">
        <v>823</v>
      </c>
      <c r="B207" s="444" t="s">
        <v>803</v>
      </c>
      <c r="C207" s="444" t="s">
        <v>823</v>
      </c>
      <c r="D207" s="438"/>
      <c r="E207" s="438"/>
      <c r="F207" s="732">
        <f>'15. Credit Calculation'!P20</f>
        <v>0</v>
      </c>
      <c r="G207" s="438"/>
    </row>
    <row r="208" spans="1:7">
      <c r="A208" s="444" t="s">
        <v>824</v>
      </c>
      <c r="B208" s="444" t="s">
        <v>803</v>
      </c>
      <c r="C208" s="444" t="s">
        <v>824</v>
      </c>
      <c r="D208" s="438"/>
      <c r="E208" s="438"/>
      <c r="F208" s="732">
        <f>'15. Credit Calculation'!H21</f>
        <v>0</v>
      </c>
      <c r="G208" s="438"/>
    </row>
    <row r="209" spans="1:7">
      <c r="A209" s="444" t="s">
        <v>825</v>
      </c>
      <c r="B209" s="444" t="s">
        <v>803</v>
      </c>
      <c r="C209" s="444" t="s">
        <v>825</v>
      </c>
      <c r="D209" s="438"/>
      <c r="E209" s="438"/>
      <c r="F209" s="732">
        <f>'15. Credit Calculation'!P21</f>
        <v>0</v>
      </c>
      <c r="G209" s="438"/>
    </row>
    <row r="210" spans="1:7">
      <c r="A210" s="444" t="s">
        <v>826</v>
      </c>
      <c r="B210" s="444" t="s">
        <v>803</v>
      </c>
      <c r="C210" s="444" t="s">
        <v>826</v>
      </c>
      <c r="D210" s="438"/>
      <c r="E210" s="438"/>
      <c r="F210" s="732">
        <f>'15. Credit Calculation'!H22</f>
        <v>0</v>
      </c>
      <c r="G210" s="438"/>
    </row>
    <row r="211" spans="1:7">
      <c r="A211" s="444" t="s">
        <v>827</v>
      </c>
      <c r="B211" s="444" t="s">
        <v>803</v>
      </c>
      <c r="C211" s="444" t="s">
        <v>827</v>
      </c>
      <c r="D211" s="438"/>
      <c r="E211" s="438"/>
      <c r="F211" s="732">
        <f>'15. Credit Calculation'!P22</f>
        <v>0</v>
      </c>
      <c r="G211" s="438"/>
    </row>
    <row r="212" spans="1:7">
      <c r="A212" s="444" t="s">
        <v>828</v>
      </c>
      <c r="B212" s="444" t="s">
        <v>803</v>
      </c>
      <c r="C212" s="444" t="s">
        <v>828</v>
      </c>
      <c r="D212" s="438"/>
      <c r="E212" s="438"/>
      <c r="F212" s="732">
        <f>'15. Credit Calculation'!H23</f>
        <v>0</v>
      </c>
      <c r="G212" s="438"/>
    </row>
    <row r="213" spans="1:7">
      <c r="A213" s="444" t="s">
        <v>829</v>
      </c>
      <c r="B213" s="444" t="s">
        <v>803</v>
      </c>
      <c r="C213" s="444" t="s">
        <v>829</v>
      </c>
      <c r="D213" s="438"/>
      <c r="E213" s="438"/>
      <c r="F213" s="732">
        <f>'15. Credit Calculation'!P23</f>
        <v>0</v>
      </c>
      <c r="G213" s="438"/>
    </row>
    <row r="214" spans="1:7">
      <c r="A214" s="444" t="s">
        <v>830</v>
      </c>
      <c r="B214" s="444" t="s">
        <v>803</v>
      </c>
      <c r="C214" s="444" t="s">
        <v>830</v>
      </c>
      <c r="D214" s="438"/>
      <c r="E214" s="438"/>
      <c r="F214" s="70">
        <f>'15. Credit Calculation'!H24</f>
        <v>0</v>
      </c>
      <c r="G214" s="438"/>
    </row>
    <row r="215" spans="1:7">
      <c r="A215" s="444" t="s">
        <v>831</v>
      </c>
      <c r="B215" s="444" t="s">
        <v>803</v>
      </c>
      <c r="C215" s="444" t="s">
        <v>831</v>
      </c>
      <c r="D215" s="438"/>
      <c r="E215" s="438"/>
      <c r="F215" s="70">
        <f>'15. Credit Calculation'!P24</f>
        <v>0</v>
      </c>
      <c r="G215" s="438"/>
    </row>
    <row r="216" spans="1:7">
      <c r="A216" s="444" t="s">
        <v>832</v>
      </c>
      <c r="B216" s="444" t="s">
        <v>803</v>
      </c>
      <c r="C216" s="444" t="s">
        <v>832</v>
      </c>
      <c r="D216" s="438"/>
      <c r="E216" s="438"/>
      <c r="F216" s="732">
        <f>'15. Credit Calculation'!H25</f>
        <v>0</v>
      </c>
      <c r="G216" s="438"/>
    </row>
    <row r="217" spans="1:7">
      <c r="A217" s="444" t="s">
        <v>833</v>
      </c>
      <c r="B217" s="444" t="s">
        <v>803</v>
      </c>
      <c r="C217" s="444" t="s">
        <v>833</v>
      </c>
      <c r="D217" s="438"/>
      <c r="E217" s="438"/>
      <c r="F217" s="732">
        <f>'15. Credit Calculation'!P25</f>
        <v>0</v>
      </c>
      <c r="G217" s="438"/>
    </row>
    <row r="218" spans="1:7">
      <c r="A218" s="444" t="s">
        <v>834</v>
      </c>
      <c r="B218" s="444" t="s">
        <v>803</v>
      </c>
      <c r="C218" s="444" t="s">
        <v>834</v>
      </c>
      <c r="D218" s="438"/>
      <c r="E218" s="438"/>
      <c r="F218" s="735">
        <f>IF('15. Credit Calculation'!H26="4%", 0.04, IF('15. Credit Calculation'!H26="9%", 0.09, '15. Credit Calculation'!H26))</f>
        <v>0</v>
      </c>
      <c r="G218" s="438"/>
    </row>
    <row r="219" spans="1:7">
      <c r="A219" s="444" t="s">
        <v>835</v>
      </c>
      <c r="B219" s="444" t="s">
        <v>803</v>
      </c>
      <c r="C219" s="444" t="s">
        <v>835</v>
      </c>
      <c r="D219" s="438"/>
      <c r="E219" s="438"/>
      <c r="F219" s="70">
        <f>'15. Credit Calculation'!P26</f>
        <v>0</v>
      </c>
      <c r="G219" s="438"/>
    </row>
    <row r="220" spans="1:7">
      <c r="A220" s="444" t="s">
        <v>836</v>
      </c>
      <c r="B220" s="444" t="s">
        <v>803</v>
      </c>
      <c r="C220" s="444" t="s">
        <v>836</v>
      </c>
      <c r="D220" s="438"/>
      <c r="E220" s="438"/>
      <c r="F220" s="732">
        <f>'15. Credit Calculation'!H27</f>
        <v>0</v>
      </c>
      <c r="G220" s="438"/>
    </row>
    <row r="221" spans="1:7">
      <c r="A221" s="444" t="s">
        <v>837</v>
      </c>
      <c r="B221" s="444" t="s">
        <v>803</v>
      </c>
      <c r="C221" s="444" t="s">
        <v>837</v>
      </c>
      <c r="D221" s="438"/>
      <c r="E221" s="438"/>
      <c r="F221" s="732">
        <f>'15. Credit Calculation'!P27</f>
        <v>0</v>
      </c>
      <c r="G221" s="438"/>
    </row>
    <row r="222" spans="1:7">
      <c r="A222" s="444" t="s">
        <v>838</v>
      </c>
      <c r="B222" s="444" t="s">
        <v>803</v>
      </c>
      <c r="C222" s="444" t="s">
        <v>838</v>
      </c>
      <c r="D222" s="438"/>
      <c r="E222" s="438"/>
      <c r="F222" s="732">
        <f>'15. Credit Calculation'!H28</f>
        <v>0</v>
      </c>
      <c r="G222" s="438"/>
    </row>
    <row r="223" spans="1:7">
      <c r="A223" s="444" t="s">
        <v>839</v>
      </c>
      <c r="B223" s="444" t="s">
        <v>803</v>
      </c>
      <c r="C223" s="444" t="s">
        <v>839</v>
      </c>
      <c r="D223" s="438"/>
      <c r="E223" s="438"/>
      <c r="F223" s="732">
        <f>'15. Credit Calculation'!P28</f>
        <v>0</v>
      </c>
      <c r="G223" s="438"/>
    </row>
    <row r="224" spans="1:7">
      <c r="A224" s="1754" t="s">
        <v>840</v>
      </c>
      <c r="B224" s="1755"/>
      <c r="C224" s="1755"/>
      <c r="D224" s="1755"/>
      <c r="E224" s="1755"/>
      <c r="F224" s="1668"/>
      <c r="G224" s="1668"/>
    </row>
    <row r="225" spans="1:7">
      <c r="A225" s="444" t="s">
        <v>841</v>
      </c>
      <c r="B225" s="444" t="s">
        <v>803</v>
      </c>
      <c r="C225" s="444" t="s">
        <v>841</v>
      </c>
      <c r="D225" s="438"/>
      <c r="E225" s="438"/>
      <c r="F225">
        <f>'15. Credit Calculation'!H32</f>
        <v>0</v>
      </c>
      <c r="G225" s="438"/>
    </row>
    <row r="226" spans="1:7">
      <c r="A226" s="444" t="s">
        <v>842</v>
      </c>
      <c r="B226" s="444" t="s">
        <v>803</v>
      </c>
      <c r="C226" s="444" t="s">
        <v>842</v>
      </c>
      <c r="D226" s="438"/>
      <c r="E226" s="438"/>
      <c r="F226">
        <f>'15. Credit Calculation'!P32</f>
        <v>0</v>
      </c>
      <c r="G226" s="438"/>
    </row>
    <row r="227" spans="1:7">
      <c r="A227" s="444" t="s">
        <v>843</v>
      </c>
      <c r="B227" s="444" t="s">
        <v>803</v>
      </c>
      <c r="C227" s="444" t="s">
        <v>843</v>
      </c>
      <c r="D227" s="438"/>
      <c r="E227" s="438"/>
      <c r="F227">
        <f>'15. Credit Calculation'!H33</f>
        <v>0</v>
      </c>
      <c r="G227" s="438"/>
    </row>
    <row r="228" spans="1:7">
      <c r="A228" s="444" t="s">
        <v>844</v>
      </c>
      <c r="B228" s="444" t="s">
        <v>803</v>
      </c>
      <c r="C228" s="444" t="s">
        <v>844</v>
      </c>
      <c r="D228" s="438"/>
      <c r="E228" s="438"/>
      <c r="F228">
        <f>'15. Credit Calculation'!P33</f>
        <v>0</v>
      </c>
      <c r="G228" s="438"/>
    </row>
    <row r="229" spans="1:7">
      <c r="A229" s="444" t="s">
        <v>845</v>
      </c>
      <c r="B229" s="444" t="s">
        <v>803</v>
      </c>
      <c r="C229" s="444" t="s">
        <v>845</v>
      </c>
      <c r="D229" s="438"/>
      <c r="E229" s="438"/>
      <c r="F229">
        <f>'15. Credit Calculation'!H34</f>
        <v>0</v>
      </c>
      <c r="G229" s="438"/>
    </row>
    <row r="230" spans="1:7">
      <c r="A230" s="444" t="s">
        <v>846</v>
      </c>
      <c r="B230" s="444" t="s">
        <v>803</v>
      </c>
      <c r="C230" s="444" t="s">
        <v>846</v>
      </c>
      <c r="D230" s="438"/>
      <c r="E230" s="438"/>
      <c r="F230">
        <f>'15. Credit Calculation'!P34</f>
        <v>0</v>
      </c>
      <c r="G230" s="438"/>
    </row>
    <row r="231" spans="1:7">
      <c r="A231" s="444" t="s">
        <v>847</v>
      </c>
      <c r="B231" s="444" t="s">
        <v>803</v>
      </c>
      <c r="C231" s="444" t="s">
        <v>847</v>
      </c>
      <c r="D231" s="438"/>
      <c r="E231" s="438"/>
      <c r="F231">
        <f>'15. Credit Calculation'!H35</f>
        <v>0</v>
      </c>
      <c r="G231" s="438"/>
    </row>
    <row r="232" spans="1:7">
      <c r="A232" s="444" t="s">
        <v>848</v>
      </c>
      <c r="B232" s="444" t="s">
        <v>803</v>
      </c>
      <c r="C232" s="444" t="s">
        <v>848</v>
      </c>
      <c r="D232" s="438"/>
      <c r="E232" s="438"/>
      <c r="F232">
        <f>'15. Credit Calculation'!P35</f>
        <v>0</v>
      </c>
      <c r="G232" s="438"/>
    </row>
    <row r="233" spans="1:7">
      <c r="A233" s="444" t="s">
        <v>849</v>
      </c>
      <c r="B233" s="444" t="s">
        <v>803</v>
      </c>
      <c r="C233" s="444" t="s">
        <v>849</v>
      </c>
      <c r="D233" s="438"/>
      <c r="E233" s="438"/>
      <c r="F233">
        <f>'15. Credit Calculation'!H36</f>
        <v>0</v>
      </c>
      <c r="G233" s="438"/>
    </row>
    <row r="234" spans="1:7">
      <c r="A234" s="444" t="s">
        <v>850</v>
      </c>
      <c r="B234" s="444" t="s">
        <v>803</v>
      </c>
      <c r="C234" s="444" t="s">
        <v>850</v>
      </c>
      <c r="D234" s="438"/>
      <c r="E234" s="438"/>
      <c r="F234">
        <f>'15. Credit Calculation'!P36</f>
        <v>0</v>
      </c>
      <c r="G234" s="438"/>
    </row>
    <row r="235" spans="1:7">
      <c r="A235" s="444" t="s">
        <v>851</v>
      </c>
      <c r="B235" s="444" t="s">
        <v>803</v>
      </c>
      <c r="C235" s="444" t="s">
        <v>851</v>
      </c>
      <c r="D235" s="438"/>
      <c r="E235" s="438"/>
      <c r="F235" s="449">
        <f>'15. Credit Calculation'!H37</f>
        <v>0</v>
      </c>
      <c r="G235" s="438"/>
    </row>
    <row r="236" spans="1:7">
      <c r="A236" s="444" t="s">
        <v>852</v>
      </c>
      <c r="B236" s="444" t="s">
        <v>803</v>
      </c>
      <c r="C236" s="444" t="s">
        <v>852</v>
      </c>
      <c r="D236" s="438"/>
      <c r="E236" s="438"/>
      <c r="F236">
        <f>'15. Credit Calculation'!P37</f>
        <v>0</v>
      </c>
      <c r="G236" s="438"/>
    </row>
    <row r="237" spans="1:7">
      <c r="A237" s="444" t="s">
        <v>853</v>
      </c>
      <c r="B237" s="444" t="s">
        <v>803</v>
      </c>
      <c r="C237" s="444" t="s">
        <v>853</v>
      </c>
      <c r="D237" s="438"/>
      <c r="E237" s="438"/>
      <c r="F237">
        <f>'15. Credit Calculation'!H38</f>
        <v>0</v>
      </c>
      <c r="G237" s="438"/>
    </row>
    <row r="238" spans="1:7">
      <c r="A238" s="444" t="s">
        <v>854</v>
      </c>
      <c r="B238" s="444" t="s">
        <v>803</v>
      </c>
      <c r="C238" s="444" t="s">
        <v>854</v>
      </c>
      <c r="D238" s="438"/>
      <c r="E238" s="438"/>
      <c r="F238">
        <f>'15. Credit Calculation'!P38</f>
        <v>0</v>
      </c>
      <c r="G238" s="438"/>
    </row>
    <row r="239" spans="1:7">
      <c r="A239" s="444" t="s">
        <v>855</v>
      </c>
      <c r="B239" s="444" t="s">
        <v>803</v>
      </c>
      <c r="C239" s="444" t="s">
        <v>855</v>
      </c>
      <c r="D239" s="438"/>
      <c r="E239" s="438"/>
      <c r="F239">
        <f>'15. Credit Calculation'!H39</f>
        <v>10</v>
      </c>
      <c r="G239" s="438"/>
    </row>
    <row r="240" spans="1:7">
      <c r="A240" s="444" t="s">
        <v>856</v>
      </c>
      <c r="B240" s="444" t="s">
        <v>803</v>
      </c>
      <c r="C240" s="444" t="s">
        <v>856</v>
      </c>
      <c r="D240" s="438"/>
      <c r="E240" s="438"/>
      <c r="F240" t="str">
        <f>'15. Credit Calculation'!P39</f>
        <v xml:space="preserve"> </v>
      </c>
      <c r="G240" s="438"/>
    </row>
    <row r="241" spans="1:7">
      <c r="A241" s="444" t="s">
        <v>857</v>
      </c>
      <c r="B241" s="444" t="s">
        <v>803</v>
      </c>
      <c r="C241" s="444" t="s">
        <v>857</v>
      </c>
      <c r="D241" s="438"/>
      <c r="E241" s="438"/>
      <c r="F241">
        <f>'15. Credit Calculation'!H40</f>
        <v>0</v>
      </c>
      <c r="G241" s="438"/>
    </row>
    <row r="242" spans="1:7">
      <c r="A242" s="444" t="s">
        <v>858</v>
      </c>
      <c r="B242" s="444" t="s">
        <v>803</v>
      </c>
      <c r="C242" s="444" t="s">
        <v>858</v>
      </c>
      <c r="D242" s="438"/>
      <c r="E242" s="438"/>
      <c r="F242"/>
      <c r="G242" s="438"/>
    </row>
    <row r="243" spans="1:7">
      <c r="A243" s="444" t="s">
        <v>859</v>
      </c>
      <c r="B243" s="444" t="s">
        <v>803</v>
      </c>
      <c r="C243" s="444" t="s">
        <v>859</v>
      </c>
      <c r="D243" s="438"/>
      <c r="E243" s="438"/>
      <c r="F243">
        <f>'15. Credit Calculation'!H40</f>
        <v>0</v>
      </c>
      <c r="G243" s="438"/>
    </row>
    <row r="244" spans="1:7">
      <c r="A244" s="444" t="s">
        <v>860</v>
      </c>
      <c r="B244" s="444" t="s">
        <v>803</v>
      </c>
      <c r="C244" s="444" t="s">
        <v>860</v>
      </c>
      <c r="D244" s="438"/>
      <c r="E244" s="438"/>
      <c r="F244" s="733">
        <f>'15. Credit Calculation'!H41</f>
        <v>0</v>
      </c>
      <c r="G244" s="438"/>
    </row>
    <row r="245" spans="1:7">
      <c r="A245" s="444" t="s">
        <v>861</v>
      </c>
      <c r="B245" s="444" t="s">
        <v>803</v>
      </c>
      <c r="C245" s="444" t="s">
        <v>861</v>
      </c>
      <c r="D245" s="438"/>
      <c r="E245" s="438"/>
      <c r="F245">
        <f>'15. Credit Calculation'!H42</f>
        <v>0</v>
      </c>
      <c r="G245" s="438"/>
    </row>
    <row r="246" spans="1:7">
      <c r="A246" s="444" t="s">
        <v>862</v>
      </c>
      <c r="B246" s="444" t="s">
        <v>803</v>
      </c>
      <c r="C246" s="444" t="s">
        <v>862</v>
      </c>
      <c r="D246" s="438"/>
      <c r="E246" s="438"/>
      <c r="F246">
        <f>'15. Credit Calculation'!P42</f>
        <v>0</v>
      </c>
      <c r="G246" s="438"/>
    </row>
    <row r="247" spans="1:7">
      <c r="A247" s="444" t="s">
        <v>863</v>
      </c>
      <c r="B247" s="444" t="s">
        <v>803</v>
      </c>
      <c r="C247" s="444" t="s">
        <v>863</v>
      </c>
      <c r="D247" s="438"/>
      <c r="E247" s="438"/>
      <c r="F247" s="70">
        <f>'15. Credit Calculation'!H43</f>
        <v>0.99990000000000001</v>
      </c>
      <c r="G247" s="438"/>
    </row>
    <row r="248" spans="1:7">
      <c r="A248" s="444" t="s">
        <v>864</v>
      </c>
      <c r="B248" s="444" t="s">
        <v>803</v>
      </c>
      <c r="C248" s="444" t="s">
        <v>864</v>
      </c>
      <c r="D248" s="438"/>
      <c r="E248" s="438"/>
      <c r="F248" s="70">
        <f>'15. Credit Calculation'!P43</f>
        <v>0</v>
      </c>
      <c r="G248" s="438"/>
    </row>
    <row r="249" spans="1:7">
      <c r="A249" s="444" t="s">
        <v>865</v>
      </c>
      <c r="B249" s="444" t="s">
        <v>803</v>
      </c>
      <c r="C249" s="444" t="s">
        <v>865</v>
      </c>
      <c r="D249" s="438"/>
      <c r="E249" s="438"/>
      <c r="F249">
        <f>'15. Credit Calculation'!H44</f>
        <v>0</v>
      </c>
      <c r="G249" s="438"/>
    </row>
    <row r="250" spans="1:7">
      <c r="A250" s="444" t="s">
        <v>866</v>
      </c>
      <c r="B250" s="444" t="s">
        <v>803</v>
      </c>
      <c r="C250" s="444" t="s">
        <v>866</v>
      </c>
      <c r="D250" s="438"/>
      <c r="E250" s="438"/>
      <c r="F250">
        <f>'15. Credit Calculation'!P44</f>
        <v>0</v>
      </c>
      <c r="G250" s="438"/>
    </row>
    <row r="251" spans="1:7">
      <c r="A251" s="1754" t="s">
        <v>867</v>
      </c>
      <c r="B251" s="1755"/>
      <c r="C251" s="1755"/>
      <c r="D251" s="1755"/>
      <c r="E251" s="1755"/>
      <c r="F251" s="1668"/>
      <c r="G251" s="1668"/>
    </row>
    <row r="252" spans="1:7">
      <c r="A252" s="444" t="s">
        <v>868</v>
      </c>
      <c r="B252" s="444" t="s">
        <v>803</v>
      </c>
      <c r="C252" s="444" t="s">
        <v>868</v>
      </c>
      <c r="D252" s="438"/>
      <c r="E252" s="438"/>
      <c r="F252">
        <f>'15. Credit Calculation'!H46</f>
        <v>0</v>
      </c>
      <c r="G252" s="438"/>
    </row>
    <row r="253" spans="1:7">
      <c r="A253" s="444" t="s">
        <v>869</v>
      </c>
      <c r="B253" s="444" t="s">
        <v>803</v>
      </c>
      <c r="C253" s="444" t="s">
        <v>869</v>
      </c>
      <c r="D253" s="438"/>
      <c r="E253" s="438"/>
      <c r="F253">
        <f>'15. Credit Calculation'!P46</f>
        <v>0</v>
      </c>
      <c r="G253" s="438"/>
    </row>
    <row r="254" spans="1:7">
      <c r="A254" s="444" t="s">
        <v>870</v>
      </c>
      <c r="B254" s="444" t="s">
        <v>803</v>
      </c>
      <c r="C254" s="444" t="s">
        <v>870</v>
      </c>
      <c r="D254" s="438"/>
      <c r="E254" s="438"/>
      <c r="F254">
        <f>'15. Credit Calculation'!H48</f>
        <v>0</v>
      </c>
      <c r="G254" s="438"/>
    </row>
    <row r="255" spans="1:7">
      <c r="A255" s="444" t="s">
        <v>871</v>
      </c>
      <c r="B255" s="444" t="s">
        <v>803</v>
      </c>
      <c r="C255" s="444" t="s">
        <v>871</v>
      </c>
      <c r="D255" s="438"/>
      <c r="E255" s="438"/>
      <c r="F255">
        <f>'15. Credit Calculation'!P48</f>
        <v>0</v>
      </c>
      <c r="G255" s="438"/>
    </row>
    <row r="256" spans="1:7">
      <c r="A256" s="444" t="s">
        <v>872</v>
      </c>
      <c r="B256" s="444" t="s">
        <v>803</v>
      </c>
      <c r="C256" s="444" t="s">
        <v>872</v>
      </c>
      <c r="D256" s="438"/>
      <c r="E256" s="438"/>
      <c r="F256"/>
      <c r="G256" s="1041" t="s">
        <v>873</v>
      </c>
    </row>
    <row r="257" spans="1:8">
      <c r="A257" s="444" t="s">
        <v>874</v>
      </c>
      <c r="B257" s="444" t="s">
        <v>803</v>
      </c>
      <c r="C257" s="444" t="s">
        <v>874</v>
      </c>
      <c r="D257" s="438"/>
      <c r="E257" s="438"/>
      <c r="F257"/>
      <c r="G257" s="1041" t="s">
        <v>873</v>
      </c>
    </row>
    <row r="258" spans="1:8">
      <c r="A258" s="444" t="s">
        <v>875</v>
      </c>
      <c r="B258" s="444" t="s">
        <v>803</v>
      </c>
      <c r="C258" s="444" t="s">
        <v>875</v>
      </c>
      <c r="D258" s="438"/>
      <c r="E258" s="438"/>
      <c r="F258"/>
      <c r="G258" s="438"/>
    </row>
    <row r="259" spans="1:8">
      <c r="A259" s="444" t="s">
        <v>876</v>
      </c>
      <c r="B259" s="444" t="s">
        <v>803</v>
      </c>
      <c r="C259" s="444" t="s">
        <v>876</v>
      </c>
      <c r="D259" s="438"/>
      <c r="E259" s="438"/>
      <c r="F259"/>
      <c r="G259" s="438"/>
    </row>
    <row r="260" spans="1:8">
      <c r="A260" s="444" t="s">
        <v>877</v>
      </c>
      <c r="B260" s="444" t="s">
        <v>803</v>
      </c>
      <c r="C260" s="444" t="s">
        <v>877</v>
      </c>
      <c r="D260" s="438"/>
      <c r="E260" s="438"/>
      <c r="F260"/>
      <c r="G260" s="1041" t="s">
        <v>873</v>
      </c>
    </row>
    <row r="261" spans="1:8">
      <c r="A261" s="444" t="s">
        <v>878</v>
      </c>
      <c r="B261" s="444" t="s">
        <v>803</v>
      </c>
      <c r="C261" s="444" t="s">
        <v>878</v>
      </c>
      <c r="D261" s="438"/>
      <c r="E261" s="438"/>
      <c r="F261"/>
      <c r="G261" s="1041" t="s">
        <v>873</v>
      </c>
    </row>
    <row r="262" spans="1:8">
      <c r="A262" s="444" t="s">
        <v>879</v>
      </c>
      <c r="B262" s="444" t="s">
        <v>803</v>
      </c>
      <c r="C262" s="444" t="s">
        <v>879</v>
      </c>
      <c r="D262" s="438"/>
      <c r="E262" s="438"/>
      <c r="F262">
        <f>Federal_Credits</f>
        <v>0</v>
      </c>
      <c r="G262" s="438"/>
    </row>
    <row r="263" spans="1:8">
      <c r="A263" s="444" t="s">
        <v>880</v>
      </c>
      <c r="B263" s="444" t="s">
        <v>803</v>
      </c>
      <c r="C263" s="444" t="s">
        <v>880</v>
      </c>
      <c r="D263" s="438"/>
      <c r="E263" s="438"/>
      <c r="F263">
        <f>State_Credits</f>
        <v>0</v>
      </c>
      <c r="G263" s="438"/>
    </row>
    <row r="264" spans="1:8">
      <c r="A264" s="1754" t="s">
        <v>867</v>
      </c>
      <c r="B264" s="1755"/>
      <c r="C264" s="1755"/>
      <c r="D264" s="1755"/>
      <c r="E264" s="1755"/>
      <c r="F264" s="1668"/>
      <c r="G264" s="1668"/>
    </row>
    <row r="265" spans="1:8" s="599" customFormat="1">
      <c r="A265" s="583" t="s">
        <v>881</v>
      </c>
      <c r="B265" s="438" t="s">
        <v>787</v>
      </c>
      <c r="C265" s="438" t="s">
        <v>881</v>
      </c>
      <c r="D265" s="438" t="s">
        <v>881</v>
      </c>
      <c r="E265" s="438" t="s">
        <v>509</v>
      </c>
      <c r="F265" s="581">
        <f>'15. Credit Calculation'!H10</f>
        <v>0</v>
      </c>
      <c r="G265" s="438"/>
      <c r="H265" s="595"/>
    </row>
    <row r="266" spans="1:8" s="599" customFormat="1">
      <c r="A266" s="584" t="s">
        <v>882</v>
      </c>
      <c r="B266" s="582" t="s">
        <v>787</v>
      </c>
      <c r="C266" s="582" t="s">
        <v>882</v>
      </c>
      <c r="D266" s="582" t="s">
        <v>883</v>
      </c>
      <c r="E266" s="582" t="s">
        <v>509</v>
      </c>
      <c r="F266" s="581">
        <f>'15. Credit Calculation'!H25</f>
        <v>0</v>
      </c>
      <c r="G266" s="438"/>
      <c r="H266" s="595"/>
    </row>
    <row r="267" spans="1:8" s="599" customFormat="1">
      <c r="A267" s="584" t="s">
        <v>884</v>
      </c>
      <c r="B267" s="582" t="s">
        <v>787</v>
      </c>
      <c r="C267" s="582" t="s">
        <v>884</v>
      </c>
      <c r="D267" s="582" t="s">
        <v>884</v>
      </c>
      <c r="E267" s="582" t="s">
        <v>509</v>
      </c>
      <c r="F267" s="581">
        <f>'15. Credit Calculation'!P10</f>
        <v>0</v>
      </c>
      <c r="G267" s="438"/>
      <c r="H267" s="595"/>
    </row>
    <row r="268" spans="1:8" s="599" customFormat="1">
      <c r="A268" s="584" t="s">
        <v>885</v>
      </c>
      <c r="B268" s="582" t="s">
        <v>787</v>
      </c>
      <c r="C268" s="582" t="s">
        <v>885</v>
      </c>
      <c r="D268" s="582" t="s">
        <v>885</v>
      </c>
      <c r="E268" s="582" t="s">
        <v>509</v>
      </c>
      <c r="F268" s="581">
        <f>'15. Credit Calculation'!P23</f>
        <v>0</v>
      </c>
      <c r="G268" s="438"/>
      <c r="H268" s="595"/>
    </row>
    <row r="269" spans="1:8" s="599" customFormat="1">
      <c r="A269" s="583" t="s">
        <v>886</v>
      </c>
      <c r="B269" s="438" t="s">
        <v>720</v>
      </c>
      <c r="C269" s="438" t="s">
        <v>886</v>
      </c>
      <c r="D269" s="438" t="s">
        <v>886</v>
      </c>
      <c r="E269" s="438" t="s">
        <v>509</v>
      </c>
      <c r="F269" s="581">
        <f>Federal_Credits</f>
        <v>0</v>
      </c>
      <c r="G269" s="438"/>
      <c r="H269" s="595"/>
    </row>
    <row r="270" spans="1:8" s="599" customFormat="1">
      <c r="A270" s="583" t="s">
        <v>887</v>
      </c>
      <c r="B270" s="438" t="s">
        <v>720</v>
      </c>
      <c r="C270" s="438" t="s">
        <v>887</v>
      </c>
      <c r="D270" s="438" t="s">
        <v>887</v>
      </c>
      <c r="E270" s="438" t="s">
        <v>509</v>
      </c>
      <c r="F270" s="581">
        <f>State_Credits</f>
        <v>0</v>
      </c>
      <c r="G270" s="438"/>
      <c r="H270" s="595"/>
    </row>
    <row r="271" spans="1:8" s="583" customFormat="1"/>
    <row r="272" spans="1:8" s="438" customFormat="1">
      <c r="A272" s="1750" t="s">
        <v>888</v>
      </c>
      <c r="B272" s="1751"/>
      <c r="C272" s="1751"/>
      <c r="D272" s="1751"/>
      <c r="E272" s="1751"/>
      <c r="F272" s="585"/>
      <c r="G272" s="596"/>
    </row>
    <row r="273" spans="1:7" s="438" customFormat="1">
      <c r="A273" s="1752" t="s">
        <v>889</v>
      </c>
      <c r="B273" s="1753"/>
      <c r="C273" s="1753"/>
      <c r="D273" s="1753"/>
      <c r="E273" s="1753"/>
      <c r="F273" s="1667"/>
      <c r="G273" s="1667"/>
    </row>
    <row r="274" spans="1:7" s="438" customFormat="1">
      <c r="A274" s="583" t="s">
        <v>890</v>
      </c>
      <c r="B274" s="438" t="s">
        <v>891</v>
      </c>
      <c r="C274" s="438" t="s">
        <v>890</v>
      </c>
      <c r="D274" s="438" t="s">
        <v>890</v>
      </c>
      <c r="E274" s="438" t="s">
        <v>509</v>
      </c>
      <c r="F274" s="870">
        <f>Effective_Gross_Income</f>
        <v>0</v>
      </c>
    </row>
    <row r="275" spans="1:7" s="438" customFormat="1">
      <c r="A275" s="583"/>
    </row>
    <row r="276" spans="1:7">
      <c r="A276" s="1750" t="s">
        <v>892</v>
      </c>
      <c r="B276" s="1751"/>
      <c r="C276" s="1751"/>
      <c r="D276" s="1751"/>
      <c r="E276" s="1751"/>
      <c r="F276" s="585"/>
      <c r="G276" s="596"/>
    </row>
    <row r="277" spans="1:7">
      <c r="A277" s="1752" t="s">
        <v>893</v>
      </c>
      <c r="B277" s="1753"/>
      <c r="C277" s="1753"/>
      <c r="D277" s="1753"/>
      <c r="E277" s="1753"/>
      <c r="F277" s="1667"/>
      <c r="G277" s="1667"/>
    </row>
    <row r="278" spans="1:7">
      <c r="A278" s="438" t="s">
        <v>894</v>
      </c>
      <c r="B278" s="438" t="s">
        <v>895</v>
      </c>
      <c r="C278" s="438" t="s">
        <v>896</v>
      </c>
      <c r="D278" s="438" t="s">
        <v>897</v>
      </c>
      <c r="E278" s="438" t="s">
        <v>509</v>
      </c>
      <c r="F278">
        <f>'20. Instructions Scoring Sum'!F25</f>
        <v>0</v>
      </c>
    </row>
    <row r="279" spans="1:7">
      <c r="A279" s="438" t="s">
        <v>898</v>
      </c>
      <c r="B279" s="438" t="s">
        <v>895</v>
      </c>
      <c r="C279" s="438" t="s">
        <v>899</v>
      </c>
      <c r="D279" s="438" t="s">
        <v>900</v>
      </c>
      <c r="E279" s="438" t="s">
        <v>509</v>
      </c>
      <c r="F279">
        <f>Lower_Income_Area_Points</f>
        <v>0</v>
      </c>
    </row>
    <row r="280" spans="1:7">
      <c r="A280" s="438" t="s">
        <v>901</v>
      </c>
      <c r="B280" s="438" t="s">
        <v>895</v>
      </c>
      <c r="C280" s="438" t="s">
        <v>902</v>
      </c>
      <c r="D280" s="438" t="s">
        <v>903</v>
      </c>
      <c r="E280" s="438" t="s">
        <v>509</v>
      </c>
      <c r="F280">
        <f>'20. Instructions Scoring Sum'!F34</f>
        <v>0</v>
      </c>
    </row>
    <row r="281" spans="1:7">
      <c r="A281" s="438" t="s">
        <v>904</v>
      </c>
      <c r="B281" s="438" t="s">
        <v>895</v>
      </c>
      <c r="C281" s="438" t="s">
        <v>905</v>
      </c>
      <c r="D281" s="438" t="s">
        <v>906</v>
      </c>
      <c r="E281" s="438" t="s">
        <v>509</v>
      </c>
      <c r="F281">
        <f>Energy_Points</f>
        <v>0</v>
      </c>
    </row>
    <row r="282" spans="1:7">
      <c r="A282" s="438" t="s">
        <v>907</v>
      </c>
      <c r="B282" s="438" t="s">
        <v>895</v>
      </c>
      <c r="C282" s="438" t="s">
        <v>908</v>
      </c>
      <c r="D282" s="438" t="s">
        <v>909</v>
      </c>
      <c r="E282" s="438" t="s">
        <v>509</v>
      </c>
      <c r="F282" s="588">
        <f>'20. Instructions Scoring Sum'!F38</f>
        <v>0</v>
      </c>
    </row>
    <row r="283" spans="1:7">
      <c r="A283" s="438" t="s">
        <v>910</v>
      </c>
      <c r="B283" s="438" t="s">
        <v>895</v>
      </c>
      <c r="C283" s="438" t="s">
        <v>911</v>
      </c>
      <c r="D283" s="438" t="s">
        <v>912</v>
      </c>
      <c r="E283" s="438" t="s">
        <v>509</v>
      </c>
      <c r="F283">
        <f>Mixed_Income_Points</f>
        <v>0</v>
      </c>
    </row>
    <row r="284" spans="1:7">
      <c r="A284" s="438" t="s">
        <v>913</v>
      </c>
      <c r="B284" s="438" t="s">
        <v>895</v>
      </c>
      <c r="C284" s="438" t="s">
        <v>914</v>
      </c>
      <c r="D284" s="438" t="s">
        <v>915</v>
      </c>
      <c r="E284" s="438" t="s">
        <v>509</v>
      </c>
      <c r="F284" s="588">
        <f>'20. Instructions Scoring Sum'!F29</f>
        <v>0</v>
      </c>
    </row>
    <row r="285" spans="1:7">
      <c r="A285" s="438" t="s">
        <v>916</v>
      </c>
      <c r="B285" s="438" t="s">
        <v>895</v>
      </c>
      <c r="C285" s="438" t="s">
        <v>917</v>
      </c>
      <c r="D285" s="438" t="s">
        <v>918</v>
      </c>
      <c r="E285" s="438" t="s">
        <v>509</v>
      </c>
      <c r="F285">
        <f>Serves_Large_Family_Points</f>
        <v>0</v>
      </c>
    </row>
    <row r="286" spans="1:7">
      <c r="A286" s="438" t="s">
        <v>919</v>
      </c>
      <c r="B286" s="438" t="s">
        <v>895</v>
      </c>
      <c r="C286" s="438" t="s">
        <v>920</v>
      </c>
      <c r="D286" s="438" t="s">
        <v>921</v>
      </c>
      <c r="E286" s="438" t="s">
        <v>509</v>
      </c>
      <c r="F286">
        <f>'20. Instructions Scoring Sum'!F30</f>
        <v>0</v>
      </c>
    </row>
    <row r="287" spans="1:7">
      <c r="A287" s="438" t="s">
        <v>922</v>
      </c>
      <c r="B287" s="438" t="s">
        <v>895</v>
      </c>
      <c r="C287" s="438" t="s">
        <v>923</v>
      </c>
      <c r="D287" s="438" t="s">
        <v>924</v>
      </c>
      <c r="E287" s="438" t="s">
        <v>509</v>
      </c>
      <c r="F287">
        <f>Serve_Low_Income_Ponts</f>
        <v>0</v>
      </c>
    </row>
    <row r="288" spans="1:7">
      <c r="A288" s="438" t="s">
        <v>925</v>
      </c>
      <c r="B288" s="438" t="s">
        <v>895</v>
      </c>
      <c r="C288" s="438" t="s">
        <v>926</v>
      </c>
      <c r="D288" s="438" t="s">
        <v>927</v>
      </c>
      <c r="E288" s="438" t="s">
        <v>509</v>
      </c>
      <c r="F288">
        <f>'20. Instructions Scoring Sum'!F31</f>
        <v>0</v>
      </c>
    </row>
    <row r="289" spans="1:7">
      <c r="A289" s="438" t="s">
        <v>928</v>
      </c>
      <c r="B289" s="438" t="s">
        <v>895</v>
      </c>
      <c r="C289" s="438" t="s">
        <v>929</v>
      </c>
      <c r="D289" s="438" t="s">
        <v>930</v>
      </c>
      <c r="E289" s="438" t="s">
        <v>509</v>
      </c>
      <c r="F289">
        <f>Supportive_Housing_Points</f>
        <v>0</v>
      </c>
    </row>
    <row r="290" spans="1:7">
      <c r="A290" s="438" t="s">
        <v>931</v>
      </c>
      <c r="B290" s="438" t="s">
        <v>895</v>
      </c>
      <c r="C290" s="438" t="s">
        <v>932</v>
      </c>
      <c r="D290" s="438" t="s">
        <v>933</v>
      </c>
      <c r="E290" s="438" t="s">
        <v>509</v>
      </c>
      <c r="F290">
        <f>'20. Instructions Scoring Sum'!F32</f>
        <v>0</v>
      </c>
    </row>
    <row r="291" spans="1:7">
      <c r="A291" s="438" t="s">
        <v>934</v>
      </c>
      <c r="B291" s="438" t="s">
        <v>895</v>
      </c>
      <c r="C291" s="438" t="s">
        <v>935</v>
      </c>
      <c r="D291" s="438" t="s">
        <v>936</v>
      </c>
      <c r="E291" s="438" t="s">
        <v>509</v>
      </c>
      <c r="F291">
        <f>Veterans_Housing_Points</f>
        <v>0</v>
      </c>
    </row>
    <row r="292" spans="1:7">
      <c r="A292" s="438" t="s">
        <v>937</v>
      </c>
      <c r="B292" s="438" t="s">
        <v>895</v>
      </c>
      <c r="C292" s="438" t="s">
        <v>938</v>
      </c>
      <c r="D292" s="438" t="s">
        <v>939</v>
      </c>
      <c r="E292" s="438" t="s">
        <v>509</v>
      </c>
      <c r="F292">
        <f>'20. Instructions Scoring Sum'!F27</f>
        <v>0</v>
      </c>
    </row>
    <row r="293" spans="1:7">
      <c r="A293" s="438" t="s">
        <v>940</v>
      </c>
      <c r="B293" s="438" t="s">
        <v>895</v>
      </c>
      <c r="C293" s="438" t="s">
        <v>941</v>
      </c>
      <c r="D293" s="438" t="s">
        <v>942</v>
      </c>
      <c r="E293" s="438" t="s">
        <v>509</v>
      </c>
      <c r="F293">
        <f>Rehab_Neighborhood_Points</f>
        <v>0</v>
      </c>
    </row>
    <row r="294" spans="1:7">
      <c r="A294" s="438" t="s">
        <v>943</v>
      </c>
      <c r="B294" s="438" t="s">
        <v>895</v>
      </c>
      <c r="C294" s="438" t="s">
        <v>944</v>
      </c>
      <c r="D294" s="438" t="s">
        <v>945</v>
      </c>
      <c r="E294" s="438" t="s">
        <v>509</v>
      </c>
      <c r="F294">
        <f>'20. Instructions Scoring Sum'!F35</f>
        <v>0</v>
      </c>
    </row>
    <row r="295" spans="1:7">
      <c r="A295" s="438" t="s">
        <v>946</v>
      </c>
      <c r="B295" s="438" t="s">
        <v>895</v>
      </c>
      <c r="C295" s="438" t="s">
        <v>947</v>
      </c>
      <c r="D295" s="438" t="s">
        <v>948</v>
      </c>
      <c r="E295" s="438" t="s">
        <v>509</v>
      </c>
      <c r="F295">
        <f>Universal_Design_Points</f>
        <v>0</v>
      </c>
    </row>
    <row r="296" spans="1:7">
      <c r="A296" s="438" t="s">
        <v>949</v>
      </c>
      <c r="B296" s="438" t="s">
        <v>895</v>
      </c>
      <c r="C296" s="438" t="s">
        <v>950</v>
      </c>
      <c r="D296" s="438" t="s">
        <v>951</v>
      </c>
      <c r="E296" s="438" t="s">
        <v>509</v>
      </c>
      <c r="F296" s="588">
        <f>'20. Instructions Scoring Sum'!F40</f>
        <v>0</v>
      </c>
    </row>
    <row r="297" spans="1:7">
      <c r="A297" s="438" t="s">
        <v>952</v>
      </c>
      <c r="B297" s="438" t="s">
        <v>895</v>
      </c>
      <c r="C297" s="438" t="s">
        <v>953</v>
      </c>
      <c r="D297" s="438" t="s">
        <v>954</v>
      </c>
      <c r="E297" s="438" t="s">
        <v>509</v>
      </c>
      <c r="F297">
        <f>Financial_Leverage_Points</f>
        <v>0</v>
      </c>
    </row>
    <row r="298" spans="1:7">
      <c r="A298" s="438" t="s">
        <v>955</v>
      </c>
      <c r="B298" s="438" t="s">
        <v>895</v>
      </c>
      <c r="C298" s="438" t="s">
        <v>956</v>
      </c>
      <c r="D298" s="438" t="s">
        <v>957</v>
      </c>
      <c r="E298" s="438" t="s">
        <v>509</v>
      </c>
      <c r="F298">
        <f>'20. Instructions Scoring Sum'!F36</f>
        <v>0</v>
      </c>
    </row>
    <row r="299" spans="1:7">
      <c r="A299" s="438" t="s">
        <v>958</v>
      </c>
      <c r="B299" s="438" t="s">
        <v>895</v>
      </c>
      <c r="C299" s="438" t="s">
        <v>959</v>
      </c>
      <c r="D299" s="438" t="s">
        <v>960</v>
      </c>
      <c r="E299" s="438" t="s">
        <v>509</v>
      </c>
      <c r="F299">
        <f>Eventual_Tenant_Own_Points</f>
        <v>0</v>
      </c>
    </row>
    <row r="300" spans="1:7">
      <c r="A300" s="438" t="s">
        <v>961</v>
      </c>
      <c r="B300" s="438" t="s">
        <v>895</v>
      </c>
      <c r="C300" s="438" t="s">
        <v>962</v>
      </c>
      <c r="D300" s="438" t="s">
        <v>963</v>
      </c>
      <c r="E300" s="438" t="s">
        <v>509</v>
      </c>
      <c r="F300">
        <v>0</v>
      </c>
      <c r="G300" s="438" t="s">
        <v>964</v>
      </c>
    </row>
    <row r="301" spans="1:7">
      <c r="A301" s="438" t="s">
        <v>965</v>
      </c>
      <c r="B301" s="438" t="s">
        <v>895</v>
      </c>
      <c r="C301" s="438" t="s">
        <v>966</v>
      </c>
      <c r="D301" s="438" t="s">
        <v>967</v>
      </c>
      <c r="E301" s="438" t="s">
        <v>509</v>
      </c>
      <c r="F301">
        <f>Development_Team_Points</f>
        <v>0</v>
      </c>
    </row>
    <row r="302" spans="1:7">
      <c r="A302" s="438" t="s">
        <v>968</v>
      </c>
      <c r="B302" s="438" t="s">
        <v>895</v>
      </c>
      <c r="C302" s="438" t="s">
        <v>969</v>
      </c>
      <c r="D302" s="438" t="s">
        <v>970</v>
      </c>
      <c r="E302" s="438" t="s">
        <v>509</v>
      </c>
      <c r="F302">
        <f>'20. Instructions Scoring Sum'!F24</f>
        <v>0</v>
      </c>
    </row>
    <row r="303" spans="1:7">
      <c r="A303" s="438" t="s">
        <v>971</v>
      </c>
      <c r="B303" s="438" t="s">
        <v>895</v>
      </c>
      <c r="C303" s="438" t="s">
        <v>972</v>
      </c>
      <c r="D303" s="438" t="s">
        <v>973</v>
      </c>
      <c r="E303" s="438" t="s">
        <v>509</v>
      </c>
      <c r="F303">
        <f>Areas_Economic_Opp_Points</f>
        <v>0</v>
      </c>
    </row>
    <row r="304" spans="1:7">
      <c r="A304" s="438" t="s">
        <v>974</v>
      </c>
      <c r="B304" s="438" t="s">
        <v>895</v>
      </c>
      <c r="C304" s="438" t="s">
        <v>975</v>
      </c>
      <c r="D304" s="438" t="s">
        <v>976</v>
      </c>
      <c r="E304" s="438" t="s">
        <v>509</v>
      </c>
      <c r="F304">
        <f>'20. Instructions Scoring Sum'!F42</f>
        <v>0</v>
      </c>
    </row>
    <row r="305" spans="1:7">
      <c r="A305" s="438" t="s">
        <v>977</v>
      </c>
      <c r="B305" s="438" t="s">
        <v>895</v>
      </c>
      <c r="C305" s="438" t="s">
        <v>978</v>
      </c>
      <c r="D305" s="438" t="s">
        <v>979</v>
      </c>
      <c r="E305" s="438" t="s">
        <v>509</v>
      </c>
      <c r="F305">
        <f>Rural_Areas_Points</f>
        <v>0</v>
      </c>
    </row>
    <row r="306" spans="1:7">
      <c r="A306" s="438" t="s">
        <v>980</v>
      </c>
      <c r="B306" s="438" t="s">
        <v>895</v>
      </c>
      <c r="C306" s="438" t="s">
        <v>981</v>
      </c>
      <c r="D306" s="438" t="s">
        <v>982</v>
      </c>
      <c r="E306" s="438" t="s">
        <v>509</v>
      </c>
      <c r="F306">
        <f>'20. Instructions Scoring Sum'!F26</f>
        <v>0</v>
      </c>
    </row>
    <row r="307" spans="1:7">
      <c r="A307" s="438" t="s">
        <v>983</v>
      </c>
      <c r="B307" s="438" t="s">
        <v>895</v>
      </c>
      <c r="C307" s="438" t="s">
        <v>984</v>
      </c>
      <c r="D307" s="438" t="s">
        <v>985</v>
      </c>
      <c r="E307" s="438" t="s">
        <v>509</v>
      </c>
      <c r="F307">
        <f>Workforce_Housing_Points</f>
        <v>0</v>
      </c>
    </row>
    <row r="308" spans="1:7">
      <c r="A308" s="438" t="s">
        <v>986</v>
      </c>
      <c r="B308" s="438" t="s">
        <v>895</v>
      </c>
      <c r="C308" s="438" t="s">
        <v>987</v>
      </c>
      <c r="D308" s="438" t="s">
        <v>988</v>
      </c>
      <c r="E308" s="438" t="s">
        <v>509</v>
      </c>
      <c r="F308">
        <f>'20. Instructions Scoring Sum'!F37</f>
        <v>0</v>
      </c>
    </row>
    <row r="309" spans="1:7">
      <c r="A309" s="438" t="s">
        <v>989</v>
      </c>
      <c r="B309" s="438" t="s">
        <v>895</v>
      </c>
      <c r="C309" s="438" t="s">
        <v>990</v>
      </c>
      <c r="D309" s="438" t="s">
        <v>991</v>
      </c>
      <c r="E309" s="438" t="s">
        <v>509</v>
      </c>
      <c r="F309">
        <f>Community_Service_Facilities_Points</f>
        <v>0</v>
      </c>
    </row>
    <row r="310" spans="1:7">
      <c r="A310" s="438"/>
      <c r="B310" s="438" t="s">
        <v>895</v>
      </c>
      <c r="C310" s="438" t="s">
        <v>992</v>
      </c>
      <c r="D310" s="438" t="s">
        <v>992</v>
      </c>
      <c r="E310" s="438" t="s">
        <v>509</v>
      </c>
      <c r="F310">
        <f>'20. Instructions Scoring Sum'!F43</f>
        <v>0</v>
      </c>
    </row>
    <row r="311" spans="1:7">
      <c r="A311" s="438"/>
      <c r="B311" s="438" t="s">
        <v>895</v>
      </c>
      <c r="C311" s="438" t="s">
        <v>993</v>
      </c>
      <c r="D311" s="438" t="s">
        <v>993</v>
      </c>
      <c r="E311" s="438" t="s">
        <v>509</v>
      </c>
      <c r="F311">
        <f>Total_Points</f>
        <v>0</v>
      </c>
    </row>
    <row r="312" spans="1:7">
      <c r="A312" s="1746" t="s">
        <v>994</v>
      </c>
      <c r="B312" s="1746"/>
      <c r="C312" s="1746"/>
      <c r="D312" s="1746"/>
      <c r="E312" s="1746"/>
      <c r="F312" s="1666"/>
      <c r="G312" s="1666"/>
    </row>
    <row r="313" spans="1:7">
      <c r="A313" s="1744" t="s">
        <v>995</v>
      </c>
      <c r="B313" s="1745"/>
      <c r="C313" s="1745"/>
      <c r="D313" s="1745"/>
      <c r="E313" s="1745"/>
      <c r="F313" s="1665"/>
      <c r="G313" s="1665"/>
    </row>
    <row r="314" spans="1:7">
      <c r="A314" s="438" t="s">
        <v>996</v>
      </c>
      <c r="B314" s="438" t="s">
        <v>895</v>
      </c>
      <c r="C314" s="438" t="s">
        <v>997</v>
      </c>
      <c r="D314" s="438" t="s">
        <v>998</v>
      </c>
      <c r="E314" s="438" t="s">
        <v>509</v>
      </c>
      <c r="F314" s="449" t="b">
        <v>0</v>
      </c>
      <c r="G314" s="438" t="s">
        <v>999</v>
      </c>
    </row>
    <row r="315" spans="1:7">
      <c r="A315" s="438" t="s">
        <v>1000</v>
      </c>
      <c r="B315" s="438" t="s">
        <v>895</v>
      </c>
      <c r="C315" s="438" t="s">
        <v>997</v>
      </c>
      <c r="D315" s="438" t="s">
        <v>1001</v>
      </c>
      <c r="E315" s="438" t="s">
        <v>509</v>
      </c>
      <c r="F315" s="589">
        <f>'21. Location Score'!D109</f>
        <v>0</v>
      </c>
    </row>
    <row r="316" spans="1:7">
      <c r="A316" s="438" t="s">
        <v>1002</v>
      </c>
      <c r="B316" s="438" t="s">
        <v>895</v>
      </c>
      <c r="C316" s="438" t="s">
        <v>997</v>
      </c>
      <c r="D316" s="438" t="s">
        <v>1003</v>
      </c>
      <c r="E316" s="438" t="s">
        <v>509</v>
      </c>
      <c r="F316" s="449" t="b">
        <f>IF('21. Location Score'!C86&lt;&gt;"YES",FALSE,TRUE)</f>
        <v>0</v>
      </c>
    </row>
    <row r="317" spans="1:7">
      <c r="A317" s="438" t="s">
        <v>1004</v>
      </c>
      <c r="B317" s="438" t="s">
        <v>895</v>
      </c>
      <c r="C317" s="438" t="s">
        <v>997</v>
      </c>
      <c r="D317" s="438" t="s">
        <v>1005</v>
      </c>
      <c r="E317" s="438" t="s">
        <v>509</v>
      </c>
      <c r="F317" s="589">
        <f>IF(F316,2,0)</f>
        <v>0</v>
      </c>
    </row>
    <row r="318" spans="1:7">
      <c r="A318" s="438" t="s">
        <v>1006</v>
      </c>
      <c r="B318" s="438" t="s">
        <v>895</v>
      </c>
      <c r="C318" s="438" t="s">
        <v>997</v>
      </c>
      <c r="D318" s="438" t="s">
        <v>1007</v>
      </c>
      <c r="E318" s="438" t="s">
        <v>509</v>
      </c>
      <c r="F318" s="449" t="b">
        <f>IF('21. Location Score'!C94&lt;&gt;"YES",FALSE,TRUE)</f>
        <v>0</v>
      </c>
    </row>
    <row r="319" spans="1:7">
      <c r="A319" s="438" t="s">
        <v>1008</v>
      </c>
      <c r="B319" s="438" t="s">
        <v>895</v>
      </c>
      <c r="C319" s="438" t="s">
        <v>997</v>
      </c>
      <c r="D319" s="438" t="s">
        <v>1009</v>
      </c>
      <c r="E319" s="438" t="s">
        <v>509</v>
      </c>
      <c r="F319" s="589">
        <f>IF(F318,1,0)</f>
        <v>0</v>
      </c>
    </row>
    <row r="320" spans="1:7">
      <c r="A320" s="438" t="s">
        <v>1010</v>
      </c>
      <c r="B320" s="438" t="s">
        <v>895</v>
      </c>
      <c r="C320" s="438" t="s">
        <v>997</v>
      </c>
      <c r="D320" s="438" t="s">
        <v>1011</v>
      </c>
      <c r="E320" s="438" t="s">
        <v>509</v>
      </c>
      <c r="F320" s="589">
        <f>'21. Location Score'!E109</f>
        <v>0</v>
      </c>
    </row>
    <row r="321" spans="1:9">
      <c r="A321" s="438" t="s">
        <v>1012</v>
      </c>
      <c r="B321" s="438" t="s">
        <v>895</v>
      </c>
      <c r="C321" s="438" t="s">
        <v>997</v>
      </c>
      <c r="D321" s="438" t="s">
        <v>1013</v>
      </c>
      <c r="E321" s="438" t="s">
        <v>509</v>
      </c>
      <c r="F321" s="457" t="str">
        <f>IF(INDEX('21. Location Score'!I113:O121,1,1,1)=0,"",INDEX('21. Location Score'!I113:O121,1,1,1))</f>
        <v/>
      </c>
      <c r="G321" s="591"/>
    </row>
    <row r="322" spans="1:9">
      <c r="A322" s="1746" t="s">
        <v>1014</v>
      </c>
      <c r="B322" s="1746"/>
      <c r="C322" s="1746"/>
      <c r="D322" s="1746"/>
      <c r="E322" s="1746"/>
      <c r="F322" s="1666"/>
      <c r="G322" s="1666"/>
      <c r="I322" s="590"/>
    </row>
    <row r="323" spans="1:9">
      <c r="A323" s="1744" t="s">
        <v>1015</v>
      </c>
      <c r="B323" s="1745"/>
      <c r="C323" s="1745"/>
      <c r="D323" s="1745"/>
      <c r="E323" s="1745"/>
      <c r="F323" s="1665"/>
      <c r="G323" s="1665"/>
    </row>
    <row r="324" spans="1:9">
      <c r="A324" s="438" t="s">
        <v>996</v>
      </c>
      <c r="B324" s="438" t="s">
        <v>895</v>
      </c>
      <c r="C324" s="438" t="s">
        <v>1016</v>
      </c>
      <c r="D324" s="438" t="s">
        <v>1017</v>
      </c>
      <c r="E324" s="438" t="s">
        <v>509</v>
      </c>
      <c r="F324" s="449" t="b">
        <v>0</v>
      </c>
      <c r="G324" s="438" t="s">
        <v>999</v>
      </c>
    </row>
    <row r="325" spans="1:9">
      <c r="A325" s="438" t="s">
        <v>1000</v>
      </c>
      <c r="B325" s="438" t="s">
        <v>895</v>
      </c>
      <c r="C325" s="438" t="s">
        <v>1016</v>
      </c>
      <c r="D325" s="438" t="s">
        <v>1018</v>
      </c>
      <c r="E325" s="438" t="s">
        <v>509</v>
      </c>
      <c r="F325" s="589">
        <f>'23. Building Design Score'!D66</f>
        <v>0</v>
      </c>
    </row>
    <row r="326" spans="1:9">
      <c r="A326" s="438" t="s">
        <v>1019</v>
      </c>
      <c r="B326" s="438" t="s">
        <v>895</v>
      </c>
      <c r="C326" s="438" t="s">
        <v>1016</v>
      </c>
      <c r="D326" s="438" t="s">
        <v>1020</v>
      </c>
      <c r="E326" s="438" t="s">
        <v>509</v>
      </c>
      <c r="G326" s="1041" t="s">
        <v>1021</v>
      </c>
    </row>
    <row r="327" spans="1:9">
      <c r="A327" s="438" t="s">
        <v>1022</v>
      </c>
      <c r="B327" s="438" t="s">
        <v>895</v>
      </c>
      <c r="C327" s="438" t="s">
        <v>1016</v>
      </c>
      <c r="D327" s="438" t="s">
        <v>1023</v>
      </c>
      <c r="E327" s="438" t="s">
        <v>509</v>
      </c>
      <c r="F327" s="589"/>
      <c r="G327" s="1041" t="s">
        <v>1024</v>
      </c>
    </row>
    <row r="328" spans="1:9">
      <c r="A328" s="438" t="s">
        <v>1025</v>
      </c>
      <c r="B328" s="438" t="s">
        <v>895</v>
      </c>
      <c r="C328" s="438" t="s">
        <v>1016</v>
      </c>
      <c r="D328" s="438" t="s">
        <v>1026</v>
      </c>
      <c r="E328" s="438" t="s">
        <v>509</v>
      </c>
      <c r="G328" s="1041" t="s">
        <v>1021</v>
      </c>
    </row>
    <row r="329" spans="1:9">
      <c r="A329" s="438" t="s">
        <v>1027</v>
      </c>
      <c r="B329" s="438" t="s">
        <v>895</v>
      </c>
      <c r="C329" s="438" t="s">
        <v>1016</v>
      </c>
      <c r="D329" s="438" t="s">
        <v>1028</v>
      </c>
      <c r="E329" s="438" t="s">
        <v>509</v>
      </c>
      <c r="F329" s="589"/>
      <c r="G329" s="1041" t="s">
        <v>1024</v>
      </c>
    </row>
    <row r="330" spans="1:9">
      <c r="A330" s="438" t="s">
        <v>1029</v>
      </c>
      <c r="B330" s="438" t="s">
        <v>895</v>
      </c>
      <c r="C330" s="438" t="s">
        <v>1016</v>
      </c>
      <c r="D330" s="438"/>
      <c r="E330" s="438"/>
      <c r="G330" s="438" t="s">
        <v>187</v>
      </c>
    </row>
    <row r="331" spans="1:9">
      <c r="A331" s="438" t="s">
        <v>1030</v>
      </c>
      <c r="B331" s="438" t="s">
        <v>895</v>
      </c>
      <c r="C331" s="438" t="s">
        <v>1016</v>
      </c>
      <c r="D331" s="438"/>
      <c r="E331" s="438"/>
      <c r="G331" s="438" t="s">
        <v>187</v>
      </c>
    </row>
    <row r="332" spans="1:9">
      <c r="A332" s="438" t="s">
        <v>1010</v>
      </c>
      <c r="B332" s="438" t="s">
        <v>895</v>
      </c>
      <c r="C332" s="438" t="s">
        <v>1016</v>
      </c>
      <c r="D332" s="438" t="s">
        <v>1031</v>
      </c>
      <c r="E332" s="438" t="s">
        <v>509</v>
      </c>
      <c r="F332" s="589">
        <f>'23. Building Design Score'!E66</f>
        <v>0</v>
      </c>
      <c r="G332" s="590"/>
    </row>
    <row r="333" spans="1:9">
      <c r="A333" s="438" t="s">
        <v>1012</v>
      </c>
      <c r="B333" s="438" t="s">
        <v>895</v>
      </c>
      <c r="C333" s="438" t="s">
        <v>1016</v>
      </c>
      <c r="D333" s="438" t="s">
        <v>1032</v>
      </c>
      <c r="E333" s="438" t="s">
        <v>509</v>
      </c>
      <c r="F333" s="449" t="s">
        <v>1033</v>
      </c>
      <c r="G333" s="590"/>
    </row>
    <row r="334" spans="1:9">
      <c r="A334" s="1747" t="s">
        <v>1034</v>
      </c>
      <c r="B334" s="1747"/>
      <c r="C334" s="1747"/>
      <c r="D334" s="1747"/>
      <c r="E334" s="1747"/>
      <c r="F334" s="1666"/>
      <c r="G334" s="1666"/>
    </row>
    <row r="335" spans="1:9">
      <c r="A335" s="1748" t="s">
        <v>1035</v>
      </c>
      <c r="B335" s="1749"/>
      <c r="C335" s="1749"/>
      <c r="D335" s="1749"/>
      <c r="E335" s="1749"/>
      <c r="F335" s="1665"/>
      <c r="G335" s="1665"/>
    </row>
    <row r="336" spans="1:9">
      <c r="A336" s="1042" t="s">
        <v>996</v>
      </c>
      <c r="B336" s="1042" t="s">
        <v>895</v>
      </c>
      <c r="C336" s="1042" t="s">
        <v>1036</v>
      </c>
      <c r="D336" s="1042" t="s">
        <v>1037</v>
      </c>
      <c r="E336" s="1042" t="s">
        <v>509</v>
      </c>
      <c r="F336" s="449" t="b">
        <v>0</v>
      </c>
      <c r="G336" s="438" t="s">
        <v>999</v>
      </c>
    </row>
    <row r="337" spans="1:7">
      <c r="A337" s="1042" t="s">
        <v>1000</v>
      </c>
      <c r="B337" s="1042" t="s">
        <v>895</v>
      </c>
      <c r="C337" s="1042" t="s">
        <v>1036</v>
      </c>
      <c r="D337" s="1042" t="s">
        <v>1038</v>
      </c>
      <c r="E337" s="1042" t="s">
        <v>509</v>
      </c>
      <c r="F337" s="395"/>
      <c r="G337" s="438" t="s">
        <v>1039</v>
      </c>
    </row>
    <row r="338" spans="1:7">
      <c r="A338" s="1042" t="s">
        <v>1010</v>
      </c>
      <c r="B338" s="1042" t="s">
        <v>895</v>
      </c>
      <c r="C338" s="1042" t="s">
        <v>1036</v>
      </c>
      <c r="D338" s="1042" t="s">
        <v>1040</v>
      </c>
      <c r="E338" s="1042" t="s">
        <v>509</v>
      </c>
      <c r="F338" s="589"/>
      <c r="G338" s="438" t="s">
        <v>1039</v>
      </c>
    </row>
    <row r="339" spans="1:7">
      <c r="A339" s="1042" t="s">
        <v>1012</v>
      </c>
      <c r="B339" s="1042" t="s">
        <v>895</v>
      </c>
      <c r="C339" s="1042" t="s">
        <v>1036</v>
      </c>
      <c r="D339" s="1042" t="s">
        <v>1041</v>
      </c>
      <c r="E339" s="1042" t="s">
        <v>509</v>
      </c>
      <c r="G339" s="438" t="s">
        <v>1039</v>
      </c>
    </row>
    <row r="340" spans="1:7">
      <c r="A340" s="1746" t="s">
        <v>1042</v>
      </c>
      <c r="B340" s="1746"/>
      <c r="C340" s="1746"/>
      <c r="D340" s="1746"/>
      <c r="E340" s="1746"/>
      <c r="F340" s="1666"/>
      <c r="G340" s="1666"/>
    </row>
    <row r="341" spans="1:7">
      <c r="A341" s="1744" t="s">
        <v>1043</v>
      </c>
      <c r="B341" s="1745"/>
      <c r="C341" s="1745"/>
      <c r="D341" s="1745"/>
      <c r="E341" s="1745"/>
      <c r="F341" s="1665"/>
      <c r="G341" s="1665"/>
    </row>
    <row r="342" spans="1:7">
      <c r="A342" s="438" t="s">
        <v>996</v>
      </c>
      <c r="B342" s="438" t="s">
        <v>895</v>
      </c>
      <c r="C342" s="438" t="s">
        <v>1044</v>
      </c>
      <c r="D342" s="438" t="s">
        <v>1045</v>
      </c>
      <c r="E342" s="438" t="s">
        <v>509</v>
      </c>
      <c r="F342" s="449" t="b">
        <f>IF('22. Tenants Served Score'!D28&gt;0,TRUE,FALSE)</f>
        <v>0</v>
      </c>
    </row>
    <row r="343" spans="1:7">
      <c r="A343" s="438" t="s">
        <v>1000</v>
      </c>
      <c r="B343" s="438" t="s">
        <v>895</v>
      </c>
      <c r="C343" s="438" t="s">
        <v>1044</v>
      </c>
      <c r="D343" s="438" t="s">
        <v>1046</v>
      </c>
      <c r="E343" s="438" t="s">
        <v>509</v>
      </c>
      <c r="F343" s="395">
        <f>'22. Tenants Served Score'!D28</f>
        <v>0</v>
      </c>
    </row>
    <row r="344" spans="1:7">
      <c r="A344" s="438" t="s">
        <v>1010</v>
      </c>
      <c r="B344" s="438" t="s">
        <v>895</v>
      </c>
      <c r="C344" s="438" t="s">
        <v>1044</v>
      </c>
      <c r="D344" s="438" t="s">
        <v>1047</v>
      </c>
      <c r="E344" s="438" t="s">
        <v>509</v>
      </c>
      <c r="F344" s="589">
        <f>'22. Tenants Served Score'!E28</f>
        <v>0</v>
      </c>
    </row>
    <row r="345" spans="1:7">
      <c r="A345" s="438" t="s">
        <v>1012</v>
      </c>
      <c r="B345" s="438" t="s">
        <v>895</v>
      </c>
      <c r="C345" s="438" t="s">
        <v>1044</v>
      </c>
      <c r="D345" s="438" t="s">
        <v>1048</v>
      </c>
      <c r="E345" s="438" t="s">
        <v>509</v>
      </c>
      <c r="F345" s="449" t="str">
        <f>IF('22. Tenants Served Score'!J32&lt;&gt;0,'22. Tenants Served Score'!J32,"")</f>
        <v/>
      </c>
    </row>
    <row r="346" spans="1:7">
      <c r="A346" s="1746" t="s">
        <v>1049</v>
      </c>
      <c r="B346" s="1746"/>
      <c r="C346" s="1746"/>
      <c r="D346" s="1746"/>
      <c r="E346" s="1746"/>
      <c r="F346" s="1666"/>
      <c r="G346" s="1666"/>
    </row>
    <row r="347" spans="1:7">
      <c r="A347" s="1744" t="s">
        <v>1050</v>
      </c>
      <c r="B347" s="1745"/>
      <c r="C347" s="1745"/>
      <c r="D347" s="1745"/>
      <c r="E347" s="1745"/>
      <c r="F347" s="1665"/>
      <c r="G347" s="1665"/>
    </row>
    <row r="348" spans="1:7">
      <c r="A348" s="438" t="s">
        <v>996</v>
      </c>
      <c r="B348" s="438" t="s">
        <v>895</v>
      </c>
      <c r="C348" s="438" t="s">
        <v>1051</v>
      </c>
      <c r="D348" s="438" t="s">
        <v>1052</v>
      </c>
      <c r="E348" s="438" t="s">
        <v>509</v>
      </c>
      <c r="F348" s="449" t="b">
        <f>IF('22. Tenants Served Score'!D59&gt;0,TRUE,FALSE)</f>
        <v>0</v>
      </c>
    </row>
    <row r="349" spans="1:7">
      <c r="A349" s="438" t="s">
        <v>1000</v>
      </c>
      <c r="B349" s="438" t="s">
        <v>895</v>
      </c>
      <c r="C349" s="438" t="s">
        <v>1051</v>
      </c>
      <c r="D349" s="438" t="s">
        <v>1053</v>
      </c>
      <c r="E349" s="438" t="s">
        <v>509</v>
      </c>
      <c r="F349" s="592">
        <f>'22. Tenants Served Score'!D59</f>
        <v>0</v>
      </c>
    </row>
    <row r="350" spans="1:7">
      <c r="A350" s="438" t="s">
        <v>1010</v>
      </c>
      <c r="B350" s="438" t="s">
        <v>895</v>
      </c>
      <c r="C350" s="438" t="s">
        <v>1051</v>
      </c>
      <c r="D350" s="438" t="s">
        <v>1054</v>
      </c>
      <c r="E350" s="438" t="s">
        <v>509</v>
      </c>
      <c r="F350" s="589">
        <f>'22. Tenants Served Score'!E59</f>
        <v>0</v>
      </c>
    </row>
    <row r="351" spans="1:7">
      <c r="A351" s="438" t="s">
        <v>1012</v>
      </c>
      <c r="B351" s="438" t="s">
        <v>895</v>
      </c>
      <c r="C351" s="438" t="s">
        <v>1051</v>
      </c>
      <c r="D351" s="438" t="s">
        <v>1055</v>
      </c>
      <c r="E351" s="438" t="s">
        <v>509</v>
      </c>
      <c r="F351" s="449" t="str">
        <f>IF('22. Tenants Served Score'!J63&lt;&gt;0,'22. Tenants Served Score'!J63,"")</f>
        <v/>
      </c>
    </row>
    <row r="352" spans="1:7">
      <c r="A352" s="1746" t="s">
        <v>1056</v>
      </c>
      <c r="B352" s="1746"/>
      <c r="C352" s="1746"/>
      <c r="D352" s="1746"/>
      <c r="E352" s="1746"/>
      <c r="F352" s="1666"/>
      <c r="G352" s="1666"/>
    </row>
    <row r="353" spans="1:8">
      <c r="A353" s="1744" t="s">
        <v>1057</v>
      </c>
      <c r="B353" s="1745"/>
      <c r="C353" s="1745"/>
      <c r="D353" s="1745"/>
      <c r="E353" s="1745"/>
      <c r="F353" s="1665"/>
      <c r="G353" s="1665"/>
    </row>
    <row r="354" spans="1:8" s="599" customFormat="1">
      <c r="A354" s="511" t="s">
        <v>1058</v>
      </c>
      <c r="B354" s="512" t="s">
        <v>720</v>
      </c>
      <c r="C354" s="512" t="s">
        <v>1058</v>
      </c>
      <c r="D354" s="512" t="s">
        <v>1058</v>
      </c>
      <c r="E354" s="512" t="s">
        <v>509</v>
      </c>
      <c r="F354" s="587">
        <f>Supportive_Housing_Number_of_Units</f>
        <v>0</v>
      </c>
      <c r="G354" s="609"/>
      <c r="H354" s="595"/>
    </row>
    <row r="355" spans="1:8">
      <c r="A355" s="438" t="s">
        <v>996</v>
      </c>
      <c r="B355" s="438" t="s">
        <v>895</v>
      </c>
      <c r="C355" s="438" t="s">
        <v>1059</v>
      </c>
      <c r="D355" s="438" t="s">
        <v>1060</v>
      </c>
      <c r="E355" s="438" t="s">
        <v>509</v>
      </c>
      <c r="F355" s="449" t="b">
        <f>IF('22. Tenants Served Score'!D96&gt;0,TRUE,FALSE)</f>
        <v>0</v>
      </c>
    </row>
    <row r="356" spans="1:8">
      <c r="A356" s="438" t="s">
        <v>1000</v>
      </c>
      <c r="B356" s="438" t="s">
        <v>895</v>
      </c>
      <c r="C356" s="438" t="s">
        <v>1059</v>
      </c>
      <c r="D356" s="438" t="s">
        <v>1061</v>
      </c>
      <c r="E356" s="438" t="s">
        <v>509</v>
      </c>
      <c r="F356" s="589">
        <f>'22. Tenants Served Score'!D96</f>
        <v>0</v>
      </c>
    </row>
    <row r="357" spans="1:8">
      <c r="A357" s="438" t="s">
        <v>1010</v>
      </c>
      <c r="B357" s="438" t="s">
        <v>895</v>
      </c>
      <c r="C357" s="438" t="s">
        <v>1059</v>
      </c>
      <c r="D357" s="438" t="s">
        <v>1062</v>
      </c>
      <c r="E357" s="438" t="s">
        <v>509</v>
      </c>
      <c r="F357" s="589">
        <f>'22. Tenants Served Score'!E96</f>
        <v>0</v>
      </c>
    </row>
    <row r="358" spans="1:8">
      <c r="A358" s="438" t="s">
        <v>1012</v>
      </c>
      <c r="B358" s="438" t="s">
        <v>895</v>
      </c>
      <c r="C358" s="438" t="s">
        <v>1059</v>
      </c>
      <c r="D358" s="438" t="s">
        <v>1063</v>
      </c>
      <c r="E358" s="438" t="s">
        <v>509</v>
      </c>
      <c r="F358" s="449" t="str">
        <f>IF('22. Tenants Served Score'!J101&lt;&gt;0,'22. Tenants Served Score'!J101,"")</f>
        <v/>
      </c>
    </row>
    <row r="359" spans="1:8">
      <c r="A359" s="1746" t="s">
        <v>1064</v>
      </c>
      <c r="B359" s="1746"/>
      <c r="C359" s="1746"/>
      <c r="D359" s="1746"/>
      <c r="E359" s="1746"/>
      <c r="F359" s="1666"/>
      <c r="G359" s="1666"/>
    </row>
    <row r="360" spans="1:8">
      <c r="A360" s="1744" t="s">
        <v>1065</v>
      </c>
      <c r="B360" s="1745"/>
      <c r="C360" s="1745"/>
      <c r="D360" s="1745"/>
      <c r="E360" s="1745"/>
      <c r="F360" s="1665"/>
      <c r="G360" s="1665"/>
    </row>
    <row r="361" spans="1:8" s="599" customFormat="1">
      <c r="A361" s="511" t="s">
        <v>1066</v>
      </c>
      <c r="B361" s="512" t="s">
        <v>720</v>
      </c>
      <c r="C361" s="512" t="s">
        <v>1066</v>
      </c>
      <c r="D361" s="512" t="s">
        <v>1066</v>
      </c>
      <c r="E361" s="512" t="s">
        <v>509</v>
      </c>
      <c r="F361" s="587">
        <f>'22. Tenants Served Score'!D123</f>
        <v>0</v>
      </c>
      <c r="G361" s="587"/>
      <c r="H361" s="595"/>
    </row>
    <row r="362" spans="1:8">
      <c r="A362" s="438" t="s">
        <v>996</v>
      </c>
      <c r="B362" s="438" t="s">
        <v>895</v>
      </c>
      <c r="C362" s="438" t="s">
        <v>1067</v>
      </c>
      <c r="D362" s="438" t="s">
        <v>1068</v>
      </c>
      <c r="E362" s="438" t="s">
        <v>509</v>
      </c>
      <c r="F362" s="449" t="b">
        <f>IF('22. Tenants Served Score'!D132&gt;0,TRUE,FALSE)</f>
        <v>0</v>
      </c>
    </row>
    <row r="363" spans="1:8">
      <c r="A363" s="438" t="s">
        <v>1000</v>
      </c>
      <c r="B363" s="438" t="s">
        <v>895</v>
      </c>
      <c r="C363" s="438" t="s">
        <v>1067</v>
      </c>
      <c r="D363" s="438" t="s">
        <v>1069</v>
      </c>
      <c r="E363" s="438" t="s">
        <v>509</v>
      </c>
      <c r="F363" s="589">
        <f>'22. Tenants Served Score'!D132</f>
        <v>0</v>
      </c>
    </row>
    <row r="364" spans="1:8">
      <c r="A364" s="438" t="s">
        <v>1010</v>
      </c>
      <c r="B364" s="438" t="s">
        <v>895</v>
      </c>
      <c r="C364" s="438" t="s">
        <v>1067</v>
      </c>
      <c r="D364" s="438" t="s">
        <v>1070</v>
      </c>
      <c r="E364" s="438" t="s">
        <v>509</v>
      </c>
      <c r="F364" s="589">
        <f>'22. Tenants Served Score'!E132</f>
        <v>0</v>
      </c>
    </row>
    <row r="365" spans="1:8">
      <c r="A365" s="438" t="s">
        <v>1012</v>
      </c>
      <c r="B365" s="438" t="s">
        <v>895</v>
      </c>
      <c r="C365" s="438" t="s">
        <v>1067</v>
      </c>
      <c r="D365" s="438" t="s">
        <v>1071</v>
      </c>
      <c r="E365" s="438" t="s">
        <v>509</v>
      </c>
      <c r="F365" s="449" t="str">
        <f>IF('22. Tenants Served Score'!J137&lt;&gt;0,'22. Tenants Served Score'!J137,"")</f>
        <v/>
      </c>
    </row>
    <row r="366" spans="1:8">
      <c r="A366" s="1746" t="s">
        <v>1072</v>
      </c>
      <c r="B366" s="1746"/>
      <c r="C366" s="1746"/>
      <c r="D366" s="1746"/>
      <c r="E366" s="1746"/>
      <c r="F366" s="1666"/>
      <c r="G366" s="1666"/>
    </row>
    <row r="367" spans="1:8">
      <c r="A367" s="1744" t="s">
        <v>1073</v>
      </c>
      <c r="B367" s="1745"/>
      <c r="C367" s="1745"/>
      <c r="D367" s="1745"/>
      <c r="E367" s="1745"/>
      <c r="F367" s="1665"/>
      <c r="G367" s="1665"/>
    </row>
    <row r="368" spans="1:8">
      <c r="A368" s="438" t="s">
        <v>996</v>
      </c>
      <c r="B368" s="438" t="s">
        <v>895</v>
      </c>
      <c r="C368" s="438" t="s">
        <v>1074</v>
      </c>
      <c r="D368" s="438" t="s">
        <v>1075</v>
      </c>
      <c r="E368" s="438" t="s">
        <v>509</v>
      </c>
      <c r="F368" s="449" t="b">
        <f>IF('21. Location Score'!F158&lt;&gt;"YES",FALSE,TRUE)</f>
        <v>0</v>
      </c>
    </row>
    <row r="369" spans="1:7">
      <c r="A369" s="438" t="s">
        <v>1000</v>
      </c>
      <c r="B369" s="438" t="s">
        <v>895</v>
      </c>
      <c r="C369" s="438" t="s">
        <v>1074</v>
      </c>
      <c r="D369" s="438" t="s">
        <v>1076</v>
      </c>
      <c r="E369" s="438" t="s">
        <v>509</v>
      </c>
      <c r="F369" s="449">
        <f>'21. Location Score'!D200</f>
        <v>0</v>
      </c>
    </row>
    <row r="370" spans="1:7">
      <c r="A370" s="438" t="s">
        <v>1010</v>
      </c>
      <c r="B370" s="438" t="s">
        <v>895</v>
      </c>
      <c r="C370" s="438" t="s">
        <v>1074</v>
      </c>
      <c r="D370" s="438" t="s">
        <v>1077</v>
      </c>
      <c r="E370" s="438" t="s">
        <v>509</v>
      </c>
      <c r="F370" s="449">
        <f>'21. Location Score'!E200</f>
        <v>0</v>
      </c>
    </row>
    <row r="371" spans="1:7">
      <c r="A371" s="438" t="s">
        <v>1012</v>
      </c>
      <c r="B371" s="438" t="s">
        <v>895</v>
      </c>
      <c r="C371" s="438" t="s">
        <v>1074</v>
      </c>
      <c r="D371" s="438" t="s">
        <v>1078</v>
      </c>
      <c r="E371" s="438" t="s">
        <v>509</v>
      </c>
      <c r="F371" s="449" t="str">
        <f>IF('21. Location Score'!I205&lt;&gt;0,'21. Location Score'!I205,"")</f>
        <v/>
      </c>
    </row>
    <row r="372" spans="1:7">
      <c r="A372" s="1746" t="s">
        <v>1079</v>
      </c>
      <c r="B372" s="1746"/>
      <c r="C372" s="1746"/>
      <c r="D372" s="1746"/>
      <c r="E372" s="1746"/>
      <c r="F372" s="1666"/>
      <c r="G372" s="1666"/>
    </row>
    <row r="373" spans="1:7">
      <c r="A373" s="1744" t="s">
        <v>1080</v>
      </c>
      <c r="B373" s="1745"/>
      <c r="C373" s="1745"/>
      <c r="D373" s="1745"/>
      <c r="E373" s="1745"/>
      <c r="F373" s="1665"/>
      <c r="G373" s="1665"/>
    </row>
    <row r="374" spans="1:7">
      <c r="A374" s="438" t="s">
        <v>1081</v>
      </c>
      <c r="B374" s="438" t="s">
        <v>895</v>
      </c>
      <c r="C374" s="438" t="s">
        <v>1082</v>
      </c>
      <c r="D374" s="438" t="s">
        <v>1083</v>
      </c>
      <c r="E374" s="438" t="s">
        <v>509</v>
      </c>
      <c r="F374" s="449" t="b">
        <v>0</v>
      </c>
      <c r="G374" s="438" t="s">
        <v>999</v>
      </c>
    </row>
    <row r="375" spans="1:7">
      <c r="A375" s="438" t="s">
        <v>1084</v>
      </c>
      <c r="B375" s="438" t="s">
        <v>895</v>
      </c>
      <c r="C375" s="438" t="s">
        <v>1082</v>
      </c>
      <c r="D375" s="438" t="s">
        <v>1085</v>
      </c>
      <c r="E375" s="438" t="s">
        <v>509</v>
      </c>
      <c r="F375" s="449">
        <f>'23. Building Design Score'!D133</f>
        <v>0</v>
      </c>
    </row>
    <row r="376" spans="1:7">
      <c r="A376" s="438" t="s">
        <v>1086</v>
      </c>
      <c r="B376" s="438" t="s">
        <v>895</v>
      </c>
      <c r="C376" s="438" t="s">
        <v>1082</v>
      </c>
      <c r="D376" s="438" t="s">
        <v>1087</v>
      </c>
      <c r="E376" s="438" t="s">
        <v>509</v>
      </c>
      <c r="F376" s="449">
        <f>'23. Building Design Score'!D143</f>
        <v>0</v>
      </c>
    </row>
    <row r="377" spans="1:7">
      <c r="A377" s="438" t="s">
        <v>1088</v>
      </c>
      <c r="B377" s="438" t="s">
        <v>895</v>
      </c>
      <c r="C377" s="438" t="s">
        <v>1082</v>
      </c>
      <c r="D377" s="438" t="s">
        <v>1089</v>
      </c>
      <c r="E377" s="438" t="s">
        <v>509</v>
      </c>
      <c r="F377" s="449">
        <f>'23. Building Design Score'!E143</f>
        <v>0</v>
      </c>
      <c r="G377" s="590"/>
    </row>
    <row r="378" spans="1:7">
      <c r="A378" s="441" t="s">
        <v>1090</v>
      </c>
      <c r="B378" s="441" t="s">
        <v>895</v>
      </c>
      <c r="C378" s="441" t="s">
        <v>1082</v>
      </c>
      <c r="D378" s="441" t="s">
        <v>1091</v>
      </c>
      <c r="E378" s="441" t="s">
        <v>509</v>
      </c>
      <c r="F378" s="602" t="str">
        <f>IF('23. Building Design Score'!J147&lt;&gt;0,'23. Building Design Score'!J147,"")</f>
        <v/>
      </c>
      <c r="G378" s="634"/>
    </row>
    <row r="379" spans="1:7">
      <c r="A379" s="438" t="s">
        <v>1092</v>
      </c>
      <c r="B379" s="438" t="s">
        <v>895</v>
      </c>
      <c r="C379" s="438" t="s">
        <v>1093</v>
      </c>
      <c r="D379" s="438" t="s">
        <v>1094</v>
      </c>
      <c r="E379" s="438" t="s">
        <v>509</v>
      </c>
      <c r="F379" s="449" t="b">
        <f>IF('23. Building Design Score'!C96&lt;&gt;"YES",FALSE,TRUE)</f>
        <v>0</v>
      </c>
    </row>
    <row r="380" spans="1:7">
      <c r="A380" s="438" t="s">
        <v>1095</v>
      </c>
      <c r="B380" s="438" t="s">
        <v>895</v>
      </c>
      <c r="C380" s="438" t="s">
        <v>1093</v>
      </c>
      <c r="D380" s="438" t="s">
        <v>1096</v>
      </c>
      <c r="E380" s="438" t="s">
        <v>509</v>
      </c>
      <c r="F380" s="449">
        <f>IF('23. Building Design Score'!C96="Yes",INDEX('23. Building Design Score'!M96:M102,1,1,1),0)</f>
        <v>0</v>
      </c>
    </row>
    <row r="381" spans="1:7">
      <c r="A381" s="438" t="s">
        <v>1097</v>
      </c>
      <c r="B381" s="438" t="s">
        <v>895</v>
      </c>
      <c r="C381" s="438" t="s">
        <v>1093</v>
      </c>
      <c r="D381" s="438" t="s">
        <v>1098</v>
      </c>
      <c r="E381" s="438" t="s">
        <v>509</v>
      </c>
      <c r="F381" s="449" t="b">
        <f>IF('23. Building Design Score'!C101&lt;&gt;"YES",FALSE,TRUE)</f>
        <v>0</v>
      </c>
    </row>
    <row r="382" spans="1:7">
      <c r="A382" s="438" t="s">
        <v>1099</v>
      </c>
      <c r="B382" s="438" t="s">
        <v>895</v>
      </c>
      <c r="C382" s="438" t="s">
        <v>1093</v>
      </c>
      <c r="D382" s="438" t="s">
        <v>1100</v>
      </c>
      <c r="E382" s="438" t="s">
        <v>509</v>
      </c>
      <c r="F382" s="449" t="str">
        <f>IF('23. Building Design Score'!C101="Yes",'23. Building Design Score'!D101,"0")</f>
        <v>0</v>
      </c>
    </row>
    <row r="383" spans="1:7">
      <c r="A383" s="438" t="s">
        <v>1101</v>
      </c>
      <c r="B383" s="438" t="s">
        <v>895</v>
      </c>
      <c r="C383" s="438" t="s">
        <v>1093</v>
      </c>
      <c r="D383" s="438" t="s">
        <v>1102</v>
      </c>
      <c r="E383" s="438" t="s">
        <v>509</v>
      </c>
      <c r="F383" s="449" t="b">
        <f>IF('23. Building Design Score'!C102&lt;&gt;"YES",FALSE,TRUE)</f>
        <v>0</v>
      </c>
    </row>
    <row r="384" spans="1:7">
      <c r="A384" s="438" t="s">
        <v>1103</v>
      </c>
      <c r="B384" s="438" t="s">
        <v>895</v>
      </c>
      <c r="C384" s="438" t="s">
        <v>1093</v>
      </c>
      <c r="D384" s="438" t="s">
        <v>1104</v>
      </c>
      <c r="E384" s="438" t="s">
        <v>509</v>
      </c>
      <c r="F384" s="449">
        <f>IF('23. Building Design Score'!C102="Yes",'23. Building Design Score'!D102,0)</f>
        <v>0</v>
      </c>
    </row>
    <row r="385" spans="1:7">
      <c r="A385" s="438" t="s">
        <v>1105</v>
      </c>
      <c r="B385" s="438" t="s">
        <v>895</v>
      </c>
      <c r="C385" s="438" t="s">
        <v>1093</v>
      </c>
      <c r="D385" s="438" t="s">
        <v>1106</v>
      </c>
      <c r="E385" s="438" t="s">
        <v>509</v>
      </c>
      <c r="F385" s="449" t="b">
        <f>IF('23. Building Design Score'!C103&lt;&gt;"YES",FALSE,TRUE)</f>
        <v>0</v>
      </c>
    </row>
    <row r="386" spans="1:7">
      <c r="A386" s="441" t="s">
        <v>1107</v>
      </c>
      <c r="B386" s="441" t="s">
        <v>895</v>
      </c>
      <c r="C386" s="441" t="s">
        <v>1093</v>
      </c>
      <c r="D386" s="441" t="s">
        <v>1108</v>
      </c>
      <c r="E386" s="441" t="s">
        <v>509</v>
      </c>
      <c r="F386" s="602">
        <f>IF('23. Building Design Score'!C103="Yes",'23. Building Design Score'!D103,0)</f>
        <v>0</v>
      </c>
      <c r="G386" s="603"/>
    </row>
    <row r="387" spans="1:7">
      <c r="A387" s="438" t="s">
        <v>1109</v>
      </c>
      <c r="B387" s="438" t="s">
        <v>895</v>
      </c>
      <c r="C387" s="438" t="s">
        <v>1110</v>
      </c>
      <c r="D387" s="438" t="s">
        <v>1111</v>
      </c>
      <c r="E387" s="438" t="s">
        <v>509</v>
      </c>
      <c r="F387" s="449" t="b">
        <f>IF('23. Building Design Score'!C109&lt;&gt;"YES",FALSE,TRUE)</f>
        <v>0</v>
      </c>
    </row>
    <row r="388" spans="1:7">
      <c r="A388" s="438" t="s">
        <v>1112</v>
      </c>
      <c r="B388" s="438" t="s">
        <v>895</v>
      </c>
      <c r="C388" s="438" t="s">
        <v>1110</v>
      </c>
      <c r="D388" s="438" t="s">
        <v>1113</v>
      </c>
      <c r="E388" s="438" t="s">
        <v>509</v>
      </c>
      <c r="F388" s="449">
        <f>IF('23. Building Design Score'!C109="Yes",INDEX('23. Building Design Score'!D109:D109,1,1,1),0)</f>
        <v>0</v>
      </c>
    </row>
    <row r="389" spans="1:7">
      <c r="A389" s="438" t="s">
        <v>1114</v>
      </c>
      <c r="B389" s="438" t="s">
        <v>895</v>
      </c>
      <c r="C389" s="438" t="s">
        <v>1110</v>
      </c>
      <c r="D389" s="438" t="s">
        <v>1115</v>
      </c>
      <c r="E389" s="438" t="s">
        <v>509</v>
      </c>
      <c r="F389" s="449" t="b">
        <f>IF('23. Building Design Score'!C110&lt;&gt;"YES",FALSE,TRUE)</f>
        <v>0</v>
      </c>
    </row>
    <row r="390" spans="1:7">
      <c r="A390" s="438" t="s">
        <v>1116</v>
      </c>
      <c r="B390" s="438" t="s">
        <v>895</v>
      </c>
      <c r="C390" s="438" t="s">
        <v>1110</v>
      </c>
      <c r="D390" s="438" t="s">
        <v>1117</v>
      </c>
      <c r="E390" s="438" t="s">
        <v>509</v>
      </c>
      <c r="F390" s="449">
        <f>IF('23. Building Design Score'!C110="Yes",INDEX('23. Building Design Score'!D110:D116,1,1,1),0)</f>
        <v>0</v>
      </c>
    </row>
    <row r="391" spans="1:7">
      <c r="A391" s="438" t="s">
        <v>1118</v>
      </c>
      <c r="B391" s="438" t="s">
        <v>895</v>
      </c>
      <c r="C391" s="438" t="s">
        <v>1110</v>
      </c>
      <c r="D391" s="438" t="s">
        <v>1119</v>
      </c>
      <c r="E391" s="438" t="s">
        <v>509</v>
      </c>
      <c r="F391" s="449" t="b">
        <f>IF('23. Building Design Score'!C111&lt;&gt;"YES",FALSE,TRUE)</f>
        <v>0</v>
      </c>
    </row>
    <row r="392" spans="1:7" ht="15.75" customHeight="1">
      <c r="A392" s="438" t="s">
        <v>1120</v>
      </c>
      <c r="B392" s="438" t="s">
        <v>895</v>
      </c>
      <c r="C392" s="438" t="s">
        <v>1110</v>
      </c>
      <c r="D392" s="438" t="s">
        <v>1121</v>
      </c>
      <c r="E392" s="438" t="s">
        <v>509</v>
      </c>
      <c r="F392" s="449">
        <f>IF('23. Building Design Score'!C111="Yes",INDEX('23. Building Design Score'!D111,1,1,1),0)</f>
        <v>0</v>
      </c>
    </row>
    <row r="393" spans="1:7">
      <c r="A393" s="438" t="s">
        <v>1122</v>
      </c>
      <c r="B393" s="438" t="s">
        <v>895</v>
      </c>
      <c r="C393" s="438" t="s">
        <v>1110</v>
      </c>
      <c r="D393" s="438" t="s">
        <v>1123</v>
      </c>
      <c r="E393" s="438" t="s">
        <v>509</v>
      </c>
      <c r="F393" s="449" t="b">
        <f>IF('23. Building Design Score'!C112&lt;&gt;"YES",FALSE,TRUE)</f>
        <v>0</v>
      </c>
    </row>
    <row r="394" spans="1:7">
      <c r="A394" s="438" t="s">
        <v>1124</v>
      </c>
      <c r="B394" s="438" t="s">
        <v>895</v>
      </c>
      <c r="C394" s="438" t="s">
        <v>1110</v>
      </c>
      <c r="D394" s="438" t="s">
        <v>1125</v>
      </c>
      <c r="E394" s="438" t="s">
        <v>509</v>
      </c>
      <c r="F394" s="449">
        <f>IF('23. Building Design Score'!C112="Yes",INDEX('23. Building Design Score'!D112,1,1,1),0)</f>
        <v>0</v>
      </c>
    </row>
    <row r="395" spans="1:7">
      <c r="A395" s="438" t="s">
        <v>1126</v>
      </c>
      <c r="B395" s="438" t="s">
        <v>895</v>
      </c>
      <c r="C395" s="438" t="s">
        <v>1110</v>
      </c>
      <c r="D395" s="438" t="s">
        <v>1127</v>
      </c>
      <c r="E395" s="438" t="s">
        <v>509</v>
      </c>
      <c r="F395" s="449" t="b">
        <f>IF('23. Building Design Score'!C113&lt;&gt;"YES",FALSE,TRUE)</f>
        <v>0</v>
      </c>
    </row>
    <row r="396" spans="1:7">
      <c r="A396" s="438" t="s">
        <v>1128</v>
      </c>
      <c r="B396" s="438" t="s">
        <v>895</v>
      </c>
      <c r="C396" s="438" t="s">
        <v>1110</v>
      </c>
      <c r="D396" s="438" t="s">
        <v>1129</v>
      </c>
      <c r="E396" s="438" t="s">
        <v>509</v>
      </c>
      <c r="F396" s="449">
        <f>IF('23. Building Design Score'!C113="Yes",INDEX('23. Building Design Score'!D113,1,1,1),0)</f>
        <v>0</v>
      </c>
    </row>
    <row r="397" spans="1:7">
      <c r="A397" s="438" t="s">
        <v>1130</v>
      </c>
      <c r="B397" s="438" t="s">
        <v>895</v>
      </c>
      <c r="C397" s="438" t="s">
        <v>1110</v>
      </c>
      <c r="D397" s="438" t="s">
        <v>1131</v>
      </c>
      <c r="E397" s="438" t="s">
        <v>509</v>
      </c>
      <c r="F397" s="449" t="b">
        <f>IF('23. Building Design Score'!C114&lt;&gt;"YES",FALSE,TRUE)</f>
        <v>0</v>
      </c>
    </row>
    <row r="398" spans="1:7">
      <c r="A398" s="438" t="s">
        <v>1132</v>
      </c>
      <c r="B398" s="438" t="s">
        <v>895</v>
      </c>
      <c r="C398" s="438" t="s">
        <v>1110</v>
      </c>
      <c r="D398" s="438" t="s">
        <v>1133</v>
      </c>
      <c r="E398" s="438" t="s">
        <v>509</v>
      </c>
      <c r="F398" s="449">
        <f>IF('23. Building Design Score'!C114="Yes",INDEX('23. Building Design Score'!D114,1,1,1),0)</f>
        <v>0</v>
      </c>
    </row>
    <row r="399" spans="1:7">
      <c r="A399" s="438" t="s">
        <v>1134</v>
      </c>
      <c r="B399" s="438" t="s">
        <v>895</v>
      </c>
      <c r="C399" s="438" t="s">
        <v>1110</v>
      </c>
      <c r="D399" s="438" t="s">
        <v>1135</v>
      </c>
      <c r="E399" s="438" t="s">
        <v>509</v>
      </c>
      <c r="F399" s="449" t="b">
        <f>IF('23. Building Design Score'!C115&lt;&gt;"YES",FALSE,TRUE)</f>
        <v>0</v>
      </c>
    </row>
    <row r="400" spans="1:7">
      <c r="A400" s="438" t="s">
        <v>1136</v>
      </c>
      <c r="B400" s="438" t="s">
        <v>895</v>
      </c>
      <c r="C400" s="438" t="s">
        <v>1110</v>
      </c>
      <c r="D400" s="438" t="s">
        <v>1137</v>
      </c>
      <c r="E400" s="438" t="s">
        <v>509</v>
      </c>
      <c r="F400" s="449">
        <f>IF('23. Building Design Score'!C115="Yes",INDEX('23. Building Design Score'!D115,1,1,1),0)</f>
        <v>0</v>
      </c>
    </row>
    <row r="401" spans="1:7">
      <c r="A401" s="438" t="s">
        <v>1138</v>
      </c>
      <c r="B401" s="438" t="s">
        <v>895</v>
      </c>
      <c r="C401" s="438" t="s">
        <v>1110</v>
      </c>
      <c r="D401" s="438" t="s">
        <v>1139</v>
      </c>
      <c r="E401" s="438" t="s">
        <v>509</v>
      </c>
      <c r="F401" s="449" t="b">
        <f>IF('23. Building Design Score'!C116&lt;&gt;"YES",FALSE,TRUE)</f>
        <v>0</v>
      </c>
    </row>
    <row r="402" spans="1:7">
      <c r="A402" s="438" t="s">
        <v>1140</v>
      </c>
      <c r="B402" s="438" t="s">
        <v>895</v>
      </c>
      <c r="C402" s="438" t="s">
        <v>1110</v>
      </c>
      <c r="D402" s="438" t="s">
        <v>1141</v>
      </c>
      <c r="E402" s="438" t="s">
        <v>509</v>
      </c>
      <c r="F402" s="449">
        <f>IF('23. Building Design Score'!C116="Yes",INDEX('23. Building Design Score'!#REF!,1,1,1),0)</f>
        <v>0</v>
      </c>
    </row>
    <row r="403" spans="1:7">
      <c r="A403" s="438" t="s">
        <v>1142</v>
      </c>
      <c r="B403" s="438" t="s">
        <v>895</v>
      </c>
      <c r="C403" s="438" t="s">
        <v>1110</v>
      </c>
      <c r="D403" s="438" t="s">
        <v>1143</v>
      </c>
      <c r="E403" s="438" t="s">
        <v>509</v>
      </c>
      <c r="F403" s="449" t="b">
        <f>IF('23. Building Design Score'!C117&lt;&gt;"YES",FALSE,TRUE)</f>
        <v>0</v>
      </c>
    </row>
    <row r="404" spans="1:7">
      <c r="A404" s="438" t="s">
        <v>1144</v>
      </c>
      <c r="B404" s="438" t="s">
        <v>895</v>
      </c>
      <c r="C404" s="438" t="s">
        <v>1110</v>
      </c>
      <c r="D404" s="438" t="s">
        <v>1145</v>
      </c>
      <c r="E404" s="438" t="s">
        <v>509</v>
      </c>
      <c r="F404" s="449">
        <f>IF('23. Building Design Score'!C117="Yes",D118,0)</f>
        <v>0</v>
      </c>
    </row>
    <row r="405" spans="1:7">
      <c r="A405" s="438" t="s">
        <v>1146</v>
      </c>
      <c r="B405" s="438" t="s">
        <v>895</v>
      </c>
      <c r="C405" s="438" t="s">
        <v>1110</v>
      </c>
      <c r="D405" s="438" t="s">
        <v>1147</v>
      </c>
      <c r="E405" s="438" t="s">
        <v>509</v>
      </c>
      <c r="F405" s="449" t="b">
        <f>IF('23. Building Design Score'!C118&lt;&gt;"YES",FALSE,TRUE)</f>
        <v>0</v>
      </c>
    </row>
    <row r="406" spans="1:7">
      <c r="A406" s="438" t="s">
        <v>1148</v>
      </c>
      <c r="B406" s="438" t="s">
        <v>895</v>
      </c>
      <c r="C406" s="438" t="s">
        <v>1110</v>
      </c>
      <c r="D406" s="438" t="s">
        <v>1149</v>
      </c>
      <c r="E406" s="438" t="s">
        <v>509</v>
      </c>
      <c r="F406" s="449">
        <f>IF('23. Building Design Score'!C118="Yes",INDEX('23. Building Design Score'!D118,1,1,1),0)</f>
        <v>0</v>
      </c>
    </row>
    <row r="407" spans="1:7">
      <c r="A407" s="438" t="s">
        <v>1150</v>
      </c>
      <c r="B407" s="438" t="s">
        <v>895</v>
      </c>
      <c r="C407" s="438" t="s">
        <v>1110</v>
      </c>
      <c r="D407" s="438" t="s">
        <v>1151</v>
      </c>
      <c r="E407" s="438" t="s">
        <v>509</v>
      </c>
      <c r="F407" s="449" t="b">
        <f>IF('23. Building Design Score'!C119&lt;&gt;"YES",FALSE,TRUE)</f>
        <v>0</v>
      </c>
    </row>
    <row r="408" spans="1:7">
      <c r="A408" s="441" t="s">
        <v>1152</v>
      </c>
      <c r="B408" s="441" t="s">
        <v>895</v>
      </c>
      <c r="C408" s="441" t="s">
        <v>1110</v>
      </c>
      <c r="D408" s="441" t="s">
        <v>1153</v>
      </c>
      <c r="E408" s="441" t="s">
        <v>509</v>
      </c>
      <c r="F408" s="602">
        <f>IF('23. Building Design Score'!C119="Yes",'23. Building Design Score'!D119,0)</f>
        <v>0</v>
      </c>
      <c r="G408" s="603"/>
    </row>
    <row r="409" spans="1:7">
      <c r="A409" s="438" t="s">
        <v>1154</v>
      </c>
      <c r="B409" s="438" t="s">
        <v>895</v>
      </c>
      <c r="C409" s="438" t="s">
        <v>1155</v>
      </c>
      <c r="D409" s="438" t="s">
        <v>1156</v>
      </c>
      <c r="E409" s="438" t="s">
        <v>509</v>
      </c>
      <c r="F409" s="449" t="b">
        <f>IF('23. Building Design Score'!C125&lt;&gt;"YES",FALSE,TRUE)</f>
        <v>0</v>
      </c>
    </row>
    <row r="410" spans="1:7">
      <c r="A410" s="438" t="s">
        <v>1157</v>
      </c>
      <c r="B410" s="438" t="s">
        <v>895</v>
      </c>
      <c r="C410" s="438" t="s">
        <v>1155</v>
      </c>
      <c r="D410" s="438" t="s">
        <v>1158</v>
      </c>
      <c r="E410" s="438" t="s">
        <v>509</v>
      </c>
      <c r="F410" s="449">
        <f>IF('23. Building Design Score'!C125="Yes",INDEX('23. Building Design Score'!M127:M129,1,1,1),0)</f>
        <v>0</v>
      </c>
    </row>
    <row r="411" spans="1:7">
      <c r="A411" s="438" t="s">
        <v>1159</v>
      </c>
      <c r="B411" s="438" t="s">
        <v>895</v>
      </c>
      <c r="C411" s="438" t="s">
        <v>1155</v>
      </c>
      <c r="D411" s="438" t="s">
        <v>1160</v>
      </c>
      <c r="E411" s="438" t="s">
        <v>509</v>
      </c>
      <c r="F411" s="449" t="b">
        <f>IF('23. Building Design Score'!C126&lt;&gt;"YES",FALSE,TRUE)</f>
        <v>0</v>
      </c>
    </row>
    <row r="412" spans="1:7">
      <c r="A412" s="438" t="s">
        <v>1161</v>
      </c>
      <c r="B412" s="438" t="s">
        <v>895</v>
      </c>
      <c r="C412" s="438" t="s">
        <v>1155</v>
      </c>
      <c r="D412" s="438" t="s">
        <v>1162</v>
      </c>
      <c r="E412" s="438" t="s">
        <v>509</v>
      </c>
      <c r="F412" s="449">
        <f>IF('23. Building Design Score'!C126="Yes",'23. Building Design Score'!D126,0)</f>
        <v>0</v>
      </c>
    </row>
    <row r="413" spans="1:7">
      <c r="A413" s="438" t="s">
        <v>1163</v>
      </c>
      <c r="B413" s="438" t="s">
        <v>895</v>
      </c>
      <c r="C413" s="438" t="s">
        <v>1155</v>
      </c>
      <c r="D413" s="438" t="s">
        <v>1164</v>
      </c>
      <c r="E413" s="438" t="s">
        <v>509</v>
      </c>
      <c r="F413" s="449" t="b">
        <f>IF('23. Building Design Score'!C127&lt;&gt;"YES",FALSE,TRUE)</f>
        <v>0</v>
      </c>
    </row>
    <row r="414" spans="1:7">
      <c r="A414" s="438" t="s">
        <v>1165</v>
      </c>
      <c r="B414" s="438" t="s">
        <v>895</v>
      </c>
      <c r="C414" s="438" t="s">
        <v>1155</v>
      </c>
      <c r="D414" s="438" t="s">
        <v>1166</v>
      </c>
      <c r="E414" s="438" t="s">
        <v>509</v>
      </c>
      <c r="F414" s="449">
        <f>IF('23. Building Design Score'!C127="Yes",'23. Building Design Score'!D127,0)</f>
        <v>0</v>
      </c>
    </row>
    <row r="415" spans="1:7">
      <c r="A415" s="438" t="s">
        <v>1167</v>
      </c>
      <c r="B415" s="438" t="s">
        <v>895</v>
      </c>
      <c r="C415" s="438" t="s">
        <v>1155</v>
      </c>
      <c r="D415" s="438" t="s">
        <v>1168</v>
      </c>
      <c r="E415" s="438" t="s">
        <v>509</v>
      </c>
      <c r="F415" s="449" t="b">
        <f>IF('23. Building Design Score'!C128&lt;&gt;"YES",FALSE,TRUE)</f>
        <v>0</v>
      </c>
    </row>
    <row r="416" spans="1:7">
      <c r="A416" s="438" t="s">
        <v>1169</v>
      </c>
      <c r="B416" s="438" t="s">
        <v>895</v>
      </c>
      <c r="C416" s="438" t="s">
        <v>1155</v>
      </c>
      <c r="D416" s="438" t="s">
        <v>1170</v>
      </c>
      <c r="E416" s="438" t="s">
        <v>509</v>
      </c>
      <c r="F416" s="449">
        <f>IF('23. Building Design Score'!C128="Yes",INDEX('23. Building Design Score'!M132:M133,1,1,1),0)</f>
        <v>0</v>
      </c>
    </row>
    <row r="417" spans="1:7">
      <c r="A417" s="438" t="s">
        <v>1171</v>
      </c>
      <c r="B417" s="438" t="s">
        <v>895</v>
      </c>
      <c r="C417" s="438" t="s">
        <v>1155</v>
      </c>
      <c r="D417" s="438" t="s">
        <v>1172</v>
      </c>
      <c r="E417" s="438" t="s">
        <v>509</v>
      </c>
      <c r="F417" s="449" t="b">
        <f>IF('23. Building Design Score'!C129&lt;&gt;"YES",FALSE,TRUE)</f>
        <v>0</v>
      </c>
    </row>
    <row r="418" spans="1:7">
      <c r="A418" s="438" t="s">
        <v>1173</v>
      </c>
      <c r="B418" s="438" t="s">
        <v>895</v>
      </c>
      <c r="C418" s="438" t="s">
        <v>1155</v>
      </c>
      <c r="D418" s="438" t="s">
        <v>1174</v>
      </c>
      <c r="E418" s="438" t="s">
        <v>509</v>
      </c>
      <c r="F418" s="449">
        <f>IF('23. Building Design Score'!C129="Yes",INDEX('23. Building Design Score'!M134:M135,1,1,1),0)</f>
        <v>0</v>
      </c>
    </row>
    <row r="419" spans="1:7">
      <c r="A419" s="438" t="s">
        <v>1175</v>
      </c>
      <c r="B419" s="438" t="s">
        <v>895</v>
      </c>
      <c r="C419" s="438" t="s">
        <v>1155</v>
      </c>
      <c r="D419" s="438" t="s">
        <v>1176</v>
      </c>
      <c r="E419" s="438" t="s">
        <v>509</v>
      </c>
      <c r="F419" s="449" t="b">
        <f>IF('23. Building Design Score'!C130&lt;&gt;"YES",FALSE,TRUE)</f>
        <v>0</v>
      </c>
    </row>
    <row r="420" spans="1:7">
      <c r="A420" s="438" t="s">
        <v>1177</v>
      </c>
      <c r="B420" s="438" t="s">
        <v>895</v>
      </c>
      <c r="C420" s="438" t="s">
        <v>1155</v>
      </c>
      <c r="D420" s="438" t="s">
        <v>1178</v>
      </c>
      <c r="E420" s="438" t="s">
        <v>509</v>
      </c>
      <c r="F420" s="449">
        <f>IF('23. Building Design Score'!C130="Yes",INDEX('23. Building Design Score'!M136:M137,1,1,1),0)</f>
        <v>0</v>
      </c>
    </row>
    <row r="421" spans="1:7">
      <c r="A421" s="438" t="s">
        <v>1179</v>
      </c>
      <c r="B421" s="438" t="s">
        <v>895</v>
      </c>
      <c r="C421" s="438" t="s">
        <v>1155</v>
      </c>
      <c r="D421" s="438" t="s">
        <v>1180</v>
      </c>
      <c r="E421" s="438" t="s">
        <v>509</v>
      </c>
      <c r="F421" s="449" t="b">
        <f>IF('23. Building Design Score'!C131&lt;&gt;"YES",FALSE,TRUE)</f>
        <v>0</v>
      </c>
    </row>
    <row r="422" spans="1:7">
      <c r="A422" s="438" t="s">
        <v>1181</v>
      </c>
      <c r="B422" s="438" t="s">
        <v>895</v>
      </c>
      <c r="C422" s="438" t="s">
        <v>1155</v>
      </c>
      <c r="D422" s="438" t="s">
        <v>1182</v>
      </c>
      <c r="E422" s="438" t="s">
        <v>509</v>
      </c>
      <c r="F422" s="449">
        <f>IF('23. Building Design Score'!C131="Yes",INDEX('23. Building Design Score'!M138:M139,1,1,1),0)</f>
        <v>0</v>
      </c>
    </row>
    <row r="423" spans="1:7">
      <c r="A423" s="438" t="s">
        <v>1183</v>
      </c>
      <c r="B423" s="438" t="s">
        <v>895</v>
      </c>
      <c r="C423" s="438" t="s">
        <v>1155</v>
      </c>
      <c r="D423" s="438" t="s">
        <v>1184</v>
      </c>
      <c r="E423" s="438" t="s">
        <v>509</v>
      </c>
      <c r="F423" s="449" t="b">
        <f>IF('23. Building Design Score'!C132&lt;&gt;"YES",FALSE,TRUE)</f>
        <v>0</v>
      </c>
    </row>
    <row r="424" spans="1:7">
      <c r="A424" s="438" t="s">
        <v>1185</v>
      </c>
      <c r="B424" s="438" t="s">
        <v>895</v>
      </c>
      <c r="C424" s="438" t="s">
        <v>1155</v>
      </c>
      <c r="D424" s="438" t="s">
        <v>1186</v>
      </c>
      <c r="E424" s="438" t="s">
        <v>509</v>
      </c>
      <c r="F424" s="449">
        <f>IF('23. Building Design Score'!C132="Yes",'23. Building Design Score'!D132,0)</f>
        <v>0</v>
      </c>
    </row>
    <row r="425" spans="1:7">
      <c r="A425" s="1746" t="s">
        <v>1187</v>
      </c>
      <c r="B425" s="1746"/>
      <c r="C425" s="1746"/>
      <c r="D425" s="1746"/>
      <c r="E425" s="1746"/>
      <c r="F425" s="1666"/>
      <c r="G425" s="1666"/>
    </row>
    <row r="426" spans="1:7">
      <c r="A426" s="1744" t="s">
        <v>1188</v>
      </c>
      <c r="B426" s="1745"/>
      <c r="C426" s="1745"/>
      <c r="D426" s="1745"/>
      <c r="E426" s="1745"/>
      <c r="F426" s="1665"/>
      <c r="G426" s="1665"/>
    </row>
    <row r="427" spans="1:7">
      <c r="A427" s="438" t="s">
        <v>1189</v>
      </c>
      <c r="B427" s="438" t="s">
        <v>895</v>
      </c>
      <c r="C427" s="438" t="s">
        <v>1190</v>
      </c>
      <c r="D427" s="438" t="s">
        <v>1191</v>
      </c>
      <c r="E427" s="438" t="s">
        <v>509</v>
      </c>
      <c r="F427" s="449" t="b">
        <v>0</v>
      </c>
      <c r="G427" s="438" t="s">
        <v>999</v>
      </c>
    </row>
    <row r="428" spans="1:7">
      <c r="A428" s="438" t="s">
        <v>1192</v>
      </c>
      <c r="B428" s="438" t="s">
        <v>895</v>
      </c>
      <c r="C428" s="438" t="s">
        <v>1190</v>
      </c>
      <c r="D428" s="438" t="s">
        <v>1193</v>
      </c>
      <c r="E428" s="438" t="s">
        <v>509</v>
      </c>
      <c r="F428" s="449" cm="1">
        <f t="array" ref="F428:G428">'24. Development Process Score'!E50:F50</f>
        <v>0</v>
      </c>
      <c r="G428">
        <v>0</v>
      </c>
    </row>
    <row r="429" spans="1:7">
      <c r="A429" s="438" t="s">
        <v>1194</v>
      </c>
      <c r="B429" s="438" t="s">
        <v>895</v>
      </c>
      <c r="C429" s="438" t="s">
        <v>1190</v>
      </c>
      <c r="D429" s="438" t="s">
        <v>1195</v>
      </c>
      <c r="E429" s="438" t="s">
        <v>509</v>
      </c>
      <c r="F429" s="449">
        <f>INDEX('24. Development Process Score'!G50:H50,1,1,1)</f>
        <v>0</v>
      </c>
      <c r="G429" s="590" t="s">
        <v>1196</v>
      </c>
    </row>
    <row r="430" spans="1:7">
      <c r="A430" s="438" t="s">
        <v>1197</v>
      </c>
      <c r="B430" s="438" t="s">
        <v>895</v>
      </c>
      <c r="C430" s="438" t="s">
        <v>1190</v>
      </c>
      <c r="D430" s="438" t="s">
        <v>1198</v>
      </c>
      <c r="E430" s="438" t="s">
        <v>509</v>
      </c>
      <c r="F430" s="449" t="str">
        <f>IF(INDEX('24. Development Process Score'!G50:H50,1,1,1)=0,"",INDEX('24. Development Process Score'!G50:H50,1,1,1))</f>
        <v/>
      </c>
      <c r="G430" s="634" t="s">
        <v>1199</v>
      </c>
    </row>
    <row r="431" spans="1:7">
      <c r="A431" s="1746" t="s">
        <v>1200</v>
      </c>
      <c r="B431" s="1746"/>
      <c r="C431" s="1746"/>
      <c r="D431" s="1746"/>
      <c r="E431" s="1746"/>
      <c r="F431" s="1666"/>
      <c r="G431" s="1666"/>
    </row>
    <row r="432" spans="1:7">
      <c r="A432" s="1744" t="s">
        <v>1201</v>
      </c>
      <c r="B432" s="1745"/>
      <c r="C432" s="1745"/>
      <c r="D432" s="1745"/>
      <c r="E432" s="1745"/>
      <c r="F432" s="1665"/>
      <c r="G432" s="1665"/>
    </row>
    <row r="433" spans="1:7">
      <c r="A433" s="438" t="s">
        <v>1202</v>
      </c>
      <c r="B433" s="438" t="s">
        <v>895</v>
      </c>
      <c r="C433" s="438" t="s">
        <v>1203</v>
      </c>
      <c r="D433" s="438" t="s">
        <v>1204</v>
      </c>
      <c r="E433" s="438" t="s">
        <v>509</v>
      </c>
      <c r="F433" s="449" t="b">
        <f>IF('23. Building Design Score'!F160&lt;&gt;"Yes",FALSE,TRUE)</f>
        <v>0</v>
      </c>
    </row>
    <row r="434" spans="1:7">
      <c r="A434" s="438" t="s">
        <v>1205</v>
      </c>
      <c r="B434" s="438" t="s">
        <v>895</v>
      </c>
      <c r="C434" s="438" t="s">
        <v>1203</v>
      </c>
      <c r="D434" s="438" t="s">
        <v>1206</v>
      </c>
      <c r="E434" s="438" t="s">
        <v>509</v>
      </c>
      <c r="F434" s="449">
        <f>'23. Building Design Score'!D188</f>
        <v>0</v>
      </c>
    </row>
    <row r="435" spans="1:7">
      <c r="A435" s="438" t="s">
        <v>1207</v>
      </c>
      <c r="B435" s="438" t="s">
        <v>895</v>
      </c>
      <c r="C435" s="438" t="s">
        <v>1203</v>
      </c>
      <c r="D435" s="438" t="s">
        <v>1208</v>
      </c>
      <c r="E435" s="438" t="s">
        <v>509</v>
      </c>
      <c r="F435" s="449">
        <f>'23. Building Design Score'!E188</f>
        <v>0</v>
      </c>
    </row>
    <row r="436" spans="1:7">
      <c r="A436" s="438" t="s">
        <v>1209</v>
      </c>
      <c r="B436" s="438" t="s">
        <v>895</v>
      </c>
      <c r="C436" s="438" t="s">
        <v>1203</v>
      </c>
      <c r="D436" s="438" t="s">
        <v>1210</v>
      </c>
      <c r="E436" s="438" t="s">
        <v>509</v>
      </c>
      <c r="F436" s="449" t="str">
        <f>IF(INDEX('23. Building Design Score'!J192:O200,1,1,1)=0,"",INDEX('23. Building Design Score'!J192:O200,1,1,1))</f>
        <v/>
      </c>
    </row>
    <row r="437" spans="1:7">
      <c r="A437" s="1746" t="s">
        <v>1187</v>
      </c>
      <c r="B437" s="1746"/>
      <c r="C437" s="1746"/>
      <c r="D437" s="1746"/>
      <c r="E437" s="1746"/>
      <c r="F437" s="1666"/>
      <c r="G437" s="1666"/>
    </row>
    <row r="438" spans="1:7">
      <c r="A438" s="1744" t="s">
        <v>1211</v>
      </c>
      <c r="B438" s="1745"/>
      <c r="C438" s="1745"/>
      <c r="D438" s="1745"/>
      <c r="E438" s="1745"/>
      <c r="F438" s="1665"/>
      <c r="G438" s="1665"/>
    </row>
    <row r="439" spans="1:7">
      <c r="A439" s="438" t="s">
        <v>1212</v>
      </c>
      <c r="B439" s="438" t="s">
        <v>895</v>
      </c>
      <c r="C439" s="438" t="s">
        <v>1213</v>
      </c>
      <c r="D439" s="438" t="s">
        <v>1214</v>
      </c>
      <c r="E439" s="438" t="s">
        <v>509</v>
      </c>
      <c r="F439" s="449" t="b">
        <f>IF('24. Development Process Score'!O91&lt;&gt;"YES",FALSE,TRUE)</f>
        <v>0</v>
      </c>
    </row>
    <row r="440" spans="1:7">
      <c r="A440" s="438" t="s">
        <v>1215</v>
      </c>
      <c r="B440" s="438" t="s">
        <v>895</v>
      </c>
      <c r="C440" s="438" t="s">
        <v>1213</v>
      </c>
      <c r="D440" s="438" t="s">
        <v>1216</v>
      </c>
      <c r="E440" s="438" t="s">
        <v>509</v>
      </c>
      <c r="F440" s="449">
        <f>'24. Development Process Score'!O91</f>
        <v>0</v>
      </c>
    </row>
    <row r="441" spans="1:7">
      <c r="A441" s="438" t="s">
        <v>1217</v>
      </c>
      <c r="B441" s="438" t="s">
        <v>895</v>
      </c>
      <c r="C441" s="438" t="s">
        <v>1213</v>
      </c>
      <c r="D441" s="438" t="s">
        <v>1218</v>
      </c>
      <c r="E441" s="438" t="s">
        <v>509</v>
      </c>
      <c r="F441" s="449">
        <f>IF(AND('24. Development Process Score'!O78="Yes", '24. Development Process Score'!O79&lt;&gt;"Yes"), 3, IF(AND('24. Development Process Score'!O79="Yes", '24. Development Process Score'!O78&lt;&gt;"Yes"), 2, 0))</f>
        <v>0</v>
      </c>
    </row>
    <row r="442" spans="1:7">
      <c r="A442" s="438" t="s">
        <v>1219</v>
      </c>
      <c r="B442" s="438" t="s">
        <v>895</v>
      </c>
      <c r="C442" s="438" t="s">
        <v>1213</v>
      </c>
      <c r="D442" s="438" t="s">
        <v>1220</v>
      </c>
      <c r="E442" s="438" t="s">
        <v>509</v>
      </c>
      <c r="F442" s="449">
        <v>0</v>
      </c>
      <c r="G442" s="438" t="s">
        <v>1221</v>
      </c>
    </row>
    <row r="443" spans="1:7">
      <c r="A443" s="438" t="s">
        <v>1222</v>
      </c>
      <c r="B443" s="438" t="s">
        <v>895</v>
      </c>
      <c r="C443" s="438" t="s">
        <v>1213</v>
      </c>
      <c r="D443" s="438" t="s">
        <v>1223</v>
      </c>
      <c r="E443" s="438" t="s">
        <v>509</v>
      </c>
      <c r="F443" s="449">
        <f>IF('24. Development Process Score'!O88="Yes", 2, 0)</f>
        <v>0</v>
      </c>
    </row>
    <row r="444" spans="1:7">
      <c r="A444" s="438" t="s">
        <v>1224</v>
      </c>
      <c r="B444" s="438" t="s">
        <v>895</v>
      </c>
      <c r="C444" s="438" t="s">
        <v>1213</v>
      </c>
      <c r="D444" s="438" t="s">
        <v>1225</v>
      </c>
      <c r="E444" s="438" t="s">
        <v>509</v>
      </c>
      <c r="F444" s="449">
        <f>'24. Development Process Score'!O90</f>
        <v>0</v>
      </c>
    </row>
    <row r="445" spans="1:7">
      <c r="A445" s="438" t="s">
        <v>1226</v>
      </c>
      <c r="B445" s="438" t="s">
        <v>895</v>
      </c>
      <c r="C445" s="438" t="s">
        <v>1213</v>
      </c>
      <c r="D445" s="438" t="s">
        <v>1227</v>
      </c>
      <c r="E445" s="438" t="s">
        <v>509</v>
      </c>
      <c r="F445" s="449">
        <f>IF(AND('24. Development Process Score'!Q78="Yes", '24. Development Process Score'!Q79&lt;&gt;"Yes"), 3, IF(AND('24. Development Process Score'!Q79="Yes", '24. Development Process Score'!Q78&lt;&gt;"Yes"), 2, 0))</f>
        <v>0</v>
      </c>
    </row>
    <row r="446" spans="1:7">
      <c r="A446" s="438" t="s">
        <v>1228</v>
      </c>
      <c r="B446" s="438" t="s">
        <v>895</v>
      </c>
      <c r="C446" s="438" t="s">
        <v>1213</v>
      </c>
      <c r="D446" s="438" t="s">
        <v>1229</v>
      </c>
      <c r="E446" s="438" t="s">
        <v>509</v>
      </c>
      <c r="F446" s="449">
        <v>0</v>
      </c>
      <c r="G446" s="438" t="s">
        <v>1221</v>
      </c>
    </row>
    <row r="447" spans="1:7">
      <c r="A447" s="438" t="s">
        <v>1230</v>
      </c>
      <c r="B447" s="438" t="s">
        <v>895</v>
      </c>
      <c r="C447" s="438" t="s">
        <v>1213</v>
      </c>
      <c r="D447" s="438" t="s">
        <v>1231</v>
      </c>
      <c r="E447" s="438" t="s">
        <v>509</v>
      </c>
      <c r="F447" s="449">
        <f>IF('24. Development Process Score'!Q88="Yes", 2, 0)</f>
        <v>0</v>
      </c>
    </row>
    <row r="448" spans="1:7">
      <c r="A448" s="438" t="s">
        <v>1232</v>
      </c>
      <c r="B448" s="438" t="s">
        <v>895</v>
      </c>
      <c r="C448" s="438" t="s">
        <v>1213</v>
      </c>
      <c r="D448" s="438" t="s">
        <v>1233</v>
      </c>
      <c r="E448" s="438" t="s">
        <v>509</v>
      </c>
      <c r="F448" s="449">
        <f>'24. Development Process Score'!Q90</f>
        <v>0</v>
      </c>
    </row>
    <row r="449" spans="1:7">
      <c r="A449" s="438" t="s">
        <v>1234</v>
      </c>
      <c r="B449" s="438" t="s">
        <v>895</v>
      </c>
      <c r="C449" s="438" t="s">
        <v>1213</v>
      </c>
      <c r="D449" s="438" t="s">
        <v>1235</v>
      </c>
      <c r="E449" s="438" t="s">
        <v>509</v>
      </c>
      <c r="F449" s="449">
        <f>IF(AND('24. Development Process Score'!S78="Yes", '24. Development Process Score'!S79&lt;&gt;"Yes"), 3, IF(AND('24. Development Process Score'!S79="Yes", '24. Development Process Score'!S78&lt;&gt;"Yes"), 2, 0))</f>
        <v>0</v>
      </c>
    </row>
    <row r="450" spans="1:7">
      <c r="A450" s="438" t="s">
        <v>1236</v>
      </c>
      <c r="B450" s="438" t="s">
        <v>895</v>
      </c>
      <c r="C450" s="438" t="s">
        <v>1213</v>
      </c>
      <c r="D450" s="438" t="s">
        <v>1237</v>
      </c>
      <c r="E450" s="438" t="s">
        <v>509</v>
      </c>
      <c r="F450" s="449">
        <v>0</v>
      </c>
      <c r="G450" s="438" t="s">
        <v>1221</v>
      </c>
    </row>
    <row r="451" spans="1:7">
      <c r="A451" s="438" t="s">
        <v>1238</v>
      </c>
      <c r="B451" s="438" t="s">
        <v>895</v>
      </c>
      <c r="C451" s="438" t="s">
        <v>1213</v>
      </c>
      <c r="D451" s="438" t="s">
        <v>1239</v>
      </c>
      <c r="E451" s="438" t="s">
        <v>509</v>
      </c>
      <c r="F451" s="449">
        <f>IF('24. Development Process Score'!S88="Yes", 2, 0)</f>
        <v>0</v>
      </c>
    </row>
    <row r="452" spans="1:7">
      <c r="A452" s="438" t="s">
        <v>1240</v>
      </c>
      <c r="B452" s="438" t="s">
        <v>895</v>
      </c>
      <c r="C452" s="438" t="s">
        <v>1213</v>
      </c>
      <c r="D452" s="438" t="s">
        <v>1241</v>
      </c>
      <c r="E452" s="438" t="s">
        <v>509</v>
      </c>
      <c r="F452" s="449">
        <f>'24. Development Process Score'!S90</f>
        <v>0</v>
      </c>
    </row>
    <row r="453" spans="1:7">
      <c r="A453" s="438" t="s">
        <v>1207</v>
      </c>
      <c r="B453" s="438" t="s">
        <v>895</v>
      </c>
      <c r="C453" s="438" t="s">
        <v>1213</v>
      </c>
      <c r="D453" s="438" t="s">
        <v>1242</v>
      </c>
      <c r="E453" s="438" t="s">
        <v>509</v>
      </c>
      <c r="F453" s="449">
        <f>INDEX('24. Development Process Score'!O91:P91,1,1,1)</f>
        <v>0</v>
      </c>
    </row>
    <row r="454" spans="1:7">
      <c r="A454" s="438" t="s">
        <v>1209</v>
      </c>
      <c r="B454" s="438" t="s">
        <v>895</v>
      </c>
      <c r="C454" s="438" t="s">
        <v>1213</v>
      </c>
      <c r="D454" s="438" t="s">
        <v>1243</v>
      </c>
      <c r="E454" s="438" t="s">
        <v>509</v>
      </c>
      <c r="F454" s="449" t="str">
        <f>IF(INDEX('24. Development Process Score'!L96:T104,1,1,1)=0,"",INDEX('24. Development Process Score'!L96:T104,1,1,1))</f>
        <v/>
      </c>
    </row>
    <row r="455" spans="1:7">
      <c r="A455" s="1746" t="s">
        <v>1244</v>
      </c>
      <c r="B455" s="1746"/>
      <c r="C455" s="1746"/>
      <c r="D455" s="1746"/>
      <c r="E455" s="1746"/>
      <c r="F455" s="1666"/>
      <c r="G455" s="1666"/>
    </row>
    <row r="456" spans="1:7">
      <c r="A456" s="1744" t="s">
        <v>1245</v>
      </c>
      <c r="B456" s="1745"/>
      <c r="C456" s="1745"/>
      <c r="D456" s="1745"/>
      <c r="E456" s="1745"/>
      <c r="F456" s="1665"/>
      <c r="G456" s="1665"/>
    </row>
    <row r="457" spans="1:7">
      <c r="A457" s="438" t="s">
        <v>1246</v>
      </c>
      <c r="B457" s="438" t="s">
        <v>895</v>
      </c>
      <c r="C457" s="438" t="s">
        <v>1247</v>
      </c>
      <c r="D457" s="438" t="s">
        <v>1248</v>
      </c>
      <c r="E457" s="438" t="s">
        <v>509</v>
      </c>
      <c r="F457" s="449" t="b">
        <v>0</v>
      </c>
      <c r="G457" s="438" t="s">
        <v>999</v>
      </c>
    </row>
    <row r="458" spans="1:7">
      <c r="A458" s="438" t="s">
        <v>1249</v>
      </c>
      <c r="B458" s="438" t="s">
        <v>895</v>
      </c>
      <c r="C458" s="438" t="s">
        <v>1247</v>
      </c>
      <c r="D458" s="438" t="s">
        <v>1250</v>
      </c>
      <c r="E458" s="438" t="s">
        <v>509</v>
      </c>
      <c r="F458" s="449">
        <f>'21. Location Score'!D63</f>
        <v>0</v>
      </c>
    </row>
    <row r="459" spans="1:7">
      <c r="A459" s="438" t="s">
        <v>1251</v>
      </c>
      <c r="B459" s="438" t="s">
        <v>895</v>
      </c>
      <c r="C459" s="438" t="s">
        <v>1247</v>
      </c>
      <c r="D459" s="438" t="s">
        <v>1252</v>
      </c>
      <c r="E459" s="438" t="s">
        <v>509</v>
      </c>
      <c r="F459" s="449">
        <f>'21. Location Score'!C17</f>
        <v>0</v>
      </c>
    </row>
    <row r="460" spans="1:7">
      <c r="A460" s="438" t="s">
        <v>1253</v>
      </c>
      <c r="B460" s="438" t="s">
        <v>895</v>
      </c>
      <c r="C460" s="438" t="s">
        <v>1247</v>
      </c>
      <c r="D460" s="438" t="s">
        <v>1254</v>
      </c>
      <c r="E460" s="438" t="s">
        <v>509</v>
      </c>
      <c r="F460" s="449">
        <f>'21. Location Score'!C20</f>
        <v>0</v>
      </c>
    </row>
    <row r="461" spans="1:7">
      <c r="A461" s="438" t="s">
        <v>1255</v>
      </c>
      <c r="B461" s="438" t="s">
        <v>895</v>
      </c>
      <c r="C461" s="438" t="s">
        <v>1247</v>
      </c>
      <c r="D461" s="438" t="s">
        <v>1256</v>
      </c>
      <c r="E461" s="438" t="s">
        <v>509</v>
      </c>
      <c r="F461" s="449">
        <f>'21. Location Score'!C28</f>
        <v>0</v>
      </c>
    </row>
    <row r="462" spans="1:7">
      <c r="A462" s="438" t="s">
        <v>1257</v>
      </c>
      <c r="B462" s="438" t="s">
        <v>895</v>
      </c>
      <c r="C462" s="438" t="s">
        <v>1247</v>
      </c>
      <c r="D462" s="438" t="s">
        <v>1258</v>
      </c>
      <c r="E462" s="438" t="s">
        <v>509</v>
      </c>
      <c r="F462" s="449">
        <f>IF('24. Development Process Score'!H111="Yes", 5, 0)</f>
        <v>0</v>
      </c>
    </row>
    <row r="463" spans="1:7">
      <c r="A463" s="438" t="s">
        <v>1259</v>
      </c>
      <c r="B463" s="438" t="s">
        <v>895</v>
      </c>
      <c r="C463" s="438" t="s">
        <v>1247</v>
      </c>
      <c r="D463" s="438" t="s">
        <v>1260</v>
      </c>
      <c r="E463" s="438" t="s">
        <v>509</v>
      </c>
      <c r="F463" s="449">
        <f>'21. Location Score'!C49</f>
        <v>0</v>
      </c>
    </row>
    <row r="464" spans="1:7">
      <c r="A464" s="438" t="s">
        <v>1261</v>
      </c>
      <c r="B464" s="438" t="s">
        <v>895</v>
      </c>
      <c r="C464" s="438" t="s">
        <v>1247</v>
      </c>
      <c r="D464" s="438" t="s">
        <v>1262</v>
      </c>
      <c r="E464" s="438" t="s">
        <v>509</v>
      </c>
      <c r="F464" s="449">
        <f>'21. Location Score'!C50</f>
        <v>0</v>
      </c>
    </row>
    <row r="465" spans="1:7">
      <c r="A465" s="438" t="s">
        <v>1263</v>
      </c>
      <c r="B465" s="438" t="s">
        <v>895</v>
      </c>
      <c r="C465" s="438" t="s">
        <v>1247</v>
      </c>
      <c r="D465" s="438" t="s">
        <v>1264</v>
      </c>
      <c r="E465" s="438" t="s">
        <v>509</v>
      </c>
      <c r="F465" s="449">
        <f>IF(ISNUMBER('21. Location Score'!C51),'21. Location Score'!C51,0)</f>
        <v>0</v>
      </c>
    </row>
    <row r="466" spans="1:7">
      <c r="A466" s="438" t="s">
        <v>1265</v>
      </c>
      <c r="B466" s="438" t="s">
        <v>895</v>
      </c>
      <c r="C466" s="438" t="s">
        <v>1247</v>
      </c>
      <c r="D466" s="438" t="s">
        <v>1266</v>
      </c>
      <c r="E466" s="438" t="s">
        <v>509</v>
      </c>
      <c r="F466" s="449">
        <f>IF(ISNUMBER('21. Location Score'!C52),'21. Location Score'!C52,0)</f>
        <v>0</v>
      </c>
    </row>
    <row r="467" spans="1:7">
      <c r="A467" s="438" t="s">
        <v>1267</v>
      </c>
      <c r="B467" s="438" t="s">
        <v>895</v>
      </c>
      <c r="C467" s="438" t="s">
        <v>1247</v>
      </c>
      <c r="D467" s="438" t="s">
        <v>1268</v>
      </c>
      <c r="E467" s="438" t="s">
        <v>509</v>
      </c>
      <c r="F467" s="449">
        <f>IF(ISNUMBER('21. Location Score'!C53),'21. Location Score'!C53,0)</f>
        <v>0</v>
      </c>
    </row>
    <row r="468" spans="1:7">
      <c r="A468" s="438" t="s">
        <v>1269</v>
      </c>
      <c r="B468" s="438" t="s">
        <v>895</v>
      </c>
      <c r="C468" s="438" t="s">
        <v>1247</v>
      </c>
      <c r="D468" s="438" t="s">
        <v>1270</v>
      </c>
      <c r="E468" s="438" t="s">
        <v>509</v>
      </c>
      <c r="F468" s="449">
        <f>IF(ISNUMBER('21. Location Score'!C54),'21. Location Score'!C54,0)</f>
        <v>0</v>
      </c>
    </row>
    <row r="469" spans="1:7">
      <c r="A469" s="438" t="s">
        <v>1271</v>
      </c>
      <c r="B469" s="438" t="s">
        <v>895</v>
      </c>
      <c r="C469" s="438" t="s">
        <v>1247</v>
      </c>
      <c r="D469" s="438" t="s">
        <v>1272</v>
      </c>
      <c r="E469" s="438" t="s">
        <v>509</v>
      </c>
      <c r="F469" s="449">
        <f>IF(ISNUMBER('21. Location Score'!C55),'21. Location Score'!C55,0)</f>
        <v>0</v>
      </c>
    </row>
    <row r="470" spans="1:7">
      <c r="A470" s="438" t="s">
        <v>1273</v>
      </c>
      <c r="B470" s="438" t="s">
        <v>895</v>
      </c>
      <c r="C470" s="438" t="s">
        <v>1247</v>
      </c>
      <c r="D470" s="438" t="s">
        <v>1274</v>
      </c>
      <c r="E470" s="438" t="s">
        <v>509</v>
      </c>
      <c r="F470" s="449">
        <f>IF('23. Building Design Score'!C248="Yes", 1, 0)</f>
        <v>0</v>
      </c>
    </row>
    <row r="471" spans="1:7">
      <c r="A471" s="438" t="s">
        <v>1275</v>
      </c>
      <c r="B471" s="438" t="s">
        <v>895</v>
      </c>
      <c r="C471" s="438" t="s">
        <v>1247</v>
      </c>
      <c r="D471" s="438" t="s">
        <v>1276</v>
      </c>
      <c r="E471" s="438" t="s">
        <v>509</v>
      </c>
      <c r="F471" s="449">
        <f>IF('23. Building Design Score'!C250="Yes", 1, 0)</f>
        <v>0</v>
      </c>
    </row>
    <row r="472" spans="1:7">
      <c r="A472" s="438" t="s">
        <v>1277</v>
      </c>
      <c r="B472" s="438" t="s">
        <v>895</v>
      </c>
      <c r="C472" s="438" t="s">
        <v>1247</v>
      </c>
      <c r="D472" s="438" t="s">
        <v>1278</v>
      </c>
      <c r="E472" s="438" t="s">
        <v>509</v>
      </c>
      <c r="F472" s="449">
        <f>'23. Building Design Score'!E253</f>
        <v>0</v>
      </c>
    </row>
    <row r="473" spans="1:7">
      <c r="A473" s="438" t="s">
        <v>1279</v>
      </c>
      <c r="B473" s="438" t="s">
        <v>895</v>
      </c>
      <c r="C473" s="438" t="s">
        <v>1247</v>
      </c>
      <c r="D473" s="438" t="s">
        <v>1280</v>
      </c>
      <c r="E473" s="438" t="s">
        <v>509</v>
      </c>
      <c r="F473" s="449" t="str">
        <f>IF(INDEX('23. Building Design Score'!J257:O266,1,1,1)=0,"",INDEX('23. Building Design Score'!J257:O266,1,1,1))</f>
        <v/>
      </c>
    </row>
    <row r="474" spans="1:7">
      <c r="A474" s="1746" t="s">
        <v>1281</v>
      </c>
      <c r="B474" s="1746"/>
      <c r="C474" s="1746"/>
      <c r="D474" s="1746"/>
      <c r="E474" s="1746"/>
      <c r="F474" s="1666"/>
      <c r="G474" s="1666"/>
    </row>
    <row r="475" spans="1:7">
      <c r="A475" s="1744" t="s">
        <v>1282</v>
      </c>
      <c r="B475" s="1745"/>
      <c r="C475" s="1745"/>
      <c r="D475" s="1745"/>
      <c r="E475" s="1745"/>
      <c r="F475" s="1665"/>
      <c r="G475" s="1665"/>
    </row>
    <row r="476" spans="1:7">
      <c r="A476" s="438" t="s">
        <v>1283</v>
      </c>
      <c r="B476" s="438" t="s">
        <v>895</v>
      </c>
      <c r="C476" s="591" t="s">
        <v>1284</v>
      </c>
      <c r="D476" s="438" t="s">
        <v>1285</v>
      </c>
      <c r="E476" s="438" t="s">
        <v>509</v>
      </c>
      <c r="F476" s="449" t="b">
        <v>0</v>
      </c>
      <c r="G476" s="438" t="s">
        <v>999</v>
      </c>
    </row>
    <row r="477" spans="1:7">
      <c r="A477" s="438" t="s">
        <v>1286</v>
      </c>
      <c r="B477" s="438" t="s">
        <v>895</v>
      </c>
      <c r="C477" s="591" t="s">
        <v>1284</v>
      </c>
      <c r="D477" s="438" t="s">
        <v>1287</v>
      </c>
      <c r="E477" s="438" t="s">
        <v>509</v>
      </c>
      <c r="G477" s="438" t="s">
        <v>1288</v>
      </c>
    </row>
    <row r="478" spans="1:7">
      <c r="A478" s="438" t="s">
        <v>1289</v>
      </c>
      <c r="B478" s="438" t="s">
        <v>895</v>
      </c>
      <c r="C478" s="591" t="s">
        <v>1284</v>
      </c>
      <c r="D478" s="438" t="s">
        <v>1290</v>
      </c>
      <c r="E478" s="438" t="s">
        <v>509</v>
      </c>
      <c r="G478" s="438" t="s">
        <v>1288</v>
      </c>
    </row>
    <row r="479" spans="1:7">
      <c r="A479" s="438" t="s">
        <v>1291</v>
      </c>
      <c r="B479" s="438" t="s">
        <v>895</v>
      </c>
      <c r="C479" s="591" t="s">
        <v>1284</v>
      </c>
      <c r="D479" s="438" t="s">
        <v>1292</v>
      </c>
      <c r="E479" s="438" t="s">
        <v>509</v>
      </c>
      <c r="G479" s="438" t="s">
        <v>1288</v>
      </c>
    </row>
    <row r="480" spans="1:7">
      <c r="A480" s="1746" t="s">
        <v>1293</v>
      </c>
      <c r="B480" s="1746"/>
      <c r="C480" s="1746"/>
      <c r="D480" s="1746"/>
      <c r="E480" s="1746"/>
      <c r="F480" s="1666"/>
      <c r="G480" s="1666"/>
    </row>
    <row r="481" spans="1:7">
      <c r="A481" s="1744" t="s">
        <v>1294</v>
      </c>
      <c r="B481" s="1745"/>
      <c r="C481" s="1745"/>
      <c r="D481" s="1745"/>
      <c r="E481" s="1745"/>
      <c r="F481" s="1665"/>
      <c r="G481" s="1665"/>
    </row>
    <row r="482" spans="1:7">
      <c r="A482" s="438" t="s">
        <v>1295</v>
      </c>
      <c r="B482" s="438" t="s">
        <v>895</v>
      </c>
      <c r="C482" s="438" t="s">
        <v>1296</v>
      </c>
      <c r="D482" s="438" t="s">
        <v>1297</v>
      </c>
      <c r="E482" s="438" t="s">
        <v>509</v>
      </c>
      <c r="F482" s="449" t="b">
        <v>0</v>
      </c>
      <c r="G482" s="438" t="s">
        <v>999</v>
      </c>
    </row>
    <row r="483" spans="1:7">
      <c r="A483" s="438" t="s">
        <v>1298</v>
      </c>
      <c r="B483" s="438" t="s">
        <v>895</v>
      </c>
      <c r="C483" s="438" t="s">
        <v>1296</v>
      </c>
      <c r="D483" s="438" t="s">
        <v>1299</v>
      </c>
      <c r="E483" s="438" t="s">
        <v>509</v>
      </c>
      <c r="F483" s="449">
        <f>IF('21. Location Score'!D141&lt;&gt;"",'21. Location Score'!D141,0)</f>
        <v>0</v>
      </c>
    </row>
    <row r="484" spans="1:7">
      <c r="A484" s="438" t="s">
        <v>1300</v>
      </c>
      <c r="B484" s="438" t="s">
        <v>895</v>
      </c>
      <c r="C484" s="438" t="s">
        <v>1296</v>
      </c>
      <c r="D484" s="438" t="s">
        <v>1301</v>
      </c>
      <c r="E484" s="438" t="s">
        <v>509</v>
      </c>
      <c r="F484" s="449">
        <f>'21. Location Score'!C129</f>
        <v>0</v>
      </c>
    </row>
    <row r="485" spans="1:7">
      <c r="A485" s="438" t="s">
        <v>1302</v>
      </c>
      <c r="B485" s="438" t="s">
        <v>895</v>
      </c>
      <c r="C485" s="438" t="s">
        <v>1296</v>
      </c>
      <c r="D485" s="438" t="s">
        <v>1303</v>
      </c>
      <c r="E485" s="438" t="s">
        <v>509</v>
      </c>
      <c r="F485" s="449">
        <f>'21. Location Score'!C133</f>
        <v>0</v>
      </c>
    </row>
    <row r="486" spans="1:7">
      <c r="A486" s="438" t="s">
        <v>1304</v>
      </c>
      <c r="B486" s="438" t="s">
        <v>895</v>
      </c>
      <c r="C486" s="438" t="s">
        <v>1296</v>
      </c>
      <c r="D486" s="438" t="s">
        <v>1305</v>
      </c>
      <c r="E486" s="438" t="s">
        <v>509</v>
      </c>
      <c r="G486" s="438" t="s">
        <v>1288</v>
      </c>
    </row>
    <row r="487" spans="1:7">
      <c r="A487" s="438" t="s">
        <v>1306</v>
      </c>
      <c r="B487" s="438" t="s">
        <v>895</v>
      </c>
      <c r="C487" s="438" t="s">
        <v>1296</v>
      </c>
      <c r="D487" s="438" t="s">
        <v>1307</v>
      </c>
      <c r="E487" s="438" t="s">
        <v>509</v>
      </c>
      <c r="F487" s="449">
        <f>'21. Location Score'!E141</f>
        <v>0</v>
      </c>
    </row>
    <row r="488" spans="1:7">
      <c r="A488" s="438" t="s">
        <v>1308</v>
      </c>
      <c r="B488" s="438" t="s">
        <v>895</v>
      </c>
      <c r="C488" s="438" t="s">
        <v>1296</v>
      </c>
      <c r="D488" s="438" t="s">
        <v>1309</v>
      </c>
      <c r="E488" s="438" t="s">
        <v>509</v>
      </c>
      <c r="F488" s="449" t="str">
        <f>IF('21. Location Score'!I67&lt;&gt;0,'21. Location Score'!I67,"")</f>
        <v/>
      </c>
    </row>
    <row r="489" spans="1:7">
      <c r="A489" s="1746" t="s">
        <v>1310</v>
      </c>
      <c r="B489" s="1746"/>
      <c r="C489" s="1746"/>
      <c r="D489" s="1746"/>
      <c r="E489" s="1746"/>
      <c r="F489" s="1666"/>
      <c r="G489" s="1666"/>
    </row>
    <row r="490" spans="1:7">
      <c r="A490" s="1744" t="s">
        <v>1311</v>
      </c>
      <c r="B490" s="1745"/>
      <c r="C490" s="1745"/>
      <c r="D490" s="1745"/>
      <c r="E490" s="1745"/>
      <c r="F490" s="1665"/>
      <c r="G490" s="1665"/>
    </row>
    <row r="491" spans="1:7">
      <c r="A491" s="438" t="s">
        <v>1312</v>
      </c>
      <c r="B491" s="438" t="s">
        <v>895</v>
      </c>
      <c r="C491" s="438" t="s">
        <v>1313</v>
      </c>
      <c r="D491" s="438" t="s">
        <v>1314</v>
      </c>
      <c r="E491" s="438" t="s">
        <v>509</v>
      </c>
      <c r="F491" s="449" t="b">
        <v>0</v>
      </c>
      <c r="G491" s="438" t="s">
        <v>999</v>
      </c>
    </row>
    <row r="492" spans="1:7">
      <c r="A492" s="438" t="s">
        <v>1315</v>
      </c>
      <c r="B492" s="438" t="s">
        <v>895</v>
      </c>
      <c r="C492" s="438" t="s">
        <v>1313</v>
      </c>
      <c r="D492" s="438" t="s">
        <v>1316</v>
      </c>
      <c r="E492" s="438" t="s">
        <v>509</v>
      </c>
      <c r="F492" s="449">
        <f>IF('23. Building Design Score'!D227&lt;&gt;"",'23. Building Design Score'!D227,0)</f>
        <v>0</v>
      </c>
    </row>
    <row r="493" spans="1:7">
      <c r="A493" s="438" t="s">
        <v>1317</v>
      </c>
      <c r="B493" s="438" t="s">
        <v>895</v>
      </c>
      <c r="C493" s="438" t="s">
        <v>1313</v>
      </c>
      <c r="D493" s="438" t="s">
        <v>1318</v>
      </c>
      <c r="E493" s="438" t="s">
        <v>509</v>
      </c>
      <c r="F493" s="449">
        <f>IF('23. Building Design Score'!E227&lt;&gt;"",'23. Building Design Score'!E227,0)</f>
        <v>0</v>
      </c>
    </row>
    <row r="494" spans="1:7">
      <c r="A494" s="438" t="s">
        <v>1319</v>
      </c>
      <c r="B494" s="438" t="s">
        <v>895</v>
      </c>
      <c r="C494" s="438" t="s">
        <v>1313</v>
      </c>
      <c r="D494" s="438" t="s">
        <v>1320</v>
      </c>
      <c r="E494" s="438" t="s">
        <v>509</v>
      </c>
      <c r="F494" s="449" t="str">
        <f>IF('23. Building Design Score'!J231&lt;&gt;0,'23. Building Design Score'!J231,"")</f>
        <v/>
      </c>
    </row>
  </sheetData>
  <sheetProtection algorithmName="SHA-512" hashValue="sxqiQ0psDVowPyKxHpRBmTmvMvamZXfujT8yQeko9VtZ2aqu/gItEkFj3TUCTUA5siel44VJmcKmJ1dlu0BTUA==" saltValue="RrRqssIqQZLLL8mb6vNemg==" spinCount="100000" sheet="1" objects="1" scenarios="1" selectLockedCells="1"/>
  <sortState xmlns:xlrd2="http://schemas.microsoft.com/office/spreadsheetml/2017/richdata2" ref="A278:C309">
    <sortCondition ref="A278:A309"/>
  </sortState>
  <mergeCells count="70">
    <mergeCell ref="A373:E373"/>
    <mergeCell ref="A367:E367"/>
    <mergeCell ref="A359:E359"/>
    <mergeCell ref="A360:E360"/>
    <mergeCell ref="A366:E366"/>
    <mergeCell ref="A87:E87"/>
    <mergeCell ref="A100:E100"/>
    <mergeCell ref="A110:E110"/>
    <mergeCell ref="A115:E115"/>
    <mergeCell ref="A118:E118"/>
    <mergeCell ref="A71:E71"/>
    <mergeCell ref="A2:E2"/>
    <mergeCell ref="A9:E9"/>
    <mergeCell ref="A10:E10"/>
    <mergeCell ref="A24:E24"/>
    <mergeCell ref="A38:E38"/>
    <mergeCell ref="A39:E39"/>
    <mergeCell ref="A131:E131"/>
    <mergeCell ref="A132:E132"/>
    <mergeCell ref="A141:E141"/>
    <mergeCell ref="A142:E142"/>
    <mergeCell ref="A150:E150"/>
    <mergeCell ref="A152:E152"/>
    <mergeCell ref="A153:E153"/>
    <mergeCell ref="A155:E155"/>
    <mergeCell ref="A156:E156"/>
    <mergeCell ref="A158:E158"/>
    <mergeCell ref="A276:E276"/>
    <mergeCell ref="A277:E277"/>
    <mergeCell ref="A159:E159"/>
    <mergeCell ref="A166:E166"/>
    <mergeCell ref="A167:E167"/>
    <mergeCell ref="A185:E185"/>
    <mergeCell ref="A186:E186"/>
    <mergeCell ref="A176:E176"/>
    <mergeCell ref="A168:E168"/>
    <mergeCell ref="A172:E172"/>
    <mergeCell ref="A195:E195"/>
    <mergeCell ref="A224:E224"/>
    <mergeCell ref="A251:E251"/>
    <mergeCell ref="A264:E264"/>
    <mergeCell ref="A272:E272"/>
    <mergeCell ref="A273:E273"/>
    <mergeCell ref="A425:E425"/>
    <mergeCell ref="A426:E426"/>
    <mergeCell ref="A431:E431"/>
    <mergeCell ref="A312:E312"/>
    <mergeCell ref="A313:E313"/>
    <mergeCell ref="A322:E322"/>
    <mergeCell ref="A323:E323"/>
    <mergeCell ref="A334:E334"/>
    <mergeCell ref="A335:E335"/>
    <mergeCell ref="A340:E340"/>
    <mergeCell ref="A341:E341"/>
    <mergeCell ref="A346:E346"/>
    <mergeCell ref="A347:E347"/>
    <mergeCell ref="A352:E352"/>
    <mergeCell ref="A353:E353"/>
    <mergeCell ref="A372:E372"/>
    <mergeCell ref="A432:E432"/>
    <mergeCell ref="A437:E437"/>
    <mergeCell ref="A438:E438"/>
    <mergeCell ref="A455:E455"/>
    <mergeCell ref="A456:E456"/>
    <mergeCell ref="A490:E490"/>
    <mergeCell ref="A474:E474"/>
    <mergeCell ref="A475:E475"/>
    <mergeCell ref="A480:E480"/>
    <mergeCell ref="A481:E481"/>
    <mergeCell ref="A489:E489"/>
  </mergeCells>
  <dataValidations disablePrompts="1" count="27">
    <dataValidation type="list" errorStyle="warning" showInputMessage="1" showErrorMessage="1" errorTitle="SmartDox" error="The value you entered for the dropdown is not valid." sqref="F8" xr:uid="{4A838A48-23CC-418A-9572-BB21D1E175BB}">
      <formula1>SD_D_Blank</formula1>
    </dataValidation>
    <dataValidation type="list" errorStyle="warning" showInputMessage="1" showErrorMessage="1" errorTitle="SmartDox" error="The value you entered for the dropdown is not valid." sqref="F164 F16" xr:uid="{030AE097-F754-4729-A07A-5271F79389BD}">
      <formula1>SD_D_PL_State_Name</formula1>
    </dataValidation>
    <dataValidation type="list" errorStyle="warning" showInputMessage="1" showErrorMessage="1" errorTitle="SmartDox" error="The value you entered for the dropdown is not valid." sqref="F147" xr:uid="{E42CC689-120B-4658-83E6-1BDFE1E8B680}">
      <formula1>SD_D_PL_UDF_143_Name</formula1>
    </dataValidation>
    <dataValidation type="list" errorStyle="warning" showInputMessage="1" showErrorMessage="1" errorTitle="SmartDox" error="The value you entered for the dropdown is not valid." sqref="F148" xr:uid="{C70CB174-EF3F-4819-B904-D328480C62F9}">
      <formula1>SD_D_PL_UDF_144_Name</formula1>
    </dataValidation>
    <dataValidation type="list" errorStyle="warning" showInputMessage="1" showErrorMessage="1" errorTitle="SmartDox" error="The value you entered for the dropdown is not valid." sqref="F149" xr:uid="{8BAF94E4-5BAE-40E1-9FA9-345EB266A8A8}">
      <formula1>SD_D_PL_UDF_141_Name</formula1>
    </dataValidation>
    <dataValidation type="list" errorStyle="warning" showInputMessage="1" showErrorMessage="1" errorTitle="SmartDox" error="The value you entered for the dropdown is not valid." sqref="F146" xr:uid="{5F27BAA6-8659-4930-9846-5FDA44AC64A3}">
      <formula1>SD_D_PL_UDF_142_Name</formula1>
    </dataValidation>
    <dataValidation type="list" errorStyle="warning" showInputMessage="1" showErrorMessage="1" errorTitle="SmartDox" error="The value you entered for the dropdown is not valid." sqref="F145" xr:uid="{AE485587-8678-454D-9A00-436CCC81067D}">
      <formula1>SD_D_PL_UDF_140_Name</formula1>
    </dataValidation>
    <dataValidation type="list" errorStyle="warning" showInputMessage="1" showErrorMessage="1" errorTitle="SmartDox" error="The value you entered for the dropdown is not valid." sqref="F17" xr:uid="{A231E8E3-9779-4D8F-B676-1B1E044DED29}">
      <formula1>SD_D_PL_Jurisdiction_Name</formula1>
    </dataValidation>
    <dataValidation type="list" errorStyle="warning" showInputMessage="1" showErrorMessage="1" errorTitle="SmartDox" error="The value you entered for the dropdown is not valid." sqref="F86" xr:uid="{63ADE29D-2AF8-412E-9433-DE990B24C8A4}">
      <formula1>SD_D_PL_TargetType_Name</formula1>
    </dataValidation>
    <dataValidation type="list" errorStyle="warning" showInputMessage="1" showErrorMessage="1" errorTitle="SmartDox" error="The value you entered for the dropdown is not valid." sqref="F40" xr:uid="{E5A802A1-AB5B-4019-A1A1-C405E46A33CB}">
      <formula1>SD_D_PL_BldgAllocType_Name</formula1>
    </dataValidation>
    <dataValidation type="list" errorStyle="warning" showInputMessage="1" showErrorMessage="1" errorTitle="SmartDox" error="The value you entered for the dropdown is not valid." sqref="F116" xr:uid="{27227DD2-D886-4B00-874E-400E027E1B37}">
      <formula1>SD_D_PL_UDF_112_Name</formula1>
    </dataValidation>
    <dataValidation type="list" errorStyle="warning" showInputMessage="1" showErrorMessage="1" errorTitle="SmartDox" error="The value you entered for the dropdown is not valid." sqref="F117" xr:uid="{92629B74-18F8-456D-9CD1-4C364DE10971}">
      <formula1>SD_D_PL_UDF_113_Name</formula1>
    </dataValidation>
    <dataValidation type="list" errorStyle="warning" showInputMessage="1" showErrorMessage="1" errorTitle="SmartDox" error="The value you entered for the dropdown is not valid." sqref="F51" xr:uid="{EA8C6D42-DB14-4E95-B354-3D8DD64A3CB1}">
      <formula1>SD_D_PL_UDF_168_Name</formula1>
    </dataValidation>
    <dataValidation type="list" errorStyle="warning" showInputMessage="1" showErrorMessage="1" errorTitle="SmartDox" error="The value you entered for the dropdown is not valid." sqref="F61" xr:uid="{18A164F2-1497-4841-95C8-0EC3F93D7519}">
      <formula1>SD_D_PL_UDF_169_Name</formula1>
    </dataValidation>
    <dataValidation type="list" errorStyle="warning" showInputMessage="1" showErrorMessage="1" errorTitle="SmartDox" error="The value you entered for the dropdown is not valid." sqref="F63" xr:uid="{D07728FF-D7D8-4238-88BB-DF0E1311CA49}">
      <formula1>SD_D_PL_UDF_170_Name</formula1>
    </dataValidation>
    <dataValidation type="list" errorStyle="warning" showInputMessage="1" showErrorMessage="1" errorTitle="SmartDox" error="The value you entered for the dropdown is not valid." sqref="F67" xr:uid="{7E7A89A7-E3F6-4ABB-A577-A5785C53FE8E}">
      <formula1>SD_D_PL_UDF_171_Name</formula1>
    </dataValidation>
    <dataValidation type="list" errorStyle="warning" showInputMessage="1" showErrorMessage="1" errorTitle="SmartDox" error="The value you entered for the dropdown is not valid." sqref="F68" xr:uid="{BD3BD6A8-225B-401B-9EE3-155F89220A7B}">
      <formula1>SD_D_PL_UDF_172_Name</formula1>
    </dataValidation>
    <dataValidation type="list" errorStyle="warning" showInputMessage="1" showErrorMessage="1" errorTitle="SmartDox" error="The value you entered for the dropdown is not valid." sqref="F69" xr:uid="{A784896D-4CCA-44F4-93A9-071179C8B4EC}">
      <formula1>SD_D_PL_UDF_173_Name</formula1>
    </dataValidation>
    <dataValidation type="list" errorStyle="warning" showInputMessage="1" showErrorMessage="1" errorTitle="SmartDox" error="The value you entered for the dropdown is not valid." sqref="F41" xr:uid="{0F8E8812-E075-453B-8EF3-0A559D6B1347}">
      <formula1>SD_D_PL_CarryOverAllocationIs_Name</formula1>
    </dataValidation>
    <dataValidation type="list" errorStyle="warning" showInputMessage="1" showErrorMessage="1" errorTitle="SmartDox" error="The value you entered for the dropdown is not valid." sqref="F109" xr:uid="{187DD8F1-57E5-4E12-A8D8-F14C6C031DFA}">
      <formula1>SD_D_PL_BuildingType_Name</formula1>
    </dataValidation>
    <dataValidation type="list" errorStyle="warning" showInputMessage="1" showErrorMessage="1" errorTitle="SmartDox" error="The value you entered for the dropdown is not valid." sqref="F88" xr:uid="{E9120BE6-6814-4752-9E6C-3200CEDA3C7F}">
      <formula1>SD_D_PL_UDF_114_Name</formula1>
    </dataValidation>
    <dataValidation type="list" errorStyle="warning" showInputMessage="1" showErrorMessage="1" errorTitle="SmartDox" error="The value you entered for the dropdown is not valid." sqref="F90" xr:uid="{0B554934-C3F6-4A5A-9590-B724E6B1DD88}">
      <formula1>SD_D_PL_UDF_123_Name</formula1>
    </dataValidation>
    <dataValidation type="list" errorStyle="warning" showInputMessage="1" showErrorMessage="1" errorTitle="SmartDox" error="The value you entered for the dropdown is not valid." sqref="F94" xr:uid="{B37B0186-7345-4B45-B95F-87D768031837}">
      <formula1>SD_D_PL_UDF_125_Name</formula1>
    </dataValidation>
    <dataValidation type="list" errorStyle="warning" showInputMessage="1" showErrorMessage="1" errorTitle="SmartDox" error="The value you entered for the dropdown is not valid." sqref="F99" xr:uid="{5FF8600C-6B44-4CD8-A21D-90B52A60B285}">
      <formula1>SD_D_PL_UDF_126_Name</formula1>
    </dataValidation>
    <dataValidation type="list" errorStyle="warning" showInputMessage="1" showErrorMessage="1" errorTitle="SmartDox" error="The value you entered for the dropdown is not valid." sqref="F136" xr:uid="{EFF8F988-659E-4D41-96AA-6695CAC2093D}">
      <formula1>SD_D_PL_UDF_181_Name</formula1>
    </dataValidation>
    <dataValidation type="list" errorStyle="warning" showInputMessage="1" showErrorMessage="1" errorTitle="SmartDox" error="The value you entered for the dropdown is not valid." sqref="F137" xr:uid="{909BFD2A-9285-4FAF-BADE-CDF9E4E1F5E1}">
      <formula1>SD_D_PL_UDF_182_Name</formula1>
    </dataValidation>
    <dataValidation type="list" errorStyle="warning" showInputMessage="1" showErrorMessage="1" errorTitle="SmartDox" error="The value you entered for the dropdown is not valid." sqref="F138" xr:uid="{4C86142B-F9E6-4D17-86C9-2E8A20649B17}">
      <formula1>SD_D_PL_UDF_183_Name</formula1>
    </dataValidation>
  </dataValidations>
  <pageMargins left="0.7" right="0.7" top="0.75" bottom="0.75" header="0.3" footer="0.3"/>
  <pageSetup orientation="portrait" horizontalDpi="1200" verticalDpi="1200" r:id="rId1"/>
  <ignoredErrors>
    <ignoredError sqref="F380 F388 F390 F402 F408 F410 F412 F414 F416 F418 F420 F422"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C000-8704-49DE-A0F6-1EEC3E0AE290}">
  <dimension ref="A1:AT137"/>
  <sheetViews>
    <sheetView workbookViewId="0">
      <selection activeCell="F1" sqref="F1"/>
    </sheetView>
  </sheetViews>
  <sheetFormatPr baseColWidth="10" defaultColWidth="9.1640625" defaultRowHeight="15"/>
  <cols>
    <col min="1" max="1" width="4.5" style="3" customWidth="1"/>
    <col min="2" max="2" width="12.5" customWidth="1"/>
    <col min="3" max="3" width="40.5" customWidth="1"/>
    <col min="4" max="4" width="25.33203125" customWidth="1"/>
    <col min="5" max="5" width="18.1640625" customWidth="1"/>
    <col min="6" max="6" width="50" customWidth="1"/>
    <col min="7" max="7" width="30.6640625" customWidth="1"/>
    <col min="8" max="8" width="16.5" bestFit="1" customWidth="1"/>
    <col min="9" max="9" width="14.83203125" bestFit="1" customWidth="1"/>
    <col min="10" max="10" width="11.6640625" customWidth="1"/>
    <col min="11" max="11" width="18.5" customWidth="1"/>
    <col min="12" max="12" width="18.33203125" customWidth="1"/>
    <col min="13" max="13" width="15.5" bestFit="1" customWidth="1"/>
    <col min="14" max="14" width="18.33203125" customWidth="1"/>
    <col min="15" max="15" width="19.1640625" customWidth="1"/>
    <col min="17" max="17" width="23.1640625" customWidth="1"/>
    <col min="18" max="26" width="9.1640625" style="9"/>
    <col min="27" max="39" width="9.1640625" style="9" customWidth="1"/>
    <col min="40" max="40" width="11.6640625" style="9" customWidth="1"/>
    <col min="41" max="41" width="12.33203125" style="9" customWidth="1"/>
    <col min="42" max="42" width="12.5" style="9" customWidth="1"/>
    <col min="43" max="45" width="9.1640625" style="9" customWidth="1"/>
    <col min="46" max="47" width="9.1640625" customWidth="1"/>
  </cols>
  <sheetData>
    <row r="1" spans="1:46" ht="29">
      <c r="B1" s="4" t="str">
        <f>'1. TOC'!B1</f>
        <v>WHEDA 2025 Multifamily Application</v>
      </c>
      <c r="C1" s="30"/>
      <c r="D1" s="29"/>
      <c r="E1" s="379" t="str">
        <f>'1. TOC'!L1</f>
        <v>v25.1.9</v>
      </c>
      <c r="F1" s="1086" t="str">
        <f>HYPERLINK("=Table_of_Contents", Table_of_Contents)</f>
        <v>Table of Contents</v>
      </c>
      <c r="G1" s="1055"/>
      <c r="H1" s="29"/>
      <c r="I1" s="1056"/>
      <c r="J1" s="29"/>
      <c r="K1" s="29"/>
      <c r="L1" s="29"/>
      <c r="M1" s="29"/>
      <c r="N1" s="29"/>
      <c r="O1" s="29"/>
      <c r="P1" s="29"/>
      <c r="Q1" s="29"/>
      <c r="R1" s="29"/>
      <c r="AT1" s="9"/>
    </row>
    <row r="2" spans="1:46" s="989" customFormat="1" ht="21">
      <c r="A2" s="987"/>
      <c r="B2" s="1013" t="str">
        <f>_xlfn.CONCAT(IF(ISBLANK(WHEDA_Project_Number),"",_xlfn.CONCAT(WHEDA_Project_Number,"-")), Project_Name, IF(ISBLANK(Credit_percentage_applied_for),"",_xlfn.CONCAT(" (", Credit_percentage_applied_for," HTC)")))</f>
        <v/>
      </c>
      <c r="C2" s="1057"/>
      <c r="D2" s="1058"/>
      <c r="E2" s="1058"/>
      <c r="F2" s="1058"/>
      <c r="G2" s="1058"/>
      <c r="H2" s="1058"/>
      <c r="I2" s="1058"/>
      <c r="J2" s="1058"/>
      <c r="K2" s="1058"/>
      <c r="L2" s="1058"/>
      <c r="M2" s="1058"/>
      <c r="N2" s="1058"/>
      <c r="O2" s="1058"/>
      <c r="P2" s="1058"/>
      <c r="Q2" s="1058"/>
      <c r="R2" s="1058"/>
      <c r="S2" s="997"/>
      <c r="T2" s="997"/>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997"/>
      <c r="AT2" s="997"/>
    </row>
    <row r="3" spans="1:46" ht="29">
      <c r="B3" s="4" t="s">
        <v>7138</v>
      </c>
      <c r="C3" s="33"/>
      <c r="D3" s="33"/>
      <c r="E3" s="33"/>
      <c r="F3" s="33"/>
      <c r="G3" s="33"/>
      <c r="H3" s="33"/>
      <c r="I3" s="33"/>
      <c r="J3" s="33"/>
      <c r="K3" s="33"/>
      <c r="L3" s="33"/>
      <c r="M3" s="33"/>
      <c r="N3" s="33"/>
      <c r="O3" s="33"/>
      <c r="P3" s="33"/>
      <c r="Q3" s="33"/>
      <c r="R3" s="33"/>
      <c r="AT3" s="9"/>
    </row>
    <row r="4" spans="1:46" ht="19">
      <c r="B4" s="1059" t="s">
        <v>7139</v>
      </c>
      <c r="C4" s="34"/>
      <c r="D4" s="34"/>
      <c r="E4" s="34"/>
      <c r="F4" s="34"/>
      <c r="G4" s="34"/>
      <c r="H4" s="3"/>
      <c r="I4" s="3"/>
      <c r="J4" s="3"/>
      <c r="K4" s="3"/>
      <c r="L4" s="3"/>
      <c r="M4" s="3"/>
      <c r="N4" s="3"/>
      <c r="O4" s="3"/>
      <c r="P4" s="3"/>
      <c r="Q4" s="3"/>
      <c r="R4" s="3"/>
      <c r="AT4" s="9"/>
    </row>
    <row r="5" spans="1:46" ht="19">
      <c r="B5" s="1060"/>
      <c r="C5" s="768"/>
      <c r="D5" s="768"/>
      <c r="E5" s="768"/>
      <c r="F5" s="768"/>
      <c r="G5" s="768"/>
      <c r="H5" s="768"/>
      <c r="I5" s="768"/>
      <c r="J5" s="768"/>
      <c r="K5" s="768"/>
      <c r="L5" s="768"/>
      <c r="M5" s="768"/>
      <c r="N5" s="768"/>
      <c r="O5" s="768"/>
      <c r="P5" s="768"/>
      <c r="Q5" s="768"/>
      <c r="R5" s="788"/>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768"/>
    </row>
    <row r="6" spans="1:46">
      <c r="B6" s="1148"/>
      <c r="C6" s="1148" t="s">
        <v>7140</v>
      </c>
      <c r="D6" s="1724">
        <f>Credit_percentage_applied_for</f>
        <v>0</v>
      </c>
      <c r="E6" s="768"/>
      <c r="F6" s="1148" t="s">
        <v>7141</v>
      </c>
      <c r="G6" s="1061">
        <f>Federal_Tax_ID_Number_of_Ownership_Entity</f>
        <v>0</v>
      </c>
      <c r="H6" s="877"/>
      <c r="I6" s="768"/>
      <c r="J6" s="768"/>
      <c r="K6" s="768"/>
      <c r="L6" s="768"/>
      <c r="M6" s="768"/>
      <c r="N6" s="768"/>
      <c r="O6" s="768"/>
      <c r="P6" s="768"/>
      <c r="Q6" s="768"/>
      <c r="R6" s="788"/>
      <c r="S6" s="101"/>
      <c r="T6" s="101"/>
      <c r="U6" s="101"/>
      <c r="V6" s="101"/>
      <c r="W6" s="101"/>
      <c r="X6" s="101"/>
      <c r="Y6" s="101"/>
      <c r="Z6" s="101"/>
      <c r="AA6" s="101"/>
      <c r="AC6" s="101">
        <f>D9</f>
        <v>20</v>
      </c>
      <c r="AD6" s="9">
        <v>1</v>
      </c>
      <c r="AE6" s="9">
        <v>1</v>
      </c>
      <c r="AF6" s="9">
        <f>D7</f>
        <v>0</v>
      </c>
      <c r="AG6" s="9" t="s">
        <v>455</v>
      </c>
      <c r="AH6" s="9" t="str">
        <f t="shared" ref="AH6:AH37" si="0">RIGHT(AF6,2)</f>
        <v>0</v>
      </c>
      <c r="AI6" s="9" t="s">
        <v>7142</v>
      </c>
      <c r="AJ6" s="9" t="str">
        <f>D8</f>
        <v/>
      </c>
      <c r="AK6" s="9" t="str">
        <f t="shared" ref="AK6:AK37" si="1">RIGHT(AJ6,3)</f>
        <v/>
      </c>
      <c r="AL6" s="9" t="s">
        <v>7142</v>
      </c>
      <c r="AM6" s="1046" t="s">
        <v>7143</v>
      </c>
      <c r="AN6" s="101"/>
      <c r="AO6" s="101" t="str">
        <f t="shared" ref="AO6:AO37" si="2">IF(AD6&lt;=AC6, (CONCATENATE(AG6,AH6,AI6,AK6,AL6,AM6)),"")</f>
        <v>WI0--01</v>
      </c>
      <c r="AP6" s="101" t="str">
        <f>IF(AD6&lt;=AC6, (CONCATENATE(AG6,AH6,AI6,AK6,AL6,AM6)),"")</f>
        <v>WI0--01</v>
      </c>
      <c r="AQ6" s="1062"/>
      <c r="AR6" s="101"/>
      <c r="AS6" s="1031">
        <f>'15. Credit Calculation'!G21</f>
        <v>0</v>
      </c>
      <c r="AT6" s="1063"/>
    </row>
    <row r="7" spans="1:46">
      <c r="B7" s="1148"/>
      <c r="C7" s="1148" t="str">
        <f>IF(D6="9%","CARRYOVER ALLOCATION YEAR Enter 4-Digit Year (YYYY):","YEAR OF 8609 ISSUANCE (YYYY):")</f>
        <v>YEAR OF 8609 ISSUANCE (YYYY):</v>
      </c>
      <c r="D7" s="887"/>
      <c r="E7" s="768"/>
      <c r="F7" s="1148" t="s">
        <v>7144</v>
      </c>
      <c r="G7" s="887" t="s">
        <v>19</v>
      </c>
      <c r="H7" s="877"/>
      <c r="I7" s="768"/>
      <c r="J7" s="768"/>
      <c r="K7" s="768"/>
      <c r="L7" s="768"/>
      <c r="M7" s="768"/>
      <c r="N7" s="768"/>
      <c r="O7" s="768"/>
      <c r="P7" s="768"/>
      <c r="Q7" s="768"/>
      <c r="R7" s="788"/>
      <c r="S7" s="101"/>
      <c r="T7" s="101"/>
      <c r="U7" s="101"/>
      <c r="V7" s="101"/>
      <c r="W7" s="101"/>
      <c r="X7" s="101"/>
      <c r="Y7" s="101"/>
      <c r="Z7" s="101"/>
      <c r="AA7" s="101"/>
      <c r="AC7" s="101">
        <f>D9</f>
        <v>20</v>
      </c>
      <c r="AD7" s="9">
        <v>2</v>
      </c>
      <c r="AE7" s="9">
        <v>1</v>
      </c>
      <c r="AF7" s="9">
        <f>D7</f>
        <v>0</v>
      </c>
      <c r="AG7" s="9" t="s">
        <v>455</v>
      </c>
      <c r="AH7" s="9" t="str">
        <f t="shared" si="0"/>
        <v>0</v>
      </c>
      <c r="AI7" s="9" t="s">
        <v>7142</v>
      </c>
      <c r="AJ7" s="9" t="str">
        <f>D8</f>
        <v/>
      </c>
      <c r="AK7" s="9" t="str">
        <f t="shared" si="1"/>
        <v/>
      </c>
      <c r="AL7" s="9" t="s">
        <v>7142</v>
      </c>
      <c r="AM7" s="1046" t="s">
        <v>7145</v>
      </c>
      <c r="AN7" s="101"/>
      <c r="AO7" s="101" t="str">
        <f t="shared" si="2"/>
        <v>WI0--02</v>
      </c>
      <c r="AP7" s="101" t="str">
        <f>IF(AD6&lt;=AC6, (CONCATENATE(AG6,AH6,AI6,AK6,AL6,AM6)),"")</f>
        <v>WI0--01</v>
      </c>
      <c r="AQ7" s="101"/>
      <c r="AR7" s="101"/>
      <c r="AS7" s="1031">
        <f>'15. Credit Calculation'!G22</f>
        <v>0</v>
      </c>
      <c r="AT7" s="768"/>
    </row>
    <row r="8" spans="1:46">
      <c r="B8" s="1148"/>
      <c r="C8" s="1148" t="s">
        <v>7146</v>
      </c>
      <c r="D8" s="1723" t="str">
        <f>IF(ISBLANK(WHEDA_Project_Number),"",WHEDA_Project_Number)</f>
        <v/>
      </c>
      <c r="E8" s="768"/>
      <c r="F8" s="1148" t="s">
        <v>7147</v>
      </c>
      <c r="G8" s="1723">
        <f>Minimum_Set_Aside_Requirements</f>
        <v>0</v>
      </c>
      <c r="H8" s="877"/>
      <c r="I8" s="768"/>
      <c r="J8" s="768"/>
      <c r="K8" s="768"/>
      <c r="L8" s="768"/>
      <c r="M8" s="768"/>
      <c r="N8" s="768"/>
      <c r="O8" s="768"/>
      <c r="P8" s="768"/>
      <c r="Q8" s="768"/>
      <c r="R8" s="788"/>
      <c r="S8" s="101"/>
      <c r="T8" s="101"/>
      <c r="U8" s="101"/>
      <c r="V8" s="101"/>
      <c r="W8" s="101"/>
      <c r="X8" s="101"/>
      <c r="Y8" s="101"/>
      <c r="Z8" s="101"/>
      <c r="AA8" s="101"/>
      <c r="AC8" s="101">
        <f>D9</f>
        <v>20</v>
      </c>
      <c r="AD8" s="9">
        <v>3</v>
      </c>
      <c r="AE8" s="9">
        <v>2</v>
      </c>
      <c r="AF8" s="9">
        <f>D7</f>
        <v>0</v>
      </c>
      <c r="AG8" s="9" t="s">
        <v>455</v>
      </c>
      <c r="AH8" s="9" t="str">
        <f t="shared" si="0"/>
        <v>0</v>
      </c>
      <c r="AI8" s="9" t="s">
        <v>7142</v>
      </c>
      <c r="AJ8" s="9" t="str">
        <f>D8</f>
        <v/>
      </c>
      <c r="AK8" s="9" t="str">
        <f t="shared" si="1"/>
        <v/>
      </c>
      <c r="AL8" s="9" t="s">
        <v>7142</v>
      </c>
      <c r="AM8" s="1046" t="s">
        <v>7148</v>
      </c>
      <c r="AN8" s="101"/>
      <c r="AO8" s="101" t="str">
        <f t="shared" si="2"/>
        <v>WI0--03</v>
      </c>
      <c r="AP8" s="101" t="str">
        <f>IF(AD7&lt;=AC7, (CONCATENATE(AG7,AH7,AI7,AK7,AL7,AM7)),"")</f>
        <v>WI0--02</v>
      </c>
      <c r="AQ8" s="101"/>
      <c r="AR8" s="101"/>
      <c r="AS8" s="101"/>
      <c r="AT8" s="768"/>
    </row>
    <row r="9" spans="1:46">
      <c r="B9" s="1148"/>
      <c r="C9" s="1148" t="s">
        <v>7149</v>
      </c>
      <c r="D9" s="1723">
        <v>20</v>
      </c>
      <c r="E9" s="768"/>
      <c r="F9" s="1148" t="s">
        <v>7150</v>
      </c>
      <c r="G9" s="888"/>
      <c r="H9" s="877"/>
      <c r="I9" s="768"/>
      <c r="J9" s="768"/>
      <c r="K9" s="768"/>
      <c r="L9" s="768"/>
      <c r="M9" s="768"/>
      <c r="N9" s="768"/>
      <c r="O9" s="1054" t="e">
        <f>IF(SumCreditRequest&gt;G10,"**Total Credit Requested must be less than or equal to Total Carryover Amount**"," ")</f>
        <v>#NAME?</v>
      </c>
      <c r="P9" s="768"/>
      <c r="Q9" s="768"/>
      <c r="R9" s="788"/>
      <c r="S9" s="101"/>
      <c r="T9" s="101"/>
      <c r="U9" s="101"/>
      <c r="V9" s="101"/>
      <c r="W9" s="101"/>
      <c r="X9" s="101"/>
      <c r="Y9" s="101"/>
      <c r="Z9" s="101"/>
      <c r="AA9" s="101"/>
      <c r="AC9" s="101">
        <f>D9</f>
        <v>20</v>
      </c>
      <c r="AD9" s="9">
        <v>4</v>
      </c>
      <c r="AE9" s="9">
        <v>2</v>
      </c>
      <c r="AF9" s="9">
        <f>D7</f>
        <v>0</v>
      </c>
      <c r="AG9" s="9" t="s">
        <v>455</v>
      </c>
      <c r="AH9" s="9" t="str">
        <f t="shared" si="0"/>
        <v>0</v>
      </c>
      <c r="AI9" s="9" t="s">
        <v>7142</v>
      </c>
      <c r="AJ9" s="9" t="str">
        <f>D8</f>
        <v/>
      </c>
      <c r="AK9" s="9" t="str">
        <f t="shared" si="1"/>
        <v/>
      </c>
      <c r="AL9" s="9" t="s">
        <v>7142</v>
      </c>
      <c r="AM9" s="1046" t="s">
        <v>7151</v>
      </c>
      <c r="AN9" s="101"/>
      <c r="AO9" s="101" t="str">
        <f t="shared" si="2"/>
        <v>WI0--04</v>
      </c>
      <c r="AP9" s="101" t="str">
        <f>IF(AD7&lt;=AC7, (CONCATENATE(AG7,AH7,AI7,AK7,AL7,AM7)),"")</f>
        <v>WI0--02</v>
      </c>
      <c r="AQ9" s="101"/>
      <c r="AR9" s="101"/>
      <c r="AS9" s="101"/>
      <c r="AT9" s="768"/>
    </row>
    <row r="10" spans="1:46">
      <c r="B10" s="1148"/>
      <c r="C10" s="1148" t="s">
        <v>7152</v>
      </c>
      <c r="D10" s="887" t="s">
        <v>13</v>
      </c>
      <c r="E10" s="768"/>
      <c r="F10" s="1148" t="str">
        <f>IF(D6="9%","TOTAL CARRYOVER ANNUAL CREDIT $ TO PROJECT (Enter whole $ amt):","TOTAL TIER ONE LETTER ANNUAL CREDIT $ TO PROJECT (Enter whole $ amt):")</f>
        <v>TOTAL TIER ONE LETTER ANNUAL CREDIT $ TO PROJECT (Enter whole $ amt):</v>
      </c>
      <c r="G10" s="1053">
        <f>Federal_Credits</f>
        <v>0</v>
      </c>
      <c r="H10" s="877"/>
      <c r="I10" s="768"/>
      <c r="J10" s="768"/>
      <c r="K10" s="768"/>
      <c r="L10" s="768"/>
      <c r="M10" s="768"/>
      <c r="N10" s="768"/>
      <c r="O10" s="768"/>
      <c r="P10" s="768"/>
      <c r="Q10" s="768"/>
      <c r="R10" s="788"/>
      <c r="S10" s="101"/>
      <c r="T10" s="101"/>
      <c r="U10" s="101"/>
      <c r="V10" s="101"/>
      <c r="W10" s="101"/>
      <c r="X10" s="101"/>
      <c r="Y10" s="101"/>
      <c r="Z10" s="101"/>
      <c r="AA10" s="101"/>
      <c r="AC10" s="101">
        <f>D9</f>
        <v>20</v>
      </c>
      <c r="AD10" s="9">
        <v>5</v>
      </c>
      <c r="AE10" s="9">
        <v>3</v>
      </c>
      <c r="AF10" s="9">
        <f>D7</f>
        <v>0</v>
      </c>
      <c r="AG10" s="9" t="s">
        <v>455</v>
      </c>
      <c r="AH10" s="9" t="str">
        <f t="shared" si="0"/>
        <v>0</v>
      </c>
      <c r="AI10" s="9" t="s">
        <v>7142</v>
      </c>
      <c r="AJ10" s="9" t="str">
        <f>D8</f>
        <v/>
      </c>
      <c r="AK10" s="9" t="str">
        <f t="shared" si="1"/>
        <v/>
      </c>
      <c r="AL10" s="9" t="s">
        <v>7142</v>
      </c>
      <c r="AM10" s="1046" t="s">
        <v>7153</v>
      </c>
      <c r="AN10" s="101"/>
      <c r="AO10" s="101" t="str">
        <f t="shared" si="2"/>
        <v>WI0--05</v>
      </c>
      <c r="AP10" s="101" t="str">
        <f>IF(AD8&lt;=AC8, (CONCATENATE(AG8,AH8,AI8,AK8,AL8,AM8)),"")</f>
        <v>WI0--03</v>
      </c>
      <c r="AQ10" s="101"/>
      <c r="AR10" s="101"/>
      <c r="AS10" s="101"/>
      <c r="AT10" s="768"/>
    </row>
    <row r="11" spans="1:46" ht="16" thickBot="1">
      <c r="B11" s="1148"/>
      <c r="C11" s="768" t="s">
        <v>7154</v>
      </c>
      <c r="D11" s="768"/>
      <c r="E11" s="768"/>
      <c r="F11" s="1148" t="s">
        <v>7155</v>
      </c>
      <c r="G11" s="887" t="s">
        <v>19</v>
      </c>
      <c r="H11" s="877"/>
      <c r="I11" s="768"/>
      <c r="J11" s="768"/>
      <c r="K11" s="768"/>
      <c r="L11" s="768"/>
      <c r="M11" s="768"/>
      <c r="N11" s="768"/>
      <c r="O11" s="768"/>
      <c r="P11" s="768"/>
      <c r="Q11" s="768"/>
      <c r="R11" s="788"/>
      <c r="S11" s="101"/>
      <c r="T11" s="101"/>
      <c r="U11" s="101"/>
      <c r="V11" s="101"/>
      <c r="W11" s="101"/>
      <c r="X11" s="101"/>
      <c r="Y11" s="101"/>
      <c r="Z11" s="101"/>
      <c r="AA11" s="101"/>
      <c r="AC11" s="101">
        <f>D9</f>
        <v>20</v>
      </c>
      <c r="AD11" s="9">
        <v>6</v>
      </c>
      <c r="AE11" s="9">
        <v>3</v>
      </c>
      <c r="AF11" s="9">
        <f>D7</f>
        <v>0</v>
      </c>
      <c r="AG11" s="9" t="s">
        <v>455</v>
      </c>
      <c r="AH11" s="9" t="str">
        <f t="shared" si="0"/>
        <v>0</v>
      </c>
      <c r="AI11" s="9" t="s">
        <v>7142</v>
      </c>
      <c r="AJ11" s="9" t="str">
        <f>D8</f>
        <v/>
      </c>
      <c r="AK11" s="9" t="str">
        <f t="shared" si="1"/>
        <v/>
      </c>
      <c r="AL11" s="9" t="s">
        <v>7142</v>
      </c>
      <c r="AM11" s="1046" t="s">
        <v>7156</v>
      </c>
      <c r="AN11" s="101"/>
      <c r="AO11" s="101" t="str">
        <f t="shared" si="2"/>
        <v>WI0--06</v>
      </c>
      <c r="AP11" s="101" t="str">
        <f>IF(AD8&lt;=AC8, (CONCATENATE(AG8,AH8,AI8,AK8,AL8,AM8)),"")</f>
        <v>WI0--03</v>
      </c>
      <c r="AQ11" s="101"/>
      <c r="AR11" s="101"/>
      <c r="AS11" s="101"/>
      <c r="AT11" s="768"/>
    </row>
    <row r="12" spans="1:46" ht="16" thickTop="1">
      <c r="B12" s="768"/>
      <c r="C12" s="768"/>
      <c r="D12" s="768"/>
      <c r="E12" s="768"/>
      <c r="F12" s="768"/>
      <c r="G12" s="768"/>
      <c r="H12" s="768"/>
      <c r="I12" s="768"/>
      <c r="J12" s="768"/>
      <c r="K12" s="768"/>
      <c r="L12" s="1048" t="s">
        <v>811</v>
      </c>
      <c r="M12" s="768"/>
      <c r="N12" s="768"/>
      <c r="O12" s="1049" t="s">
        <v>4386</v>
      </c>
      <c r="P12" s="768"/>
      <c r="Q12" s="1048" t="s">
        <v>649</v>
      </c>
      <c r="R12" s="788"/>
      <c r="S12" s="101"/>
      <c r="T12" s="101"/>
      <c r="U12" s="101"/>
      <c r="V12" s="101"/>
      <c r="W12" s="101"/>
      <c r="X12" s="101"/>
      <c r="Y12" s="101"/>
      <c r="Z12" s="101"/>
      <c r="AA12" s="101"/>
      <c r="AC12" s="101">
        <f>D9</f>
        <v>20</v>
      </c>
      <c r="AD12" s="9">
        <v>7</v>
      </c>
      <c r="AE12" s="9">
        <v>4</v>
      </c>
      <c r="AF12" s="9">
        <f>D7</f>
        <v>0</v>
      </c>
      <c r="AG12" s="9" t="s">
        <v>455</v>
      </c>
      <c r="AH12" s="9" t="str">
        <f t="shared" si="0"/>
        <v>0</v>
      </c>
      <c r="AI12" s="9" t="s">
        <v>7142</v>
      </c>
      <c r="AJ12" s="9" t="str">
        <f>D8</f>
        <v/>
      </c>
      <c r="AK12" s="9" t="str">
        <f t="shared" si="1"/>
        <v/>
      </c>
      <c r="AL12" s="9" t="s">
        <v>7142</v>
      </c>
      <c r="AM12" s="1046" t="s">
        <v>7157</v>
      </c>
      <c r="AN12" s="101"/>
      <c r="AO12" s="101" t="str">
        <f t="shared" si="2"/>
        <v>WI0--07</v>
      </c>
      <c r="AP12" s="101" t="str">
        <f>IF(AD9&lt;=AC9, (CONCATENATE(AG9,AH9,AI9,AK9,AL9,AM9)),"")</f>
        <v>WI0--04</v>
      </c>
      <c r="AQ12" s="101"/>
      <c r="AR12" s="101"/>
      <c r="AS12" s="101"/>
      <c r="AT12" s="768"/>
    </row>
    <row r="13" spans="1:46">
      <c r="B13" s="768"/>
      <c r="C13" s="768"/>
      <c r="D13" s="768"/>
      <c r="E13" s="768"/>
      <c r="F13" s="768"/>
      <c r="G13" s="768"/>
      <c r="H13" s="768"/>
      <c r="I13" s="768"/>
      <c r="J13" s="768"/>
      <c r="K13" s="768"/>
      <c r="L13" s="1050" t="s">
        <v>3241</v>
      </c>
      <c r="M13" s="768"/>
      <c r="N13" s="768"/>
      <c r="O13" s="1051" t="s">
        <v>3241</v>
      </c>
      <c r="P13" s="768"/>
      <c r="Q13" s="1050" t="s">
        <v>3241</v>
      </c>
      <c r="R13" s="788"/>
      <c r="S13" s="101"/>
      <c r="T13" s="101"/>
      <c r="U13" s="101"/>
      <c r="V13" s="101"/>
      <c r="W13" s="101"/>
      <c r="X13" s="101"/>
      <c r="Y13" s="101"/>
      <c r="Z13" s="101"/>
      <c r="AA13" s="101"/>
      <c r="AC13" s="101">
        <f>D9</f>
        <v>20</v>
      </c>
      <c r="AD13" s="9">
        <v>8</v>
      </c>
      <c r="AE13" s="9">
        <v>4</v>
      </c>
      <c r="AF13" s="9">
        <f>D7</f>
        <v>0</v>
      </c>
      <c r="AG13" s="9" t="s">
        <v>455</v>
      </c>
      <c r="AH13" s="9" t="str">
        <f t="shared" si="0"/>
        <v>0</v>
      </c>
      <c r="AI13" s="9" t="s">
        <v>7142</v>
      </c>
      <c r="AJ13" s="9" t="str">
        <f>D8</f>
        <v/>
      </c>
      <c r="AK13" s="9" t="str">
        <f t="shared" si="1"/>
        <v/>
      </c>
      <c r="AL13" s="9" t="s">
        <v>7142</v>
      </c>
      <c r="AM13" s="1046" t="s">
        <v>7158</v>
      </c>
      <c r="AN13" s="101"/>
      <c r="AO13" s="101" t="str">
        <f t="shared" si="2"/>
        <v>WI0--08</v>
      </c>
      <c r="AP13" s="101" t="str">
        <f>IF(AD9&lt;=AC9, (CONCATENATE(AG9,AH9,AI9,AK9,AL9,AM9)),"")</f>
        <v>WI0--04</v>
      </c>
      <c r="AQ13" s="101"/>
      <c r="AR13" s="101"/>
      <c r="AS13" s="101"/>
      <c r="AT13" s="768"/>
    </row>
    <row r="14" spans="1:46" ht="16" thickBot="1">
      <c r="B14" s="768"/>
      <c r="C14" s="768"/>
      <c r="D14" s="768"/>
      <c r="E14" s="768"/>
      <c r="F14" s="768"/>
      <c r="G14" s="768"/>
      <c r="H14" s="768"/>
      <c r="I14" s="768"/>
      <c r="J14" s="768"/>
      <c r="K14" s="768"/>
      <c r="L14" s="1052">
        <f>SUM(L16:L55)</f>
        <v>0</v>
      </c>
      <c r="M14" s="768"/>
      <c r="N14" s="768"/>
      <c r="O14" s="1052">
        <f>SUM(O16:O55)</f>
        <v>0</v>
      </c>
      <c r="P14" s="768"/>
      <c r="Q14" s="1052">
        <f>SUM(Q16:Q55)</f>
        <v>0</v>
      </c>
      <c r="R14" s="788"/>
      <c r="S14" s="101"/>
      <c r="T14" s="101"/>
      <c r="U14" s="101"/>
      <c r="V14" s="101"/>
      <c r="W14" s="101"/>
      <c r="X14" s="101"/>
      <c r="Y14" s="101"/>
      <c r="Z14" s="101"/>
      <c r="AA14" s="101"/>
      <c r="AC14" s="101">
        <f>D9</f>
        <v>20</v>
      </c>
      <c r="AD14" s="9">
        <v>9</v>
      </c>
      <c r="AE14" s="9">
        <v>5</v>
      </c>
      <c r="AF14" s="9">
        <f>D7</f>
        <v>0</v>
      </c>
      <c r="AG14" s="9" t="s">
        <v>455</v>
      </c>
      <c r="AH14" s="9" t="str">
        <f t="shared" si="0"/>
        <v>0</v>
      </c>
      <c r="AI14" s="9" t="s">
        <v>7142</v>
      </c>
      <c r="AJ14" s="9" t="str">
        <f>D8</f>
        <v/>
      </c>
      <c r="AK14" s="9" t="str">
        <f t="shared" si="1"/>
        <v/>
      </c>
      <c r="AL14" s="9" t="s">
        <v>7142</v>
      </c>
      <c r="AM14" s="1046" t="s">
        <v>7159</v>
      </c>
      <c r="AN14" s="101"/>
      <c r="AO14" s="101" t="str">
        <f t="shared" si="2"/>
        <v>WI0--09</v>
      </c>
      <c r="AP14" s="101" t="str">
        <f>IF(AD10&lt;=AC10, (CONCATENATE(AG10,AH10,AI10,AK10,AL10,AM10)),"")</f>
        <v>WI0--05</v>
      </c>
      <c r="AQ14" s="101"/>
      <c r="AR14" s="101"/>
      <c r="AS14" s="101"/>
      <c r="AT14" s="768"/>
    </row>
    <row r="15" spans="1:46" ht="51" customHeight="1" thickTop="1">
      <c r="B15" s="768"/>
      <c r="C15" s="847" t="s">
        <v>7160</v>
      </c>
      <c r="D15" s="847" t="s">
        <v>239</v>
      </c>
      <c r="E15" s="847" t="s">
        <v>7161</v>
      </c>
      <c r="F15" s="847" t="s">
        <v>7162</v>
      </c>
      <c r="G15" s="847" t="s">
        <v>510</v>
      </c>
      <c r="H15" s="847" t="s">
        <v>514</v>
      </c>
      <c r="I15" s="847" t="s">
        <v>511</v>
      </c>
      <c r="J15" s="847" t="e" cm="1">
        <f t="array" ref="J15" xml:space="preserve"> of LI Units</f>
        <v>#NAME?</v>
      </c>
      <c r="K15" s="847" t="e" cm="1">
        <f t="array" ref="K15" xml:space="preserve"> of Market Rate Units</f>
        <v>#NAME?</v>
      </c>
      <c r="L15" s="847" t="s">
        <v>811</v>
      </c>
      <c r="M15" s="847" t="s">
        <v>7163</v>
      </c>
      <c r="N15" s="847" t="s">
        <v>7164</v>
      </c>
      <c r="O15" s="847" t="s">
        <v>4386</v>
      </c>
      <c r="P15" s="847" t="s">
        <v>7165</v>
      </c>
      <c r="Q15" s="847" t="s">
        <v>649</v>
      </c>
      <c r="R15" s="788"/>
      <c r="S15" s="101"/>
      <c r="T15" s="101"/>
      <c r="U15" s="101"/>
      <c r="V15" s="101"/>
      <c r="W15" s="101"/>
      <c r="X15" s="101"/>
      <c r="Y15" s="101"/>
      <c r="Z15" s="101"/>
      <c r="AA15" s="101"/>
      <c r="AC15" s="101">
        <f>D9</f>
        <v>20</v>
      </c>
      <c r="AD15" s="9">
        <v>10</v>
      </c>
      <c r="AE15" s="9">
        <v>5</v>
      </c>
      <c r="AF15" s="9">
        <f>D7</f>
        <v>0</v>
      </c>
      <c r="AG15" s="9" t="s">
        <v>455</v>
      </c>
      <c r="AH15" s="9" t="str">
        <f t="shared" si="0"/>
        <v>0</v>
      </c>
      <c r="AI15" s="9" t="s">
        <v>7142</v>
      </c>
      <c r="AJ15" s="9" t="str">
        <f>D8</f>
        <v/>
      </c>
      <c r="AK15" s="9" t="str">
        <f t="shared" si="1"/>
        <v/>
      </c>
      <c r="AL15" s="9" t="s">
        <v>7142</v>
      </c>
      <c r="AM15" s="1046" t="s">
        <v>7166</v>
      </c>
      <c r="AN15" s="101"/>
      <c r="AO15" s="101" t="str">
        <f t="shared" si="2"/>
        <v>WI0--10</v>
      </c>
      <c r="AP15" s="101" t="str">
        <f>IF(AD10&lt;=AC10, (CONCATENATE(AG10,AH10,AI10,AK10,AL10,AM10)),"")</f>
        <v>WI0--05</v>
      </c>
      <c r="AQ15" s="101"/>
      <c r="AR15" s="101"/>
      <c r="AS15" s="101"/>
      <c r="AT15" s="768"/>
    </row>
    <row r="16" spans="1:46">
      <c r="B16" s="768"/>
      <c r="C16" s="886" t="str">
        <f>IF(D10="No", AO6, IF(D10="Yes", AP6, ""))</f>
        <v>WI0--01</v>
      </c>
      <c r="D16" s="884"/>
      <c r="E16" s="885"/>
      <c r="F16" s="884"/>
      <c r="G16" s="884"/>
      <c r="H16" s="884"/>
      <c r="I16" s="884"/>
      <c r="J16" s="884"/>
      <c r="K16" s="884"/>
      <c r="L16" s="894"/>
      <c r="M16" s="895" t="str">
        <f>IF(D16="", "", IF(G11&lt;&gt;"Yes", 1, IF(D16="Existing Building", 1, MAX(AS6, AS7)+1)))</f>
        <v/>
      </c>
      <c r="N16" s="883"/>
      <c r="O16" s="1045" t="str">
        <f>IF(AND(L16&lt;&gt;"", M16&lt;&gt;"", N16&lt;&gt;""), ROUND(L16*M16*N16, 0), "")</f>
        <v/>
      </c>
      <c r="P16" s="883"/>
      <c r="Q16" s="1045" t="str">
        <f t="shared" ref="Q16:Q47" si="3">IF(AND(O16&lt;&gt;"",P16&lt;&gt;""), FLOOR(O16*P16,1), "")</f>
        <v/>
      </c>
      <c r="R16" s="788"/>
      <c r="S16" s="101"/>
      <c r="T16" s="101"/>
      <c r="U16" s="101"/>
      <c r="V16" s="101"/>
      <c r="W16" s="101"/>
      <c r="X16" s="101"/>
      <c r="Y16" s="101"/>
      <c r="Z16" s="101"/>
      <c r="AA16" s="101"/>
      <c r="AC16" s="101">
        <f>D9</f>
        <v>20</v>
      </c>
      <c r="AD16" s="9">
        <v>11</v>
      </c>
      <c r="AE16" s="9">
        <v>6</v>
      </c>
      <c r="AF16" s="9">
        <f>D7</f>
        <v>0</v>
      </c>
      <c r="AG16" s="9" t="s">
        <v>455</v>
      </c>
      <c r="AH16" s="9" t="str">
        <f t="shared" si="0"/>
        <v>0</v>
      </c>
      <c r="AI16" s="9" t="s">
        <v>7142</v>
      </c>
      <c r="AJ16" s="9" t="str">
        <f>D8</f>
        <v/>
      </c>
      <c r="AK16" s="9" t="str">
        <f t="shared" si="1"/>
        <v/>
      </c>
      <c r="AL16" s="9" t="s">
        <v>7142</v>
      </c>
      <c r="AM16" s="1046" t="s">
        <v>7167</v>
      </c>
      <c r="AN16" s="101"/>
      <c r="AO16" s="101" t="str">
        <f t="shared" si="2"/>
        <v>WI0--11</v>
      </c>
      <c r="AP16" s="101" t="str">
        <f>IF(AD11&lt;=AC11, (CONCATENATE(AG11,AH11,AI11,AK11,AL11,AM11)),"")</f>
        <v>WI0--06</v>
      </c>
      <c r="AQ16" s="101"/>
      <c r="AR16" s="101"/>
      <c r="AS16" s="101"/>
      <c r="AT16" s="768"/>
    </row>
    <row r="17" spans="2:46">
      <c r="B17" s="768"/>
      <c r="C17" s="880" t="str">
        <f>IF(D10="No", AO7, IF(D10="Yes", AP7, ""))</f>
        <v>WI0--02</v>
      </c>
      <c r="D17" s="880"/>
      <c r="E17" s="881"/>
      <c r="F17" s="880"/>
      <c r="G17" s="880"/>
      <c r="H17" s="880"/>
      <c r="I17" s="880"/>
      <c r="J17" s="880"/>
      <c r="K17" s="880"/>
      <c r="L17" s="878"/>
      <c r="M17" s="882" t="str">
        <f>IF(D17="", "", IF(G11&lt;&gt;"Yes", 1, IF(D17="Existing Building", 1, MAX(AS6, AS7)+1)))</f>
        <v/>
      </c>
      <c r="N17" s="879"/>
      <c r="O17" s="878"/>
      <c r="P17" s="879"/>
      <c r="Q17" s="878" t="str">
        <f t="shared" si="3"/>
        <v/>
      </c>
      <c r="R17" s="788"/>
      <c r="S17" s="101"/>
      <c r="T17" s="101"/>
      <c r="U17" s="101"/>
      <c r="V17" s="101"/>
      <c r="W17" s="101"/>
      <c r="X17" s="101"/>
      <c r="Y17" s="101"/>
      <c r="Z17" s="101"/>
      <c r="AA17" s="101"/>
      <c r="AC17" s="101">
        <f>D9</f>
        <v>20</v>
      </c>
      <c r="AD17" s="9">
        <v>12</v>
      </c>
      <c r="AE17" s="9">
        <v>6</v>
      </c>
      <c r="AF17" s="9">
        <f>D7</f>
        <v>0</v>
      </c>
      <c r="AG17" s="9" t="s">
        <v>455</v>
      </c>
      <c r="AH17" s="9" t="str">
        <f t="shared" si="0"/>
        <v>0</v>
      </c>
      <c r="AI17" s="9" t="s">
        <v>7142</v>
      </c>
      <c r="AJ17" s="9" t="str">
        <f>D8</f>
        <v/>
      </c>
      <c r="AK17" s="9" t="str">
        <f t="shared" si="1"/>
        <v/>
      </c>
      <c r="AL17" s="9" t="s">
        <v>7142</v>
      </c>
      <c r="AM17" s="1046" t="s">
        <v>7168</v>
      </c>
      <c r="AN17" s="101"/>
      <c r="AO17" s="101" t="str">
        <f t="shared" si="2"/>
        <v>WI0--12</v>
      </c>
      <c r="AP17" s="101" t="str">
        <f>IF(AD11&lt;=AC11, (CONCATENATE(AG11,AH11,AI11,AK11,AL11,AM11)),"")</f>
        <v>WI0--06</v>
      </c>
      <c r="AQ17" s="101"/>
      <c r="AR17" s="101"/>
      <c r="AS17" s="101"/>
      <c r="AT17" s="768"/>
    </row>
    <row r="18" spans="2:46">
      <c r="B18" s="1047"/>
      <c r="C18" s="880" t="str">
        <f>IF(D10="No", AO8, IF(D10="Yes", AP8, ""))</f>
        <v>WI0--03</v>
      </c>
      <c r="D18" s="880"/>
      <c r="E18" s="881"/>
      <c r="F18" s="880"/>
      <c r="G18" s="880"/>
      <c r="H18" s="880"/>
      <c r="I18" s="880"/>
      <c r="J18" s="880"/>
      <c r="K18" s="880"/>
      <c r="L18" s="878"/>
      <c r="M18" s="882" t="str">
        <f>IF(D18="", "", IF(G11&lt;&gt;"Yes", 1, IF(D18="Existing Building", 1, MAX(AS6, AS7)+1)))</f>
        <v/>
      </c>
      <c r="N18" s="879"/>
      <c r="O18" s="878" t="str">
        <f t="shared" ref="O18:O49" si="4">IF(AND(L18&lt;&gt;"", M18&lt;&gt;"", N18&lt;&gt;""), ROUND(L18*M18*N18, 0), "")</f>
        <v/>
      </c>
      <c r="P18" s="879"/>
      <c r="Q18" s="878" t="str">
        <f t="shared" si="3"/>
        <v/>
      </c>
      <c r="R18" s="788"/>
      <c r="S18" s="101"/>
      <c r="T18" s="101"/>
      <c r="U18" s="101"/>
      <c r="V18" s="101"/>
      <c r="W18" s="101"/>
      <c r="X18" s="101"/>
      <c r="Y18" s="101"/>
      <c r="Z18" s="101"/>
      <c r="AA18" s="101"/>
      <c r="AC18" s="101">
        <f>D9</f>
        <v>20</v>
      </c>
      <c r="AD18" s="9">
        <v>13</v>
      </c>
      <c r="AE18" s="9">
        <v>7</v>
      </c>
      <c r="AF18" s="9">
        <f>D7</f>
        <v>0</v>
      </c>
      <c r="AG18" s="9" t="s">
        <v>455</v>
      </c>
      <c r="AH18" s="9" t="str">
        <f t="shared" si="0"/>
        <v>0</v>
      </c>
      <c r="AI18" s="9" t="s">
        <v>7142</v>
      </c>
      <c r="AJ18" s="9" t="str">
        <f>D8</f>
        <v/>
      </c>
      <c r="AK18" s="9" t="str">
        <f t="shared" si="1"/>
        <v/>
      </c>
      <c r="AL18" s="9" t="s">
        <v>7142</v>
      </c>
      <c r="AM18" s="1046" t="s">
        <v>7169</v>
      </c>
      <c r="AN18" s="101"/>
      <c r="AO18" s="101" t="str">
        <f t="shared" si="2"/>
        <v>WI0--13</v>
      </c>
      <c r="AP18" s="101" t="str">
        <f>IF(AD12&lt;=AC12, (CONCATENATE(AG12,AH12,AI12,AK12,AL12,AM12)),"")</f>
        <v>WI0--07</v>
      </c>
      <c r="AQ18" s="101"/>
      <c r="AR18" s="101"/>
      <c r="AS18" s="101"/>
      <c r="AT18" s="768"/>
    </row>
    <row r="19" spans="2:46">
      <c r="B19" s="768"/>
      <c r="C19" s="880" t="str">
        <f>IF(D10="No", AO9, IF(D10="Yes", AP9, ""))</f>
        <v>WI0--04</v>
      </c>
      <c r="D19" s="880"/>
      <c r="E19" s="881"/>
      <c r="F19" s="880"/>
      <c r="G19" s="880"/>
      <c r="H19" s="880"/>
      <c r="I19" s="880"/>
      <c r="J19" s="880"/>
      <c r="K19" s="880"/>
      <c r="L19" s="878"/>
      <c r="M19" s="882" t="str">
        <f>IF(D19="", "", IF(G11&lt;&gt;"Yes", 1, IF(D19="Existing Building", 1, MAX(AS6, AS7)+1)))</f>
        <v/>
      </c>
      <c r="N19" s="879"/>
      <c r="O19" s="878" t="str">
        <f t="shared" si="4"/>
        <v/>
      </c>
      <c r="P19" s="879"/>
      <c r="Q19" s="878" t="str">
        <f t="shared" si="3"/>
        <v/>
      </c>
      <c r="R19" s="788"/>
      <c r="S19" s="101"/>
      <c r="T19" s="101"/>
      <c r="U19" s="101"/>
      <c r="V19" s="101"/>
      <c r="W19" s="101"/>
      <c r="X19" s="101"/>
      <c r="Y19" s="101"/>
      <c r="Z19" s="101"/>
      <c r="AA19" s="101"/>
      <c r="AC19" s="101">
        <f>D9</f>
        <v>20</v>
      </c>
      <c r="AD19" s="9">
        <v>14</v>
      </c>
      <c r="AE19" s="9">
        <v>7</v>
      </c>
      <c r="AF19" s="9">
        <f>D7</f>
        <v>0</v>
      </c>
      <c r="AG19" s="9" t="s">
        <v>455</v>
      </c>
      <c r="AH19" s="9" t="str">
        <f t="shared" si="0"/>
        <v>0</v>
      </c>
      <c r="AI19" s="9" t="s">
        <v>7142</v>
      </c>
      <c r="AJ19" s="9" t="str">
        <f>D8</f>
        <v/>
      </c>
      <c r="AK19" s="9" t="str">
        <f t="shared" si="1"/>
        <v/>
      </c>
      <c r="AL19" s="9" t="s">
        <v>7142</v>
      </c>
      <c r="AM19" s="1046" t="s">
        <v>6975</v>
      </c>
      <c r="AN19" s="101"/>
      <c r="AO19" s="101" t="str">
        <f t="shared" si="2"/>
        <v>WI0--14</v>
      </c>
      <c r="AP19" s="101" t="str">
        <f>IF(AD12&lt;=AC12, (CONCATENATE(AG12,AH12,AI12,AK12,AL12,AM12)),"")</f>
        <v>WI0--07</v>
      </c>
      <c r="AQ19" s="101"/>
      <c r="AR19" s="101"/>
      <c r="AS19" s="101"/>
      <c r="AT19" s="768"/>
    </row>
    <row r="20" spans="2:46">
      <c r="B20" s="768"/>
      <c r="C20" s="880" t="str">
        <f>IF(D10="No", AO10, IF(D10="Yes", AP10, ""))</f>
        <v>WI0--05</v>
      </c>
      <c r="D20" s="880"/>
      <c r="E20" s="881"/>
      <c r="F20" s="880"/>
      <c r="G20" s="880"/>
      <c r="H20" s="880"/>
      <c r="I20" s="880"/>
      <c r="J20" s="880"/>
      <c r="K20" s="880"/>
      <c r="L20" s="878"/>
      <c r="M20" s="882" t="str">
        <f>IF(D20="", "", IF(G11&lt;&gt;"Yes", 1, IF(D20="Existing Building", 1, MAX(AS6, AS7)+1)))</f>
        <v/>
      </c>
      <c r="N20" s="879"/>
      <c r="O20" s="878" t="str">
        <f t="shared" si="4"/>
        <v/>
      </c>
      <c r="P20" s="879"/>
      <c r="Q20" s="878" t="str">
        <f t="shared" si="3"/>
        <v/>
      </c>
      <c r="R20" s="788"/>
      <c r="S20" s="101"/>
      <c r="T20" s="101"/>
      <c r="U20" s="101"/>
      <c r="V20" s="101"/>
      <c r="W20" s="101"/>
      <c r="X20" s="101"/>
      <c r="Y20" s="101"/>
      <c r="Z20" s="101"/>
      <c r="AA20" s="101"/>
      <c r="AC20" s="101">
        <f>D9</f>
        <v>20</v>
      </c>
      <c r="AD20" s="9">
        <v>15</v>
      </c>
      <c r="AE20" s="9">
        <v>8</v>
      </c>
      <c r="AF20" s="9">
        <f>D7</f>
        <v>0</v>
      </c>
      <c r="AG20" s="9" t="s">
        <v>455</v>
      </c>
      <c r="AH20" s="9" t="str">
        <f t="shared" si="0"/>
        <v>0</v>
      </c>
      <c r="AI20" s="9" t="s">
        <v>7142</v>
      </c>
      <c r="AJ20" s="9" t="str">
        <f>D8</f>
        <v/>
      </c>
      <c r="AK20" s="9" t="str">
        <f t="shared" si="1"/>
        <v/>
      </c>
      <c r="AL20" s="9" t="s">
        <v>7142</v>
      </c>
      <c r="AM20" s="1046" t="s">
        <v>3192</v>
      </c>
      <c r="AN20" s="101"/>
      <c r="AO20" s="101" t="str">
        <f t="shared" si="2"/>
        <v>WI0--15</v>
      </c>
      <c r="AP20" s="101" t="str">
        <f>IF(AD13&lt;=AC13, (CONCATENATE(AG13,AH13,AI13,AK13,AL13,AM13)),"")</f>
        <v>WI0--08</v>
      </c>
      <c r="AQ20" s="101"/>
      <c r="AR20" s="101"/>
      <c r="AS20" s="101"/>
      <c r="AT20" s="768"/>
    </row>
    <row r="21" spans="2:46">
      <c r="B21" s="768"/>
      <c r="C21" s="880" t="str">
        <f>IF(D10="No", AO11, IF(D10="Yes", AP11, ""))</f>
        <v>WI0--06</v>
      </c>
      <c r="D21" s="880"/>
      <c r="E21" s="881"/>
      <c r="F21" s="880"/>
      <c r="G21" s="880"/>
      <c r="H21" s="880"/>
      <c r="I21" s="880"/>
      <c r="J21" s="880"/>
      <c r="K21" s="880"/>
      <c r="L21" s="878"/>
      <c r="M21" s="882" t="str">
        <f>IF(D21="", "", IF(G11&lt;&gt;"Yes", 1, IF(D21="Existing Building", 1, MAX(AS6, AS7)+1)))</f>
        <v/>
      </c>
      <c r="N21" s="879"/>
      <c r="O21" s="878" t="str">
        <f t="shared" si="4"/>
        <v/>
      </c>
      <c r="P21" s="879"/>
      <c r="Q21" s="878" t="str">
        <f t="shared" si="3"/>
        <v/>
      </c>
      <c r="R21" s="788"/>
      <c r="S21" s="101"/>
      <c r="T21" s="101"/>
      <c r="U21" s="101"/>
      <c r="V21" s="101"/>
      <c r="W21" s="101"/>
      <c r="X21" s="101"/>
      <c r="Y21" s="101"/>
      <c r="Z21" s="101"/>
      <c r="AA21" s="101"/>
      <c r="AC21" s="101">
        <f>D9</f>
        <v>20</v>
      </c>
      <c r="AD21" s="9">
        <v>16</v>
      </c>
      <c r="AE21" s="9">
        <v>8</v>
      </c>
      <c r="AF21" s="9">
        <f>D7</f>
        <v>0</v>
      </c>
      <c r="AG21" s="9" t="s">
        <v>455</v>
      </c>
      <c r="AH21" s="9" t="str">
        <f t="shared" si="0"/>
        <v>0</v>
      </c>
      <c r="AI21" s="9" t="s">
        <v>7142</v>
      </c>
      <c r="AJ21" s="9" t="str">
        <f>D8</f>
        <v/>
      </c>
      <c r="AK21" s="9" t="str">
        <f t="shared" si="1"/>
        <v/>
      </c>
      <c r="AL21" s="9" t="s">
        <v>7142</v>
      </c>
      <c r="AM21" s="1046" t="s">
        <v>6984</v>
      </c>
      <c r="AN21" s="101"/>
      <c r="AO21" s="101" t="str">
        <f t="shared" si="2"/>
        <v>WI0--16</v>
      </c>
      <c r="AP21" s="101" t="str">
        <f>IF(AD13&lt;=AC13, (CONCATENATE(AG13,AH13,AI13,AK13,AL13,AM13)),"")</f>
        <v>WI0--08</v>
      </c>
      <c r="AQ21" s="101"/>
      <c r="AR21" s="101"/>
      <c r="AS21" s="101"/>
      <c r="AT21" s="768"/>
    </row>
    <row r="22" spans="2:46">
      <c r="B22" s="768"/>
      <c r="C22" s="880" t="str">
        <f>IF(D10="No", AO12, IF(D10="Yes", AP12, ""))</f>
        <v>WI0--07</v>
      </c>
      <c r="D22" s="880"/>
      <c r="E22" s="881"/>
      <c r="F22" s="880"/>
      <c r="G22" s="880"/>
      <c r="H22" s="880"/>
      <c r="I22" s="880"/>
      <c r="J22" s="880"/>
      <c r="K22" s="880"/>
      <c r="L22" s="878"/>
      <c r="M22" s="882" t="str">
        <f>IF(D22="", "", IF(G11&lt;&gt;"Yes", 1, IF(D22="Existing Building", 1, MAX(AS6, AS7)+1)))</f>
        <v/>
      </c>
      <c r="N22" s="879"/>
      <c r="O22" s="878" t="str">
        <f t="shared" si="4"/>
        <v/>
      </c>
      <c r="P22" s="879"/>
      <c r="Q22" s="878" t="str">
        <f t="shared" si="3"/>
        <v/>
      </c>
      <c r="R22" s="788"/>
      <c r="S22" s="101"/>
      <c r="T22" s="101"/>
      <c r="U22" s="101"/>
      <c r="V22" s="101"/>
      <c r="W22" s="101"/>
      <c r="X22" s="101"/>
      <c r="Y22" s="101"/>
      <c r="Z22" s="101"/>
      <c r="AA22" s="101"/>
      <c r="AC22" s="101">
        <f>D9</f>
        <v>20</v>
      </c>
      <c r="AD22" s="9">
        <v>17</v>
      </c>
      <c r="AE22" s="9">
        <v>9</v>
      </c>
      <c r="AF22" s="9">
        <f>D7</f>
        <v>0</v>
      </c>
      <c r="AG22" s="9" t="s">
        <v>455</v>
      </c>
      <c r="AH22" s="9" t="str">
        <f t="shared" si="0"/>
        <v>0</v>
      </c>
      <c r="AI22" s="9" t="s">
        <v>7142</v>
      </c>
      <c r="AJ22" s="9" t="str">
        <f>D8</f>
        <v/>
      </c>
      <c r="AK22" s="9" t="str">
        <f t="shared" si="1"/>
        <v/>
      </c>
      <c r="AL22" s="9" t="s">
        <v>7142</v>
      </c>
      <c r="AM22" s="1046" t="s">
        <v>6992</v>
      </c>
      <c r="AN22" s="101"/>
      <c r="AO22" s="101" t="str">
        <f t="shared" si="2"/>
        <v>WI0--17</v>
      </c>
      <c r="AP22" s="101" t="str">
        <f>IF(AD14&lt;=AC14, (CONCATENATE(AG14,AH14,AI14,AK14,AL14,AM14)),"")</f>
        <v>WI0--09</v>
      </c>
      <c r="AQ22" s="101"/>
      <c r="AR22" s="101"/>
      <c r="AS22" s="101"/>
      <c r="AT22" s="768"/>
    </row>
    <row r="23" spans="2:46">
      <c r="B23" s="768"/>
      <c r="C23" s="880" t="str">
        <f>IF(D10="No", AO13, IF(D10="Yes", AP13, ""))</f>
        <v>WI0--08</v>
      </c>
      <c r="D23" s="880"/>
      <c r="E23" s="881"/>
      <c r="F23" s="880"/>
      <c r="G23" s="880"/>
      <c r="H23" s="880"/>
      <c r="I23" s="880"/>
      <c r="J23" s="880"/>
      <c r="K23" s="880"/>
      <c r="L23" s="878"/>
      <c r="M23" s="882" t="str">
        <f>IF(D23="", "", IF(G11&lt;&gt;"Yes", 1, IF(D23="Existing Building", 1, MAX(AS6, AS7)+1)))</f>
        <v/>
      </c>
      <c r="N23" s="879"/>
      <c r="O23" s="878" t="str">
        <f t="shared" si="4"/>
        <v/>
      </c>
      <c r="P23" s="879"/>
      <c r="Q23" s="878" t="str">
        <f t="shared" si="3"/>
        <v/>
      </c>
      <c r="R23" s="788"/>
      <c r="S23" s="101"/>
      <c r="T23" s="101"/>
      <c r="U23" s="101"/>
      <c r="V23" s="101"/>
      <c r="W23" s="101"/>
      <c r="X23" s="101"/>
      <c r="Y23" s="101"/>
      <c r="Z23" s="101"/>
      <c r="AA23" s="101"/>
      <c r="AC23" s="101">
        <f>D9</f>
        <v>20</v>
      </c>
      <c r="AD23" s="9">
        <v>18</v>
      </c>
      <c r="AE23" s="9">
        <v>9</v>
      </c>
      <c r="AF23" s="9">
        <f>D7</f>
        <v>0</v>
      </c>
      <c r="AG23" s="9" t="s">
        <v>455</v>
      </c>
      <c r="AH23" s="9" t="str">
        <f t="shared" si="0"/>
        <v>0</v>
      </c>
      <c r="AI23" s="9" t="s">
        <v>7142</v>
      </c>
      <c r="AJ23" s="9" t="str">
        <f>D8</f>
        <v/>
      </c>
      <c r="AK23" s="9" t="str">
        <f t="shared" si="1"/>
        <v/>
      </c>
      <c r="AL23" s="9" t="s">
        <v>7142</v>
      </c>
      <c r="AM23" s="1046" t="s">
        <v>6999</v>
      </c>
      <c r="AN23" s="101"/>
      <c r="AO23" s="101" t="str">
        <f t="shared" si="2"/>
        <v>WI0--18</v>
      </c>
      <c r="AP23" s="101" t="str">
        <f>IF(AD14&lt;=AC14, (CONCATENATE(AG14,AH14,AI14,AK14,AL14,AM14)),"")</f>
        <v>WI0--09</v>
      </c>
      <c r="AQ23" s="101"/>
      <c r="AR23" s="101"/>
      <c r="AS23" s="101"/>
      <c r="AT23" s="768"/>
    </row>
    <row r="24" spans="2:46">
      <c r="B24" s="768"/>
      <c r="C24" s="880" t="str">
        <f>IF(D10="No", AO14, IF(D10="Yes", AP14, ""))</f>
        <v>WI0--09</v>
      </c>
      <c r="D24" s="880"/>
      <c r="E24" s="881"/>
      <c r="F24" s="880"/>
      <c r="G24" s="880"/>
      <c r="H24" s="880"/>
      <c r="I24" s="880"/>
      <c r="J24" s="880"/>
      <c r="K24" s="880"/>
      <c r="L24" s="878"/>
      <c r="M24" s="882" t="str">
        <f>IF(D24="", "", IF(G11&lt;&gt;"Yes", 1, IF(D24="Existing Building", 1, MAX(AS6, AS7)+1)))</f>
        <v/>
      </c>
      <c r="N24" s="879"/>
      <c r="O24" s="878" t="str">
        <f t="shared" si="4"/>
        <v/>
      </c>
      <c r="P24" s="879"/>
      <c r="Q24" s="878" t="str">
        <f t="shared" si="3"/>
        <v/>
      </c>
      <c r="R24" s="788"/>
      <c r="S24" s="101"/>
      <c r="T24" s="101"/>
      <c r="U24" s="101"/>
      <c r="V24" s="101"/>
      <c r="W24" s="101"/>
      <c r="X24" s="101"/>
      <c r="Y24" s="101"/>
      <c r="Z24" s="101"/>
      <c r="AA24" s="101"/>
      <c r="AC24" s="101">
        <f>D9</f>
        <v>20</v>
      </c>
      <c r="AD24" s="9">
        <v>19</v>
      </c>
      <c r="AE24" s="9">
        <v>10</v>
      </c>
      <c r="AF24" s="9">
        <f>D7</f>
        <v>0</v>
      </c>
      <c r="AG24" s="9" t="s">
        <v>455</v>
      </c>
      <c r="AH24" s="9" t="str">
        <f t="shared" si="0"/>
        <v>0</v>
      </c>
      <c r="AI24" s="9" t="s">
        <v>7142</v>
      </c>
      <c r="AJ24" s="9" t="str">
        <f>D8</f>
        <v/>
      </c>
      <c r="AK24" s="9" t="str">
        <f t="shared" si="1"/>
        <v/>
      </c>
      <c r="AL24" s="9" t="s">
        <v>7142</v>
      </c>
      <c r="AM24" s="1046" t="s">
        <v>7003</v>
      </c>
      <c r="AN24" s="101"/>
      <c r="AO24" s="101" t="str">
        <f t="shared" si="2"/>
        <v>WI0--19</v>
      </c>
      <c r="AP24" s="101" t="str">
        <f>IF(AD15&lt;=AC15, (CONCATENATE(AG15,AH15,AI15,AK15,AL15,AM15)),"")</f>
        <v>WI0--10</v>
      </c>
      <c r="AQ24" s="101"/>
      <c r="AR24" s="101"/>
      <c r="AS24" s="101"/>
      <c r="AT24" s="768"/>
    </row>
    <row r="25" spans="2:46">
      <c r="B25" s="768"/>
      <c r="C25" s="880" t="str">
        <f>IF(D10="No", AO15, IF(D10="Yes", AP15, ""))</f>
        <v>WI0--10</v>
      </c>
      <c r="D25" s="880"/>
      <c r="E25" s="881"/>
      <c r="F25" s="880"/>
      <c r="G25" s="880"/>
      <c r="H25" s="880"/>
      <c r="I25" s="880"/>
      <c r="J25" s="880"/>
      <c r="K25" s="880"/>
      <c r="L25" s="878"/>
      <c r="M25" s="882" t="str">
        <f>IF(D25="", "", IF(G11&lt;&gt;"Yes", 1, IF(D25="Existing Building", 1, MAX(AS6, AS7)+1)))</f>
        <v/>
      </c>
      <c r="N25" s="879"/>
      <c r="O25" s="878" t="str">
        <f t="shared" si="4"/>
        <v/>
      </c>
      <c r="P25" s="879"/>
      <c r="Q25" s="878" t="str">
        <f t="shared" si="3"/>
        <v/>
      </c>
      <c r="R25" s="788"/>
      <c r="S25" s="101"/>
      <c r="T25" s="101"/>
      <c r="U25" s="101"/>
      <c r="V25" s="101"/>
      <c r="W25" s="101"/>
      <c r="X25" s="101"/>
      <c r="Y25" s="101"/>
      <c r="Z25" s="101"/>
      <c r="AA25" s="101"/>
      <c r="AC25" s="101">
        <f>D9</f>
        <v>20</v>
      </c>
      <c r="AD25" s="9">
        <v>20</v>
      </c>
      <c r="AE25" s="9">
        <v>10</v>
      </c>
      <c r="AF25" s="9">
        <f>D7</f>
        <v>0</v>
      </c>
      <c r="AG25" s="9" t="s">
        <v>455</v>
      </c>
      <c r="AH25" s="9" t="str">
        <f t="shared" si="0"/>
        <v>0</v>
      </c>
      <c r="AI25" s="9" t="s">
        <v>7142</v>
      </c>
      <c r="AJ25" s="9" t="str">
        <f>D8</f>
        <v/>
      </c>
      <c r="AK25" s="9" t="str">
        <f t="shared" si="1"/>
        <v/>
      </c>
      <c r="AL25" s="9" t="s">
        <v>7142</v>
      </c>
      <c r="AM25" s="1046" t="s">
        <v>7010</v>
      </c>
      <c r="AN25" s="101"/>
      <c r="AO25" s="101" t="str">
        <f t="shared" si="2"/>
        <v>WI0--20</v>
      </c>
      <c r="AP25" s="101" t="str">
        <f>IF(AD15&lt;=AC15, (CONCATENATE(AG15,AH15,AI15,AK15,AL15,AM15)),"")</f>
        <v>WI0--10</v>
      </c>
      <c r="AQ25" s="101"/>
      <c r="AR25" s="101"/>
      <c r="AS25" s="101"/>
      <c r="AT25" s="768"/>
    </row>
    <row r="26" spans="2:46">
      <c r="B26" s="768"/>
      <c r="C26" s="880" t="str">
        <f>IF(D10="No", AO16, IF(D10="Yes", AP16, ""))</f>
        <v>WI0--11</v>
      </c>
      <c r="D26" s="880"/>
      <c r="E26" s="881"/>
      <c r="F26" s="880"/>
      <c r="G26" s="880"/>
      <c r="H26" s="880"/>
      <c r="I26" s="880"/>
      <c r="J26" s="880"/>
      <c r="K26" s="880"/>
      <c r="L26" s="878"/>
      <c r="M26" s="882" t="str">
        <f>IF(D26="", "", IF(G11&lt;&gt;"Yes", 1, IF(D26="Existing Building", 1, MAX(AS6, AS7)+1)))</f>
        <v/>
      </c>
      <c r="N26" s="879"/>
      <c r="O26" s="878" t="str">
        <f t="shared" si="4"/>
        <v/>
      </c>
      <c r="P26" s="879" t="s">
        <v>3565</v>
      </c>
      <c r="Q26" s="878" t="str">
        <f t="shared" si="3"/>
        <v/>
      </c>
      <c r="R26" s="788"/>
      <c r="S26" s="101"/>
      <c r="T26" s="101"/>
      <c r="U26" s="101"/>
      <c r="V26" s="101"/>
      <c r="W26" s="101"/>
      <c r="X26" s="101"/>
      <c r="Y26" s="101"/>
      <c r="Z26" s="101"/>
      <c r="AA26" s="101"/>
      <c r="AC26" s="101">
        <f>D9</f>
        <v>20</v>
      </c>
      <c r="AD26" s="9">
        <v>21</v>
      </c>
      <c r="AE26" s="9">
        <v>11</v>
      </c>
      <c r="AF26" s="9">
        <f>D7</f>
        <v>0</v>
      </c>
      <c r="AG26" s="9" t="s">
        <v>455</v>
      </c>
      <c r="AH26" s="9" t="str">
        <f t="shared" si="0"/>
        <v>0</v>
      </c>
      <c r="AI26" s="9" t="s">
        <v>7142</v>
      </c>
      <c r="AJ26" s="9" t="str">
        <f>D8</f>
        <v/>
      </c>
      <c r="AK26" s="9" t="str">
        <f t="shared" si="1"/>
        <v/>
      </c>
      <c r="AL26" s="9" t="s">
        <v>7142</v>
      </c>
      <c r="AM26" s="1046" t="s">
        <v>7170</v>
      </c>
      <c r="AN26" s="101"/>
      <c r="AO26" s="101" t="str">
        <f t="shared" si="2"/>
        <v/>
      </c>
      <c r="AP26" s="101" t="str">
        <f>IF(AD16&lt;=AC16, (CONCATENATE(AG16,AH16,AI16,AK16,AL16,AM16)),"")</f>
        <v>WI0--11</v>
      </c>
      <c r="AQ26" s="101"/>
      <c r="AR26" s="101"/>
      <c r="AS26" s="101"/>
      <c r="AT26" s="768"/>
    </row>
    <row r="27" spans="2:46">
      <c r="B27" s="768"/>
      <c r="C27" s="880" t="str">
        <f>IF(D10="No", AO17, IF(D10="Yes", AP17, ""))</f>
        <v>WI0--12</v>
      </c>
      <c r="D27" s="880"/>
      <c r="E27" s="881"/>
      <c r="F27" s="880"/>
      <c r="G27" s="880"/>
      <c r="H27" s="880"/>
      <c r="I27" s="880"/>
      <c r="J27" s="880"/>
      <c r="K27" s="880"/>
      <c r="L27" s="878"/>
      <c r="M27" s="882" t="str">
        <f>IF(D27="", "", IF(G11&lt;&gt;"Yes", 1, IF(D27="Existing Building", 1, MAX(AS6, AS7)+1)))</f>
        <v/>
      </c>
      <c r="N27" s="879"/>
      <c r="O27" s="878" t="str">
        <f t="shared" si="4"/>
        <v/>
      </c>
      <c r="P27" s="879"/>
      <c r="Q27" s="878" t="str">
        <f t="shared" si="3"/>
        <v/>
      </c>
      <c r="R27" s="788"/>
      <c r="S27" s="101"/>
      <c r="T27" s="101"/>
      <c r="U27" s="101"/>
      <c r="V27" s="101"/>
      <c r="W27" s="101"/>
      <c r="X27" s="101"/>
      <c r="Y27" s="101"/>
      <c r="Z27" s="101"/>
      <c r="AA27" s="101"/>
      <c r="AC27" s="101">
        <f>D9</f>
        <v>20</v>
      </c>
      <c r="AD27" s="9">
        <v>22</v>
      </c>
      <c r="AE27" s="9">
        <v>11</v>
      </c>
      <c r="AF27" s="9">
        <f>D7</f>
        <v>0</v>
      </c>
      <c r="AG27" s="9" t="s">
        <v>455</v>
      </c>
      <c r="AH27" s="9" t="str">
        <f t="shared" si="0"/>
        <v>0</v>
      </c>
      <c r="AI27" s="9" t="s">
        <v>7142</v>
      </c>
      <c r="AJ27" s="9" t="str">
        <f>D8</f>
        <v/>
      </c>
      <c r="AK27" s="9" t="str">
        <f t="shared" si="1"/>
        <v/>
      </c>
      <c r="AL27" s="9" t="s">
        <v>7142</v>
      </c>
      <c r="AM27" s="1046" t="s">
        <v>7171</v>
      </c>
      <c r="AN27" s="101"/>
      <c r="AO27" s="101" t="str">
        <f t="shared" si="2"/>
        <v/>
      </c>
      <c r="AP27" s="101" t="str">
        <f>IF(AD16&lt;=AC16, (CONCATENATE(AG16,AH16,AI16,AK16,AL16,AM16)),"")</f>
        <v>WI0--11</v>
      </c>
      <c r="AQ27" s="101"/>
      <c r="AR27" s="101"/>
      <c r="AS27" s="101"/>
      <c r="AT27" s="768"/>
    </row>
    <row r="28" spans="2:46">
      <c r="B28" s="768"/>
      <c r="C28" s="880" t="str">
        <f>IF(D10="No", AO18, IF(D10="Yes", AP18, ""))</f>
        <v>WI0--13</v>
      </c>
      <c r="D28" s="880"/>
      <c r="E28" s="881"/>
      <c r="F28" s="880"/>
      <c r="G28" s="880"/>
      <c r="H28" s="880"/>
      <c r="I28" s="880"/>
      <c r="J28" s="880"/>
      <c r="K28" s="880"/>
      <c r="L28" s="878"/>
      <c r="M28" s="882" t="str">
        <f>IF(D28="", "", IF(G11&lt;&gt;"Yes", 1, IF(D28="Existing Building", 1, MAX(AS6, AS7)+1)))</f>
        <v/>
      </c>
      <c r="N28" s="879"/>
      <c r="O28" s="878" t="str">
        <f t="shared" si="4"/>
        <v/>
      </c>
      <c r="P28" s="879"/>
      <c r="Q28" s="878" t="str">
        <f t="shared" si="3"/>
        <v/>
      </c>
      <c r="R28" s="788"/>
      <c r="S28" s="101"/>
      <c r="T28" s="101"/>
      <c r="U28" s="101"/>
      <c r="V28" s="101"/>
      <c r="W28" s="101"/>
      <c r="X28" s="101"/>
      <c r="Y28" s="101"/>
      <c r="Z28" s="101"/>
      <c r="AA28" s="101"/>
      <c r="AC28" s="101">
        <f>D9</f>
        <v>20</v>
      </c>
      <c r="AD28" s="9">
        <v>23</v>
      </c>
      <c r="AE28" s="9">
        <v>12</v>
      </c>
      <c r="AF28" s="9">
        <f>D7</f>
        <v>0</v>
      </c>
      <c r="AG28" s="9" t="s">
        <v>455</v>
      </c>
      <c r="AH28" s="9" t="str">
        <f t="shared" si="0"/>
        <v>0</v>
      </c>
      <c r="AI28" s="9" t="s">
        <v>7142</v>
      </c>
      <c r="AJ28" s="9" t="str">
        <f>D8</f>
        <v/>
      </c>
      <c r="AK28" s="9" t="str">
        <f t="shared" si="1"/>
        <v/>
      </c>
      <c r="AL28" s="9" t="s">
        <v>7142</v>
      </c>
      <c r="AM28" s="1046" t="s">
        <v>7172</v>
      </c>
      <c r="AN28" s="101"/>
      <c r="AO28" s="101" t="str">
        <f t="shared" si="2"/>
        <v/>
      </c>
      <c r="AP28" s="101" t="str">
        <f>IF(AD17&lt;=AC17, (CONCATENATE(AG17,AH17,AI17,AK17,AL17,AM17)),"")</f>
        <v>WI0--12</v>
      </c>
      <c r="AQ28" s="101"/>
      <c r="AR28" s="101"/>
      <c r="AS28" s="101"/>
      <c r="AT28" s="768"/>
    </row>
    <row r="29" spans="2:46">
      <c r="B29" s="768"/>
      <c r="C29" s="880" t="str">
        <f>IF(D10="No", AO19, IF(D10="Yes", AP19, ""))</f>
        <v>WI0--14</v>
      </c>
      <c r="D29" s="880"/>
      <c r="E29" s="881"/>
      <c r="F29" s="880"/>
      <c r="G29" s="880"/>
      <c r="H29" s="880"/>
      <c r="I29" s="880"/>
      <c r="J29" s="880"/>
      <c r="K29" s="880"/>
      <c r="L29" s="878"/>
      <c r="M29" s="882" t="str">
        <f>IF(D29="", "", IF(G11&lt;&gt;"Yes", 1, IF(D29="Existing Building", 1, MAX(AS6, AS7)+1)))</f>
        <v/>
      </c>
      <c r="N29" s="879"/>
      <c r="O29" s="878" t="str">
        <f t="shared" si="4"/>
        <v/>
      </c>
      <c r="P29" s="879"/>
      <c r="Q29" s="878" t="str">
        <f t="shared" si="3"/>
        <v/>
      </c>
      <c r="R29" s="788"/>
      <c r="S29" s="101"/>
      <c r="T29" s="101"/>
      <c r="U29" s="101"/>
      <c r="V29" s="101"/>
      <c r="W29" s="101"/>
      <c r="X29" s="101"/>
      <c r="Y29" s="101"/>
      <c r="Z29" s="101"/>
      <c r="AA29" s="101"/>
      <c r="AC29" s="101">
        <f>D9</f>
        <v>20</v>
      </c>
      <c r="AD29" s="9">
        <v>24</v>
      </c>
      <c r="AE29" s="9">
        <v>12</v>
      </c>
      <c r="AF29" s="9">
        <f>D7</f>
        <v>0</v>
      </c>
      <c r="AG29" s="9" t="s">
        <v>455</v>
      </c>
      <c r="AH29" s="9" t="str">
        <f t="shared" si="0"/>
        <v>0</v>
      </c>
      <c r="AI29" s="9" t="s">
        <v>7142</v>
      </c>
      <c r="AJ29" s="9" t="str">
        <f>D8</f>
        <v/>
      </c>
      <c r="AK29" s="9" t="str">
        <f t="shared" si="1"/>
        <v/>
      </c>
      <c r="AL29" s="9" t="s">
        <v>7142</v>
      </c>
      <c r="AM29" s="1046" t="s">
        <v>7173</v>
      </c>
      <c r="AN29" s="101"/>
      <c r="AO29" s="101" t="str">
        <f t="shared" si="2"/>
        <v/>
      </c>
      <c r="AP29" s="101" t="str">
        <f>IF(AD17&lt;=AC17, (CONCATENATE(AG17,AH17,AI17,AK17,AL17,AM17)),"")</f>
        <v>WI0--12</v>
      </c>
      <c r="AQ29" s="101"/>
      <c r="AR29" s="101"/>
      <c r="AS29" s="101"/>
      <c r="AT29" s="768"/>
    </row>
    <row r="30" spans="2:46">
      <c r="B30" s="768"/>
      <c r="C30" s="880" t="str">
        <f>IF(D10="No", AO20, IF(D10="Yes", AP20, ""))</f>
        <v>WI0--15</v>
      </c>
      <c r="D30" s="880"/>
      <c r="E30" s="881"/>
      <c r="F30" s="880"/>
      <c r="G30" s="880"/>
      <c r="H30" s="880"/>
      <c r="I30" s="880"/>
      <c r="J30" s="880"/>
      <c r="K30" s="880"/>
      <c r="L30" s="878"/>
      <c r="M30" s="882" t="str">
        <f>IF(D30="", "", IF(G11&lt;&gt;"Yes", 1, IF(D30="Existing Building", 1, MAX(AS6, AS7)+1)))</f>
        <v/>
      </c>
      <c r="N30" s="879"/>
      <c r="O30" s="878" t="str">
        <f t="shared" si="4"/>
        <v/>
      </c>
      <c r="P30" s="879"/>
      <c r="Q30" s="878" t="str">
        <f t="shared" si="3"/>
        <v/>
      </c>
      <c r="R30" s="788"/>
      <c r="S30" s="101"/>
      <c r="T30" s="101"/>
      <c r="U30" s="101"/>
      <c r="V30" s="101"/>
      <c r="W30" s="101"/>
      <c r="X30" s="101"/>
      <c r="Y30" s="101"/>
      <c r="Z30" s="101"/>
      <c r="AA30" s="101"/>
      <c r="AC30" s="101">
        <f>D9</f>
        <v>20</v>
      </c>
      <c r="AD30" s="9">
        <v>25</v>
      </c>
      <c r="AE30" s="9">
        <v>13</v>
      </c>
      <c r="AF30" s="9">
        <f>D7</f>
        <v>0</v>
      </c>
      <c r="AG30" s="9" t="s">
        <v>455</v>
      </c>
      <c r="AH30" s="9" t="str">
        <f t="shared" si="0"/>
        <v>0</v>
      </c>
      <c r="AI30" s="9" t="s">
        <v>7142</v>
      </c>
      <c r="AJ30" s="9" t="str">
        <f>D8</f>
        <v/>
      </c>
      <c r="AK30" s="9" t="str">
        <f t="shared" si="1"/>
        <v/>
      </c>
      <c r="AL30" s="9" t="s">
        <v>7142</v>
      </c>
      <c r="AM30" s="1046" t="s">
        <v>7014</v>
      </c>
      <c r="AN30" s="101"/>
      <c r="AO30" s="101" t="str">
        <f t="shared" si="2"/>
        <v/>
      </c>
      <c r="AP30" s="101" t="str">
        <f>IF(AD18&lt;=AC18, (CONCATENATE(AG18,AH18,AI18,AK18,AL18,AM18)),"")</f>
        <v>WI0--13</v>
      </c>
      <c r="AQ30" s="101"/>
      <c r="AR30" s="101"/>
      <c r="AS30" s="101"/>
      <c r="AT30" s="768"/>
    </row>
    <row r="31" spans="2:46">
      <c r="B31" s="768"/>
      <c r="C31" s="880" t="str">
        <f>IF(D10="No", AO21, IF(D10="Yes", AP21, ""))</f>
        <v>WI0--16</v>
      </c>
      <c r="D31" s="880"/>
      <c r="E31" s="881"/>
      <c r="F31" s="880"/>
      <c r="G31" s="880"/>
      <c r="H31" s="880"/>
      <c r="I31" s="880"/>
      <c r="J31" s="880"/>
      <c r="K31" s="880"/>
      <c r="L31" s="878"/>
      <c r="M31" s="882" t="str">
        <f>IF(D31="", "", IF(G11&lt;&gt;"Yes", 1, IF(D31="Existing Building", 1, MAX(AS6, AS7)+1)))</f>
        <v/>
      </c>
      <c r="N31" s="879"/>
      <c r="O31" s="878" t="str">
        <f t="shared" si="4"/>
        <v/>
      </c>
      <c r="P31" s="879"/>
      <c r="Q31" s="878" t="str">
        <f t="shared" si="3"/>
        <v/>
      </c>
      <c r="R31" s="788"/>
      <c r="S31" s="101"/>
      <c r="T31" s="101"/>
      <c r="U31" s="101"/>
      <c r="V31" s="101"/>
      <c r="W31" s="101"/>
      <c r="X31" s="101"/>
      <c r="Y31" s="101"/>
      <c r="Z31" s="101"/>
      <c r="AA31" s="101"/>
      <c r="AC31" s="101">
        <f>D9</f>
        <v>20</v>
      </c>
      <c r="AD31" s="9">
        <v>26</v>
      </c>
      <c r="AE31" s="9">
        <v>13</v>
      </c>
      <c r="AF31" s="9">
        <f>D7</f>
        <v>0</v>
      </c>
      <c r="AG31" s="9" t="s">
        <v>455</v>
      </c>
      <c r="AH31" s="9" t="str">
        <f t="shared" si="0"/>
        <v>0</v>
      </c>
      <c r="AI31" s="9" t="s">
        <v>7142</v>
      </c>
      <c r="AJ31" s="9" t="str">
        <f>D8</f>
        <v/>
      </c>
      <c r="AK31" s="9" t="str">
        <f t="shared" si="1"/>
        <v/>
      </c>
      <c r="AL31" s="9" t="s">
        <v>7142</v>
      </c>
      <c r="AM31" s="1046" t="s">
        <v>7174</v>
      </c>
      <c r="AN31" s="101"/>
      <c r="AO31" s="101" t="str">
        <f t="shared" si="2"/>
        <v/>
      </c>
      <c r="AP31" s="101" t="str">
        <f>IF(AD18&lt;=AC18, (CONCATENATE(AG18,AH18,AI18,AK18,AL18,AM18)),"")</f>
        <v>WI0--13</v>
      </c>
      <c r="AQ31" s="101"/>
      <c r="AR31" s="101"/>
      <c r="AS31" s="101"/>
      <c r="AT31" s="768"/>
    </row>
    <row r="32" spans="2:46">
      <c r="B32" s="768"/>
      <c r="C32" s="880" t="str">
        <f>IF(D10="No", AO22, IF(D10="Yes", AP22, ""))</f>
        <v>WI0--17</v>
      </c>
      <c r="D32" s="880"/>
      <c r="E32" s="881"/>
      <c r="F32" s="880"/>
      <c r="G32" s="880"/>
      <c r="H32" s="880"/>
      <c r="I32" s="880"/>
      <c r="J32" s="880"/>
      <c r="K32" s="880"/>
      <c r="L32" s="878"/>
      <c r="M32" s="882" t="str">
        <f>IF(D32="", "", IF(G11&lt;&gt;"Yes", 1, IF(D32="Existing Building", 1, MAX(AS6, AS7)+1)))</f>
        <v/>
      </c>
      <c r="N32" s="879"/>
      <c r="O32" s="878" t="str">
        <f t="shared" si="4"/>
        <v/>
      </c>
      <c r="P32" s="879"/>
      <c r="Q32" s="878" t="str">
        <f t="shared" si="3"/>
        <v/>
      </c>
      <c r="R32" s="788"/>
      <c r="S32" s="101"/>
      <c r="T32" s="101"/>
      <c r="U32" s="101"/>
      <c r="V32" s="101"/>
      <c r="W32" s="101"/>
      <c r="X32" s="101"/>
      <c r="Y32" s="101"/>
      <c r="Z32" s="101"/>
      <c r="AA32" s="101"/>
      <c r="AC32" s="101">
        <f>D9</f>
        <v>20</v>
      </c>
      <c r="AD32" s="9">
        <v>27</v>
      </c>
      <c r="AE32" s="9">
        <v>14</v>
      </c>
      <c r="AF32" s="9">
        <f>D7</f>
        <v>0</v>
      </c>
      <c r="AG32" s="9" t="s">
        <v>455</v>
      </c>
      <c r="AH32" s="9" t="str">
        <f t="shared" si="0"/>
        <v>0</v>
      </c>
      <c r="AI32" s="9" t="s">
        <v>7142</v>
      </c>
      <c r="AJ32" s="9" t="str">
        <f>D8</f>
        <v/>
      </c>
      <c r="AK32" s="9" t="str">
        <f t="shared" si="1"/>
        <v/>
      </c>
      <c r="AL32" s="9" t="s">
        <v>7142</v>
      </c>
      <c r="AM32" s="1046" t="s">
        <v>7175</v>
      </c>
      <c r="AN32" s="101"/>
      <c r="AO32" s="101" t="str">
        <f t="shared" si="2"/>
        <v/>
      </c>
      <c r="AP32" s="101" t="str">
        <f>IF(AD19&lt;=AC19, (CONCATENATE(AG19,AH19,AI19,AK19,AL19,AM19)),"")</f>
        <v>WI0--14</v>
      </c>
      <c r="AQ32" s="101"/>
      <c r="AR32" s="101"/>
      <c r="AS32" s="101"/>
      <c r="AT32" s="768"/>
    </row>
    <row r="33" spans="2:46">
      <c r="B33" s="768"/>
      <c r="C33" s="880" t="str">
        <f>IF(D10="No", AO23, IF(D10="Yes", AP23, ""))</f>
        <v>WI0--18</v>
      </c>
      <c r="D33" s="880"/>
      <c r="E33" s="881"/>
      <c r="F33" s="880"/>
      <c r="G33" s="880"/>
      <c r="H33" s="880"/>
      <c r="I33" s="880"/>
      <c r="J33" s="880"/>
      <c r="K33" s="880"/>
      <c r="L33" s="878"/>
      <c r="M33" s="882" t="str">
        <f>IF(D33="", "", IF(G11&lt;&gt;"Yes", 1, IF(D33="Existing Building", 1, MAX(AS6, AS7)+1)))</f>
        <v/>
      </c>
      <c r="N33" s="879"/>
      <c r="O33" s="878" t="str">
        <f t="shared" si="4"/>
        <v/>
      </c>
      <c r="P33" s="879"/>
      <c r="Q33" s="878" t="str">
        <f t="shared" si="3"/>
        <v/>
      </c>
      <c r="R33" s="788"/>
      <c r="S33" s="101"/>
      <c r="T33" s="101"/>
      <c r="U33" s="101"/>
      <c r="V33" s="101"/>
      <c r="W33" s="101"/>
      <c r="X33" s="101"/>
      <c r="Y33" s="101"/>
      <c r="Z33" s="101"/>
      <c r="AA33" s="101"/>
      <c r="AC33" s="101">
        <f>D9</f>
        <v>20</v>
      </c>
      <c r="AD33" s="9">
        <v>28</v>
      </c>
      <c r="AE33" s="9">
        <v>14</v>
      </c>
      <c r="AF33" s="9">
        <f>D7</f>
        <v>0</v>
      </c>
      <c r="AG33" s="9" t="s">
        <v>455</v>
      </c>
      <c r="AH33" s="9" t="str">
        <f t="shared" si="0"/>
        <v>0</v>
      </c>
      <c r="AI33" s="9" t="s">
        <v>7142</v>
      </c>
      <c r="AJ33" s="9" t="str">
        <f>D8</f>
        <v/>
      </c>
      <c r="AK33" s="9" t="str">
        <f t="shared" si="1"/>
        <v/>
      </c>
      <c r="AL33" s="9" t="s">
        <v>7142</v>
      </c>
      <c r="AM33" s="1046" t="s">
        <v>7176</v>
      </c>
      <c r="AN33" s="101"/>
      <c r="AO33" s="101" t="str">
        <f t="shared" si="2"/>
        <v/>
      </c>
      <c r="AP33" s="101" t="str">
        <f>IF(AD19&lt;=AC19, (CONCATENATE(AG19,AH19,AI19,AK19,AL19,AM19)),"")</f>
        <v>WI0--14</v>
      </c>
      <c r="AQ33" s="101"/>
      <c r="AR33" s="101"/>
      <c r="AS33" s="101"/>
      <c r="AT33" s="768"/>
    </row>
    <row r="34" spans="2:46">
      <c r="B34" s="768"/>
      <c r="C34" s="880" t="str">
        <f>IF(D10="No", AO24, IF(D10="Yes", AP24, ""))</f>
        <v>WI0--19</v>
      </c>
      <c r="D34" s="880"/>
      <c r="E34" s="881"/>
      <c r="F34" s="880"/>
      <c r="G34" s="880"/>
      <c r="H34" s="880"/>
      <c r="I34" s="880"/>
      <c r="J34" s="880"/>
      <c r="K34" s="880"/>
      <c r="L34" s="878"/>
      <c r="M34" s="882" t="str">
        <f>IF(D34="", "", IF(G11&lt;&gt;"Yes", 1, IF(D34="Existing Building", 1, MAX(AS6, AS7)+1)))</f>
        <v/>
      </c>
      <c r="N34" s="879"/>
      <c r="O34" s="878" t="str">
        <f t="shared" si="4"/>
        <v/>
      </c>
      <c r="P34" s="879"/>
      <c r="Q34" s="878" t="str">
        <f t="shared" si="3"/>
        <v/>
      </c>
      <c r="R34" s="788"/>
      <c r="S34" s="101"/>
      <c r="T34" s="101"/>
      <c r="U34" s="101"/>
      <c r="V34" s="101"/>
      <c r="W34" s="101"/>
      <c r="X34" s="101"/>
      <c r="Y34" s="101"/>
      <c r="Z34" s="101"/>
      <c r="AA34" s="101"/>
      <c r="AC34" s="101">
        <f>D9</f>
        <v>20</v>
      </c>
      <c r="AD34" s="9">
        <v>29</v>
      </c>
      <c r="AE34" s="9">
        <v>15</v>
      </c>
      <c r="AF34" s="9">
        <f>D7</f>
        <v>0</v>
      </c>
      <c r="AG34" s="9" t="s">
        <v>455</v>
      </c>
      <c r="AH34" s="9" t="str">
        <f t="shared" si="0"/>
        <v>0</v>
      </c>
      <c r="AI34" s="9" t="s">
        <v>7142</v>
      </c>
      <c r="AJ34" s="9" t="str">
        <f>D8</f>
        <v/>
      </c>
      <c r="AK34" s="9" t="str">
        <f t="shared" si="1"/>
        <v/>
      </c>
      <c r="AL34" s="9" t="s">
        <v>7142</v>
      </c>
      <c r="AM34" s="1046" t="s">
        <v>7019</v>
      </c>
      <c r="AN34" s="101"/>
      <c r="AO34" s="101" t="str">
        <f t="shared" si="2"/>
        <v/>
      </c>
      <c r="AP34" s="101" t="str">
        <f>IF(AD20&lt;=AC20, (CONCATENATE(AG20,AH20,AI20,AK20,AL20,AM20)),"")</f>
        <v>WI0--15</v>
      </c>
      <c r="AQ34" s="101"/>
      <c r="AR34" s="101"/>
      <c r="AS34" s="101"/>
      <c r="AT34" s="768"/>
    </row>
    <row r="35" spans="2:46">
      <c r="B35" s="768"/>
      <c r="C35" s="880" t="str">
        <f>IF(D10="No", AO25, IF(D10="Yes", AP25, ""))</f>
        <v>WI0--20</v>
      </c>
      <c r="D35" s="880"/>
      <c r="E35" s="881"/>
      <c r="F35" s="880"/>
      <c r="G35" s="880"/>
      <c r="H35" s="880"/>
      <c r="I35" s="880"/>
      <c r="J35" s="880"/>
      <c r="K35" s="880"/>
      <c r="L35" s="878"/>
      <c r="M35" s="882" t="str">
        <f>IF(D35="", "", IF(G11&lt;&gt;"Yes", 1, IF(D35="Existing Building", 1, MAX(AS6, AS7)+1)))</f>
        <v/>
      </c>
      <c r="N35" s="879"/>
      <c r="O35" s="878" t="str">
        <f t="shared" si="4"/>
        <v/>
      </c>
      <c r="P35" s="879"/>
      <c r="Q35" s="878" t="str">
        <f t="shared" si="3"/>
        <v/>
      </c>
      <c r="R35" s="788"/>
      <c r="S35" s="101"/>
      <c r="T35" s="101"/>
      <c r="U35" s="101"/>
      <c r="V35" s="101"/>
      <c r="W35" s="101"/>
      <c r="X35" s="101"/>
      <c r="Y35" s="101"/>
      <c r="Z35" s="101"/>
      <c r="AA35" s="101"/>
      <c r="AC35" s="101">
        <f>D9</f>
        <v>20</v>
      </c>
      <c r="AD35" s="9">
        <v>30</v>
      </c>
      <c r="AE35" s="9">
        <v>15</v>
      </c>
      <c r="AF35" s="9">
        <f>D7</f>
        <v>0</v>
      </c>
      <c r="AG35" s="9" t="s">
        <v>455</v>
      </c>
      <c r="AH35" s="9" t="str">
        <f t="shared" si="0"/>
        <v>0</v>
      </c>
      <c r="AI35" s="9" t="s">
        <v>7142</v>
      </c>
      <c r="AJ35" s="9" t="str">
        <f>D8</f>
        <v/>
      </c>
      <c r="AK35" s="9" t="str">
        <f t="shared" si="1"/>
        <v/>
      </c>
      <c r="AL35" s="9" t="s">
        <v>7142</v>
      </c>
      <c r="AM35" s="1046" t="s">
        <v>7031</v>
      </c>
      <c r="AN35" s="101"/>
      <c r="AO35" s="101" t="str">
        <f t="shared" si="2"/>
        <v/>
      </c>
      <c r="AP35" s="101" t="str">
        <f>IF(AD20&lt;=AC20, (CONCATENATE(AG20,AH20,AI20,AK20,AL20,AM20)),"")</f>
        <v>WI0--15</v>
      </c>
      <c r="AQ35" s="101"/>
      <c r="AR35" s="101"/>
      <c r="AS35" s="101"/>
      <c r="AT35" s="768"/>
    </row>
    <row r="36" spans="2:46">
      <c r="B36" s="768"/>
      <c r="C36" s="880" t="str">
        <f>IF(D10="No", AO26, IF(D10="Yes", AP26, ""))</f>
        <v/>
      </c>
      <c r="D36" s="880"/>
      <c r="E36" s="881"/>
      <c r="F36" s="880"/>
      <c r="G36" s="880"/>
      <c r="H36" s="880"/>
      <c r="I36" s="880"/>
      <c r="J36" s="880"/>
      <c r="K36" s="880"/>
      <c r="L36" s="878"/>
      <c r="M36" s="882" t="str">
        <f>IF(D36="", "", IF(G11&lt;&gt;"Yes", 1, IF(D36="Existing Building", 1, MAX(AS6, AS7)+1)))</f>
        <v/>
      </c>
      <c r="N36" s="879"/>
      <c r="O36" s="878" t="str">
        <f t="shared" si="4"/>
        <v/>
      </c>
      <c r="P36" s="879"/>
      <c r="Q36" s="878" t="str">
        <f t="shared" si="3"/>
        <v/>
      </c>
      <c r="R36" s="788"/>
      <c r="S36" s="101"/>
      <c r="T36" s="101"/>
      <c r="U36" s="101"/>
      <c r="V36" s="101"/>
      <c r="W36" s="101"/>
      <c r="X36" s="101"/>
      <c r="Y36" s="101"/>
      <c r="Z36" s="101"/>
      <c r="AA36" s="101"/>
      <c r="AC36" s="101">
        <f>D9</f>
        <v>20</v>
      </c>
      <c r="AD36" s="9">
        <v>31</v>
      </c>
      <c r="AE36" s="9">
        <v>16</v>
      </c>
      <c r="AF36" s="9">
        <f>D7</f>
        <v>0</v>
      </c>
      <c r="AG36" s="9" t="s">
        <v>455</v>
      </c>
      <c r="AH36" s="9" t="str">
        <f t="shared" si="0"/>
        <v>0</v>
      </c>
      <c r="AI36" s="9" t="s">
        <v>7142</v>
      </c>
      <c r="AJ36" s="9" t="str">
        <f>D8</f>
        <v/>
      </c>
      <c r="AK36" s="9" t="str">
        <f t="shared" si="1"/>
        <v/>
      </c>
      <c r="AL36" s="9" t="s">
        <v>7142</v>
      </c>
      <c r="AM36" s="1046" t="s">
        <v>7177</v>
      </c>
      <c r="AN36" s="101"/>
      <c r="AO36" s="101" t="str">
        <f t="shared" si="2"/>
        <v/>
      </c>
      <c r="AP36" s="101" t="str">
        <f>IF(AD21&lt;=AC21, (CONCATENATE(AG21,AH21,AI21,AK21,AL21,AM21)),"")</f>
        <v>WI0--16</v>
      </c>
      <c r="AQ36" s="101"/>
      <c r="AR36" s="101"/>
      <c r="AS36" s="101"/>
      <c r="AT36" s="768"/>
    </row>
    <row r="37" spans="2:46">
      <c r="B37" s="768"/>
      <c r="C37" s="880" t="str">
        <f>IF(D10="No", AO27, IF(D10="Yes", AP27, ""))</f>
        <v/>
      </c>
      <c r="D37" s="880"/>
      <c r="E37" s="881"/>
      <c r="F37" s="880"/>
      <c r="G37" s="880"/>
      <c r="H37" s="880"/>
      <c r="I37" s="880"/>
      <c r="J37" s="880"/>
      <c r="K37" s="880"/>
      <c r="L37" s="878"/>
      <c r="M37" s="882" t="str">
        <f>IF(D37="", "", IF(G11&lt;&gt;"Yes", 1, IF(D37="Existing Building", 1, MAX(AS6, AS7)+1)))</f>
        <v/>
      </c>
      <c r="N37" s="879"/>
      <c r="O37" s="878" t="str">
        <f t="shared" si="4"/>
        <v/>
      </c>
      <c r="P37" s="879"/>
      <c r="Q37" s="878" t="str">
        <f t="shared" si="3"/>
        <v/>
      </c>
      <c r="R37" s="788"/>
      <c r="S37" s="101"/>
      <c r="T37" s="101"/>
      <c r="U37" s="101"/>
      <c r="V37" s="101"/>
      <c r="W37" s="101"/>
      <c r="X37" s="101"/>
      <c r="Y37" s="101"/>
      <c r="Z37" s="101"/>
      <c r="AA37" s="101"/>
      <c r="AC37" s="101">
        <f>D9</f>
        <v>20</v>
      </c>
      <c r="AD37" s="9">
        <v>32</v>
      </c>
      <c r="AE37" s="9">
        <v>16</v>
      </c>
      <c r="AF37" s="9">
        <f>D7</f>
        <v>0</v>
      </c>
      <c r="AG37" s="9" t="s">
        <v>455</v>
      </c>
      <c r="AH37" s="9" t="str">
        <f t="shared" si="0"/>
        <v>0</v>
      </c>
      <c r="AI37" s="9" t="s">
        <v>7142</v>
      </c>
      <c r="AJ37" s="9" t="str">
        <f>D8</f>
        <v/>
      </c>
      <c r="AK37" s="9" t="str">
        <f t="shared" si="1"/>
        <v/>
      </c>
      <c r="AL37" s="9" t="s">
        <v>7142</v>
      </c>
      <c r="AM37" s="1046" t="s">
        <v>7178</v>
      </c>
      <c r="AN37" s="101"/>
      <c r="AO37" s="101" t="str">
        <f t="shared" si="2"/>
        <v/>
      </c>
      <c r="AP37" s="101" t="str">
        <f>IF(AD21&lt;=AC21, (CONCATENATE(AG21,AH21,AI21,AK21,AL21,AM21)),"")</f>
        <v>WI0--16</v>
      </c>
      <c r="AQ37" s="101"/>
      <c r="AR37" s="101"/>
      <c r="AS37" s="101"/>
      <c r="AT37" s="768"/>
    </row>
    <row r="38" spans="2:46">
      <c r="B38" s="768"/>
      <c r="C38" s="880" t="str">
        <f>IF(D10="No", AO28, IF(D10="Yes", AP28, ""))</f>
        <v/>
      </c>
      <c r="D38" s="880"/>
      <c r="E38" s="881"/>
      <c r="F38" s="880"/>
      <c r="G38" s="880"/>
      <c r="H38" s="880"/>
      <c r="I38" s="880"/>
      <c r="J38" s="880"/>
      <c r="K38" s="880"/>
      <c r="L38" s="878"/>
      <c r="M38" s="882" t="str">
        <f>IF(D38="", "", IF(G11&lt;&gt;"Yes", 1, IF(D38="Existing Building", 1, MAX(AS6, AS7)+1)))</f>
        <v/>
      </c>
      <c r="N38" s="879"/>
      <c r="O38" s="878" t="str">
        <f t="shared" si="4"/>
        <v/>
      </c>
      <c r="P38" s="879"/>
      <c r="Q38" s="878" t="str">
        <f t="shared" si="3"/>
        <v/>
      </c>
      <c r="R38" s="788"/>
      <c r="S38" s="101"/>
      <c r="T38" s="101"/>
      <c r="U38" s="101"/>
      <c r="V38" s="101"/>
      <c r="W38" s="101"/>
      <c r="X38" s="101"/>
      <c r="Y38" s="101"/>
      <c r="Z38" s="101"/>
      <c r="AA38" s="101"/>
      <c r="AC38" s="101">
        <f>D9</f>
        <v>20</v>
      </c>
      <c r="AD38" s="9">
        <v>33</v>
      </c>
      <c r="AE38" s="9">
        <v>17</v>
      </c>
      <c r="AF38" s="9">
        <f>D7</f>
        <v>0</v>
      </c>
      <c r="AG38" s="9" t="s">
        <v>455</v>
      </c>
      <c r="AH38" s="9" t="str">
        <f t="shared" ref="AH38:AH69" si="5">RIGHT(AF38,2)</f>
        <v>0</v>
      </c>
      <c r="AI38" s="9" t="s">
        <v>7142</v>
      </c>
      <c r="AJ38" s="9" t="str">
        <f>D8</f>
        <v/>
      </c>
      <c r="AK38" s="9" t="str">
        <f t="shared" ref="AK38:AK69" si="6">RIGHT(AJ38,3)</f>
        <v/>
      </c>
      <c r="AL38" s="9" t="s">
        <v>7142</v>
      </c>
      <c r="AM38" s="1046" t="s">
        <v>7179</v>
      </c>
      <c r="AN38" s="101"/>
      <c r="AO38" s="101" t="str">
        <f t="shared" ref="AO38:AO69" si="7">IF(AD38&lt;=AC38, (CONCATENATE(AG38,AH38,AI38,AK38,AL38,AM38)),"")</f>
        <v/>
      </c>
      <c r="AP38" s="101" t="str">
        <f>IF(AD22&lt;=AC22, (CONCATENATE(AG22,AH22,AI22,AK22,AL22,AM22)),"")</f>
        <v>WI0--17</v>
      </c>
      <c r="AQ38" s="101"/>
      <c r="AR38" s="101"/>
      <c r="AS38" s="101"/>
      <c r="AT38" s="768"/>
    </row>
    <row r="39" spans="2:46">
      <c r="B39" s="768"/>
      <c r="C39" s="880" t="str">
        <f>IF(D10="No", AO29, IF(D10="Yes", AP29, ""))</f>
        <v/>
      </c>
      <c r="D39" s="880"/>
      <c r="E39" s="881"/>
      <c r="F39" s="880"/>
      <c r="G39" s="880"/>
      <c r="H39" s="880"/>
      <c r="I39" s="880"/>
      <c r="J39" s="880"/>
      <c r="K39" s="880"/>
      <c r="L39" s="878"/>
      <c r="M39" s="882" t="str">
        <f>IF(D39="", "", IF(G11&lt;&gt;"Yes", 1, IF(D39="Existing Building", 1, MAX(AS6, AS7)+1)))</f>
        <v/>
      </c>
      <c r="N39" s="879"/>
      <c r="O39" s="878" t="str">
        <f t="shared" si="4"/>
        <v/>
      </c>
      <c r="P39" s="879"/>
      <c r="Q39" s="878" t="str">
        <f t="shared" si="3"/>
        <v/>
      </c>
      <c r="R39" s="788"/>
      <c r="S39" s="101"/>
      <c r="T39" s="101"/>
      <c r="U39" s="101"/>
      <c r="V39" s="101"/>
      <c r="W39" s="101"/>
      <c r="X39" s="101"/>
      <c r="Y39" s="101"/>
      <c r="Z39" s="101"/>
      <c r="AA39" s="101"/>
      <c r="AC39" s="101">
        <f>D9</f>
        <v>20</v>
      </c>
      <c r="AD39" s="9">
        <v>34</v>
      </c>
      <c r="AE39" s="9">
        <v>17</v>
      </c>
      <c r="AF39" s="9">
        <f>D7</f>
        <v>0</v>
      </c>
      <c r="AG39" s="9" t="s">
        <v>455</v>
      </c>
      <c r="AH39" s="9" t="str">
        <f t="shared" si="5"/>
        <v>0</v>
      </c>
      <c r="AI39" s="9" t="s">
        <v>7142</v>
      </c>
      <c r="AJ39" s="9" t="str">
        <f>D8</f>
        <v/>
      </c>
      <c r="AK39" s="9" t="str">
        <f t="shared" si="6"/>
        <v/>
      </c>
      <c r="AL39" s="9" t="s">
        <v>7142</v>
      </c>
      <c r="AM39" s="1046" t="s">
        <v>7180</v>
      </c>
      <c r="AN39" s="101"/>
      <c r="AO39" s="101" t="str">
        <f t="shared" si="7"/>
        <v/>
      </c>
      <c r="AP39" s="101" t="str">
        <f>IF(AD22&lt;=AC22, (CONCATENATE(AG22,AH22,AI22,AK22,AL22,AM22)),"")</f>
        <v>WI0--17</v>
      </c>
      <c r="AQ39" s="101"/>
      <c r="AR39" s="101"/>
      <c r="AS39" s="101"/>
      <c r="AT39" s="768"/>
    </row>
    <row r="40" spans="2:46">
      <c r="B40" s="768"/>
      <c r="C40" s="880" t="str">
        <f>IF(D10="No", AO30, IF(D10="Yes", AP30, ""))</f>
        <v/>
      </c>
      <c r="D40" s="880"/>
      <c r="E40" s="881"/>
      <c r="F40" s="880"/>
      <c r="G40" s="880"/>
      <c r="H40" s="880"/>
      <c r="I40" s="880"/>
      <c r="J40" s="880"/>
      <c r="K40" s="880"/>
      <c r="L40" s="878"/>
      <c r="M40" s="882" t="str">
        <f>IF(D40="", "", IF(G11&lt;&gt;"Yes", 1, IF(D40="Existing Building", 1, MAX(AS6, AS7)+1)))</f>
        <v/>
      </c>
      <c r="N40" s="879"/>
      <c r="O40" s="878" t="str">
        <f t="shared" si="4"/>
        <v/>
      </c>
      <c r="P40" s="879"/>
      <c r="Q40" s="878" t="str">
        <f t="shared" si="3"/>
        <v/>
      </c>
      <c r="R40" s="788"/>
      <c r="S40" s="101"/>
      <c r="T40" s="101"/>
      <c r="U40" s="101"/>
      <c r="V40" s="101"/>
      <c r="W40" s="101"/>
      <c r="X40" s="101"/>
      <c r="Y40" s="101"/>
      <c r="Z40" s="101"/>
      <c r="AA40" s="101"/>
      <c r="AC40" s="101">
        <f>D9</f>
        <v>20</v>
      </c>
      <c r="AD40" s="9">
        <v>35</v>
      </c>
      <c r="AE40" s="9">
        <v>18</v>
      </c>
      <c r="AF40" s="9">
        <f>D7</f>
        <v>0</v>
      </c>
      <c r="AG40" s="9" t="s">
        <v>455</v>
      </c>
      <c r="AH40" s="9" t="str">
        <f t="shared" si="5"/>
        <v>0</v>
      </c>
      <c r="AI40" s="9" t="s">
        <v>7142</v>
      </c>
      <c r="AJ40" s="9" t="str">
        <f>D8</f>
        <v/>
      </c>
      <c r="AK40" s="9" t="str">
        <f t="shared" si="6"/>
        <v/>
      </c>
      <c r="AL40" s="9" t="s">
        <v>7142</v>
      </c>
      <c r="AM40" s="1046" t="s">
        <v>7181</v>
      </c>
      <c r="AN40" s="101"/>
      <c r="AO40" s="101" t="str">
        <f t="shared" si="7"/>
        <v/>
      </c>
      <c r="AP40" s="101" t="str">
        <f>IF(AD23&lt;=AC23, (CONCATENATE(AG23,AH23,AI23,AK23,AL23,AM23)),"")</f>
        <v>WI0--18</v>
      </c>
      <c r="AQ40" s="101"/>
      <c r="AR40" s="101"/>
      <c r="AS40" s="101"/>
      <c r="AT40" s="768"/>
    </row>
    <row r="41" spans="2:46">
      <c r="B41" s="768"/>
      <c r="C41" s="880" t="str">
        <f>IF(D10="No", AO31, IF(D10="Yes", AP31, ""))</f>
        <v/>
      </c>
      <c r="D41" s="880"/>
      <c r="E41" s="881"/>
      <c r="F41" s="880"/>
      <c r="G41" s="880"/>
      <c r="H41" s="880"/>
      <c r="I41" s="880"/>
      <c r="J41" s="880"/>
      <c r="K41" s="880"/>
      <c r="L41" s="878"/>
      <c r="M41" s="882" t="str">
        <f>IF(D41="", "", IF(G11&lt;&gt;"Yes", 1, IF(D41="Existing Building", 1, MAX(AS6, AS7)+1)))</f>
        <v/>
      </c>
      <c r="N41" s="879"/>
      <c r="O41" s="878" t="str">
        <f t="shared" si="4"/>
        <v/>
      </c>
      <c r="P41" s="879"/>
      <c r="Q41" s="878" t="str">
        <f t="shared" si="3"/>
        <v/>
      </c>
      <c r="R41" s="788"/>
      <c r="S41" s="101"/>
      <c r="T41" s="101"/>
      <c r="U41" s="101"/>
      <c r="V41" s="101"/>
      <c r="W41" s="101"/>
      <c r="X41" s="101"/>
      <c r="Y41" s="101"/>
      <c r="Z41" s="101"/>
      <c r="AA41" s="101"/>
      <c r="AC41" s="101">
        <f>D9</f>
        <v>20</v>
      </c>
      <c r="AD41" s="9">
        <v>36</v>
      </c>
      <c r="AE41" s="9">
        <v>18</v>
      </c>
      <c r="AF41" s="9">
        <f>D7</f>
        <v>0</v>
      </c>
      <c r="AG41" s="9" t="s">
        <v>455</v>
      </c>
      <c r="AH41" s="9" t="str">
        <f t="shared" si="5"/>
        <v>0</v>
      </c>
      <c r="AI41" s="9" t="s">
        <v>7142</v>
      </c>
      <c r="AJ41" s="9" t="str">
        <f>D8</f>
        <v/>
      </c>
      <c r="AK41" s="9" t="str">
        <f t="shared" si="6"/>
        <v/>
      </c>
      <c r="AL41" s="9" t="s">
        <v>7142</v>
      </c>
      <c r="AM41" s="1046" t="s">
        <v>7182</v>
      </c>
      <c r="AN41" s="101"/>
      <c r="AO41" s="101" t="str">
        <f t="shared" si="7"/>
        <v/>
      </c>
      <c r="AP41" s="101" t="str">
        <f>IF(AD23&lt;=AC23, (CONCATENATE(AG23,AH23,AI23,AK23,AL23,AM23)),"")</f>
        <v>WI0--18</v>
      </c>
      <c r="AQ41" s="101"/>
      <c r="AR41" s="101"/>
      <c r="AS41" s="101"/>
      <c r="AT41" s="768"/>
    </row>
    <row r="42" spans="2:46">
      <c r="B42" s="768"/>
      <c r="C42" s="880" t="str">
        <f>IF(D10="No", AO32, IF(D10="Yes", AP32, ""))</f>
        <v/>
      </c>
      <c r="D42" s="880"/>
      <c r="E42" s="881"/>
      <c r="F42" s="880"/>
      <c r="G42" s="880"/>
      <c r="H42" s="880"/>
      <c r="I42" s="880"/>
      <c r="J42" s="880"/>
      <c r="K42" s="880"/>
      <c r="L42" s="878"/>
      <c r="M42" s="882" t="str">
        <f>IF(D42="", "", IF(G11&lt;&gt;"Yes", 1, IF(D42="Existing Building", 1, MAX(AS6, AS7)+1)))</f>
        <v/>
      </c>
      <c r="N42" s="879"/>
      <c r="O42" s="878" t="str">
        <f t="shared" si="4"/>
        <v/>
      </c>
      <c r="P42" s="879"/>
      <c r="Q42" s="878" t="str">
        <f t="shared" si="3"/>
        <v/>
      </c>
      <c r="R42" s="788"/>
      <c r="S42" s="101"/>
      <c r="T42" s="101"/>
      <c r="U42" s="101"/>
      <c r="V42" s="101"/>
      <c r="W42" s="101"/>
      <c r="X42" s="101"/>
      <c r="Y42" s="101"/>
      <c r="Z42" s="101"/>
      <c r="AA42" s="101"/>
      <c r="AC42" s="101">
        <f>D9</f>
        <v>20</v>
      </c>
      <c r="AD42" s="9">
        <v>37</v>
      </c>
      <c r="AE42" s="9">
        <v>19</v>
      </c>
      <c r="AF42" s="9">
        <f>D7</f>
        <v>0</v>
      </c>
      <c r="AG42" s="9" t="s">
        <v>455</v>
      </c>
      <c r="AH42" s="9" t="str">
        <f t="shared" si="5"/>
        <v>0</v>
      </c>
      <c r="AI42" s="9" t="s">
        <v>7142</v>
      </c>
      <c r="AJ42" s="9" t="str">
        <f>D8</f>
        <v/>
      </c>
      <c r="AK42" s="9" t="str">
        <f t="shared" si="6"/>
        <v/>
      </c>
      <c r="AL42" s="9" t="s">
        <v>7142</v>
      </c>
      <c r="AM42" s="1046" t="s">
        <v>7183</v>
      </c>
      <c r="AN42" s="101"/>
      <c r="AO42" s="101" t="str">
        <f t="shared" si="7"/>
        <v/>
      </c>
      <c r="AP42" s="101" t="str">
        <f>IF(AD24&lt;=AC24, (CONCATENATE(AG24,AH24,AI24,AK24,AL24,AM24)),"")</f>
        <v>WI0--19</v>
      </c>
      <c r="AQ42" s="101"/>
      <c r="AR42" s="101"/>
      <c r="AS42" s="101"/>
      <c r="AT42" s="768"/>
    </row>
    <row r="43" spans="2:46">
      <c r="B43" s="768"/>
      <c r="C43" s="880" t="str">
        <f>IF(D10="No", AO33, IF(D10="Yes", AP33, ""))</f>
        <v/>
      </c>
      <c r="D43" s="880"/>
      <c r="E43" s="881"/>
      <c r="F43" s="880"/>
      <c r="G43" s="880"/>
      <c r="H43" s="880"/>
      <c r="I43" s="880"/>
      <c r="J43" s="880"/>
      <c r="K43" s="880"/>
      <c r="L43" s="878"/>
      <c r="M43" s="882" t="str">
        <f>IF(D43="", "", IF(G11&lt;&gt;"Yes", 1, IF(D43="Existing Building", 1, MAX(AS6, AS7)+1)))</f>
        <v/>
      </c>
      <c r="N43" s="879"/>
      <c r="O43" s="878" t="str">
        <f t="shared" si="4"/>
        <v/>
      </c>
      <c r="P43" s="879"/>
      <c r="Q43" s="878" t="str">
        <f t="shared" si="3"/>
        <v/>
      </c>
      <c r="R43" s="788"/>
      <c r="S43" s="101"/>
      <c r="T43" s="101"/>
      <c r="U43" s="101"/>
      <c r="V43" s="101"/>
      <c r="W43" s="101"/>
      <c r="X43" s="101"/>
      <c r="Y43" s="101"/>
      <c r="Z43" s="101"/>
      <c r="AA43" s="101"/>
      <c r="AC43" s="101">
        <f>D9</f>
        <v>20</v>
      </c>
      <c r="AD43" s="9">
        <v>38</v>
      </c>
      <c r="AE43" s="9">
        <v>19</v>
      </c>
      <c r="AF43" s="9">
        <f>D7</f>
        <v>0</v>
      </c>
      <c r="AG43" s="9" t="s">
        <v>455</v>
      </c>
      <c r="AH43" s="9" t="str">
        <f t="shared" si="5"/>
        <v>0</v>
      </c>
      <c r="AI43" s="9" t="s">
        <v>7142</v>
      </c>
      <c r="AJ43" s="9" t="str">
        <f>D8</f>
        <v/>
      </c>
      <c r="AK43" s="9" t="str">
        <f t="shared" si="6"/>
        <v/>
      </c>
      <c r="AL43" s="9" t="s">
        <v>7142</v>
      </c>
      <c r="AM43" s="1046" t="s">
        <v>7184</v>
      </c>
      <c r="AN43" s="101"/>
      <c r="AO43" s="101" t="str">
        <f t="shared" si="7"/>
        <v/>
      </c>
      <c r="AP43" s="101" t="str">
        <f>IF(AD24&lt;=AC24, (CONCATENATE(AG24,AH24,AI24,AK24,AL24,AM24)),"")</f>
        <v>WI0--19</v>
      </c>
      <c r="AQ43" s="101"/>
      <c r="AR43" s="101"/>
      <c r="AS43" s="101"/>
      <c r="AT43" s="768"/>
    </row>
    <row r="44" spans="2:46">
      <c r="B44" s="768"/>
      <c r="C44" s="880" t="str">
        <f>IF(D10="No", AO34, IF(D10="Yes", AP34, ""))</f>
        <v/>
      </c>
      <c r="D44" s="880"/>
      <c r="E44" s="881"/>
      <c r="F44" s="880"/>
      <c r="G44" s="880"/>
      <c r="H44" s="880"/>
      <c r="I44" s="880"/>
      <c r="J44" s="880"/>
      <c r="K44" s="880"/>
      <c r="L44" s="878"/>
      <c r="M44" s="882" t="str">
        <f>IF(D44="", "", IF(G11&lt;&gt;"Yes", 1, IF(D44="Existing Building", 1, MAX(AS6, AS7)+1)))</f>
        <v/>
      </c>
      <c r="N44" s="879"/>
      <c r="O44" s="878" t="str">
        <f t="shared" si="4"/>
        <v/>
      </c>
      <c r="P44" s="879"/>
      <c r="Q44" s="878" t="str">
        <f t="shared" si="3"/>
        <v/>
      </c>
      <c r="R44" s="788"/>
      <c r="S44" s="101"/>
      <c r="T44" s="101"/>
      <c r="U44" s="101"/>
      <c r="V44" s="101"/>
      <c r="W44" s="101"/>
      <c r="X44" s="101"/>
      <c r="Y44" s="101"/>
      <c r="Z44" s="101"/>
      <c r="AA44" s="101"/>
      <c r="AC44" s="101">
        <f>D9</f>
        <v>20</v>
      </c>
      <c r="AD44" s="9">
        <v>39</v>
      </c>
      <c r="AE44" s="9">
        <v>20</v>
      </c>
      <c r="AF44" s="9">
        <f>D7</f>
        <v>0</v>
      </c>
      <c r="AG44" s="9" t="s">
        <v>455</v>
      </c>
      <c r="AH44" s="9" t="str">
        <f t="shared" si="5"/>
        <v>0</v>
      </c>
      <c r="AI44" s="9" t="s">
        <v>7142</v>
      </c>
      <c r="AJ44" s="9" t="str">
        <f>D8</f>
        <v/>
      </c>
      <c r="AK44" s="9" t="str">
        <f t="shared" si="6"/>
        <v/>
      </c>
      <c r="AL44" s="9" t="s">
        <v>7142</v>
      </c>
      <c r="AM44" s="1046" t="s">
        <v>7185</v>
      </c>
      <c r="AN44" s="101"/>
      <c r="AO44" s="101" t="str">
        <f t="shared" si="7"/>
        <v/>
      </c>
      <c r="AP44" s="101" t="str">
        <f>IF(AD25&lt;=AC25, (CONCATENATE(AG25,AH25,AI25,AK25,AL25,AM25)),"")</f>
        <v>WI0--20</v>
      </c>
      <c r="AQ44" s="101"/>
      <c r="AR44" s="101"/>
      <c r="AS44" s="101"/>
      <c r="AT44" s="768"/>
    </row>
    <row r="45" spans="2:46">
      <c r="B45" s="768"/>
      <c r="C45" s="880" t="str">
        <f>IF(D10="No", AO35, IF(D10="Yes", AP35, ""))</f>
        <v/>
      </c>
      <c r="D45" s="880"/>
      <c r="E45" s="881"/>
      <c r="F45" s="880"/>
      <c r="G45" s="880"/>
      <c r="H45" s="880"/>
      <c r="I45" s="880"/>
      <c r="J45" s="880"/>
      <c r="K45" s="880"/>
      <c r="L45" s="878"/>
      <c r="M45" s="882" t="str">
        <f>IF(D45="", "", IF(G11&lt;&gt;"Yes", 1, IF(D45="Existing Building", 1, MAX(AS6, AS7)+1)))</f>
        <v/>
      </c>
      <c r="N45" s="879"/>
      <c r="O45" s="878" t="str">
        <f t="shared" si="4"/>
        <v/>
      </c>
      <c r="P45" s="879"/>
      <c r="Q45" s="878" t="str">
        <f t="shared" si="3"/>
        <v/>
      </c>
      <c r="R45" s="788"/>
      <c r="S45" s="101"/>
      <c r="T45" s="101"/>
      <c r="U45" s="101"/>
      <c r="V45" s="101"/>
      <c r="W45" s="101"/>
      <c r="X45" s="101"/>
      <c r="Y45" s="101"/>
      <c r="Z45" s="101"/>
      <c r="AA45" s="101"/>
      <c r="AC45" s="101">
        <f>D9</f>
        <v>20</v>
      </c>
      <c r="AD45" s="9">
        <v>40</v>
      </c>
      <c r="AE45" s="9">
        <v>20</v>
      </c>
      <c r="AF45" s="9">
        <f>D7</f>
        <v>0</v>
      </c>
      <c r="AG45" s="9" t="s">
        <v>455</v>
      </c>
      <c r="AH45" s="9" t="str">
        <f t="shared" si="5"/>
        <v>0</v>
      </c>
      <c r="AI45" s="9" t="s">
        <v>7142</v>
      </c>
      <c r="AJ45" s="9" t="str">
        <f>D8</f>
        <v/>
      </c>
      <c r="AK45" s="9" t="str">
        <f t="shared" si="6"/>
        <v/>
      </c>
      <c r="AL45" s="9" t="s">
        <v>7142</v>
      </c>
      <c r="AM45" s="1046" t="s">
        <v>7034</v>
      </c>
      <c r="AN45" s="101"/>
      <c r="AO45" s="101" t="str">
        <f t="shared" si="7"/>
        <v/>
      </c>
      <c r="AP45" s="101" t="str">
        <f>IF(AD25&lt;=AC25, (CONCATENATE(AG25,AH25,AI25,AK25,AL25,AM25)),"")</f>
        <v>WI0--20</v>
      </c>
      <c r="AQ45" s="101"/>
      <c r="AR45" s="101"/>
      <c r="AS45" s="101"/>
      <c r="AT45" s="768"/>
    </row>
    <row r="46" spans="2:46">
      <c r="B46" s="768"/>
      <c r="C46" s="880" t="str">
        <f>IF(D10="No", AO36, IF(D10="Yes", AP36, ""))</f>
        <v/>
      </c>
      <c r="D46" s="880"/>
      <c r="E46" s="881"/>
      <c r="F46" s="880"/>
      <c r="G46" s="880"/>
      <c r="H46" s="880"/>
      <c r="I46" s="880"/>
      <c r="J46" s="880"/>
      <c r="K46" s="880"/>
      <c r="L46" s="878"/>
      <c r="M46" s="882" t="str">
        <f>IF(D46="", "", IF(G11&lt;&gt;"Yes", 1, IF(D46="Existing Building", 1, MAX(AS6, AS7)+1)))</f>
        <v/>
      </c>
      <c r="N46" s="879"/>
      <c r="O46" s="878" t="str">
        <f t="shared" si="4"/>
        <v/>
      </c>
      <c r="P46" s="879"/>
      <c r="Q46" s="878" t="str">
        <f t="shared" si="3"/>
        <v/>
      </c>
      <c r="R46" s="788"/>
      <c r="S46" s="101"/>
      <c r="T46" s="101"/>
      <c r="U46" s="101"/>
      <c r="V46" s="101"/>
      <c r="W46" s="101"/>
      <c r="X46" s="101"/>
      <c r="Y46" s="101"/>
      <c r="Z46" s="101"/>
      <c r="AA46" s="101"/>
      <c r="AC46" s="101">
        <f>D9</f>
        <v>20</v>
      </c>
      <c r="AD46" s="9">
        <v>41</v>
      </c>
      <c r="AE46" s="9">
        <v>21</v>
      </c>
      <c r="AF46" s="9">
        <f>D7</f>
        <v>0</v>
      </c>
      <c r="AG46" s="9" t="s">
        <v>455</v>
      </c>
      <c r="AH46" s="9" t="str">
        <f t="shared" si="5"/>
        <v>0</v>
      </c>
      <c r="AI46" s="9" t="s">
        <v>7142</v>
      </c>
      <c r="AJ46" s="9" t="str">
        <f>D8</f>
        <v/>
      </c>
      <c r="AK46" s="9" t="str">
        <f t="shared" si="6"/>
        <v/>
      </c>
      <c r="AL46" s="9" t="s">
        <v>7142</v>
      </c>
      <c r="AM46" s="1046" t="s">
        <v>7186</v>
      </c>
      <c r="AN46" s="101"/>
      <c r="AO46" s="101" t="str">
        <f t="shared" si="7"/>
        <v/>
      </c>
      <c r="AP46" s="101" t="str">
        <f>IF(AD26&lt;=AC26, (CONCATENATE(AG26,AH26,AI26,AK26,AL26,AM26)),"")</f>
        <v/>
      </c>
      <c r="AQ46" s="101"/>
      <c r="AR46" s="101"/>
      <c r="AS46" s="101"/>
      <c r="AT46" s="768"/>
    </row>
    <row r="47" spans="2:46">
      <c r="B47" s="768"/>
      <c r="C47" s="880" t="str">
        <f>IF(D10="No", AO37, IF(D10="Yes", AP37, ""))</f>
        <v/>
      </c>
      <c r="D47" s="880"/>
      <c r="E47" s="881"/>
      <c r="F47" s="880"/>
      <c r="G47" s="880"/>
      <c r="H47" s="880"/>
      <c r="I47" s="880"/>
      <c r="J47" s="880"/>
      <c r="K47" s="880"/>
      <c r="L47" s="878"/>
      <c r="M47" s="882" t="str">
        <f>IF(D47="", "", IF(G11&lt;&gt;"Yes", 1, IF(D47="Existing Building", 1, MAX(AS6, AS7)+1)))</f>
        <v/>
      </c>
      <c r="N47" s="879"/>
      <c r="O47" s="878" t="str">
        <f t="shared" si="4"/>
        <v/>
      </c>
      <c r="P47" s="879"/>
      <c r="Q47" s="878" t="str">
        <f t="shared" si="3"/>
        <v/>
      </c>
      <c r="R47" s="788"/>
      <c r="S47" s="101"/>
      <c r="T47" s="101"/>
      <c r="U47" s="101"/>
      <c r="V47" s="101"/>
      <c r="W47" s="101"/>
      <c r="X47" s="101"/>
      <c r="Y47" s="101"/>
      <c r="Z47" s="101"/>
      <c r="AA47" s="101"/>
      <c r="AC47" s="101">
        <f>D9</f>
        <v>20</v>
      </c>
      <c r="AD47" s="9">
        <v>42</v>
      </c>
      <c r="AE47" s="9">
        <v>21</v>
      </c>
      <c r="AF47" s="9">
        <f>D7</f>
        <v>0</v>
      </c>
      <c r="AG47" s="9" t="s">
        <v>455</v>
      </c>
      <c r="AH47" s="9" t="str">
        <f t="shared" si="5"/>
        <v>0</v>
      </c>
      <c r="AI47" s="9" t="s">
        <v>7142</v>
      </c>
      <c r="AJ47" s="9" t="str">
        <f>D8</f>
        <v/>
      </c>
      <c r="AK47" s="9" t="str">
        <f t="shared" si="6"/>
        <v/>
      </c>
      <c r="AL47" s="9" t="s">
        <v>7142</v>
      </c>
      <c r="AM47" s="1046" t="s">
        <v>7187</v>
      </c>
      <c r="AN47" s="101"/>
      <c r="AO47" s="101" t="str">
        <f t="shared" si="7"/>
        <v/>
      </c>
      <c r="AP47" s="101" t="str">
        <f>IF(AD26&lt;=AC26, (CONCATENATE(AG26,AH26,AI26,AK26,AL26,AM26)),"")</f>
        <v/>
      </c>
      <c r="AQ47" s="101"/>
      <c r="AR47" s="101"/>
      <c r="AS47" s="101"/>
      <c r="AT47" s="768"/>
    </row>
    <row r="48" spans="2:46">
      <c r="B48" s="768"/>
      <c r="C48" s="880" t="str">
        <f>IF(D10="No", AO38, IF(D10="Yes", AP38, ""))</f>
        <v/>
      </c>
      <c r="D48" s="880"/>
      <c r="E48" s="881"/>
      <c r="F48" s="880"/>
      <c r="G48" s="880"/>
      <c r="H48" s="880"/>
      <c r="I48" s="880"/>
      <c r="J48" s="880"/>
      <c r="K48" s="880"/>
      <c r="L48" s="878"/>
      <c r="M48" s="882" t="str">
        <f>IF(D48="", "", IF(G11&lt;&gt;"Yes", 1, IF(D48="Existing Building", 1, MAX(AS6, AS7)+1)))</f>
        <v/>
      </c>
      <c r="N48" s="879"/>
      <c r="O48" s="878" t="str">
        <f t="shared" si="4"/>
        <v/>
      </c>
      <c r="P48" s="879"/>
      <c r="Q48" s="878" t="str">
        <f t="shared" ref="Q48:Q79" si="8">IF(AND(O48&lt;&gt;"",P48&lt;&gt;""), FLOOR(O48*P48,1), "")</f>
        <v/>
      </c>
      <c r="R48" s="788"/>
      <c r="S48" s="101"/>
      <c r="T48" s="101"/>
      <c r="U48" s="101"/>
      <c r="V48" s="101"/>
      <c r="W48" s="101"/>
      <c r="X48" s="101"/>
      <c r="Y48" s="101"/>
      <c r="Z48" s="101"/>
      <c r="AA48" s="101"/>
      <c r="AC48" s="101">
        <f>D9</f>
        <v>20</v>
      </c>
      <c r="AD48" s="9">
        <v>43</v>
      </c>
      <c r="AE48" s="9">
        <v>22</v>
      </c>
      <c r="AF48" s="9">
        <f>D7</f>
        <v>0</v>
      </c>
      <c r="AG48" s="9" t="s">
        <v>455</v>
      </c>
      <c r="AH48" s="9" t="str">
        <f t="shared" si="5"/>
        <v>0</v>
      </c>
      <c r="AI48" s="9" t="s">
        <v>7142</v>
      </c>
      <c r="AJ48" s="9" t="str">
        <f>D8</f>
        <v/>
      </c>
      <c r="AK48" s="9" t="str">
        <f t="shared" si="6"/>
        <v/>
      </c>
      <c r="AL48" s="9" t="s">
        <v>7142</v>
      </c>
      <c r="AM48" s="1046" t="s">
        <v>7188</v>
      </c>
      <c r="AN48" s="101"/>
      <c r="AO48" s="101" t="str">
        <f t="shared" si="7"/>
        <v/>
      </c>
      <c r="AP48" s="101" t="str">
        <f>IF(AD27&lt;=AC27, (CONCATENATE(AG27,AH27,AI27,AK27,AL27,AM27)),"")</f>
        <v/>
      </c>
      <c r="AQ48" s="101"/>
      <c r="AR48" s="101"/>
      <c r="AS48" s="101"/>
      <c r="AT48" s="768"/>
    </row>
    <row r="49" spans="2:46">
      <c r="B49" s="768"/>
      <c r="C49" s="880" t="str">
        <f>IF(D10="No", AO39, IF(D10="Yes", AP39, ""))</f>
        <v/>
      </c>
      <c r="D49" s="880"/>
      <c r="E49" s="881"/>
      <c r="F49" s="880"/>
      <c r="G49" s="880"/>
      <c r="H49" s="880"/>
      <c r="I49" s="880"/>
      <c r="J49" s="880"/>
      <c r="K49" s="880"/>
      <c r="L49" s="878"/>
      <c r="M49" s="882" t="str">
        <f>IF(D49="", "", IF(G11&lt;&gt;"Yes", 1, IF(D49="Existing Building", 1, MAX(AS6, AS7)+1)))</f>
        <v/>
      </c>
      <c r="N49" s="879"/>
      <c r="O49" s="878" t="str">
        <f t="shared" si="4"/>
        <v/>
      </c>
      <c r="P49" s="879"/>
      <c r="Q49" s="878" t="str">
        <f t="shared" si="8"/>
        <v/>
      </c>
      <c r="R49" s="788"/>
      <c r="S49" s="101"/>
      <c r="T49" s="101"/>
      <c r="U49" s="101"/>
      <c r="V49" s="101"/>
      <c r="W49" s="101"/>
      <c r="X49" s="101"/>
      <c r="Y49" s="101"/>
      <c r="Z49" s="101"/>
      <c r="AA49" s="101"/>
      <c r="AC49" s="101">
        <f>D9</f>
        <v>20</v>
      </c>
      <c r="AD49" s="9">
        <v>44</v>
      </c>
      <c r="AE49" s="9">
        <v>22</v>
      </c>
      <c r="AF49" s="9">
        <f>D7</f>
        <v>0</v>
      </c>
      <c r="AG49" s="9" t="s">
        <v>455</v>
      </c>
      <c r="AH49" s="9" t="str">
        <f t="shared" si="5"/>
        <v>0</v>
      </c>
      <c r="AI49" s="9" t="s">
        <v>7142</v>
      </c>
      <c r="AJ49" s="9" t="str">
        <f>D8</f>
        <v/>
      </c>
      <c r="AK49" s="9" t="str">
        <f t="shared" si="6"/>
        <v/>
      </c>
      <c r="AL49" s="9" t="s">
        <v>7142</v>
      </c>
      <c r="AM49" s="1046" t="s">
        <v>7189</v>
      </c>
      <c r="AN49" s="101"/>
      <c r="AO49" s="101" t="str">
        <f t="shared" si="7"/>
        <v/>
      </c>
      <c r="AP49" s="101" t="str">
        <f>IF(AD27&lt;=AC27, (CONCATENATE(AG27,AH27,AI27,AK27,AL27,AM27)),"")</f>
        <v/>
      </c>
      <c r="AQ49" s="101"/>
      <c r="AR49" s="101"/>
      <c r="AS49" s="101"/>
      <c r="AT49" s="768"/>
    </row>
    <row r="50" spans="2:46">
      <c r="B50" s="768"/>
      <c r="C50" s="880" t="str">
        <f>IF(D10="No", AO40, IF(D10="Yes", AP40, ""))</f>
        <v/>
      </c>
      <c r="D50" s="880"/>
      <c r="E50" s="881"/>
      <c r="F50" s="880"/>
      <c r="G50" s="880"/>
      <c r="H50" s="880"/>
      <c r="I50" s="880"/>
      <c r="J50" s="880"/>
      <c r="K50" s="880"/>
      <c r="L50" s="878"/>
      <c r="M50" s="882" t="str">
        <f>IF(D50="", "", IF(G11&lt;&gt;"Yes", 1, IF(D50="Existing Building", 1, MAX(AS6, AS7)+1)))</f>
        <v/>
      </c>
      <c r="N50" s="879"/>
      <c r="O50" s="878" t="str">
        <f t="shared" ref="O50:O81" si="9">IF(AND(L50&lt;&gt;"", M50&lt;&gt;"", N50&lt;&gt;""), ROUND(L50*M50*N50, 0), "")</f>
        <v/>
      </c>
      <c r="P50" s="879"/>
      <c r="Q50" s="878" t="str">
        <f t="shared" si="8"/>
        <v/>
      </c>
      <c r="R50" s="788"/>
      <c r="S50" s="101"/>
      <c r="T50" s="101"/>
      <c r="U50" s="101"/>
      <c r="V50" s="101"/>
      <c r="W50" s="101"/>
      <c r="X50" s="101"/>
      <c r="Y50" s="101"/>
      <c r="Z50" s="101"/>
      <c r="AA50" s="101"/>
      <c r="AC50" s="101">
        <f>D9</f>
        <v>20</v>
      </c>
      <c r="AD50" s="9">
        <v>45</v>
      </c>
      <c r="AE50" s="9">
        <v>23</v>
      </c>
      <c r="AF50" s="9">
        <f>D7</f>
        <v>0</v>
      </c>
      <c r="AG50" s="9" t="s">
        <v>455</v>
      </c>
      <c r="AH50" s="9" t="str">
        <f t="shared" si="5"/>
        <v>0</v>
      </c>
      <c r="AI50" s="9" t="s">
        <v>7142</v>
      </c>
      <c r="AJ50" s="9" t="str">
        <f>D8</f>
        <v/>
      </c>
      <c r="AK50" s="9" t="str">
        <f t="shared" si="6"/>
        <v/>
      </c>
      <c r="AL50" s="9" t="s">
        <v>7142</v>
      </c>
      <c r="AM50" s="1046" t="s">
        <v>7037</v>
      </c>
      <c r="AN50" s="101"/>
      <c r="AO50" s="101" t="str">
        <f t="shared" si="7"/>
        <v/>
      </c>
      <c r="AP50" s="101" t="str">
        <f>IF(AD28&lt;=AC28, (CONCATENATE(AG28,AH28,AI28,AK28,AL28,AM28)),"")</f>
        <v/>
      </c>
      <c r="AQ50" s="101"/>
      <c r="AR50" s="101"/>
      <c r="AS50" s="101"/>
      <c r="AT50" s="768"/>
    </row>
    <row r="51" spans="2:46">
      <c r="B51" s="768"/>
      <c r="C51" s="880" t="str">
        <f>IF(D10="No", AO41, IF(D10="Yes", AP41, ""))</f>
        <v/>
      </c>
      <c r="D51" s="880"/>
      <c r="E51" s="881"/>
      <c r="F51" s="880"/>
      <c r="G51" s="880"/>
      <c r="H51" s="880"/>
      <c r="I51" s="880"/>
      <c r="J51" s="880"/>
      <c r="K51" s="880"/>
      <c r="L51" s="878"/>
      <c r="M51" s="882" t="str">
        <f>IF(D51="", "", IF(G11&lt;&gt;"Yes", 1, IF(D51="Existing Building", 1, MAX(AS6, AS7)+1)))</f>
        <v/>
      </c>
      <c r="N51" s="879"/>
      <c r="O51" s="878" t="str">
        <f t="shared" si="9"/>
        <v/>
      </c>
      <c r="P51" s="879"/>
      <c r="Q51" s="878" t="str">
        <f t="shared" si="8"/>
        <v/>
      </c>
      <c r="R51" s="788"/>
      <c r="S51" s="101"/>
      <c r="T51" s="101"/>
      <c r="U51" s="101"/>
      <c r="V51" s="101"/>
      <c r="W51" s="101"/>
      <c r="X51" s="101"/>
      <c r="Y51" s="101"/>
      <c r="Z51" s="101"/>
      <c r="AA51" s="101"/>
      <c r="AC51" s="101">
        <f>D9</f>
        <v>20</v>
      </c>
      <c r="AD51" s="9">
        <v>46</v>
      </c>
      <c r="AE51" s="9">
        <v>23</v>
      </c>
      <c r="AF51" s="9">
        <f>D7</f>
        <v>0</v>
      </c>
      <c r="AG51" s="9" t="s">
        <v>455</v>
      </c>
      <c r="AH51" s="9" t="str">
        <f t="shared" si="5"/>
        <v>0</v>
      </c>
      <c r="AI51" s="9" t="s">
        <v>7142</v>
      </c>
      <c r="AJ51" s="9" t="str">
        <f>D8</f>
        <v/>
      </c>
      <c r="AK51" s="9" t="str">
        <f t="shared" si="6"/>
        <v/>
      </c>
      <c r="AL51" s="9" t="s">
        <v>7142</v>
      </c>
      <c r="AM51" s="1046" t="s">
        <v>7190</v>
      </c>
      <c r="AN51" s="101"/>
      <c r="AO51" s="101" t="str">
        <f t="shared" si="7"/>
        <v/>
      </c>
      <c r="AP51" s="101" t="str">
        <f>IF(AD28&lt;=AC28, (CONCATENATE(AG28,AH28,AI28,AK28,AL28,AM28)),"")</f>
        <v/>
      </c>
      <c r="AQ51" s="101"/>
      <c r="AR51" s="101"/>
      <c r="AS51" s="101"/>
      <c r="AT51" s="768"/>
    </row>
    <row r="52" spans="2:46">
      <c r="B52" s="768"/>
      <c r="C52" s="880" t="str">
        <f>IF(D10="No", AO42, IF(D10="Yes", AP42, ""))</f>
        <v/>
      </c>
      <c r="D52" s="880"/>
      <c r="E52" s="881"/>
      <c r="F52" s="880"/>
      <c r="G52" s="880"/>
      <c r="H52" s="880"/>
      <c r="I52" s="880"/>
      <c r="J52" s="880"/>
      <c r="K52" s="880"/>
      <c r="L52" s="878"/>
      <c r="M52" s="882" t="str">
        <f>IF(D52="", "", IF(G11&lt;&gt;"Yes", 1, IF(D52="Existing Building", 1, MAX(AS6, AS7)+1)))</f>
        <v/>
      </c>
      <c r="N52" s="879"/>
      <c r="O52" s="878" t="str">
        <f t="shared" si="9"/>
        <v/>
      </c>
      <c r="P52" s="879"/>
      <c r="Q52" s="878" t="str">
        <f t="shared" si="8"/>
        <v/>
      </c>
      <c r="R52" s="788"/>
      <c r="S52" s="101"/>
      <c r="T52" s="101"/>
      <c r="U52" s="101"/>
      <c r="V52" s="101"/>
      <c r="W52" s="101"/>
      <c r="X52" s="101"/>
      <c r="Y52" s="101"/>
      <c r="Z52" s="101"/>
      <c r="AA52" s="101"/>
      <c r="AC52" s="101">
        <f>D9</f>
        <v>20</v>
      </c>
      <c r="AD52" s="9">
        <v>47</v>
      </c>
      <c r="AE52" s="9">
        <v>24</v>
      </c>
      <c r="AF52" s="9">
        <f>D7</f>
        <v>0</v>
      </c>
      <c r="AG52" s="9" t="s">
        <v>455</v>
      </c>
      <c r="AH52" s="9" t="str">
        <f t="shared" si="5"/>
        <v>0</v>
      </c>
      <c r="AI52" s="9" t="s">
        <v>7142</v>
      </c>
      <c r="AJ52" s="9" t="str">
        <f>D8</f>
        <v/>
      </c>
      <c r="AK52" s="9" t="str">
        <f t="shared" si="6"/>
        <v/>
      </c>
      <c r="AL52" s="9" t="s">
        <v>7142</v>
      </c>
      <c r="AM52" s="1046" t="s">
        <v>7191</v>
      </c>
      <c r="AN52" s="101"/>
      <c r="AO52" s="101" t="str">
        <f t="shared" si="7"/>
        <v/>
      </c>
      <c r="AP52" s="101" t="str">
        <f>IF(AD29&lt;=AC29, (CONCATENATE(AG29,AH29,AI29,AK29,AL29,AM29)),"")</f>
        <v/>
      </c>
      <c r="AQ52" s="101"/>
      <c r="AR52" s="101"/>
      <c r="AS52" s="101"/>
      <c r="AT52" s="768"/>
    </row>
    <row r="53" spans="2:46">
      <c r="B53" s="768"/>
      <c r="C53" s="880" t="str">
        <f>IF(D10="No", AO43, IF(D10="Yes", AP43, ""))</f>
        <v/>
      </c>
      <c r="D53" s="880"/>
      <c r="E53" s="881"/>
      <c r="F53" s="880"/>
      <c r="G53" s="880"/>
      <c r="H53" s="880"/>
      <c r="I53" s="880"/>
      <c r="J53" s="880"/>
      <c r="K53" s="880"/>
      <c r="L53" s="878"/>
      <c r="M53" s="882" t="str">
        <f>IF(D53="", "", IF(G11&lt;&gt;"Yes", 1, IF(D53="Existing Building", 1, MAX(AS6, AS7)+1)))</f>
        <v/>
      </c>
      <c r="N53" s="879"/>
      <c r="O53" s="878" t="str">
        <f t="shared" si="9"/>
        <v/>
      </c>
      <c r="P53" s="879"/>
      <c r="Q53" s="878" t="str">
        <f t="shared" si="8"/>
        <v/>
      </c>
      <c r="R53" s="788"/>
      <c r="S53" s="101"/>
      <c r="T53" s="101"/>
      <c r="U53" s="101"/>
      <c r="V53" s="101"/>
      <c r="W53" s="101"/>
      <c r="X53" s="101"/>
      <c r="Y53" s="101"/>
      <c r="Z53" s="101"/>
      <c r="AA53" s="101"/>
      <c r="AC53" s="101">
        <f>D9</f>
        <v>20</v>
      </c>
      <c r="AD53" s="9">
        <v>48</v>
      </c>
      <c r="AE53" s="9">
        <v>24</v>
      </c>
      <c r="AF53" s="9">
        <f>D7</f>
        <v>0</v>
      </c>
      <c r="AG53" s="9" t="s">
        <v>455</v>
      </c>
      <c r="AH53" s="9" t="str">
        <f t="shared" si="5"/>
        <v>0</v>
      </c>
      <c r="AI53" s="9" t="s">
        <v>7142</v>
      </c>
      <c r="AJ53" s="9" t="str">
        <f>D8</f>
        <v/>
      </c>
      <c r="AK53" s="9" t="str">
        <f t="shared" si="6"/>
        <v/>
      </c>
      <c r="AL53" s="9" t="s">
        <v>7142</v>
      </c>
      <c r="AM53" s="1046" t="s">
        <v>7192</v>
      </c>
      <c r="AN53" s="101"/>
      <c r="AO53" s="101" t="str">
        <f t="shared" si="7"/>
        <v/>
      </c>
      <c r="AP53" s="101" t="str">
        <f>IF(AD29&lt;=AC29, (CONCATENATE(AG29,AH29,AI29,AK29,AL29,AM29)),"")</f>
        <v/>
      </c>
      <c r="AQ53" s="101"/>
      <c r="AR53" s="101"/>
      <c r="AS53" s="101"/>
      <c r="AT53" s="768"/>
    </row>
    <row r="54" spans="2:46">
      <c r="B54" s="768"/>
      <c r="C54" s="880" t="str">
        <f>IF(D10="No", AO44, IF(D10="Yes", AP44, ""))</f>
        <v/>
      </c>
      <c r="D54" s="880"/>
      <c r="E54" s="881"/>
      <c r="F54" s="880"/>
      <c r="G54" s="880"/>
      <c r="H54" s="880"/>
      <c r="I54" s="880"/>
      <c r="J54" s="880"/>
      <c r="K54" s="880"/>
      <c r="L54" s="878"/>
      <c r="M54" s="882" t="str">
        <f>IF(D54="", "", IF(G11&lt;&gt;"Yes", 1, IF(D54="Existing Building", 1, MAX(AS6, AS7)+1)))</f>
        <v/>
      </c>
      <c r="N54" s="879"/>
      <c r="O54" s="878" t="str">
        <f t="shared" si="9"/>
        <v/>
      </c>
      <c r="P54" s="879"/>
      <c r="Q54" s="878" t="str">
        <f t="shared" si="8"/>
        <v/>
      </c>
      <c r="R54" s="788"/>
      <c r="S54" s="101"/>
      <c r="T54" s="101"/>
      <c r="U54" s="101"/>
      <c r="V54" s="101"/>
      <c r="W54" s="101"/>
      <c r="X54" s="101"/>
      <c r="Y54" s="101"/>
      <c r="Z54" s="101"/>
      <c r="AA54" s="101"/>
      <c r="AC54" s="101">
        <f>D9</f>
        <v>20</v>
      </c>
      <c r="AD54" s="9">
        <v>49</v>
      </c>
      <c r="AE54" s="9">
        <v>25</v>
      </c>
      <c r="AF54" s="9">
        <f>D7</f>
        <v>0</v>
      </c>
      <c r="AG54" s="9" t="s">
        <v>455</v>
      </c>
      <c r="AH54" s="9" t="str">
        <f t="shared" si="5"/>
        <v>0</v>
      </c>
      <c r="AI54" s="9" t="s">
        <v>7142</v>
      </c>
      <c r="AJ54" s="9" t="str">
        <f>D8</f>
        <v/>
      </c>
      <c r="AK54" s="9" t="str">
        <f t="shared" si="6"/>
        <v/>
      </c>
      <c r="AL54" s="9" t="s">
        <v>7142</v>
      </c>
      <c r="AM54" s="1046" t="s">
        <v>7193</v>
      </c>
      <c r="AN54" s="101"/>
      <c r="AO54" s="101" t="str">
        <f t="shared" si="7"/>
        <v/>
      </c>
      <c r="AP54" s="101" t="str">
        <f>IF(AD30&lt;=AC30, (CONCATENATE(AG30,AH30,AI30,AK30,AL30,AM30)),"")</f>
        <v/>
      </c>
      <c r="AQ54" s="101"/>
      <c r="AR54" s="101"/>
      <c r="AS54" s="101"/>
      <c r="AT54" s="768"/>
    </row>
    <row r="55" spans="2:46">
      <c r="B55" s="768"/>
      <c r="C55" s="880" t="str">
        <f>IF(D10="No", AO45, IF(D10="Yes", AP45, ""))</f>
        <v/>
      </c>
      <c r="D55" s="880"/>
      <c r="E55" s="881"/>
      <c r="F55" s="880"/>
      <c r="G55" s="880"/>
      <c r="H55" s="880"/>
      <c r="I55" s="880"/>
      <c r="J55" s="880"/>
      <c r="K55" s="880"/>
      <c r="L55" s="878"/>
      <c r="M55" s="882" t="str">
        <f>IF(D55="", "", IF(G11&lt;&gt;"Yes", 1, IF(D55="Existing Building", 1, MAX(AS6, AS7)+1)))</f>
        <v/>
      </c>
      <c r="N55" s="879"/>
      <c r="O55" s="878" t="str">
        <f t="shared" si="9"/>
        <v/>
      </c>
      <c r="P55" s="879"/>
      <c r="Q55" s="878" t="str">
        <f t="shared" si="8"/>
        <v/>
      </c>
      <c r="R55" s="788"/>
      <c r="S55" s="101"/>
      <c r="T55" s="101"/>
      <c r="U55" s="101"/>
      <c r="V55" s="101"/>
      <c r="W55" s="101"/>
      <c r="X55" s="101"/>
      <c r="Y55" s="101"/>
      <c r="Z55" s="101"/>
      <c r="AA55" s="101"/>
      <c r="AC55" s="101">
        <f>D9</f>
        <v>20</v>
      </c>
      <c r="AD55" s="9">
        <v>50</v>
      </c>
      <c r="AE55" s="9">
        <v>25</v>
      </c>
      <c r="AF55" s="9">
        <f>D7</f>
        <v>0</v>
      </c>
      <c r="AG55" s="9" t="s">
        <v>455</v>
      </c>
      <c r="AH55" s="9" t="str">
        <f t="shared" si="5"/>
        <v>0</v>
      </c>
      <c r="AI55" s="9" t="s">
        <v>7142</v>
      </c>
      <c r="AJ55" s="9" t="str">
        <f>D8</f>
        <v/>
      </c>
      <c r="AK55" s="9" t="str">
        <f t="shared" si="6"/>
        <v/>
      </c>
      <c r="AL55" s="9" t="s">
        <v>7142</v>
      </c>
      <c r="AM55" s="1046" t="s">
        <v>7040</v>
      </c>
      <c r="AN55" s="101"/>
      <c r="AO55" s="101" t="str">
        <f t="shared" si="7"/>
        <v/>
      </c>
      <c r="AP55" s="101" t="str">
        <f>IF(AD30&lt;=AC30, (CONCATENATE(AG30,AH30,AI30,AK30,AL30,AM30)),"")</f>
        <v/>
      </c>
      <c r="AQ55" s="101"/>
      <c r="AR55" s="101"/>
      <c r="AS55" s="101"/>
      <c r="AT55" s="768"/>
    </row>
    <row r="56" spans="2:46">
      <c r="B56" s="768"/>
      <c r="C56" s="880" t="str">
        <f>IF(D10="No", AO46, IF(D10="Yes", AP46, ""))</f>
        <v/>
      </c>
      <c r="D56" s="880"/>
      <c r="E56" s="881"/>
      <c r="F56" s="880"/>
      <c r="G56" s="880"/>
      <c r="H56" s="880"/>
      <c r="I56" s="880"/>
      <c r="J56" s="880"/>
      <c r="K56" s="880"/>
      <c r="L56" s="878"/>
      <c r="M56" s="882" t="str">
        <f>IF(D56="", "", IF(G11&lt;&gt;"Yes", 1, IF(D56="Existing Building", 1, MAX(AS6, AS7)+1)))</f>
        <v/>
      </c>
      <c r="N56" s="879"/>
      <c r="O56" s="878" t="str">
        <f t="shared" si="9"/>
        <v/>
      </c>
      <c r="P56" s="879"/>
      <c r="Q56" s="878" t="str">
        <f t="shared" si="8"/>
        <v/>
      </c>
      <c r="R56" s="788"/>
      <c r="S56" s="101"/>
      <c r="T56" s="101"/>
      <c r="U56" s="101"/>
      <c r="V56" s="101"/>
      <c r="W56" s="101"/>
      <c r="X56" s="101"/>
      <c r="Y56" s="101"/>
      <c r="Z56" s="101"/>
      <c r="AA56" s="101"/>
      <c r="AC56" s="101">
        <f>D9</f>
        <v>20</v>
      </c>
      <c r="AD56" s="9">
        <v>51</v>
      </c>
      <c r="AE56" s="9">
        <v>26</v>
      </c>
      <c r="AF56" s="101">
        <f>D7</f>
        <v>0</v>
      </c>
      <c r="AG56" s="9" t="s">
        <v>455</v>
      </c>
      <c r="AH56" s="9" t="str">
        <f t="shared" si="5"/>
        <v>0</v>
      </c>
      <c r="AI56" s="9" t="s">
        <v>7142</v>
      </c>
      <c r="AJ56" s="101" t="str">
        <f>D8</f>
        <v/>
      </c>
      <c r="AK56" s="9" t="str">
        <f t="shared" si="6"/>
        <v/>
      </c>
      <c r="AL56" s="9" t="s">
        <v>7142</v>
      </c>
      <c r="AM56" s="101">
        <v>51</v>
      </c>
      <c r="AN56" s="101"/>
      <c r="AO56" s="101" t="str">
        <f t="shared" si="7"/>
        <v/>
      </c>
      <c r="AP56" s="101" t="str">
        <f>IF(AD31&lt;=AC31, (CONCATENATE(AG31,AH31,AI31,AK31,AL31,AM31)),"")</f>
        <v/>
      </c>
      <c r="AQ56" s="101"/>
      <c r="AR56" s="101"/>
      <c r="AS56" s="101"/>
      <c r="AT56" s="768"/>
    </row>
    <row r="57" spans="2:46">
      <c r="B57" s="768"/>
      <c r="C57" s="880" t="str">
        <f>IF(D10="No", AO47, IF(D10="Yes", AP47, ""))</f>
        <v/>
      </c>
      <c r="D57" s="880"/>
      <c r="E57" s="881"/>
      <c r="F57" s="880"/>
      <c r="G57" s="880"/>
      <c r="H57" s="880"/>
      <c r="I57" s="880"/>
      <c r="J57" s="880"/>
      <c r="K57" s="880"/>
      <c r="L57" s="878"/>
      <c r="M57" s="882" t="str">
        <f>IF(D57="", "", IF(G11&lt;&gt;"Yes", 1, IF(D57="Existing Building", 1, MAX(AS6, AS7)+1)))</f>
        <v/>
      </c>
      <c r="N57" s="879"/>
      <c r="O57" s="878" t="str">
        <f t="shared" si="9"/>
        <v/>
      </c>
      <c r="P57" s="879"/>
      <c r="Q57" s="878" t="str">
        <f t="shared" si="8"/>
        <v/>
      </c>
      <c r="R57" s="788"/>
      <c r="S57" s="101"/>
      <c r="T57" s="101"/>
      <c r="U57" s="101"/>
      <c r="V57" s="101"/>
      <c r="W57" s="101"/>
      <c r="X57" s="101"/>
      <c r="Y57" s="101"/>
      <c r="Z57" s="101"/>
      <c r="AA57" s="101"/>
      <c r="AC57" s="101">
        <f>D9</f>
        <v>20</v>
      </c>
      <c r="AD57" s="9">
        <v>52</v>
      </c>
      <c r="AE57" s="9">
        <v>26</v>
      </c>
      <c r="AF57" s="101">
        <f>D7</f>
        <v>0</v>
      </c>
      <c r="AG57" s="9" t="s">
        <v>455</v>
      </c>
      <c r="AH57" s="9" t="str">
        <f t="shared" si="5"/>
        <v>0</v>
      </c>
      <c r="AI57" s="9" t="s">
        <v>7142</v>
      </c>
      <c r="AJ57" s="101" t="str">
        <f>D8</f>
        <v/>
      </c>
      <c r="AK57" s="9" t="str">
        <f t="shared" si="6"/>
        <v/>
      </c>
      <c r="AL57" s="9" t="s">
        <v>7142</v>
      </c>
      <c r="AM57" s="101">
        <v>52</v>
      </c>
      <c r="AN57" s="101"/>
      <c r="AO57" s="101" t="str">
        <f t="shared" si="7"/>
        <v/>
      </c>
      <c r="AP57" s="101" t="str">
        <f>IF(AD31&lt;=AC31, (CONCATENATE(AG31,AH31,AI31,AK31,AL31,AM31)),"")</f>
        <v/>
      </c>
      <c r="AQ57" s="101"/>
      <c r="AR57" s="101"/>
      <c r="AS57" s="101"/>
      <c r="AT57" s="768"/>
    </row>
    <row r="58" spans="2:46">
      <c r="B58" s="768"/>
      <c r="C58" s="880" t="str">
        <f>IF(D10="No", AO48, IF(D10="Yes", AP48, ""))</f>
        <v/>
      </c>
      <c r="D58" s="880"/>
      <c r="E58" s="881"/>
      <c r="F58" s="880"/>
      <c r="G58" s="880"/>
      <c r="H58" s="880"/>
      <c r="I58" s="880"/>
      <c r="J58" s="880"/>
      <c r="K58" s="880"/>
      <c r="L58" s="878"/>
      <c r="M58" s="882" t="str">
        <f>IF(D58="", "", IF(G11&lt;&gt;"Yes", 1, IF(D58="Existing Building", 1, MAX(AS6, AS7)+1)))</f>
        <v/>
      </c>
      <c r="N58" s="879"/>
      <c r="O58" s="878" t="str">
        <f t="shared" si="9"/>
        <v/>
      </c>
      <c r="P58" s="879"/>
      <c r="Q58" s="878" t="str">
        <f t="shared" si="8"/>
        <v/>
      </c>
      <c r="R58" s="788"/>
      <c r="S58" s="101"/>
      <c r="T58" s="101"/>
      <c r="U58" s="101"/>
      <c r="V58" s="101"/>
      <c r="W58" s="101"/>
      <c r="X58" s="101"/>
      <c r="Y58" s="101"/>
      <c r="Z58" s="101"/>
      <c r="AA58" s="101"/>
      <c r="AC58" s="101">
        <f>D9</f>
        <v>20</v>
      </c>
      <c r="AD58" s="9">
        <v>53</v>
      </c>
      <c r="AE58" s="9">
        <v>27</v>
      </c>
      <c r="AF58" s="101">
        <f>D7</f>
        <v>0</v>
      </c>
      <c r="AG58" s="9" t="s">
        <v>455</v>
      </c>
      <c r="AH58" s="9" t="str">
        <f t="shared" si="5"/>
        <v>0</v>
      </c>
      <c r="AI58" s="9" t="s">
        <v>7142</v>
      </c>
      <c r="AJ58" s="101" t="str">
        <f>D8</f>
        <v/>
      </c>
      <c r="AK58" s="9" t="str">
        <f t="shared" si="6"/>
        <v/>
      </c>
      <c r="AL58" s="9" t="s">
        <v>7142</v>
      </c>
      <c r="AM58" s="101">
        <v>53</v>
      </c>
      <c r="AN58" s="101"/>
      <c r="AO58" s="101" t="str">
        <f t="shared" si="7"/>
        <v/>
      </c>
      <c r="AP58" s="101" t="str">
        <f>IF(AD32&lt;=AC32, (CONCATENATE(AG32,AH32,AI32,AK32,AL32,AM32)),"")</f>
        <v/>
      </c>
      <c r="AQ58" s="101"/>
      <c r="AR58" s="101"/>
      <c r="AS58" s="101"/>
      <c r="AT58" s="768"/>
    </row>
    <row r="59" spans="2:46">
      <c r="B59" s="768"/>
      <c r="C59" s="880" t="str">
        <f>IF(D10="No", AO49, IF(D10="Yes", AP49, ""))</f>
        <v/>
      </c>
      <c r="D59" s="880"/>
      <c r="E59" s="881"/>
      <c r="F59" s="880"/>
      <c r="G59" s="880"/>
      <c r="H59" s="880"/>
      <c r="I59" s="880"/>
      <c r="J59" s="880"/>
      <c r="K59" s="880"/>
      <c r="L59" s="878"/>
      <c r="M59" s="882" t="str">
        <f>IF(D59="", "", IF(G11&lt;&gt;"Yes", 1, IF(D59="Existing Building", 1, MAX(AS6, AS7)+1)))</f>
        <v/>
      </c>
      <c r="N59" s="879"/>
      <c r="O59" s="878" t="str">
        <f t="shared" si="9"/>
        <v/>
      </c>
      <c r="P59" s="879"/>
      <c r="Q59" s="878" t="str">
        <f t="shared" si="8"/>
        <v/>
      </c>
      <c r="R59" s="788"/>
      <c r="S59" s="101"/>
      <c r="T59" s="101"/>
      <c r="U59" s="101"/>
      <c r="V59" s="101"/>
      <c r="W59" s="101"/>
      <c r="X59" s="101"/>
      <c r="Y59" s="101"/>
      <c r="Z59" s="101"/>
      <c r="AA59" s="101"/>
      <c r="AC59" s="101">
        <f>D9</f>
        <v>20</v>
      </c>
      <c r="AD59" s="9">
        <v>54</v>
      </c>
      <c r="AE59" s="9">
        <v>27</v>
      </c>
      <c r="AF59" s="101">
        <f>D7</f>
        <v>0</v>
      </c>
      <c r="AG59" s="9" t="s">
        <v>455</v>
      </c>
      <c r="AH59" s="9" t="str">
        <f t="shared" si="5"/>
        <v>0</v>
      </c>
      <c r="AI59" s="9" t="s">
        <v>7142</v>
      </c>
      <c r="AJ59" s="101" t="str">
        <f>D8</f>
        <v/>
      </c>
      <c r="AK59" s="9" t="str">
        <f t="shared" si="6"/>
        <v/>
      </c>
      <c r="AL59" s="9" t="s">
        <v>7142</v>
      </c>
      <c r="AM59" s="101">
        <v>54</v>
      </c>
      <c r="AN59" s="101"/>
      <c r="AO59" s="101" t="str">
        <f t="shared" si="7"/>
        <v/>
      </c>
      <c r="AP59" s="101" t="str">
        <f>IF(AD32&lt;=AC32, (CONCATENATE(AG32,AH32,AI32,AK32,AL32,AM32)),"")</f>
        <v/>
      </c>
      <c r="AQ59" s="101"/>
      <c r="AR59" s="101"/>
      <c r="AS59" s="101"/>
      <c r="AT59" s="768"/>
    </row>
    <row r="60" spans="2:46">
      <c r="B60" s="768"/>
      <c r="C60" s="880" t="str">
        <f>IF(D10="No", AO50, IF(D10="Yes", AP50, ""))</f>
        <v/>
      </c>
      <c r="D60" s="880"/>
      <c r="E60" s="881"/>
      <c r="F60" s="880"/>
      <c r="G60" s="880"/>
      <c r="H60" s="880"/>
      <c r="I60" s="880"/>
      <c r="J60" s="880"/>
      <c r="K60" s="880"/>
      <c r="L60" s="878"/>
      <c r="M60" s="882" t="str">
        <f>IF(D60="", "", IF(G11&lt;&gt;"Yes", 1, IF(D60="Existing Building", 1, MAX(AS6, AS7)+1)))</f>
        <v/>
      </c>
      <c r="N60" s="879"/>
      <c r="O60" s="878" t="str">
        <f t="shared" si="9"/>
        <v/>
      </c>
      <c r="P60" s="879"/>
      <c r="Q60" s="878" t="str">
        <f t="shared" si="8"/>
        <v/>
      </c>
      <c r="R60" s="788"/>
      <c r="S60" s="101"/>
      <c r="T60" s="101"/>
      <c r="U60" s="101"/>
      <c r="V60" s="101"/>
      <c r="W60" s="101"/>
      <c r="X60" s="101"/>
      <c r="Y60" s="101"/>
      <c r="Z60" s="101"/>
      <c r="AA60" s="101"/>
      <c r="AC60" s="101">
        <f>D9</f>
        <v>20</v>
      </c>
      <c r="AD60" s="9">
        <v>55</v>
      </c>
      <c r="AE60" s="9">
        <v>28</v>
      </c>
      <c r="AF60" s="101">
        <f>D7</f>
        <v>0</v>
      </c>
      <c r="AG60" s="9" t="s">
        <v>455</v>
      </c>
      <c r="AH60" s="9" t="str">
        <f t="shared" si="5"/>
        <v>0</v>
      </c>
      <c r="AI60" s="9" t="s">
        <v>7142</v>
      </c>
      <c r="AJ60" s="101" t="str">
        <f>D8</f>
        <v/>
      </c>
      <c r="AK60" s="9" t="str">
        <f t="shared" si="6"/>
        <v/>
      </c>
      <c r="AL60" s="9" t="s">
        <v>7142</v>
      </c>
      <c r="AM60" s="101">
        <v>55</v>
      </c>
      <c r="AN60" s="101"/>
      <c r="AO60" s="101" t="str">
        <f t="shared" si="7"/>
        <v/>
      </c>
      <c r="AP60" s="101" t="str">
        <f>IF(AD33&lt;=AC33, (CONCATENATE(AG33,AH33,AI33,AK33,AL33,AM33)),"")</f>
        <v/>
      </c>
      <c r="AQ60" s="101"/>
      <c r="AR60" s="101"/>
      <c r="AS60" s="101"/>
      <c r="AT60" s="768"/>
    </row>
    <row r="61" spans="2:46">
      <c r="B61" s="768"/>
      <c r="C61" s="880" t="str">
        <f>IF(D10="No", AO51, IF(D10="Yes", AP51, ""))</f>
        <v/>
      </c>
      <c r="D61" s="880"/>
      <c r="E61" s="881"/>
      <c r="F61" s="880"/>
      <c r="G61" s="880"/>
      <c r="H61" s="880"/>
      <c r="I61" s="880"/>
      <c r="J61" s="880"/>
      <c r="K61" s="880"/>
      <c r="L61" s="878"/>
      <c r="M61" s="882" t="str">
        <f>IF(D61="", "", IF(G11&lt;&gt;"Yes", 1, IF(D61="Existing Building", 1, MAX(AS6, AS7)+1)))</f>
        <v/>
      </c>
      <c r="N61" s="879"/>
      <c r="O61" s="878" t="str">
        <f t="shared" si="9"/>
        <v/>
      </c>
      <c r="P61" s="879"/>
      <c r="Q61" s="878" t="str">
        <f t="shared" si="8"/>
        <v/>
      </c>
      <c r="R61" s="788"/>
      <c r="S61" s="101"/>
      <c r="T61" s="101"/>
      <c r="U61" s="101"/>
      <c r="V61" s="101"/>
      <c r="W61" s="101"/>
      <c r="X61" s="101"/>
      <c r="Y61" s="101"/>
      <c r="Z61" s="101"/>
      <c r="AA61" s="101"/>
      <c r="AC61" s="101">
        <f>D9</f>
        <v>20</v>
      </c>
      <c r="AD61" s="9">
        <v>56</v>
      </c>
      <c r="AE61" s="9">
        <v>28</v>
      </c>
      <c r="AF61" s="101">
        <f>D7</f>
        <v>0</v>
      </c>
      <c r="AG61" s="9" t="s">
        <v>455</v>
      </c>
      <c r="AH61" s="9" t="str">
        <f t="shared" si="5"/>
        <v>0</v>
      </c>
      <c r="AI61" s="9" t="s">
        <v>7142</v>
      </c>
      <c r="AJ61" s="101" t="str">
        <f>D8</f>
        <v/>
      </c>
      <c r="AK61" s="9" t="str">
        <f t="shared" si="6"/>
        <v/>
      </c>
      <c r="AL61" s="9" t="s">
        <v>7142</v>
      </c>
      <c r="AM61" s="101">
        <v>56</v>
      </c>
      <c r="AN61" s="101"/>
      <c r="AO61" s="101" t="str">
        <f t="shared" si="7"/>
        <v/>
      </c>
      <c r="AP61" s="101" t="str">
        <f>IF(AD33&lt;=AC33, (CONCATENATE(AG33,AH33,AI33,AK33,AL33,AM33)),"")</f>
        <v/>
      </c>
      <c r="AQ61" s="101"/>
      <c r="AR61" s="101"/>
      <c r="AS61" s="101"/>
      <c r="AT61" s="768"/>
    </row>
    <row r="62" spans="2:46">
      <c r="B62" s="768"/>
      <c r="C62" s="880" t="str">
        <f>IF(D10="No", AO52, IF(D10="Yes", AP52, ""))</f>
        <v/>
      </c>
      <c r="D62" s="880"/>
      <c r="E62" s="881"/>
      <c r="F62" s="880"/>
      <c r="G62" s="880"/>
      <c r="H62" s="880"/>
      <c r="I62" s="880"/>
      <c r="J62" s="880"/>
      <c r="K62" s="880"/>
      <c r="L62" s="878"/>
      <c r="M62" s="882" t="str">
        <f>IF(D62="", "", IF(G11&lt;&gt;"Yes", 1, IF(D62="Existing Building", 1, MAX(AS6, AS7)+1)))</f>
        <v/>
      </c>
      <c r="N62" s="879"/>
      <c r="O62" s="878" t="str">
        <f t="shared" si="9"/>
        <v/>
      </c>
      <c r="P62" s="879"/>
      <c r="Q62" s="878" t="str">
        <f t="shared" si="8"/>
        <v/>
      </c>
      <c r="R62" s="788"/>
      <c r="S62" s="101"/>
      <c r="T62" s="101"/>
      <c r="U62" s="101"/>
      <c r="V62" s="101"/>
      <c r="W62" s="101"/>
      <c r="X62" s="101"/>
      <c r="Y62" s="101"/>
      <c r="Z62" s="101"/>
      <c r="AA62" s="101"/>
      <c r="AC62" s="101">
        <f>D9</f>
        <v>20</v>
      </c>
      <c r="AD62" s="9">
        <v>57</v>
      </c>
      <c r="AE62" s="9">
        <v>29</v>
      </c>
      <c r="AF62" s="101">
        <f>D7</f>
        <v>0</v>
      </c>
      <c r="AG62" s="9" t="s">
        <v>455</v>
      </c>
      <c r="AH62" s="9" t="str">
        <f t="shared" si="5"/>
        <v>0</v>
      </c>
      <c r="AI62" s="9" t="s">
        <v>7142</v>
      </c>
      <c r="AJ62" s="101" t="str">
        <f>D8</f>
        <v/>
      </c>
      <c r="AK62" s="9" t="str">
        <f t="shared" si="6"/>
        <v/>
      </c>
      <c r="AL62" s="9" t="s">
        <v>7142</v>
      </c>
      <c r="AM62" s="101">
        <v>57</v>
      </c>
      <c r="AN62" s="101"/>
      <c r="AO62" s="101" t="str">
        <f t="shared" si="7"/>
        <v/>
      </c>
      <c r="AP62" s="101" t="str">
        <f>IF(AD34&lt;=AC34, (CONCATENATE(AG34,AH34,AI34,AK34,AL34,AM34)),"")</f>
        <v/>
      </c>
      <c r="AQ62" s="101"/>
      <c r="AR62" s="101"/>
      <c r="AS62" s="101"/>
      <c r="AT62" s="768"/>
    </row>
    <row r="63" spans="2:46">
      <c r="B63" s="768"/>
      <c r="C63" s="880" t="str">
        <f>IF(D10="No", AO53, IF(D10="Yes", AP53, ""))</f>
        <v/>
      </c>
      <c r="D63" s="880"/>
      <c r="E63" s="881"/>
      <c r="F63" s="880"/>
      <c r="G63" s="880"/>
      <c r="H63" s="880"/>
      <c r="I63" s="880"/>
      <c r="J63" s="880"/>
      <c r="K63" s="880"/>
      <c r="L63" s="878"/>
      <c r="M63" s="882" t="str">
        <f>IF(D63="", "", IF(G11&lt;&gt;"Yes", 1, IF(D63="Existing Building", 1, MAX(AS6, AS7)+1)))</f>
        <v/>
      </c>
      <c r="N63" s="879"/>
      <c r="O63" s="878" t="str">
        <f t="shared" si="9"/>
        <v/>
      </c>
      <c r="P63" s="879"/>
      <c r="Q63" s="878" t="str">
        <f t="shared" si="8"/>
        <v/>
      </c>
      <c r="R63" s="788"/>
      <c r="S63" s="101"/>
      <c r="T63" s="101"/>
      <c r="U63" s="101"/>
      <c r="V63" s="101"/>
      <c r="W63" s="101"/>
      <c r="X63" s="101"/>
      <c r="Y63" s="101"/>
      <c r="Z63" s="101"/>
      <c r="AA63" s="101"/>
      <c r="AC63" s="101">
        <f>D9</f>
        <v>20</v>
      </c>
      <c r="AD63" s="9">
        <v>58</v>
      </c>
      <c r="AE63" s="9">
        <v>29</v>
      </c>
      <c r="AF63" s="101">
        <f>D7</f>
        <v>0</v>
      </c>
      <c r="AG63" s="9" t="s">
        <v>455</v>
      </c>
      <c r="AH63" s="9" t="str">
        <f t="shared" si="5"/>
        <v>0</v>
      </c>
      <c r="AI63" s="9" t="s">
        <v>7142</v>
      </c>
      <c r="AJ63" s="101" t="str">
        <f>D8</f>
        <v/>
      </c>
      <c r="AK63" s="9" t="str">
        <f t="shared" si="6"/>
        <v/>
      </c>
      <c r="AL63" s="9" t="s">
        <v>7142</v>
      </c>
      <c r="AM63" s="101">
        <v>58</v>
      </c>
      <c r="AN63" s="101"/>
      <c r="AO63" s="101" t="str">
        <f t="shared" si="7"/>
        <v/>
      </c>
      <c r="AP63" s="101" t="str">
        <f>IF(AD34&lt;=AC34, (CONCATENATE(AG34,AH34,AI34,AK34,AL34,AM34)),"")</f>
        <v/>
      </c>
      <c r="AQ63" s="101"/>
      <c r="AR63" s="101"/>
      <c r="AS63" s="101"/>
      <c r="AT63" s="768"/>
    </row>
    <row r="64" spans="2:46">
      <c r="B64" s="768"/>
      <c r="C64" s="880" t="str">
        <f>IF(D10="No", AO54, IF(D10="Yes", AP54, ""))</f>
        <v/>
      </c>
      <c r="D64" s="880"/>
      <c r="E64" s="881"/>
      <c r="F64" s="880"/>
      <c r="G64" s="880"/>
      <c r="H64" s="880"/>
      <c r="I64" s="880"/>
      <c r="J64" s="880"/>
      <c r="K64" s="880"/>
      <c r="L64" s="878"/>
      <c r="M64" s="882" t="str">
        <f>IF(D64="", "", IF(G11&lt;&gt;"Yes", 1, IF(D64="Existing Building", 1, MAX(AS6, AS7)+1)))</f>
        <v/>
      </c>
      <c r="N64" s="879"/>
      <c r="O64" s="878" t="str">
        <f t="shared" si="9"/>
        <v/>
      </c>
      <c r="P64" s="879"/>
      <c r="Q64" s="878" t="str">
        <f t="shared" si="8"/>
        <v/>
      </c>
      <c r="R64" s="788"/>
      <c r="S64" s="101"/>
      <c r="T64" s="101"/>
      <c r="U64" s="101"/>
      <c r="V64" s="101"/>
      <c r="W64" s="101"/>
      <c r="X64" s="101"/>
      <c r="Y64" s="101"/>
      <c r="Z64" s="101"/>
      <c r="AA64" s="101"/>
      <c r="AC64" s="101">
        <f>D9</f>
        <v>20</v>
      </c>
      <c r="AD64" s="9">
        <v>59</v>
      </c>
      <c r="AE64" s="9">
        <v>30</v>
      </c>
      <c r="AF64" s="101">
        <f>D7</f>
        <v>0</v>
      </c>
      <c r="AG64" s="9" t="s">
        <v>455</v>
      </c>
      <c r="AH64" s="9" t="str">
        <f t="shared" si="5"/>
        <v>0</v>
      </c>
      <c r="AI64" s="9" t="s">
        <v>7142</v>
      </c>
      <c r="AJ64" s="101" t="str">
        <f>D8</f>
        <v/>
      </c>
      <c r="AK64" s="9" t="str">
        <f t="shared" si="6"/>
        <v/>
      </c>
      <c r="AL64" s="9" t="s">
        <v>7142</v>
      </c>
      <c r="AM64" s="101">
        <v>59</v>
      </c>
      <c r="AN64" s="101"/>
      <c r="AO64" s="101" t="str">
        <f t="shared" si="7"/>
        <v/>
      </c>
      <c r="AP64" s="101" t="str">
        <f>IF(AD35&lt;=AC35, (CONCATENATE(AG35,AH35,AI35,AK35,AL35,AM35)),"")</f>
        <v/>
      </c>
      <c r="AQ64" s="101"/>
      <c r="AR64" s="101"/>
      <c r="AS64" s="101"/>
      <c r="AT64" s="768"/>
    </row>
    <row r="65" spans="2:46">
      <c r="B65" s="768"/>
      <c r="C65" s="880" t="str">
        <f>IF(D10="No", AO55, IF(D10="Yes", AP55, ""))</f>
        <v/>
      </c>
      <c r="D65" s="880"/>
      <c r="E65" s="881"/>
      <c r="F65" s="880"/>
      <c r="G65" s="880"/>
      <c r="H65" s="880"/>
      <c r="I65" s="880"/>
      <c r="J65" s="880"/>
      <c r="K65" s="880"/>
      <c r="L65" s="878"/>
      <c r="M65" s="882" t="str">
        <f>IF(D65="", "", IF(G11&lt;&gt;"Yes", 1, IF(D65="Existing Building", 1, MAX(AS6, AS7)+1)))</f>
        <v/>
      </c>
      <c r="N65" s="879"/>
      <c r="O65" s="878" t="str">
        <f t="shared" si="9"/>
        <v/>
      </c>
      <c r="P65" s="879"/>
      <c r="Q65" s="878" t="str">
        <f t="shared" si="8"/>
        <v/>
      </c>
      <c r="R65" s="788"/>
      <c r="S65" s="101"/>
      <c r="T65" s="101"/>
      <c r="U65" s="101"/>
      <c r="V65" s="101"/>
      <c r="W65" s="101"/>
      <c r="X65" s="101"/>
      <c r="Y65" s="101"/>
      <c r="Z65" s="101"/>
      <c r="AA65" s="101"/>
      <c r="AC65" s="101">
        <f>D9</f>
        <v>20</v>
      </c>
      <c r="AD65" s="9">
        <v>60</v>
      </c>
      <c r="AE65" s="9">
        <v>30</v>
      </c>
      <c r="AF65" s="101">
        <f>D7</f>
        <v>0</v>
      </c>
      <c r="AG65" s="9" t="s">
        <v>455</v>
      </c>
      <c r="AH65" s="9" t="str">
        <f t="shared" si="5"/>
        <v>0</v>
      </c>
      <c r="AI65" s="9" t="s">
        <v>7142</v>
      </c>
      <c r="AJ65" s="101" t="str">
        <f>D8</f>
        <v/>
      </c>
      <c r="AK65" s="9" t="str">
        <f t="shared" si="6"/>
        <v/>
      </c>
      <c r="AL65" s="9" t="s">
        <v>7142</v>
      </c>
      <c r="AM65" s="101">
        <v>60</v>
      </c>
      <c r="AN65" s="101"/>
      <c r="AO65" s="101" t="str">
        <f t="shared" si="7"/>
        <v/>
      </c>
      <c r="AP65" s="101" t="str">
        <f>IF(AD35&lt;=AC35, (CONCATENATE(AG35,AH35,AI35,AK35,AL35,AM35)),"")</f>
        <v/>
      </c>
      <c r="AQ65" s="101"/>
      <c r="AR65" s="101"/>
      <c r="AS65" s="101"/>
      <c r="AT65" s="768"/>
    </row>
    <row r="66" spans="2:46">
      <c r="B66" s="768"/>
      <c r="C66" s="877" t="str">
        <f>IF(D10="No", AO56, IF(D10="Yes", AP56, ""))</f>
        <v/>
      </c>
      <c r="D66" s="768"/>
      <c r="E66" s="876"/>
      <c r="F66" s="768"/>
      <c r="G66" s="768"/>
      <c r="H66" s="768"/>
      <c r="I66" s="768"/>
      <c r="J66" s="768"/>
      <c r="K66" s="768"/>
      <c r="L66" s="874"/>
      <c r="M66" s="882" t="str">
        <f>IF(D66="", "", IF(G11&lt;&gt;"Yes", 1, IF(D66="Existing Building", 1, MAX(AS6, AS7)+1)))</f>
        <v/>
      </c>
      <c r="N66" s="875"/>
      <c r="O66" s="874" t="str">
        <f t="shared" si="9"/>
        <v/>
      </c>
      <c r="P66" s="875"/>
      <c r="Q66" s="874" t="str">
        <f t="shared" si="8"/>
        <v/>
      </c>
      <c r="R66" s="788"/>
      <c r="S66" s="101"/>
      <c r="T66" s="101"/>
      <c r="U66" s="101"/>
      <c r="V66" s="101"/>
      <c r="W66" s="101"/>
      <c r="X66" s="101"/>
      <c r="Y66" s="101"/>
      <c r="Z66" s="101"/>
      <c r="AA66" s="101"/>
      <c r="AC66" s="101">
        <f>D9</f>
        <v>20</v>
      </c>
      <c r="AD66" s="9">
        <v>61</v>
      </c>
      <c r="AE66" s="9">
        <v>31</v>
      </c>
      <c r="AF66" s="101">
        <f>D7</f>
        <v>0</v>
      </c>
      <c r="AG66" s="9" t="s">
        <v>455</v>
      </c>
      <c r="AH66" s="9" t="str">
        <f t="shared" si="5"/>
        <v>0</v>
      </c>
      <c r="AI66" s="9" t="s">
        <v>7142</v>
      </c>
      <c r="AJ66" s="101" t="str">
        <f>D8</f>
        <v/>
      </c>
      <c r="AK66" s="9" t="str">
        <f t="shared" si="6"/>
        <v/>
      </c>
      <c r="AL66" s="9" t="s">
        <v>7142</v>
      </c>
      <c r="AM66" s="101">
        <v>61</v>
      </c>
      <c r="AN66" s="101"/>
      <c r="AO66" s="101" t="str">
        <f t="shared" si="7"/>
        <v/>
      </c>
      <c r="AP66" s="101" t="str">
        <f>IF(AD36&lt;=AC36, (CONCATENATE(AG36,AH36,AI36,AK36,AL36,AM36)),"")</f>
        <v/>
      </c>
      <c r="AQ66" s="101"/>
      <c r="AR66" s="101"/>
      <c r="AS66" s="101"/>
      <c r="AT66" s="768"/>
    </row>
    <row r="67" spans="2:46">
      <c r="B67" s="768"/>
      <c r="C67" s="768" t="str">
        <f>IF(D10="No", AO57, IF(D10="Yes", AP57, ""))</f>
        <v/>
      </c>
      <c r="D67" s="768"/>
      <c r="E67" s="876"/>
      <c r="F67" s="768"/>
      <c r="G67" s="768"/>
      <c r="H67" s="768"/>
      <c r="I67" s="768"/>
      <c r="J67" s="768"/>
      <c r="K67" s="768"/>
      <c r="L67" s="874"/>
      <c r="M67" s="882" t="str">
        <f>IF(D67="", "", IF(G11&lt;&gt;"Yes", 1, IF(D67="Existing Building", 1, MAX(AS6, AS7)+1)))</f>
        <v/>
      </c>
      <c r="N67" s="875"/>
      <c r="O67" s="874" t="str">
        <f t="shared" si="9"/>
        <v/>
      </c>
      <c r="P67" s="875"/>
      <c r="Q67" s="874" t="str">
        <f t="shared" si="8"/>
        <v/>
      </c>
      <c r="R67" s="788"/>
      <c r="S67" s="101"/>
      <c r="T67" s="101"/>
      <c r="U67" s="101"/>
      <c r="V67" s="101"/>
      <c r="W67" s="101"/>
      <c r="X67" s="101"/>
      <c r="Y67" s="101"/>
      <c r="Z67" s="101"/>
      <c r="AA67" s="101"/>
      <c r="AC67" s="101">
        <f>D9</f>
        <v>20</v>
      </c>
      <c r="AD67" s="9">
        <v>62</v>
      </c>
      <c r="AE67" s="9">
        <v>31</v>
      </c>
      <c r="AF67" s="101">
        <f>D7</f>
        <v>0</v>
      </c>
      <c r="AG67" s="9" t="s">
        <v>455</v>
      </c>
      <c r="AH67" s="9" t="str">
        <f t="shared" si="5"/>
        <v>0</v>
      </c>
      <c r="AI67" s="9" t="s">
        <v>7142</v>
      </c>
      <c r="AJ67" s="101" t="str">
        <f>D8</f>
        <v/>
      </c>
      <c r="AK67" s="9" t="str">
        <f t="shared" si="6"/>
        <v/>
      </c>
      <c r="AL67" s="9" t="s">
        <v>7142</v>
      </c>
      <c r="AM67" s="101">
        <v>62</v>
      </c>
      <c r="AN67" s="101"/>
      <c r="AO67" s="101" t="str">
        <f t="shared" si="7"/>
        <v/>
      </c>
      <c r="AP67" s="101" t="str">
        <f>IF(AD36&lt;=AC36, (CONCATENATE(AG36,AH36,AI36,AK36,AL36,AM36)),"")</f>
        <v/>
      </c>
      <c r="AQ67" s="101"/>
      <c r="AR67" s="101"/>
      <c r="AS67" s="101"/>
      <c r="AT67" s="768"/>
    </row>
    <row r="68" spans="2:46">
      <c r="B68" s="768"/>
      <c r="C68" s="768" t="str">
        <f>IF(D10="No", AO58, IF(D10="Yes", AP58, ""))</f>
        <v/>
      </c>
      <c r="D68" s="768"/>
      <c r="E68" s="876"/>
      <c r="F68" s="768"/>
      <c r="G68" s="768"/>
      <c r="H68" s="768"/>
      <c r="I68" s="768"/>
      <c r="J68" s="768"/>
      <c r="K68" s="768"/>
      <c r="L68" s="874"/>
      <c r="M68" s="882" t="str">
        <f>IF(D68="", "", IF(G11&lt;&gt;"Yes", 1, IF(D68="Existing Building", 1, MAX(AS6, AS7)+1)))</f>
        <v/>
      </c>
      <c r="N68" s="875"/>
      <c r="O68" s="874" t="str">
        <f t="shared" si="9"/>
        <v/>
      </c>
      <c r="P68" s="875"/>
      <c r="Q68" s="874" t="str">
        <f t="shared" si="8"/>
        <v/>
      </c>
      <c r="R68" s="788"/>
      <c r="S68" s="101"/>
      <c r="T68" s="101"/>
      <c r="U68" s="101"/>
      <c r="V68" s="101"/>
      <c r="W68" s="101"/>
      <c r="X68" s="101"/>
      <c r="Y68" s="101"/>
      <c r="Z68" s="101"/>
      <c r="AA68" s="101"/>
      <c r="AC68" s="101">
        <f>D9</f>
        <v>20</v>
      </c>
      <c r="AD68" s="9">
        <v>63</v>
      </c>
      <c r="AE68" s="9">
        <v>32</v>
      </c>
      <c r="AF68" s="101">
        <f>D7</f>
        <v>0</v>
      </c>
      <c r="AG68" s="9" t="s">
        <v>455</v>
      </c>
      <c r="AH68" s="9" t="str">
        <f t="shared" si="5"/>
        <v>0</v>
      </c>
      <c r="AI68" s="9" t="s">
        <v>7142</v>
      </c>
      <c r="AJ68" s="101" t="str">
        <f>D8</f>
        <v/>
      </c>
      <c r="AK68" s="9" t="str">
        <f t="shared" si="6"/>
        <v/>
      </c>
      <c r="AL68" s="9" t="s">
        <v>7142</v>
      </c>
      <c r="AM68" s="101">
        <v>63</v>
      </c>
      <c r="AN68" s="101"/>
      <c r="AO68" s="101" t="str">
        <f t="shared" si="7"/>
        <v/>
      </c>
      <c r="AP68" s="101" t="str">
        <f>IF(AD37&lt;=AC37, (CONCATENATE(AG37,AH37,AI37,AK37,AL37,AM37)),"")</f>
        <v/>
      </c>
      <c r="AQ68" s="101"/>
      <c r="AR68" s="101"/>
      <c r="AS68" s="101"/>
      <c r="AT68" s="768"/>
    </row>
    <row r="69" spans="2:46">
      <c r="B69" s="768"/>
      <c r="C69" s="768" t="str">
        <f>IF(D10="No", AO59, IF(D10="Yes", AP59, ""))</f>
        <v/>
      </c>
      <c r="D69" s="768"/>
      <c r="E69" s="876"/>
      <c r="F69" s="768"/>
      <c r="G69" s="768"/>
      <c r="H69" s="768"/>
      <c r="I69" s="768"/>
      <c r="J69" s="768"/>
      <c r="K69" s="768"/>
      <c r="L69" s="874"/>
      <c r="M69" s="882" t="str">
        <f>IF(D69="", "", IF(G11&lt;&gt;"Yes", 1, IF(D69="Existing Building", 1, MAX(AS6, AS7)+1)))</f>
        <v/>
      </c>
      <c r="N69" s="875"/>
      <c r="O69" s="874" t="str">
        <f t="shared" si="9"/>
        <v/>
      </c>
      <c r="P69" s="875"/>
      <c r="Q69" s="874" t="str">
        <f t="shared" si="8"/>
        <v/>
      </c>
      <c r="R69" s="788"/>
      <c r="S69" s="101"/>
      <c r="T69" s="101"/>
      <c r="U69" s="101"/>
      <c r="V69" s="101"/>
      <c r="W69" s="101"/>
      <c r="X69" s="101"/>
      <c r="Y69" s="101"/>
      <c r="Z69" s="101"/>
      <c r="AA69" s="101"/>
      <c r="AC69" s="101">
        <f>D9</f>
        <v>20</v>
      </c>
      <c r="AD69" s="9">
        <v>64</v>
      </c>
      <c r="AE69" s="9">
        <v>32</v>
      </c>
      <c r="AF69" s="101">
        <f>D7</f>
        <v>0</v>
      </c>
      <c r="AG69" s="9" t="s">
        <v>455</v>
      </c>
      <c r="AH69" s="9" t="str">
        <f t="shared" si="5"/>
        <v>0</v>
      </c>
      <c r="AI69" s="9" t="s">
        <v>7142</v>
      </c>
      <c r="AJ69" s="101" t="str">
        <f>D8</f>
        <v/>
      </c>
      <c r="AK69" s="9" t="str">
        <f t="shared" si="6"/>
        <v/>
      </c>
      <c r="AL69" s="9" t="s">
        <v>7142</v>
      </c>
      <c r="AM69" s="101">
        <v>64</v>
      </c>
      <c r="AN69" s="101"/>
      <c r="AO69" s="101" t="str">
        <f t="shared" si="7"/>
        <v/>
      </c>
      <c r="AP69" s="101" t="str">
        <f>IF(AD37&lt;=AC37, (CONCATENATE(AG37,AH37,AI37,AK37,AL37,AM37)),"")</f>
        <v/>
      </c>
      <c r="AQ69" s="101"/>
      <c r="AR69" s="101"/>
      <c r="AS69" s="101"/>
      <c r="AT69" s="768"/>
    </row>
    <row r="70" spans="2:46">
      <c r="B70" s="768"/>
      <c r="C70" s="768" t="str">
        <f>IF(D10="No", AO60, IF(D10="Yes", AP60, ""))</f>
        <v/>
      </c>
      <c r="D70" s="768"/>
      <c r="E70" s="876"/>
      <c r="F70" s="768"/>
      <c r="G70" s="768"/>
      <c r="H70" s="768"/>
      <c r="I70" s="768"/>
      <c r="J70" s="768"/>
      <c r="K70" s="768"/>
      <c r="L70" s="874"/>
      <c r="M70" s="882" t="str">
        <f>IF(D70="", "", IF(G11&lt;&gt;"Yes", 1, IF(D70="Existing Building", 1, MAX(AS6, AS7)+1)))</f>
        <v/>
      </c>
      <c r="N70" s="875"/>
      <c r="O70" s="874" t="str">
        <f t="shared" si="9"/>
        <v/>
      </c>
      <c r="P70" s="875"/>
      <c r="Q70" s="874" t="str">
        <f t="shared" si="8"/>
        <v/>
      </c>
      <c r="R70" s="788"/>
      <c r="S70" s="101"/>
      <c r="T70" s="101"/>
      <c r="U70" s="101"/>
      <c r="V70" s="101"/>
      <c r="W70" s="101"/>
      <c r="X70" s="101"/>
      <c r="Y70" s="101"/>
      <c r="Z70" s="101"/>
      <c r="AA70" s="101"/>
      <c r="AC70" s="101">
        <f>D9</f>
        <v>20</v>
      </c>
      <c r="AD70" s="9">
        <v>65</v>
      </c>
      <c r="AE70" s="9">
        <v>33</v>
      </c>
      <c r="AF70" s="101">
        <f>D7</f>
        <v>0</v>
      </c>
      <c r="AG70" s="9" t="s">
        <v>455</v>
      </c>
      <c r="AH70" s="9" t="str">
        <f t="shared" ref="AH70:AH105" si="10">RIGHT(AF70,2)</f>
        <v>0</v>
      </c>
      <c r="AI70" s="9" t="s">
        <v>7142</v>
      </c>
      <c r="AJ70" s="101" t="str">
        <f>D8</f>
        <v/>
      </c>
      <c r="AK70" s="9" t="str">
        <f t="shared" ref="AK70:AK101" si="11">RIGHT(AJ70,3)</f>
        <v/>
      </c>
      <c r="AL70" s="9" t="s">
        <v>7142</v>
      </c>
      <c r="AM70" s="101">
        <v>65</v>
      </c>
      <c r="AN70" s="101"/>
      <c r="AO70" s="101" t="str">
        <f t="shared" ref="AO70:AO105" si="12">IF(AD70&lt;=AC70, (CONCATENATE(AG70,AH70,AI70,AK70,AL70,AM70)),"")</f>
        <v/>
      </c>
      <c r="AP70" s="101" t="str">
        <f>IF(AD38&lt;=AC38, (CONCATENATE(AG38,AH38,AI38,AK38,AL38,AM38)),"")</f>
        <v/>
      </c>
      <c r="AQ70" s="101"/>
      <c r="AR70" s="101"/>
      <c r="AS70" s="101"/>
      <c r="AT70" s="768"/>
    </row>
    <row r="71" spans="2:46">
      <c r="B71" s="768"/>
      <c r="C71" s="768" t="str">
        <f>IF(D10="No", AO61, IF(D10="Yes", AP61, ""))</f>
        <v/>
      </c>
      <c r="D71" s="768"/>
      <c r="E71" s="876"/>
      <c r="F71" s="768"/>
      <c r="G71" s="768"/>
      <c r="H71" s="768"/>
      <c r="I71" s="768"/>
      <c r="J71" s="768"/>
      <c r="K71" s="768"/>
      <c r="L71" s="874"/>
      <c r="M71" s="882" t="str">
        <f>IF(D71="", "", IF(G11&lt;&gt;"Yes", 1, IF(D71="Existing Building", 1, MAX(AS6, AS7)+1)))</f>
        <v/>
      </c>
      <c r="N71" s="875"/>
      <c r="O71" s="874" t="str">
        <f t="shared" si="9"/>
        <v/>
      </c>
      <c r="P71" s="875"/>
      <c r="Q71" s="874" t="str">
        <f t="shared" si="8"/>
        <v/>
      </c>
      <c r="R71" s="788"/>
      <c r="S71" s="101"/>
      <c r="T71" s="101"/>
      <c r="U71" s="101"/>
      <c r="V71" s="101"/>
      <c r="W71" s="101"/>
      <c r="X71" s="101"/>
      <c r="Y71" s="101"/>
      <c r="Z71" s="101"/>
      <c r="AA71" s="101"/>
      <c r="AC71" s="101">
        <f>D9</f>
        <v>20</v>
      </c>
      <c r="AD71" s="9">
        <v>66</v>
      </c>
      <c r="AE71" s="9">
        <v>33</v>
      </c>
      <c r="AF71" s="101">
        <f>D7</f>
        <v>0</v>
      </c>
      <c r="AG71" s="9" t="s">
        <v>455</v>
      </c>
      <c r="AH71" s="9" t="str">
        <f t="shared" si="10"/>
        <v>0</v>
      </c>
      <c r="AI71" s="9" t="s">
        <v>7142</v>
      </c>
      <c r="AJ71" s="101" t="str">
        <f>D8</f>
        <v/>
      </c>
      <c r="AK71" s="9" t="str">
        <f t="shared" si="11"/>
        <v/>
      </c>
      <c r="AL71" s="9" t="s">
        <v>7142</v>
      </c>
      <c r="AM71" s="101">
        <v>66</v>
      </c>
      <c r="AN71" s="101"/>
      <c r="AO71" s="101" t="str">
        <f t="shared" si="12"/>
        <v/>
      </c>
      <c r="AP71" s="101" t="str">
        <f>IF(AD38&lt;=AC38, (CONCATENATE(AG38,AH38,AI38,AK38,AL38,AM38)),"")</f>
        <v/>
      </c>
      <c r="AQ71" s="101"/>
      <c r="AR71" s="101"/>
      <c r="AS71" s="101"/>
      <c r="AT71" s="768"/>
    </row>
    <row r="72" spans="2:46">
      <c r="B72" s="768"/>
      <c r="C72" s="768" t="str">
        <f>IF(D10="No", AO62, IF(D10="Yes", AP62, ""))</f>
        <v/>
      </c>
      <c r="D72" s="768"/>
      <c r="E72" s="876"/>
      <c r="F72" s="768"/>
      <c r="G72" s="768"/>
      <c r="H72" s="768"/>
      <c r="I72" s="768"/>
      <c r="J72" s="768"/>
      <c r="K72" s="768"/>
      <c r="L72" s="874"/>
      <c r="M72" s="882" t="str">
        <f>IF(D72="", "", IF(G11&lt;&gt;"Yes", 1, IF(D72="Existing Building", 1, MAX(AS6, AS7)+1)))</f>
        <v/>
      </c>
      <c r="N72" s="875"/>
      <c r="O72" s="874" t="str">
        <f t="shared" si="9"/>
        <v/>
      </c>
      <c r="P72" s="875"/>
      <c r="Q72" s="874" t="str">
        <f t="shared" si="8"/>
        <v/>
      </c>
      <c r="R72" s="788"/>
      <c r="S72" s="101"/>
      <c r="T72" s="101"/>
      <c r="U72" s="101"/>
      <c r="V72" s="101"/>
      <c r="W72" s="101"/>
      <c r="X72" s="101"/>
      <c r="Y72" s="101"/>
      <c r="Z72" s="101"/>
      <c r="AA72" s="101"/>
      <c r="AC72" s="101">
        <f>D9</f>
        <v>20</v>
      </c>
      <c r="AD72" s="9">
        <v>67</v>
      </c>
      <c r="AE72" s="9">
        <v>34</v>
      </c>
      <c r="AF72" s="101">
        <f>D7</f>
        <v>0</v>
      </c>
      <c r="AG72" s="9" t="s">
        <v>455</v>
      </c>
      <c r="AH72" s="9" t="str">
        <f t="shared" si="10"/>
        <v>0</v>
      </c>
      <c r="AI72" s="9" t="s">
        <v>7142</v>
      </c>
      <c r="AJ72" s="101" t="str">
        <f>D8</f>
        <v/>
      </c>
      <c r="AK72" s="9" t="str">
        <f t="shared" si="11"/>
        <v/>
      </c>
      <c r="AL72" s="9" t="s">
        <v>7142</v>
      </c>
      <c r="AM72" s="101">
        <v>67</v>
      </c>
      <c r="AN72" s="101"/>
      <c r="AO72" s="101" t="str">
        <f t="shared" si="12"/>
        <v/>
      </c>
      <c r="AP72" s="101" t="str">
        <f>IF(AD39&lt;=AC39, (CONCATENATE(AG39,AH39,AI39,AK39,AL39,AM39)),"")</f>
        <v/>
      </c>
      <c r="AQ72" s="101"/>
      <c r="AR72" s="101"/>
      <c r="AS72" s="101"/>
      <c r="AT72" s="768"/>
    </row>
    <row r="73" spans="2:46">
      <c r="B73" s="768"/>
      <c r="C73" s="768" t="str">
        <f>IF(D10="No", AO63, IF(D10="Yes", AP63, ""))</f>
        <v/>
      </c>
      <c r="D73" s="768"/>
      <c r="E73" s="876"/>
      <c r="F73" s="768"/>
      <c r="G73" s="768"/>
      <c r="H73" s="768"/>
      <c r="I73" s="768"/>
      <c r="J73" s="768"/>
      <c r="K73" s="768"/>
      <c r="L73" s="874"/>
      <c r="M73" s="882" t="str">
        <f>IF(D73="", "", IF(G11&lt;&gt;"Yes", 1, IF(D73="Existing Building", 1, MAX(AS6, AS7)+1)))</f>
        <v/>
      </c>
      <c r="N73" s="875"/>
      <c r="O73" s="874" t="str">
        <f t="shared" si="9"/>
        <v/>
      </c>
      <c r="P73" s="875"/>
      <c r="Q73" s="874" t="str">
        <f t="shared" si="8"/>
        <v/>
      </c>
      <c r="R73" s="788"/>
      <c r="S73" s="101"/>
      <c r="T73" s="101"/>
      <c r="U73" s="101"/>
      <c r="V73" s="101"/>
      <c r="W73" s="101"/>
      <c r="X73" s="101"/>
      <c r="Y73" s="101"/>
      <c r="Z73" s="101"/>
      <c r="AA73" s="101"/>
      <c r="AC73" s="101">
        <f>D9</f>
        <v>20</v>
      </c>
      <c r="AD73" s="9">
        <v>68</v>
      </c>
      <c r="AE73" s="9">
        <v>34</v>
      </c>
      <c r="AF73" s="101">
        <f>D7</f>
        <v>0</v>
      </c>
      <c r="AG73" s="9" t="s">
        <v>455</v>
      </c>
      <c r="AH73" s="9" t="str">
        <f t="shared" si="10"/>
        <v>0</v>
      </c>
      <c r="AI73" s="9" t="s">
        <v>7142</v>
      </c>
      <c r="AJ73" s="101" t="str">
        <f>D8</f>
        <v/>
      </c>
      <c r="AK73" s="9" t="str">
        <f t="shared" si="11"/>
        <v/>
      </c>
      <c r="AL73" s="9" t="s">
        <v>7142</v>
      </c>
      <c r="AM73" s="101">
        <v>68</v>
      </c>
      <c r="AN73" s="101"/>
      <c r="AO73" s="101" t="str">
        <f t="shared" si="12"/>
        <v/>
      </c>
      <c r="AP73" s="101" t="str">
        <f>IF(AD39&lt;=AC39, (CONCATENATE(AG39,AH39,AI39,AK39,AL39,AM39)),"")</f>
        <v/>
      </c>
      <c r="AQ73" s="101"/>
      <c r="AR73" s="101"/>
      <c r="AS73" s="101"/>
      <c r="AT73" s="768"/>
    </row>
    <row r="74" spans="2:46">
      <c r="B74" s="768"/>
      <c r="C74" s="768" t="str">
        <f>IF(D10="No", AO64, IF(D10="Yes", AP64, ""))</f>
        <v/>
      </c>
      <c r="D74" s="768"/>
      <c r="E74" s="876"/>
      <c r="F74" s="768"/>
      <c r="G74" s="768"/>
      <c r="H74" s="768"/>
      <c r="I74" s="768"/>
      <c r="J74" s="768"/>
      <c r="K74" s="768"/>
      <c r="L74" s="874"/>
      <c r="M74" s="882" t="str">
        <f>IF(D74="", "", IF(G11&lt;&gt;"Yes", 1, IF(D74="Existing Building", 1, MAX(AS6, AS7)+1)))</f>
        <v/>
      </c>
      <c r="N74" s="875"/>
      <c r="O74" s="874" t="str">
        <f t="shared" si="9"/>
        <v/>
      </c>
      <c r="P74" s="875"/>
      <c r="Q74" s="874" t="str">
        <f t="shared" si="8"/>
        <v/>
      </c>
      <c r="R74" s="788"/>
      <c r="S74" s="101"/>
      <c r="T74" s="101"/>
      <c r="U74" s="101"/>
      <c r="V74" s="101"/>
      <c r="W74" s="101"/>
      <c r="X74" s="101"/>
      <c r="Y74" s="101"/>
      <c r="Z74" s="101"/>
      <c r="AA74" s="101"/>
      <c r="AC74" s="101">
        <f>D9</f>
        <v>20</v>
      </c>
      <c r="AD74" s="9">
        <v>69</v>
      </c>
      <c r="AE74" s="9">
        <v>35</v>
      </c>
      <c r="AF74" s="101">
        <f>D7</f>
        <v>0</v>
      </c>
      <c r="AG74" s="9" t="s">
        <v>455</v>
      </c>
      <c r="AH74" s="9" t="str">
        <f t="shared" si="10"/>
        <v>0</v>
      </c>
      <c r="AI74" s="9" t="s">
        <v>7142</v>
      </c>
      <c r="AJ74" s="101" t="str">
        <f>D8</f>
        <v/>
      </c>
      <c r="AK74" s="9" t="str">
        <f t="shared" si="11"/>
        <v/>
      </c>
      <c r="AL74" s="9" t="s">
        <v>7142</v>
      </c>
      <c r="AM74" s="101">
        <v>69</v>
      </c>
      <c r="AN74" s="101"/>
      <c r="AO74" s="101" t="str">
        <f t="shared" si="12"/>
        <v/>
      </c>
      <c r="AP74" s="101" t="str">
        <f>IF(AD40&lt;=AC40, (CONCATENATE(AG40,AH40,AI40,AK40,AL40,AM40)),"")</f>
        <v/>
      </c>
      <c r="AQ74" s="101"/>
      <c r="AR74" s="101"/>
      <c r="AS74" s="101"/>
      <c r="AT74" s="768"/>
    </row>
    <row r="75" spans="2:46">
      <c r="B75" s="768"/>
      <c r="C75" s="768" t="str">
        <f>IF(D10="No", AO65, IF(D10="Yes", AP65, ""))</f>
        <v/>
      </c>
      <c r="D75" s="768"/>
      <c r="E75" s="876"/>
      <c r="F75" s="768"/>
      <c r="G75" s="768"/>
      <c r="H75" s="768"/>
      <c r="I75" s="768"/>
      <c r="J75" s="768"/>
      <c r="K75" s="768"/>
      <c r="L75" s="874"/>
      <c r="M75" s="882" t="str">
        <f>IF(D75="", "", IF(G11&lt;&gt;"Yes", 1, IF(D75="Existing Building", 1, MAX(AS6, AS7)+1)))</f>
        <v/>
      </c>
      <c r="N75" s="875"/>
      <c r="O75" s="874" t="str">
        <f t="shared" si="9"/>
        <v/>
      </c>
      <c r="P75" s="875"/>
      <c r="Q75" s="874" t="str">
        <f t="shared" si="8"/>
        <v/>
      </c>
      <c r="R75" s="788"/>
      <c r="S75" s="101"/>
      <c r="T75" s="101"/>
      <c r="U75" s="101"/>
      <c r="V75" s="101"/>
      <c r="W75" s="101"/>
      <c r="X75" s="101"/>
      <c r="Y75" s="101"/>
      <c r="Z75" s="101"/>
      <c r="AA75" s="101"/>
      <c r="AC75" s="101">
        <f>D9</f>
        <v>20</v>
      </c>
      <c r="AD75" s="9">
        <v>70</v>
      </c>
      <c r="AE75" s="9">
        <v>35</v>
      </c>
      <c r="AF75" s="101">
        <f>D7</f>
        <v>0</v>
      </c>
      <c r="AG75" s="9" t="s">
        <v>455</v>
      </c>
      <c r="AH75" s="9" t="str">
        <f t="shared" si="10"/>
        <v>0</v>
      </c>
      <c r="AI75" s="9" t="s">
        <v>7142</v>
      </c>
      <c r="AJ75" s="101" t="str">
        <f>D8</f>
        <v/>
      </c>
      <c r="AK75" s="9" t="str">
        <f t="shared" si="11"/>
        <v/>
      </c>
      <c r="AL75" s="9" t="s">
        <v>7142</v>
      </c>
      <c r="AM75" s="101">
        <v>70</v>
      </c>
      <c r="AN75" s="101"/>
      <c r="AO75" s="101" t="str">
        <f t="shared" si="12"/>
        <v/>
      </c>
      <c r="AP75" s="101" t="str">
        <f>IF(AD40&lt;=AC40, (CONCATENATE(AG40,AH40,AI40,AK40,AL40,AM40)),"")</f>
        <v/>
      </c>
      <c r="AQ75" s="101"/>
      <c r="AR75" s="101"/>
      <c r="AS75" s="101"/>
      <c r="AT75" s="768"/>
    </row>
    <row r="76" spans="2:46">
      <c r="B76" s="768"/>
      <c r="C76" s="768" t="str">
        <f>IF(D10="No", AO66, IF(D10="Yes", AP66, ""))</f>
        <v/>
      </c>
      <c r="D76" s="768"/>
      <c r="E76" s="876"/>
      <c r="F76" s="768"/>
      <c r="G76" s="768"/>
      <c r="H76" s="768"/>
      <c r="I76" s="768"/>
      <c r="J76" s="768"/>
      <c r="K76" s="768"/>
      <c r="L76" s="874"/>
      <c r="M76" s="882" t="str">
        <f>IF(D76="", "", IF(G11&lt;&gt;"Yes", 1, IF(D76="Existing Building", 1, MAX(AS6, AS7)+1)))</f>
        <v/>
      </c>
      <c r="N76" s="875"/>
      <c r="O76" s="874" t="str">
        <f t="shared" si="9"/>
        <v/>
      </c>
      <c r="P76" s="875"/>
      <c r="Q76" s="874" t="str">
        <f t="shared" si="8"/>
        <v/>
      </c>
      <c r="R76" s="788"/>
      <c r="S76" s="101"/>
      <c r="T76" s="101"/>
      <c r="U76" s="101"/>
      <c r="V76" s="101"/>
      <c r="W76" s="101"/>
      <c r="X76" s="101"/>
      <c r="Y76" s="101"/>
      <c r="Z76" s="101"/>
      <c r="AA76" s="101"/>
      <c r="AC76" s="101">
        <f>D9</f>
        <v>20</v>
      </c>
      <c r="AD76" s="9">
        <v>71</v>
      </c>
      <c r="AE76" s="9">
        <v>36</v>
      </c>
      <c r="AF76" s="101">
        <f>D7</f>
        <v>0</v>
      </c>
      <c r="AG76" s="9" t="s">
        <v>455</v>
      </c>
      <c r="AH76" s="9" t="str">
        <f t="shared" si="10"/>
        <v>0</v>
      </c>
      <c r="AI76" s="9" t="s">
        <v>7142</v>
      </c>
      <c r="AJ76" s="101" t="str">
        <f>D8</f>
        <v/>
      </c>
      <c r="AK76" s="9" t="str">
        <f t="shared" si="11"/>
        <v/>
      </c>
      <c r="AL76" s="9" t="s">
        <v>7142</v>
      </c>
      <c r="AM76" s="101">
        <v>71</v>
      </c>
      <c r="AN76" s="101"/>
      <c r="AO76" s="101" t="str">
        <f t="shared" si="12"/>
        <v/>
      </c>
      <c r="AP76" s="101" t="str">
        <f>IF(AD41&lt;=AC41, (CONCATENATE(AG41,AH41,AI41,AK41,AL41,AM41)),"")</f>
        <v/>
      </c>
      <c r="AQ76" s="101"/>
      <c r="AR76" s="101"/>
      <c r="AS76" s="101"/>
      <c r="AT76" s="768"/>
    </row>
    <row r="77" spans="2:46">
      <c r="B77" s="768"/>
      <c r="C77" s="768" t="str">
        <f>IF(D10="No", AO67, IF(D10="Yes", AP67, ""))</f>
        <v/>
      </c>
      <c r="D77" s="768"/>
      <c r="E77" s="876"/>
      <c r="F77" s="768"/>
      <c r="G77" s="768"/>
      <c r="H77" s="768"/>
      <c r="I77" s="768"/>
      <c r="J77" s="768"/>
      <c r="K77" s="768"/>
      <c r="L77" s="874"/>
      <c r="M77" s="882" t="str">
        <f>IF(D77="", "", IF(G11&lt;&gt;"Yes", 1, IF(D77="Existing Building", 1, MAX(AS6, AS7)+1)))</f>
        <v/>
      </c>
      <c r="N77" s="875"/>
      <c r="O77" s="874" t="str">
        <f t="shared" si="9"/>
        <v/>
      </c>
      <c r="P77" s="875"/>
      <c r="Q77" s="874" t="str">
        <f t="shared" si="8"/>
        <v/>
      </c>
      <c r="R77" s="788"/>
      <c r="S77" s="101"/>
      <c r="T77" s="101"/>
      <c r="U77" s="101"/>
      <c r="V77" s="101"/>
      <c r="W77" s="101"/>
      <c r="X77" s="101"/>
      <c r="Y77" s="101"/>
      <c r="Z77" s="101"/>
      <c r="AA77" s="101"/>
      <c r="AC77" s="101">
        <f>D9</f>
        <v>20</v>
      </c>
      <c r="AD77" s="9">
        <v>72</v>
      </c>
      <c r="AE77" s="9">
        <v>36</v>
      </c>
      <c r="AF77" s="101">
        <f>D7</f>
        <v>0</v>
      </c>
      <c r="AG77" s="9" t="s">
        <v>455</v>
      </c>
      <c r="AH77" s="9" t="str">
        <f t="shared" si="10"/>
        <v>0</v>
      </c>
      <c r="AI77" s="9" t="s">
        <v>7142</v>
      </c>
      <c r="AJ77" s="101" t="str">
        <f>D8</f>
        <v/>
      </c>
      <c r="AK77" s="9" t="str">
        <f t="shared" si="11"/>
        <v/>
      </c>
      <c r="AL77" s="9" t="s">
        <v>7142</v>
      </c>
      <c r="AM77" s="101">
        <v>72</v>
      </c>
      <c r="AN77" s="101"/>
      <c r="AO77" s="101" t="str">
        <f t="shared" si="12"/>
        <v/>
      </c>
      <c r="AP77" s="101" t="str">
        <f>IF(AD41&lt;=AC41, (CONCATENATE(AG41,AH41,AI41,AK41,AL41,AM41)),"")</f>
        <v/>
      </c>
      <c r="AQ77" s="101"/>
      <c r="AR77" s="101"/>
      <c r="AS77" s="101"/>
      <c r="AT77" s="768"/>
    </row>
    <row r="78" spans="2:46">
      <c r="B78" s="768"/>
      <c r="C78" s="768" t="str">
        <f>IF(D10="No", AO68, IF(D10="Yes", AP68, ""))</f>
        <v/>
      </c>
      <c r="D78" s="768"/>
      <c r="E78" s="876"/>
      <c r="F78" s="768"/>
      <c r="G78" s="768"/>
      <c r="H78" s="768"/>
      <c r="I78" s="768"/>
      <c r="J78" s="768"/>
      <c r="K78" s="768"/>
      <c r="L78" s="874"/>
      <c r="M78" s="882" t="str">
        <f>IF(D78="", "", IF(G11&lt;&gt;"Yes", 1, IF(D78="Existing Building", 1, MAX(AS6, AS7)+1)))</f>
        <v/>
      </c>
      <c r="N78" s="875"/>
      <c r="O78" s="874" t="str">
        <f t="shared" si="9"/>
        <v/>
      </c>
      <c r="P78" s="875"/>
      <c r="Q78" s="874" t="str">
        <f t="shared" si="8"/>
        <v/>
      </c>
      <c r="R78" s="788"/>
      <c r="S78" s="101"/>
      <c r="T78" s="101"/>
      <c r="U78" s="101"/>
      <c r="V78" s="101"/>
      <c r="W78" s="101"/>
      <c r="X78" s="101"/>
      <c r="Y78" s="101"/>
      <c r="Z78" s="101"/>
      <c r="AA78" s="101"/>
      <c r="AC78" s="101">
        <f>D9</f>
        <v>20</v>
      </c>
      <c r="AD78" s="9">
        <v>73</v>
      </c>
      <c r="AE78" s="9">
        <v>37</v>
      </c>
      <c r="AF78" s="101">
        <f>D7</f>
        <v>0</v>
      </c>
      <c r="AG78" s="9" t="s">
        <v>455</v>
      </c>
      <c r="AH78" s="9" t="str">
        <f t="shared" si="10"/>
        <v>0</v>
      </c>
      <c r="AI78" s="9" t="s">
        <v>7142</v>
      </c>
      <c r="AJ78" s="101" t="str">
        <f>D8</f>
        <v/>
      </c>
      <c r="AK78" s="9" t="str">
        <f t="shared" si="11"/>
        <v/>
      </c>
      <c r="AL78" s="9" t="s">
        <v>7142</v>
      </c>
      <c r="AM78" s="101">
        <v>73</v>
      </c>
      <c r="AN78" s="101"/>
      <c r="AO78" s="101" t="str">
        <f t="shared" si="12"/>
        <v/>
      </c>
      <c r="AP78" s="101" t="str">
        <f>IF(AD42&lt;=AC42, (CONCATENATE(AG42,AH42,AI42,AK42,AL42,AM42)),"")</f>
        <v/>
      </c>
      <c r="AQ78" s="101"/>
      <c r="AR78" s="101"/>
      <c r="AS78" s="101"/>
      <c r="AT78" s="768"/>
    </row>
    <row r="79" spans="2:46">
      <c r="B79" s="768"/>
      <c r="C79" s="768" t="str">
        <f>IF(D10="No", AO69, IF(D10="Yes", AP69, ""))</f>
        <v/>
      </c>
      <c r="D79" s="768"/>
      <c r="E79" s="876"/>
      <c r="F79" s="768"/>
      <c r="G79" s="768"/>
      <c r="H79" s="768"/>
      <c r="I79" s="768"/>
      <c r="J79" s="768"/>
      <c r="K79" s="768"/>
      <c r="L79" s="874"/>
      <c r="M79" s="882" t="str">
        <f>IF(D79="", "", IF(G11&lt;&gt;"Yes", 1, IF(D79="Existing Building", 1, MAX(AS6, AS7)+1)))</f>
        <v/>
      </c>
      <c r="N79" s="875"/>
      <c r="O79" s="874" t="str">
        <f t="shared" si="9"/>
        <v/>
      </c>
      <c r="P79" s="875"/>
      <c r="Q79" s="874" t="str">
        <f t="shared" si="8"/>
        <v/>
      </c>
      <c r="R79" s="788"/>
      <c r="S79" s="101"/>
      <c r="T79" s="101"/>
      <c r="U79" s="101"/>
      <c r="V79" s="101"/>
      <c r="W79" s="101"/>
      <c r="X79" s="101"/>
      <c r="Y79" s="101"/>
      <c r="Z79" s="101"/>
      <c r="AA79" s="101"/>
      <c r="AC79" s="101">
        <f>D9</f>
        <v>20</v>
      </c>
      <c r="AD79" s="9">
        <v>74</v>
      </c>
      <c r="AE79" s="9">
        <v>37</v>
      </c>
      <c r="AF79" s="101">
        <f>D7</f>
        <v>0</v>
      </c>
      <c r="AG79" s="9" t="s">
        <v>455</v>
      </c>
      <c r="AH79" s="9" t="str">
        <f t="shared" si="10"/>
        <v>0</v>
      </c>
      <c r="AI79" s="9" t="s">
        <v>7142</v>
      </c>
      <c r="AJ79" s="101" t="str">
        <f>D8</f>
        <v/>
      </c>
      <c r="AK79" s="9" t="str">
        <f t="shared" si="11"/>
        <v/>
      </c>
      <c r="AL79" s="9" t="s">
        <v>7142</v>
      </c>
      <c r="AM79" s="101">
        <v>74</v>
      </c>
      <c r="AN79" s="101"/>
      <c r="AO79" s="101" t="str">
        <f t="shared" si="12"/>
        <v/>
      </c>
      <c r="AP79" s="101" t="str">
        <f>IF(AD42&lt;=AC42, (CONCATENATE(AG42,AH42,AI42,AK42,AL42,AM42)),"")</f>
        <v/>
      </c>
      <c r="AQ79" s="101"/>
      <c r="AR79" s="101"/>
      <c r="AS79" s="101"/>
      <c r="AT79" s="768"/>
    </row>
    <row r="80" spans="2:46">
      <c r="B80" s="768"/>
      <c r="C80" s="768" t="str">
        <f>IF(D10="No", AO70, IF(D10="Yes", AP70, ""))</f>
        <v/>
      </c>
      <c r="D80" s="768"/>
      <c r="E80" s="876"/>
      <c r="F80" s="768"/>
      <c r="G80" s="768"/>
      <c r="H80" s="768"/>
      <c r="I80" s="768"/>
      <c r="J80" s="768"/>
      <c r="K80" s="768"/>
      <c r="L80" s="874"/>
      <c r="M80" s="882" t="str">
        <f>IF(D80="", "", IF(G11&lt;&gt;"Yes", 1, IF(D80="Existing Building", 1, MAX(AS6, AS7)+1)))</f>
        <v/>
      </c>
      <c r="N80" s="875"/>
      <c r="O80" s="874" t="str">
        <f t="shared" si="9"/>
        <v/>
      </c>
      <c r="P80" s="875"/>
      <c r="Q80" s="874" t="str">
        <f t="shared" ref="Q80:Q111" si="13">IF(AND(O80&lt;&gt;"",P80&lt;&gt;""), FLOOR(O80*P80,1), "")</f>
        <v/>
      </c>
      <c r="R80" s="788"/>
      <c r="S80" s="101"/>
      <c r="T80" s="101"/>
      <c r="U80" s="101"/>
      <c r="V80" s="101"/>
      <c r="W80" s="101"/>
      <c r="X80" s="101"/>
      <c r="Y80" s="101"/>
      <c r="Z80" s="101"/>
      <c r="AA80" s="101"/>
      <c r="AC80" s="101">
        <f>D9</f>
        <v>20</v>
      </c>
      <c r="AD80" s="9">
        <v>75</v>
      </c>
      <c r="AE80" s="9">
        <v>38</v>
      </c>
      <c r="AF80" s="101">
        <f>D7</f>
        <v>0</v>
      </c>
      <c r="AG80" s="9" t="s">
        <v>455</v>
      </c>
      <c r="AH80" s="9" t="str">
        <f t="shared" si="10"/>
        <v>0</v>
      </c>
      <c r="AI80" s="9" t="s">
        <v>7142</v>
      </c>
      <c r="AJ80" s="101" t="str">
        <f>D8</f>
        <v/>
      </c>
      <c r="AK80" s="9" t="str">
        <f t="shared" si="11"/>
        <v/>
      </c>
      <c r="AL80" s="9" t="s">
        <v>7142</v>
      </c>
      <c r="AM80" s="101">
        <v>75</v>
      </c>
      <c r="AN80" s="101"/>
      <c r="AO80" s="101" t="str">
        <f t="shared" si="12"/>
        <v/>
      </c>
      <c r="AP80" s="101" t="str">
        <f>IF(AD43&lt;=AC43, (CONCATENATE(AG43,AH43,AI43,AK43,AL43,AM43)),"")</f>
        <v/>
      </c>
      <c r="AQ80" s="101"/>
      <c r="AR80" s="101"/>
      <c r="AS80" s="101"/>
      <c r="AT80" s="768"/>
    </row>
    <row r="81" spans="2:46">
      <c r="B81" s="768"/>
      <c r="C81" s="768" t="str">
        <f>IF(D10="No", AO71, IF(D10="Yes", AP71, ""))</f>
        <v/>
      </c>
      <c r="D81" s="768"/>
      <c r="E81" s="876"/>
      <c r="F81" s="768"/>
      <c r="G81" s="768"/>
      <c r="H81" s="768"/>
      <c r="I81" s="768"/>
      <c r="J81" s="768"/>
      <c r="K81" s="768"/>
      <c r="L81" s="874"/>
      <c r="M81" s="882" t="str">
        <f>IF(D81="", "", IF(G11&lt;&gt;"Yes", 1, IF(D81="Existing Building", 1, MAX(AS6, AS7)+1)))</f>
        <v/>
      </c>
      <c r="N81" s="875"/>
      <c r="O81" s="874" t="str">
        <f t="shared" si="9"/>
        <v/>
      </c>
      <c r="P81" s="875"/>
      <c r="Q81" s="874" t="str">
        <f t="shared" si="13"/>
        <v/>
      </c>
      <c r="R81" s="788"/>
      <c r="S81" s="101"/>
      <c r="T81" s="101"/>
      <c r="U81" s="101"/>
      <c r="V81" s="101"/>
      <c r="W81" s="101"/>
      <c r="X81" s="101"/>
      <c r="Y81" s="101"/>
      <c r="Z81" s="101"/>
      <c r="AA81" s="101"/>
      <c r="AC81" s="101">
        <f>D9</f>
        <v>20</v>
      </c>
      <c r="AD81" s="9">
        <v>76</v>
      </c>
      <c r="AE81" s="9">
        <v>38</v>
      </c>
      <c r="AF81" s="101">
        <f>D7</f>
        <v>0</v>
      </c>
      <c r="AG81" s="9" t="s">
        <v>455</v>
      </c>
      <c r="AH81" s="9" t="str">
        <f t="shared" si="10"/>
        <v>0</v>
      </c>
      <c r="AI81" s="9" t="s">
        <v>7142</v>
      </c>
      <c r="AJ81" s="101" t="str">
        <f>D8</f>
        <v/>
      </c>
      <c r="AK81" s="9" t="str">
        <f t="shared" si="11"/>
        <v/>
      </c>
      <c r="AL81" s="9" t="s">
        <v>7142</v>
      </c>
      <c r="AM81" s="101">
        <v>76</v>
      </c>
      <c r="AN81" s="101"/>
      <c r="AO81" s="101" t="str">
        <f t="shared" si="12"/>
        <v/>
      </c>
      <c r="AP81" s="101" t="str">
        <f>IF(AD43&lt;=AC43, (CONCATENATE(AG43,AH43,AI43,AK43,AL43,AM43)),"")</f>
        <v/>
      </c>
      <c r="AQ81" s="101"/>
      <c r="AR81" s="101"/>
      <c r="AS81" s="101"/>
      <c r="AT81" s="768"/>
    </row>
    <row r="82" spans="2:46">
      <c r="B82" s="768"/>
      <c r="C82" s="768" t="str">
        <f>IF(D10="No", AO72, IF(D10="Yes", AP72, ""))</f>
        <v/>
      </c>
      <c r="D82" s="768"/>
      <c r="E82" s="876"/>
      <c r="F82" s="768"/>
      <c r="G82" s="768"/>
      <c r="H82" s="768"/>
      <c r="I82" s="768"/>
      <c r="J82" s="768"/>
      <c r="K82" s="768"/>
      <c r="L82" s="874"/>
      <c r="M82" s="882" t="str">
        <f>IF(D82="", "", IF(G11&lt;&gt;"Yes", 1, IF(D82="Existing Building", 1, MAX(AS6, AS7)+1)))</f>
        <v/>
      </c>
      <c r="N82" s="875"/>
      <c r="O82" s="874" t="str">
        <f t="shared" ref="O82:O113" si="14">IF(AND(L82&lt;&gt;"", M82&lt;&gt;"", N82&lt;&gt;""), ROUND(L82*M82*N82, 0), "")</f>
        <v/>
      </c>
      <c r="P82" s="875"/>
      <c r="Q82" s="874" t="str">
        <f t="shared" si="13"/>
        <v/>
      </c>
      <c r="R82" s="788"/>
      <c r="S82" s="101"/>
      <c r="T82" s="101"/>
      <c r="U82" s="101"/>
      <c r="V82" s="101"/>
      <c r="W82" s="101"/>
      <c r="X82" s="101"/>
      <c r="Y82" s="101"/>
      <c r="Z82" s="101"/>
      <c r="AA82" s="101"/>
      <c r="AC82" s="101">
        <f>D9</f>
        <v>20</v>
      </c>
      <c r="AD82" s="9">
        <v>77</v>
      </c>
      <c r="AE82" s="9">
        <v>39</v>
      </c>
      <c r="AF82" s="101">
        <f>D7</f>
        <v>0</v>
      </c>
      <c r="AG82" s="9" t="s">
        <v>455</v>
      </c>
      <c r="AH82" s="9" t="str">
        <f t="shared" si="10"/>
        <v>0</v>
      </c>
      <c r="AI82" s="9" t="s">
        <v>7142</v>
      </c>
      <c r="AJ82" s="101" t="str">
        <f>D8</f>
        <v/>
      </c>
      <c r="AK82" s="9" t="str">
        <f t="shared" si="11"/>
        <v/>
      </c>
      <c r="AL82" s="9" t="s">
        <v>7142</v>
      </c>
      <c r="AM82" s="101">
        <v>77</v>
      </c>
      <c r="AN82" s="101"/>
      <c r="AO82" s="101" t="str">
        <f t="shared" si="12"/>
        <v/>
      </c>
      <c r="AP82" s="101" t="str">
        <f>IF(AD44&lt;=AC44, (CONCATENATE(AG44,AH44,AI44,AK44,AL44,AM44)),"")</f>
        <v/>
      </c>
      <c r="AQ82" s="101"/>
      <c r="AR82" s="101"/>
      <c r="AS82" s="101"/>
      <c r="AT82" s="768"/>
    </row>
    <row r="83" spans="2:46">
      <c r="B83" s="768"/>
      <c r="C83" s="768" t="str">
        <f>IF(D10="No", AO73, IF(D10="Yes", AP73, ""))</f>
        <v/>
      </c>
      <c r="D83" s="768"/>
      <c r="E83" s="876"/>
      <c r="F83" s="768"/>
      <c r="G83" s="768"/>
      <c r="H83" s="768"/>
      <c r="I83" s="768"/>
      <c r="J83" s="768"/>
      <c r="K83" s="768"/>
      <c r="L83" s="874"/>
      <c r="M83" s="882" t="str">
        <f>IF(D83="", "", IF(G11&lt;&gt;"Yes", 1, IF(D83="Existing Building", 1, MAX(AS6, AS7)+1)))</f>
        <v/>
      </c>
      <c r="N83" s="875"/>
      <c r="O83" s="874" t="str">
        <f t="shared" si="14"/>
        <v/>
      </c>
      <c r="P83" s="875"/>
      <c r="Q83" s="874" t="str">
        <f t="shared" si="13"/>
        <v/>
      </c>
      <c r="R83" s="788"/>
      <c r="S83" s="101"/>
      <c r="T83" s="101"/>
      <c r="U83" s="101"/>
      <c r="V83" s="101"/>
      <c r="W83" s="101"/>
      <c r="X83" s="101"/>
      <c r="Y83" s="101"/>
      <c r="Z83" s="101"/>
      <c r="AA83" s="101"/>
      <c r="AC83" s="101">
        <f>D9</f>
        <v>20</v>
      </c>
      <c r="AD83" s="9">
        <v>78</v>
      </c>
      <c r="AE83" s="9">
        <v>39</v>
      </c>
      <c r="AF83" s="101">
        <f>D7</f>
        <v>0</v>
      </c>
      <c r="AG83" s="9" t="s">
        <v>455</v>
      </c>
      <c r="AH83" s="9" t="str">
        <f t="shared" si="10"/>
        <v>0</v>
      </c>
      <c r="AI83" s="9" t="s">
        <v>7142</v>
      </c>
      <c r="AJ83" s="101" t="str">
        <f>D8</f>
        <v/>
      </c>
      <c r="AK83" s="9" t="str">
        <f t="shared" si="11"/>
        <v/>
      </c>
      <c r="AL83" s="9" t="s">
        <v>7142</v>
      </c>
      <c r="AM83" s="101">
        <v>78</v>
      </c>
      <c r="AN83" s="101"/>
      <c r="AO83" s="101" t="str">
        <f t="shared" si="12"/>
        <v/>
      </c>
      <c r="AP83" s="101" t="str">
        <f>IF(AD44&lt;=AC44, (CONCATENATE(AG44,AH44,AI44,AK44,AL44,AM44)),"")</f>
        <v/>
      </c>
      <c r="AQ83" s="101"/>
      <c r="AR83" s="101"/>
      <c r="AS83" s="101"/>
      <c r="AT83" s="768"/>
    </row>
    <row r="84" spans="2:46">
      <c r="B84" s="768"/>
      <c r="C84" s="768" t="str">
        <f>IF(D10="No", AO74, IF(D10="Yes", AP74, ""))</f>
        <v/>
      </c>
      <c r="D84" s="768"/>
      <c r="E84" s="876"/>
      <c r="F84" s="768"/>
      <c r="G84" s="768"/>
      <c r="H84" s="768"/>
      <c r="I84" s="768"/>
      <c r="J84" s="768"/>
      <c r="K84" s="768"/>
      <c r="L84" s="874"/>
      <c r="M84" s="882" t="str">
        <f>IF(D84="", "", IF(G11&lt;&gt;"Yes", 1, IF(D84="Existing Building", 1, MAX(AS6, AS7)+1)))</f>
        <v/>
      </c>
      <c r="N84" s="875"/>
      <c r="O84" s="874" t="str">
        <f t="shared" si="14"/>
        <v/>
      </c>
      <c r="P84" s="875"/>
      <c r="Q84" s="874" t="str">
        <f t="shared" si="13"/>
        <v/>
      </c>
      <c r="R84" s="788"/>
      <c r="S84" s="101"/>
      <c r="T84" s="101"/>
      <c r="U84" s="101"/>
      <c r="V84" s="101"/>
      <c r="W84" s="101"/>
      <c r="X84" s="101"/>
      <c r="Y84" s="101"/>
      <c r="Z84" s="101"/>
      <c r="AA84" s="101"/>
      <c r="AC84" s="101">
        <f>D9</f>
        <v>20</v>
      </c>
      <c r="AD84" s="9">
        <v>79</v>
      </c>
      <c r="AE84" s="9">
        <v>40</v>
      </c>
      <c r="AF84" s="101">
        <f>D7</f>
        <v>0</v>
      </c>
      <c r="AG84" s="9" t="s">
        <v>455</v>
      </c>
      <c r="AH84" s="9" t="str">
        <f t="shared" si="10"/>
        <v>0</v>
      </c>
      <c r="AI84" s="9" t="s">
        <v>7142</v>
      </c>
      <c r="AJ84" s="101" t="str">
        <f>D8</f>
        <v/>
      </c>
      <c r="AK84" s="9" t="str">
        <f t="shared" si="11"/>
        <v/>
      </c>
      <c r="AL84" s="9" t="s">
        <v>7142</v>
      </c>
      <c r="AM84" s="101">
        <v>79</v>
      </c>
      <c r="AN84" s="101"/>
      <c r="AO84" s="101" t="str">
        <f t="shared" si="12"/>
        <v/>
      </c>
      <c r="AP84" s="101" t="str">
        <f>IF(AD45&lt;=AC45, (CONCATENATE(AG45,AH45,AI45,AK45,AL45,AM45)),"")</f>
        <v/>
      </c>
      <c r="AQ84" s="101"/>
      <c r="AR84" s="101"/>
      <c r="AS84" s="101"/>
      <c r="AT84" s="768"/>
    </row>
    <row r="85" spans="2:46">
      <c r="B85" s="768"/>
      <c r="C85" s="768" t="str">
        <f>IF(D10="No", AO75, IF(D10="Yes", AP75, ""))</f>
        <v/>
      </c>
      <c r="D85" s="768"/>
      <c r="E85" s="876"/>
      <c r="F85" s="768"/>
      <c r="G85" s="768"/>
      <c r="H85" s="768"/>
      <c r="I85" s="768"/>
      <c r="J85" s="768"/>
      <c r="K85" s="768"/>
      <c r="L85" s="874"/>
      <c r="M85" s="882" t="str">
        <f>IF(D85="", "", IF(G11&lt;&gt;"Yes", 1, IF(D85="Existing Building", 1, MAX(AS6, AS7)+1)))</f>
        <v/>
      </c>
      <c r="N85" s="875"/>
      <c r="O85" s="874" t="str">
        <f t="shared" si="14"/>
        <v/>
      </c>
      <c r="P85" s="875"/>
      <c r="Q85" s="874" t="str">
        <f t="shared" si="13"/>
        <v/>
      </c>
      <c r="R85" s="788"/>
      <c r="S85" s="101"/>
      <c r="T85" s="101"/>
      <c r="U85" s="101"/>
      <c r="V85" s="101"/>
      <c r="W85" s="101"/>
      <c r="X85" s="101"/>
      <c r="Y85" s="101"/>
      <c r="Z85" s="101"/>
      <c r="AA85" s="101"/>
      <c r="AC85" s="101">
        <f>D9</f>
        <v>20</v>
      </c>
      <c r="AD85" s="9">
        <v>80</v>
      </c>
      <c r="AE85" s="9">
        <v>40</v>
      </c>
      <c r="AF85" s="101">
        <f>D7</f>
        <v>0</v>
      </c>
      <c r="AG85" s="9" t="s">
        <v>455</v>
      </c>
      <c r="AH85" s="9" t="str">
        <f t="shared" si="10"/>
        <v>0</v>
      </c>
      <c r="AI85" s="9" t="s">
        <v>7142</v>
      </c>
      <c r="AJ85" s="101" t="str">
        <f>D8</f>
        <v/>
      </c>
      <c r="AK85" s="9" t="str">
        <f t="shared" si="11"/>
        <v/>
      </c>
      <c r="AL85" s="9" t="s">
        <v>7142</v>
      </c>
      <c r="AM85" s="101">
        <v>80</v>
      </c>
      <c r="AN85" s="101"/>
      <c r="AO85" s="101" t="str">
        <f t="shared" si="12"/>
        <v/>
      </c>
      <c r="AP85" s="101" t="str">
        <f>IF(AD45&lt;=AC45, (CONCATENATE(AG45,AH45,AI45,AK45,AL45,AM45)),"")</f>
        <v/>
      </c>
      <c r="AQ85" s="101"/>
      <c r="AR85" s="101"/>
      <c r="AS85" s="101"/>
      <c r="AT85" s="768"/>
    </row>
    <row r="86" spans="2:46">
      <c r="B86" s="768"/>
      <c r="C86" s="768" t="str">
        <f>IF(D10="No", AO76, IF(D10="Yes", AP76, ""))</f>
        <v/>
      </c>
      <c r="D86" s="768"/>
      <c r="E86" s="876"/>
      <c r="F86" s="768"/>
      <c r="G86" s="768"/>
      <c r="H86" s="768"/>
      <c r="I86" s="768"/>
      <c r="J86" s="768"/>
      <c r="K86" s="768"/>
      <c r="L86" s="874"/>
      <c r="M86" s="882" t="str">
        <f>IF(D86="", "", IF(G11&lt;&gt;"Yes", 1, IF(D86="Existing Building", 1, MAX(AS6, AS7)+1)))</f>
        <v/>
      </c>
      <c r="N86" s="875"/>
      <c r="O86" s="874" t="str">
        <f t="shared" si="14"/>
        <v/>
      </c>
      <c r="P86" s="875"/>
      <c r="Q86" s="874" t="str">
        <f t="shared" si="13"/>
        <v/>
      </c>
      <c r="R86" s="788"/>
      <c r="S86" s="101"/>
      <c r="T86" s="101"/>
      <c r="U86" s="101"/>
      <c r="V86" s="101"/>
      <c r="W86" s="101"/>
      <c r="X86" s="101"/>
      <c r="Y86" s="101"/>
      <c r="Z86" s="101"/>
      <c r="AA86" s="101"/>
      <c r="AC86" s="101">
        <f>D9</f>
        <v>20</v>
      </c>
      <c r="AD86" s="9">
        <v>81</v>
      </c>
      <c r="AE86" s="9">
        <v>41</v>
      </c>
      <c r="AF86" s="101">
        <f>D7</f>
        <v>0</v>
      </c>
      <c r="AG86" s="9" t="s">
        <v>455</v>
      </c>
      <c r="AH86" s="9" t="str">
        <f t="shared" si="10"/>
        <v>0</v>
      </c>
      <c r="AI86" s="9" t="s">
        <v>7142</v>
      </c>
      <c r="AJ86" s="101" t="str">
        <f>D8</f>
        <v/>
      </c>
      <c r="AK86" s="9" t="str">
        <f t="shared" si="11"/>
        <v/>
      </c>
      <c r="AL86" s="9" t="s">
        <v>7142</v>
      </c>
      <c r="AM86" s="101">
        <v>81</v>
      </c>
      <c r="AN86" s="101"/>
      <c r="AO86" s="101" t="str">
        <f t="shared" si="12"/>
        <v/>
      </c>
      <c r="AP86" s="101" t="str">
        <f>IF(AD46&lt;=AC46, (CONCATENATE(AG46,AH46,AI46,AK46,AL46,AM46)),"")</f>
        <v/>
      </c>
      <c r="AQ86" s="101"/>
      <c r="AR86" s="101"/>
      <c r="AS86" s="101"/>
      <c r="AT86" s="768"/>
    </row>
    <row r="87" spans="2:46">
      <c r="B87" s="768"/>
      <c r="C87" s="768" t="str">
        <f>IF(D10="No", AO77, IF(D10="Yes", AP77, ""))</f>
        <v/>
      </c>
      <c r="D87" s="768"/>
      <c r="E87" s="876"/>
      <c r="F87" s="768"/>
      <c r="G87" s="768"/>
      <c r="H87" s="768"/>
      <c r="I87" s="768"/>
      <c r="J87" s="768"/>
      <c r="K87" s="768"/>
      <c r="L87" s="874"/>
      <c r="M87" s="882" t="str">
        <f>IF(D87="", "", IF(G11&lt;&gt;"Yes", 1, IF(D87="Existing Building", 1, MAX(AS6, AS7)+1)))</f>
        <v/>
      </c>
      <c r="N87" s="875"/>
      <c r="O87" s="874" t="str">
        <f t="shared" si="14"/>
        <v/>
      </c>
      <c r="P87" s="875"/>
      <c r="Q87" s="874" t="str">
        <f t="shared" si="13"/>
        <v/>
      </c>
      <c r="R87" s="788"/>
      <c r="S87" s="101"/>
      <c r="T87" s="101"/>
      <c r="U87" s="101"/>
      <c r="V87" s="101"/>
      <c r="W87" s="101"/>
      <c r="X87" s="101"/>
      <c r="Y87" s="101"/>
      <c r="Z87" s="101"/>
      <c r="AA87" s="101"/>
      <c r="AC87" s="101">
        <f>D9</f>
        <v>20</v>
      </c>
      <c r="AD87" s="9">
        <v>82</v>
      </c>
      <c r="AE87" s="9">
        <v>41</v>
      </c>
      <c r="AF87" s="101">
        <f>D7</f>
        <v>0</v>
      </c>
      <c r="AG87" s="9" t="s">
        <v>455</v>
      </c>
      <c r="AH87" s="9" t="str">
        <f t="shared" si="10"/>
        <v>0</v>
      </c>
      <c r="AI87" s="9" t="s">
        <v>7142</v>
      </c>
      <c r="AJ87" s="101" t="str">
        <f>D8</f>
        <v/>
      </c>
      <c r="AK87" s="9" t="str">
        <f t="shared" si="11"/>
        <v/>
      </c>
      <c r="AL87" s="9" t="s">
        <v>7142</v>
      </c>
      <c r="AM87" s="101">
        <v>82</v>
      </c>
      <c r="AN87" s="101"/>
      <c r="AO87" s="101" t="str">
        <f t="shared" si="12"/>
        <v/>
      </c>
      <c r="AP87" s="101" t="str">
        <f>IF(AD46&lt;=AC46, (CONCATENATE(AG46,AH46,AI46,AK46,AL46,AM46)),"")</f>
        <v/>
      </c>
      <c r="AQ87" s="101"/>
      <c r="AR87" s="101"/>
      <c r="AS87" s="101"/>
      <c r="AT87" s="768"/>
    </row>
    <row r="88" spans="2:46">
      <c r="B88" s="768"/>
      <c r="C88" s="768" t="str">
        <f>IF(D10="No", AO78, IF(D10="Yes", AP78, ""))</f>
        <v/>
      </c>
      <c r="D88" s="768"/>
      <c r="E88" s="876"/>
      <c r="F88" s="768"/>
      <c r="G88" s="768"/>
      <c r="H88" s="768"/>
      <c r="I88" s="768"/>
      <c r="J88" s="768"/>
      <c r="K88" s="768"/>
      <c r="L88" s="874"/>
      <c r="M88" s="882" t="str">
        <f>IF(D88="", "", IF(G11&lt;&gt;"Yes", 1, IF(D88="Existing Building", 1, MAX(AS6, AS7)+1)))</f>
        <v/>
      </c>
      <c r="N88" s="875"/>
      <c r="O88" s="874" t="str">
        <f t="shared" si="14"/>
        <v/>
      </c>
      <c r="P88" s="875"/>
      <c r="Q88" s="874" t="str">
        <f t="shared" si="13"/>
        <v/>
      </c>
      <c r="R88" s="788"/>
      <c r="S88" s="101"/>
      <c r="T88" s="101"/>
      <c r="U88" s="101"/>
      <c r="V88" s="101"/>
      <c r="W88" s="101"/>
      <c r="X88" s="101"/>
      <c r="Y88" s="101"/>
      <c r="Z88" s="101"/>
      <c r="AA88" s="101"/>
      <c r="AC88" s="101">
        <f>D9</f>
        <v>20</v>
      </c>
      <c r="AD88" s="9">
        <v>83</v>
      </c>
      <c r="AE88" s="9">
        <v>42</v>
      </c>
      <c r="AF88" s="101">
        <f>D7</f>
        <v>0</v>
      </c>
      <c r="AG88" s="9" t="s">
        <v>455</v>
      </c>
      <c r="AH88" s="9" t="str">
        <f t="shared" si="10"/>
        <v>0</v>
      </c>
      <c r="AI88" s="9" t="s">
        <v>7142</v>
      </c>
      <c r="AJ88" s="101" t="str">
        <f>D8</f>
        <v/>
      </c>
      <c r="AK88" s="9" t="str">
        <f t="shared" si="11"/>
        <v/>
      </c>
      <c r="AL88" s="9" t="s">
        <v>7142</v>
      </c>
      <c r="AM88" s="101">
        <v>83</v>
      </c>
      <c r="AN88" s="101"/>
      <c r="AO88" s="101" t="str">
        <f t="shared" si="12"/>
        <v/>
      </c>
      <c r="AP88" s="101" t="str">
        <f>IF(AD47&lt;=AC47, (CONCATENATE(AG47,AH47,AI47,AK47,AL47,AM47)),"")</f>
        <v/>
      </c>
      <c r="AQ88" s="101"/>
      <c r="AR88" s="101"/>
      <c r="AS88" s="101"/>
      <c r="AT88" s="768"/>
    </row>
    <row r="89" spans="2:46">
      <c r="B89" s="768"/>
      <c r="C89" s="768" t="str">
        <f>IF(D10="No", AO79, IF(D10="Yes", AP79, ""))</f>
        <v/>
      </c>
      <c r="D89" s="768"/>
      <c r="E89" s="876"/>
      <c r="F89" s="768"/>
      <c r="G89" s="768"/>
      <c r="H89" s="768"/>
      <c r="I89" s="768"/>
      <c r="J89" s="768"/>
      <c r="K89" s="768"/>
      <c r="L89" s="874"/>
      <c r="M89" s="882" t="str">
        <f>IF(D89="", "", IF(G11&lt;&gt;"Yes", 1, IF(D89="Existing Building", 1, MAX(AS6, AS7)+1)))</f>
        <v/>
      </c>
      <c r="N89" s="875"/>
      <c r="O89" s="874" t="str">
        <f t="shared" si="14"/>
        <v/>
      </c>
      <c r="P89" s="875"/>
      <c r="Q89" s="874" t="str">
        <f t="shared" si="13"/>
        <v/>
      </c>
      <c r="R89" s="788"/>
      <c r="S89" s="101"/>
      <c r="T89" s="101"/>
      <c r="U89" s="101"/>
      <c r="V89" s="101"/>
      <c r="W89" s="101"/>
      <c r="X89" s="101"/>
      <c r="Y89" s="101"/>
      <c r="Z89" s="101"/>
      <c r="AA89" s="101"/>
      <c r="AC89" s="101">
        <f>D9</f>
        <v>20</v>
      </c>
      <c r="AD89" s="9">
        <v>84</v>
      </c>
      <c r="AE89" s="9">
        <v>42</v>
      </c>
      <c r="AF89" s="101">
        <f>D7</f>
        <v>0</v>
      </c>
      <c r="AG89" s="9" t="s">
        <v>455</v>
      </c>
      <c r="AH89" s="9" t="str">
        <f t="shared" si="10"/>
        <v>0</v>
      </c>
      <c r="AI89" s="9" t="s">
        <v>7142</v>
      </c>
      <c r="AJ89" s="101" t="str">
        <f>D8</f>
        <v/>
      </c>
      <c r="AK89" s="9" t="str">
        <f t="shared" si="11"/>
        <v/>
      </c>
      <c r="AL89" s="9" t="s">
        <v>7142</v>
      </c>
      <c r="AM89" s="101">
        <v>84</v>
      </c>
      <c r="AN89" s="101"/>
      <c r="AO89" s="101" t="str">
        <f t="shared" si="12"/>
        <v/>
      </c>
      <c r="AP89" s="101" t="str">
        <f>IF(AD47&lt;=AC47, (CONCATENATE(AG47,AH47,AI47,AK47,AL47,AM47)),"")</f>
        <v/>
      </c>
      <c r="AQ89" s="101"/>
      <c r="AR89" s="101"/>
      <c r="AS89" s="101"/>
      <c r="AT89" s="768"/>
    </row>
    <row r="90" spans="2:46">
      <c r="B90" s="768"/>
      <c r="C90" s="768" t="str">
        <f>IF(D10="No", AO80, IF(D10="Yes", AP80, ""))</f>
        <v/>
      </c>
      <c r="D90" s="768"/>
      <c r="E90" s="876"/>
      <c r="F90" s="768"/>
      <c r="G90" s="768"/>
      <c r="H90" s="768"/>
      <c r="I90" s="768"/>
      <c r="J90" s="768"/>
      <c r="K90" s="768"/>
      <c r="L90" s="874"/>
      <c r="M90" s="882" t="str">
        <f>IF(D90="", "", IF(G11&lt;&gt;"Yes", 1, IF(D90="Existing Building", 1, MAX(AS6, AS7)+1)))</f>
        <v/>
      </c>
      <c r="N90" s="875"/>
      <c r="O90" s="874" t="str">
        <f t="shared" si="14"/>
        <v/>
      </c>
      <c r="P90" s="875"/>
      <c r="Q90" s="874" t="str">
        <f t="shared" si="13"/>
        <v/>
      </c>
      <c r="R90" s="788"/>
      <c r="S90" s="101"/>
      <c r="T90" s="101"/>
      <c r="U90" s="101"/>
      <c r="V90" s="101"/>
      <c r="W90" s="101"/>
      <c r="X90" s="101"/>
      <c r="Y90" s="101"/>
      <c r="Z90" s="101"/>
      <c r="AA90" s="101"/>
      <c r="AC90" s="101">
        <f>D9</f>
        <v>20</v>
      </c>
      <c r="AD90" s="9">
        <v>85</v>
      </c>
      <c r="AE90" s="9">
        <v>43</v>
      </c>
      <c r="AF90" s="101">
        <f>D7</f>
        <v>0</v>
      </c>
      <c r="AG90" s="9" t="s">
        <v>455</v>
      </c>
      <c r="AH90" s="9" t="str">
        <f t="shared" si="10"/>
        <v>0</v>
      </c>
      <c r="AI90" s="9" t="s">
        <v>7142</v>
      </c>
      <c r="AJ90" s="101" t="str">
        <f>D8</f>
        <v/>
      </c>
      <c r="AK90" s="9" t="str">
        <f t="shared" si="11"/>
        <v/>
      </c>
      <c r="AL90" s="9" t="s">
        <v>7142</v>
      </c>
      <c r="AM90" s="101">
        <v>85</v>
      </c>
      <c r="AN90" s="101"/>
      <c r="AO90" s="101" t="str">
        <f t="shared" si="12"/>
        <v/>
      </c>
      <c r="AP90" s="101" t="str">
        <f>IF(AD48&lt;=AC48, (CONCATENATE(AG48,AH48,AI48,AK48,AL48,AM48)),"")</f>
        <v/>
      </c>
      <c r="AQ90" s="101"/>
      <c r="AR90" s="101"/>
      <c r="AS90" s="101"/>
      <c r="AT90" s="768"/>
    </row>
    <row r="91" spans="2:46">
      <c r="B91" s="768"/>
      <c r="C91" s="768" t="str">
        <f>IF(D10="No", AO81, IF(D10="Yes", AP81, ""))</f>
        <v/>
      </c>
      <c r="D91" s="768"/>
      <c r="E91" s="876"/>
      <c r="F91" s="768"/>
      <c r="G91" s="768"/>
      <c r="H91" s="768"/>
      <c r="I91" s="768"/>
      <c r="J91" s="768"/>
      <c r="K91" s="768"/>
      <c r="L91" s="874"/>
      <c r="M91" s="882" t="str">
        <f>IF(D91="", "", IF(G11&lt;&gt;"Yes", 1, IF(D91="Existing Building", 1, MAX(AS6, AS7)+1)))</f>
        <v/>
      </c>
      <c r="N91" s="875"/>
      <c r="O91" s="874" t="str">
        <f t="shared" si="14"/>
        <v/>
      </c>
      <c r="P91" s="875"/>
      <c r="Q91" s="874" t="str">
        <f t="shared" si="13"/>
        <v/>
      </c>
      <c r="R91" s="788"/>
      <c r="S91" s="101"/>
      <c r="T91" s="101"/>
      <c r="U91" s="101"/>
      <c r="V91" s="101"/>
      <c r="W91" s="101"/>
      <c r="X91" s="101"/>
      <c r="Y91" s="101"/>
      <c r="Z91" s="101"/>
      <c r="AA91" s="101"/>
      <c r="AC91" s="101">
        <f>D9</f>
        <v>20</v>
      </c>
      <c r="AD91" s="9">
        <v>86</v>
      </c>
      <c r="AE91" s="9">
        <v>43</v>
      </c>
      <c r="AF91" s="101">
        <f>D7</f>
        <v>0</v>
      </c>
      <c r="AG91" s="9" t="s">
        <v>455</v>
      </c>
      <c r="AH91" s="9" t="str">
        <f t="shared" si="10"/>
        <v>0</v>
      </c>
      <c r="AI91" s="9" t="s">
        <v>7142</v>
      </c>
      <c r="AJ91" s="101" t="str">
        <f>D8</f>
        <v/>
      </c>
      <c r="AK91" s="9" t="str">
        <f t="shared" si="11"/>
        <v/>
      </c>
      <c r="AL91" s="9" t="s">
        <v>7142</v>
      </c>
      <c r="AM91" s="101">
        <v>86</v>
      </c>
      <c r="AN91" s="101"/>
      <c r="AO91" s="101" t="str">
        <f t="shared" si="12"/>
        <v/>
      </c>
      <c r="AP91" s="101" t="str">
        <f>IF(AD48&lt;=AC48, (CONCATENATE(AG48,AH48,AI48,AK48,AL48,AM48)),"")</f>
        <v/>
      </c>
      <c r="AQ91" s="101"/>
      <c r="AR91" s="101"/>
      <c r="AS91" s="101"/>
      <c r="AT91" s="768"/>
    </row>
    <row r="92" spans="2:46">
      <c r="B92" s="768"/>
      <c r="C92" s="768" t="str">
        <f>IF(D10="No", AO82, IF(D10="Yes", AP82, ""))</f>
        <v/>
      </c>
      <c r="D92" s="768"/>
      <c r="E92" s="876"/>
      <c r="F92" s="768"/>
      <c r="G92" s="768"/>
      <c r="H92" s="768"/>
      <c r="I92" s="768"/>
      <c r="J92" s="768"/>
      <c r="K92" s="768"/>
      <c r="L92" s="874"/>
      <c r="M92" s="882" t="str">
        <f>IF(D92="", "", IF(G11&lt;&gt;"Yes", 1, IF(D92="Existing Building", 1, MAX(AS6, AS7)+1)))</f>
        <v/>
      </c>
      <c r="N92" s="875"/>
      <c r="O92" s="874" t="str">
        <f t="shared" si="14"/>
        <v/>
      </c>
      <c r="P92" s="875"/>
      <c r="Q92" s="874" t="str">
        <f t="shared" si="13"/>
        <v/>
      </c>
      <c r="R92" s="788"/>
      <c r="S92" s="101"/>
      <c r="T92" s="101"/>
      <c r="U92" s="101"/>
      <c r="V92" s="101"/>
      <c r="W92" s="101"/>
      <c r="X92" s="101"/>
      <c r="Y92" s="101"/>
      <c r="Z92" s="101"/>
      <c r="AA92" s="101"/>
      <c r="AC92" s="101">
        <f>D9</f>
        <v>20</v>
      </c>
      <c r="AD92" s="9">
        <v>87</v>
      </c>
      <c r="AE92" s="9">
        <v>44</v>
      </c>
      <c r="AF92" s="101">
        <f>D7</f>
        <v>0</v>
      </c>
      <c r="AG92" s="9" t="s">
        <v>455</v>
      </c>
      <c r="AH92" s="9" t="str">
        <f t="shared" si="10"/>
        <v>0</v>
      </c>
      <c r="AI92" s="9" t="s">
        <v>7142</v>
      </c>
      <c r="AJ92" s="101" t="str">
        <f>D8</f>
        <v/>
      </c>
      <c r="AK92" s="9" t="str">
        <f t="shared" si="11"/>
        <v/>
      </c>
      <c r="AL92" s="9" t="s">
        <v>7142</v>
      </c>
      <c r="AM92" s="101">
        <v>87</v>
      </c>
      <c r="AN92" s="101"/>
      <c r="AO92" s="101" t="str">
        <f t="shared" si="12"/>
        <v/>
      </c>
      <c r="AP92" s="101" t="str">
        <f>IF(AD49&lt;=AC49, (CONCATENATE(AG49,AH49,AI49,AK49,AL49,AM49)),"")</f>
        <v/>
      </c>
      <c r="AQ92" s="101"/>
      <c r="AR92" s="101"/>
      <c r="AS92" s="101"/>
      <c r="AT92" s="768"/>
    </row>
    <row r="93" spans="2:46">
      <c r="B93" s="768"/>
      <c r="C93" s="768" t="str">
        <f>IF(D10="No", AO83, IF(D10="Yes", AP83, ""))</f>
        <v/>
      </c>
      <c r="D93" s="768"/>
      <c r="E93" s="876"/>
      <c r="F93" s="768"/>
      <c r="G93" s="768"/>
      <c r="H93" s="768"/>
      <c r="I93" s="768"/>
      <c r="J93" s="768"/>
      <c r="K93" s="768"/>
      <c r="L93" s="874"/>
      <c r="M93" s="882" t="str">
        <f>IF(D93="", "", IF(G11&lt;&gt;"Yes", 1, IF(D93="Existing Building", 1, MAX(AS6, AS7)+1)))</f>
        <v/>
      </c>
      <c r="N93" s="875"/>
      <c r="O93" s="874" t="str">
        <f t="shared" si="14"/>
        <v/>
      </c>
      <c r="P93" s="875"/>
      <c r="Q93" s="874" t="str">
        <f t="shared" si="13"/>
        <v/>
      </c>
      <c r="R93" s="788"/>
      <c r="S93" s="101"/>
      <c r="T93" s="101"/>
      <c r="U93" s="101"/>
      <c r="V93" s="101"/>
      <c r="W93" s="101"/>
      <c r="X93" s="101"/>
      <c r="Y93" s="101"/>
      <c r="Z93" s="101"/>
      <c r="AA93" s="101"/>
      <c r="AC93" s="101">
        <f>D9</f>
        <v>20</v>
      </c>
      <c r="AD93" s="9">
        <v>88</v>
      </c>
      <c r="AE93" s="9">
        <v>44</v>
      </c>
      <c r="AF93" s="101">
        <f>D7</f>
        <v>0</v>
      </c>
      <c r="AG93" s="9" t="s">
        <v>455</v>
      </c>
      <c r="AH93" s="9" t="str">
        <f t="shared" si="10"/>
        <v>0</v>
      </c>
      <c r="AI93" s="9" t="s">
        <v>7142</v>
      </c>
      <c r="AJ93" s="101" t="str">
        <f>D8</f>
        <v/>
      </c>
      <c r="AK93" s="9" t="str">
        <f t="shared" si="11"/>
        <v/>
      </c>
      <c r="AL93" s="9" t="s">
        <v>7142</v>
      </c>
      <c r="AM93" s="101">
        <v>88</v>
      </c>
      <c r="AN93" s="101"/>
      <c r="AO93" s="101" t="str">
        <f t="shared" si="12"/>
        <v/>
      </c>
      <c r="AP93" s="101" t="str">
        <f>IF(AD49&lt;=AC49, (CONCATENATE(AG49,AH49,AI49,AK49,AL49,AM49)),"")</f>
        <v/>
      </c>
      <c r="AQ93" s="101"/>
      <c r="AR93" s="101"/>
      <c r="AS93" s="101"/>
      <c r="AT93" s="768"/>
    </row>
    <row r="94" spans="2:46">
      <c r="B94" s="768"/>
      <c r="C94" s="768" t="str">
        <f>IF(D10="No", AO84, IF(D10="Yes", AP84, ""))</f>
        <v/>
      </c>
      <c r="D94" s="768"/>
      <c r="E94" s="876"/>
      <c r="F94" s="768"/>
      <c r="G94" s="768"/>
      <c r="H94" s="768"/>
      <c r="I94" s="768"/>
      <c r="J94" s="768"/>
      <c r="K94" s="768"/>
      <c r="L94" s="874"/>
      <c r="M94" s="882" t="str">
        <f>IF(D94="", "", IF(G11&lt;&gt;"Yes", 1, IF(D94="Existing Building", 1, MAX(AS6, AS7)+1)))</f>
        <v/>
      </c>
      <c r="N94" s="875"/>
      <c r="O94" s="874" t="str">
        <f t="shared" si="14"/>
        <v/>
      </c>
      <c r="P94" s="875"/>
      <c r="Q94" s="874" t="str">
        <f t="shared" si="13"/>
        <v/>
      </c>
      <c r="R94" s="788"/>
      <c r="S94" s="101"/>
      <c r="T94" s="101"/>
      <c r="U94" s="101"/>
      <c r="V94" s="101"/>
      <c r="W94" s="101"/>
      <c r="X94" s="101"/>
      <c r="Y94" s="101"/>
      <c r="Z94" s="101"/>
      <c r="AA94" s="101"/>
      <c r="AC94" s="101">
        <f>D9</f>
        <v>20</v>
      </c>
      <c r="AD94" s="9">
        <v>89</v>
      </c>
      <c r="AE94" s="9">
        <v>45</v>
      </c>
      <c r="AF94" s="101">
        <f>D7</f>
        <v>0</v>
      </c>
      <c r="AG94" s="9" t="s">
        <v>455</v>
      </c>
      <c r="AH94" s="9" t="str">
        <f t="shared" si="10"/>
        <v>0</v>
      </c>
      <c r="AI94" s="9" t="s">
        <v>7142</v>
      </c>
      <c r="AJ94" s="101" t="str">
        <f>D8</f>
        <v/>
      </c>
      <c r="AK94" s="9" t="str">
        <f t="shared" si="11"/>
        <v/>
      </c>
      <c r="AL94" s="9" t="s">
        <v>7142</v>
      </c>
      <c r="AM94" s="101">
        <v>89</v>
      </c>
      <c r="AN94" s="101"/>
      <c r="AO94" s="101" t="str">
        <f t="shared" si="12"/>
        <v/>
      </c>
      <c r="AP94" s="101" t="str">
        <f>IF(AD50&lt;=AC50, (CONCATENATE(AG50,AH50,AI50,AK50,AL50,AM50)),"")</f>
        <v/>
      </c>
      <c r="AQ94" s="101"/>
      <c r="AR94" s="101"/>
      <c r="AS94" s="101"/>
      <c r="AT94" s="768"/>
    </row>
    <row r="95" spans="2:46">
      <c r="B95" s="768"/>
      <c r="C95" s="768" t="str">
        <f>IF(D10="No", AO85, IF(D10="Yes", AP85, ""))</f>
        <v/>
      </c>
      <c r="D95" s="768"/>
      <c r="E95" s="876"/>
      <c r="F95" s="768"/>
      <c r="G95" s="768"/>
      <c r="H95" s="768"/>
      <c r="I95" s="768"/>
      <c r="J95" s="768"/>
      <c r="K95" s="768"/>
      <c r="L95" s="874"/>
      <c r="M95" s="882" t="str">
        <f>IF(D95="", "", IF(G11&lt;&gt;"Yes", 1, IF(D95="Existing Building", 1, MAX(AS6, AS7)+1)))</f>
        <v/>
      </c>
      <c r="N95" s="875"/>
      <c r="O95" s="874" t="str">
        <f t="shared" si="14"/>
        <v/>
      </c>
      <c r="P95" s="875"/>
      <c r="Q95" s="874" t="str">
        <f t="shared" si="13"/>
        <v/>
      </c>
      <c r="R95" s="788"/>
      <c r="S95" s="101"/>
      <c r="T95" s="101"/>
      <c r="U95" s="101"/>
      <c r="V95" s="101"/>
      <c r="W95" s="101"/>
      <c r="X95" s="101"/>
      <c r="Y95" s="101"/>
      <c r="Z95" s="101"/>
      <c r="AA95" s="101"/>
      <c r="AC95" s="101">
        <f>D9</f>
        <v>20</v>
      </c>
      <c r="AD95" s="9">
        <v>90</v>
      </c>
      <c r="AE95" s="9">
        <v>45</v>
      </c>
      <c r="AF95" s="101">
        <f>D7</f>
        <v>0</v>
      </c>
      <c r="AG95" s="9" t="s">
        <v>455</v>
      </c>
      <c r="AH95" s="9" t="str">
        <f t="shared" si="10"/>
        <v>0</v>
      </c>
      <c r="AI95" s="9" t="s">
        <v>7142</v>
      </c>
      <c r="AJ95" s="101" t="str">
        <f>D8</f>
        <v/>
      </c>
      <c r="AK95" s="9" t="str">
        <f t="shared" si="11"/>
        <v/>
      </c>
      <c r="AL95" s="9" t="s">
        <v>7142</v>
      </c>
      <c r="AM95" s="101">
        <v>90</v>
      </c>
      <c r="AN95" s="101"/>
      <c r="AO95" s="101" t="str">
        <f t="shared" si="12"/>
        <v/>
      </c>
      <c r="AP95" s="101" t="str">
        <f>IF(AD50&lt;=AC50, (CONCATENATE(AG50,AH50,AI50,AK50,AL50,AM50)),"")</f>
        <v/>
      </c>
      <c r="AQ95" s="101"/>
      <c r="AR95" s="101"/>
      <c r="AS95" s="101"/>
      <c r="AT95" s="768"/>
    </row>
    <row r="96" spans="2:46">
      <c r="B96" s="768"/>
      <c r="C96" s="768" t="str">
        <f>IF(D10="No", AO86, IF(D10="Yes", AP86, ""))</f>
        <v/>
      </c>
      <c r="D96" s="768"/>
      <c r="E96" s="876"/>
      <c r="F96" s="768"/>
      <c r="G96" s="768"/>
      <c r="H96" s="768"/>
      <c r="I96" s="768"/>
      <c r="J96" s="768"/>
      <c r="K96" s="768"/>
      <c r="L96" s="874"/>
      <c r="M96" s="882" t="str">
        <f>IF(D96="", "", IF(G11&lt;&gt;"Yes", 1, IF(D96="Existing Building", 1, MAX(AS6, AS7)+1)))</f>
        <v/>
      </c>
      <c r="N96" s="875"/>
      <c r="O96" s="874" t="str">
        <f t="shared" si="14"/>
        <v/>
      </c>
      <c r="P96" s="875"/>
      <c r="Q96" s="874" t="str">
        <f t="shared" si="13"/>
        <v/>
      </c>
      <c r="R96" s="788"/>
      <c r="S96" s="101"/>
      <c r="T96" s="101"/>
      <c r="U96" s="101"/>
      <c r="V96" s="101"/>
      <c r="W96" s="101"/>
      <c r="X96" s="101"/>
      <c r="Y96" s="101"/>
      <c r="Z96" s="101"/>
      <c r="AA96" s="101"/>
      <c r="AC96" s="101">
        <f>D9</f>
        <v>20</v>
      </c>
      <c r="AD96" s="9">
        <v>91</v>
      </c>
      <c r="AE96" s="9">
        <v>46</v>
      </c>
      <c r="AF96" s="101">
        <f>D7</f>
        <v>0</v>
      </c>
      <c r="AG96" s="9" t="s">
        <v>455</v>
      </c>
      <c r="AH96" s="9" t="str">
        <f t="shared" si="10"/>
        <v>0</v>
      </c>
      <c r="AI96" s="9" t="s">
        <v>7142</v>
      </c>
      <c r="AJ96" s="101" t="str">
        <f>D8</f>
        <v/>
      </c>
      <c r="AK96" s="9" t="str">
        <f t="shared" si="11"/>
        <v/>
      </c>
      <c r="AL96" s="9" t="s">
        <v>7142</v>
      </c>
      <c r="AM96" s="101">
        <v>91</v>
      </c>
      <c r="AN96" s="101"/>
      <c r="AO96" s="101" t="str">
        <f t="shared" si="12"/>
        <v/>
      </c>
      <c r="AP96" s="101" t="str">
        <f>IF(AD51&lt;=AC51, (CONCATENATE(AG51,AH51,AI51,AK51,AL51,AM51)),"")</f>
        <v/>
      </c>
      <c r="AQ96" s="101"/>
      <c r="AR96" s="101"/>
      <c r="AS96" s="101"/>
      <c r="AT96" s="768"/>
    </row>
    <row r="97" spans="2:46">
      <c r="B97" s="768"/>
      <c r="C97" s="768" t="str">
        <f>IF(D10="No", AO87, IF(D10="Yes", AP87, ""))</f>
        <v/>
      </c>
      <c r="D97" s="768"/>
      <c r="E97" s="876"/>
      <c r="F97" s="768"/>
      <c r="G97" s="768"/>
      <c r="H97" s="768"/>
      <c r="I97" s="768"/>
      <c r="J97" s="768"/>
      <c r="K97" s="768"/>
      <c r="L97" s="874"/>
      <c r="M97" s="882" t="str">
        <f>IF(D97="", "", IF(G11&lt;&gt;"Yes", 1, IF(D97="Existing Building", 1, MAX(AS6, AS7)+1)))</f>
        <v/>
      </c>
      <c r="N97" s="875"/>
      <c r="O97" s="874" t="str">
        <f t="shared" si="14"/>
        <v/>
      </c>
      <c r="P97" s="875"/>
      <c r="Q97" s="874" t="str">
        <f t="shared" si="13"/>
        <v/>
      </c>
      <c r="R97" s="788"/>
      <c r="S97" s="101"/>
      <c r="T97" s="101"/>
      <c r="U97" s="101"/>
      <c r="V97" s="101"/>
      <c r="W97" s="101"/>
      <c r="X97" s="101"/>
      <c r="Y97" s="101"/>
      <c r="Z97" s="101"/>
      <c r="AA97" s="101"/>
      <c r="AC97" s="101">
        <f>D9</f>
        <v>20</v>
      </c>
      <c r="AD97" s="9">
        <v>92</v>
      </c>
      <c r="AE97" s="9">
        <v>46</v>
      </c>
      <c r="AF97" s="101">
        <f>D7</f>
        <v>0</v>
      </c>
      <c r="AG97" s="9" t="s">
        <v>455</v>
      </c>
      <c r="AH97" s="9" t="str">
        <f t="shared" si="10"/>
        <v>0</v>
      </c>
      <c r="AI97" s="9" t="s">
        <v>7142</v>
      </c>
      <c r="AJ97" s="101" t="str">
        <f>D8</f>
        <v/>
      </c>
      <c r="AK97" s="9" t="str">
        <f t="shared" si="11"/>
        <v/>
      </c>
      <c r="AL97" s="9" t="s">
        <v>7142</v>
      </c>
      <c r="AM97" s="101">
        <v>92</v>
      </c>
      <c r="AN97" s="101"/>
      <c r="AO97" s="101" t="str">
        <f t="shared" si="12"/>
        <v/>
      </c>
      <c r="AP97" s="101" t="str">
        <f>IF(AD51&lt;=AC51, (CONCATENATE(AG51,AH51,AI51,AK51,AL51,AM51)),"")</f>
        <v/>
      </c>
      <c r="AQ97" s="101"/>
      <c r="AR97" s="101"/>
      <c r="AS97" s="101"/>
      <c r="AT97" s="768"/>
    </row>
    <row r="98" spans="2:46">
      <c r="B98" s="768"/>
      <c r="C98" s="768" t="str">
        <f>IF(D10="No", AO88, IF(D10="Yes", AP88, ""))</f>
        <v/>
      </c>
      <c r="D98" s="768"/>
      <c r="E98" s="876"/>
      <c r="F98" s="768"/>
      <c r="G98" s="768"/>
      <c r="H98" s="768"/>
      <c r="I98" s="768"/>
      <c r="J98" s="768"/>
      <c r="K98" s="768"/>
      <c r="L98" s="874"/>
      <c r="M98" s="882" t="str">
        <f>IF(D98="", "", IF(G11&lt;&gt;"Yes", 1, IF(D98="Existing Building", 1, MAX(AS6, AS7)+1)))</f>
        <v/>
      </c>
      <c r="N98" s="875"/>
      <c r="O98" s="874" t="str">
        <f t="shared" si="14"/>
        <v/>
      </c>
      <c r="P98" s="875"/>
      <c r="Q98" s="874" t="str">
        <f t="shared" si="13"/>
        <v/>
      </c>
      <c r="R98" s="788"/>
      <c r="S98" s="101"/>
      <c r="T98" s="101"/>
      <c r="U98" s="101"/>
      <c r="V98" s="101"/>
      <c r="W98" s="101"/>
      <c r="X98" s="101"/>
      <c r="Y98" s="101"/>
      <c r="Z98" s="101"/>
      <c r="AA98" s="101"/>
      <c r="AC98" s="101">
        <f>D9</f>
        <v>20</v>
      </c>
      <c r="AD98" s="9">
        <v>93</v>
      </c>
      <c r="AE98" s="9">
        <v>47</v>
      </c>
      <c r="AF98" s="101">
        <f>D7</f>
        <v>0</v>
      </c>
      <c r="AG98" s="9" t="s">
        <v>455</v>
      </c>
      <c r="AH98" s="9" t="str">
        <f t="shared" si="10"/>
        <v>0</v>
      </c>
      <c r="AI98" s="9" t="s">
        <v>7142</v>
      </c>
      <c r="AJ98" s="101" t="str">
        <f>D8</f>
        <v/>
      </c>
      <c r="AK98" s="9" t="str">
        <f t="shared" si="11"/>
        <v/>
      </c>
      <c r="AL98" s="9" t="s">
        <v>7142</v>
      </c>
      <c r="AM98" s="101">
        <v>93</v>
      </c>
      <c r="AN98" s="101"/>
      <c r="AO98" s="101" t="str">
        <f t="shared" si="12"/>
        <v/>
      </c>
      <c r="AP98" s="101" t="str">
        <f>IF(AD52&lt;=AC52, (CONCATENATE(AG52,AH52,AI52,AK52,AL52,AM52)),"")</f>
        <v/>
      </c>
      <c r="AQ98" s="101"/>
      <c r="AR98" s="101"/>
      <c r="AS98" s="101"/>
      <c r="AT98" s="768"/>
    </row>
    <row r="99" spans="2:46">
      <c r="B99" s="768"/>
      <c r="C99" s="768" t="str">
        <f>IF(D10="No", AO89, IF(D10="Yes", AP89, ""))</f>
        <v/>
      </c>
      <c r="D99" s="768"/>
      <c r="E99" s="876"/>
      <c r="F99" s="768"/>
      <c r="G99" s="768"/>
      <c r="H99" s="768"/>
      <c r="I99" s="768"/>
      <c r="J99" s="768"/>
      <c r="K99" s="768"/>
      <c r="L99" s="874"/>
      <c r="M99" s="882" t="str">
        <f>IF(D99="", "", IF(G11&lt;&gt;"Yes", 1, IF(D99="Existing Building", 1, MAX(AS6, AS7)+1)))</f>
        <v/>
      </c>
      <c r="N99" s="875"/>
      <c r="O99" s="874" t="str">
        <f t="shared" si="14"/>
        <v/>
      </c>
      <c r="P99" s="875"/>
      <c r="Q99" s="874" t="str">
        <f t="shared" si="13"/>
        <v/>
      </c>
      <c r="R99" s="788"/>
      <c r="S99" s="101"/>
      <c r="T99" s="101"/>
      <c r="U99" s="101"/>
      <c r="V99" s="101"/>
      <c r="W99" s="101"/>
      <c r="X99" s="101"/>
      <c r="Y99" s="101"/>
      <c r="Z99" s="101"/>
      <c r="AA99" s="101"/>
      <c r="AC99" s="101">
        <f>D9</f>
        <v>20</v>
      </c>
      <c r="AD99" s="9">
        <v>94</v>
      </c>
      <c r="AE99" s="9">
        <v>47</v>
      </c>
      <c r="AF99" s="101">
        <f>D7</f>
        <v>0</v>
      </c>
      <c r="AG99" s="9" t="s">
        <v>455</v>
      </c>
      <c r="AH99" s="9" t="str">
        <f t="shared" si="10"/>
        <v>0</v>
      </c>
      <c r="AI99" s="9" t="s">
        <v>7142</v>
      </c>
      <c r="AJ99" s="101" t="str">
        <f>D8</f>
        <v/>
      </c>
      <c r="AK99" s="9" t="str">
        <f t="shared" si="11"/>
        <v/>
      </c>
      <c r="AL99" s="9" t="s">
        <v>7142</v>
      </c>
      <c r="AM99" s="101">
        <v>94</v>
      </c>
      <c r="AN99" s="101"/>
      <c r="AO99" s="101" t="str">
        <f t="shared" si="12"/>
        <v/>
      </c>
      <c r="AP99" s="101" t="str">
        <f>IF(AD52&lt;=AC52, (CONCATENATE(AG52,AH52,AI52,AK52,AL52,AM52)),"")</f>
        <v/>
      </c>
      <c r="AQ99" s="101"/>
      <c r="AR99" s="101"/>
      <c r="AS99" s="101"/>
      <c r="AT99" s="768"/>
    </row>
    <row r="100" spans="2:46">
      <c r="B100" s="768"/>
      <c r="C100" s="768" t="str">
        <f>IF(D10="No", AO90, IF(D10="Yes", AP90, ""))</f>
        <v/>
      </c>
      <c r="D100" s="768"/>
      <c r="E100" s="876"/>
      <c r="F100" s="768"/>
      <c r="G100" s="768"/>
      <c r="H100" s="768"/>
      <c r="I100" s="768"/>
      <c r="J100" s="768"/>
      <c r="K100" s="768"/>
      <c r="L100" s="874"/>
      <c r="M100" s="882" t="str">
        <f>IF(D100="", "", IF(G11&lt;&gt;"Yes", 1, IF(D100="Existing Building", 1, MAX(AS6, AS7)+1)))</f>
        <v/>
      </c>
      <c r="N100" s="875"/>
      <c r="O100" s="874" t="str">
        <f t="shared" si="14"/>
        <v/>
      </c>
      <c r="P100" s="875"/>
      <c r="Q100" s="874" t="str">
        <f t="shared" si="13"/>
        <v/>
      </c>
      <c r="R100" s="788"/>
      <c r="S100" s="101"/>
      <c r="T100" s="101"/>
      <c r="U100" s="101"/>
      <c r="V100" s="101"/>
      <c r="W100" s="101"/>
      <c r="X100" s="101"/>
      <c r="Y100" s="101"/>
      <c r="Z100" s="101"/>
      <c r="AA100" s="101"/>
      <c r="AC100" s="101">
        <f>D9</f>
        <v>20</v>
      </c>
      <c r="AD100" s="9">
        <v>95</v>
      </c>
      <c r="AE100" s="9">
        <v>48</v>
      </c>
      <c r="AF100" s="101">
        <f>D7</f>
        <v>0</v>
      </c>
      <c r="AG100" s="9" t="s">
        <v>455</v>
      </c>
      <c r="AH100" s="9" t="str">
        <f t="shared" si="10"/>
        <v>0</v>
      </c>
      <c r="AI100" s="9" t="s">
        <v>7142</v>
      </c>
      <c r="AJ100" s="101" t="str">
        <f>D8</f>
        <v/>
      </c>
      <c r="AK100" s="9" t="str">
        <f t="shared" si="11"/>
        <v/>
      </c>
      <c r="AL100" s="9" t="s">
        <v>7142</v>
      </c>
      <c r="AM100" s="101">
        <v>95</v>
      </c>
      <c r="AN100" s="101"/>
      <c r="AO100" s="101" t="str">
        <f t="shared" si="12"/>
        <v/>
      </c>
      <c r="AP100" s="101" t="str">
        <f>IF(AD53&lt;=AC53, (CONCATENATE(AG53,AH53,AI53,AK53,AL53,AM53)),"")</f>
        <v/>
      </c>
      <c r="AQ100" s="101"/>
      <c r="AR100" s="101"/>
      <c r="AS100" s="101"/>
      <c r="AT100" s="768"/>
    </row>
    <row r="101" spans="2:46">
      <c r="B101" s="768"/>
      <c r="C101" s="768" t="str">
        <f>IF(D10="No", AO91, IF(D10="Yes", AP91, ""))</f>
        <v/>
      </c>
      <c r="D101" s="768"/>
      <c r="E101" s="876"/>
      <c r="F101" s="768"/>
      <c r="G101" s="768"/>
      <c r="H101" s="768"/>
      <c r="I101" s="768"/>
      <c r="J101" s="768"/>
      <c r="K101" s="768"/>
      <c r="L101" s="874"/>
      <c r="M101" s="882" t="str">
        <f>IF(D101="", "", IF(G11&lt;&gt;"Yes", 1, IF(D101="Existing Building", 1, MAX(AS6, AS7)+1)))</f>
        <v/>
      </c>
      <c r="N101" s="875"/>
      <c r="O101" s="874" t="str">
        <f t="shared" si="14"/>
        <v/>
      </c>
      <c r="P101" s="875"/>
      <c r="Q101" s="874" t="str">
        <f t="shared" si="13"/>
        <v/>
      </c>
      <c r="R101" s="788"/>
      <c r="S101" s="101"/>
      <c r="T101" s="101"/>
      <c r="U101" s="101"/>
      <c r="V101" s="101"/>
      <c r="W101" s="101"/>
      <c r="X101" s="101"/>
      <c r="Y101" s="101"/>
      <c r="Z101" s="101"/>
      <c r="AA101" s="101"/>
      <c r="AC101" s="101">
        <f>D9</f>
        <v>20</v>
      </c>
      <c r="AD101" s="9">
        <v>96</v>
      </c>
      <c r="AE101" s="9">
        <v>48</v>
      </c>
      <c r="AF101" s="101">
        <f>D7</f>
        <v>0</v>
      </c>
      <c r="AG101" s="9" t="s">
        <v>455</v>
      </c>
      <c r="AH101" s="9" t="str">
        <f t="shared" si="10"/>
        <v>0</v>
      </c>
      <c r="AI101" s="9" t="s">
        <v>7142</v>
      </c>
      <c r="AJ101" s="101" t="str">
        <f>D8</f>
        <v/>
      </c>
      <c r="AK101" s="9" t="str">
        <f t="shared" si="11"/>
        <v/>
      </c>
      <c r="AL101" s="9" t="s">
        <v>7142</v>
      </c>
      <c r="AM101" s="101">
        <v>96</v>
      </c>
      <c r="AN101" s="101"/>
      <c r="AO101" s="101" t="str">
        <f t="shared" si="12"/>
        <v/>
      </c>
      <c r="AP101" s="101" t="str">
        <f>IF(AD53&lt;=AC53, (CONCATENATE(AG53,AH53,AI53,AK53,AL53,AM53)),"")</f>
        <v/>
      </c>
      <c r="AQ101" s="101"/>
      <c r="AR101" s="101"/>
      <c r="AS101" s="101"/>
      <c r="AT101" s="768"/>
    </row>
    <row r="102" spans="2:46">
      <c r="B102" s="768"/>
      <c r="C102" s="768" t="str">
        <f>IF(D10="No", AO92, IF(D10="Yes", AP92, ""))</f>
        <v/>
      </c>
      <c r="D102" s="768"/>
      <c r="E102" s="876"/>
      <c r="F102" s="768"/>
      <c r="G102" s="768"/>
      <c r="H102" s="768"/>
      <c r="I102" s="768"/>
      <c r="J102" s="768"/>
      <c r="K102" s="768"/>
      <c r="L102" s="874"/>
      <c r="M102" s="882" t="str">
        <f>IF(D102="", "", IF(G11&lt;&gt;"Yes", 1, IF(D102="Existing Building", 1, MAX(AS6, AS7)+1)))</f>
        <v/>
      </c>
      <c r="N102" s="875"/>
      <c r="O102" s="874" t="str">
        <f t="shared" si="14"/>
        <v/>
      </c>
      <c r="P102" s="875"/>
      <c r="Q102" s="874" t="str">
        <f t="shared" si="13"/>
        <v/>
      </c>
      <c r="R102" s="788"/>
      <c r="S102" s="101"/>
      <c r="T102" s="101"/>
      <c r="U102" s="101"/>
      <c r="V102" s="101"/>
      <c r="W102" s="101"/>
      <c r="X102" s="101"/>
      <c r="Y102" s="101"/>
      <c r="Z102" s="101"/>
      <c r="AA102" s="101"/>
      <c r="AC102" s="101">
        <f>D9</f>
        <v>20</v>
      </c>
      <c r="AD102" s="9">
        <v>97</v>
      </c>
      <c r="AE102" s="9">
        <v>49</v>
      </c>
      <c r="AF102" s="101">
        <f>D7</f>
        <v>0</v>
      </c>
      <c r="AG102" s="9" t="s">
        <v>455</v>
      </c>
      <c r="AH102" s="9" t="str">
        <f t="shared" si="10"/>
        <v>0</v>
      </c>
      <c r="AI102" s="9" t="s">
        <v>7142</v>
      </c>
      <c r="AJ102" s="101" t="str">
        <f>D8</f>
        <v/>
      </c>
      <c r="AK102" s="9" t="str">
        <f t="shared" ref="AK102:AK105" si="15">RIGHT(AJ102,3)</f>
        <v/>
      </c>
      <c r="AL102" s="9" t="s">
        <v>7142</v>
      </c>
      <c r="AM102" s="101">
        <v>97</v>
      </c>
      <c r="AN102" s="101"/>
      <c r="AO102" s="101" t="str">
        <f t="shared" si="12"/>
        <v/>
      </c>
      <c r="AP102" s="101" t="str">
        <f>IF(AD54&lt;=AC54, (CONCATENATE(AG54,AH54,AI54,AK54,AL54,AM54)),"")</f>
        <v/>
      </c>
      <c r="AQ102" s="101"/>
      <c r="AR102" s="101"/>
      <c r="AS102" s="101"/>
      <c r="AT102" s="768"/>
    </row>
    <row r="103" spans="2:46">
      <c r="B103" s="768"/>
      <c r="C103" s="768" t="str">
        <f>IF(D10="No", AO93, IF(D10="Yes", AP93, ""))</f>
        <v/>
      </c>
      <c r="D103" s="768"/>
      <c r="E103" s="876"/>
      <c r="F103" s="768"/>
      <c r="G103" s="768"/>
      <c r="H103" s="768"/>
      <c r="I103" s="768"/>
      <c r="J103" s="768"/>
      <c r="K103" s="768"/>
      <c r="L103" s="874"/>
      <c r="M103" s="882" t="str">
        <f>IF(D103="", "", IF(G11&lt;&gt;"Yes", 1, IF(D103="Existing Building", 1, MAX(AS6, AS7)+1)))</f>
        <v/>
      </c>
      <c r="N103" s="875"/>
      <c r="O103" s="874" t="str">
        <f t="shared" si="14"/>
        <v/>
      </c>
      <c r="P103" s="875"/>
      <c r="Q103" s="874" t="str">
        <f t="shared" si="13"/>
        <v/>
      </c>
      <c r="R103" s="788"/>
      <c r="S103" s="101"/>
      <c r="T103" s="101"/>
      <c r="U103" s="101"/>
      <c r="V103" s="101"/>
      <c r="W103" s="101"/>
      <c r="X103" s="101"/>
      <c r="Y103" s="101"/>
      <c r="Z103" s="101"/>
      <c r="AA103" s="101"/>
      <c r="AC103" s="101">
        <f>D9</f>
        <v>20</v>
      </c>
      <c r="AD103" s="9">
        <v>98</v>
      </c>
      <c r="AE103" s="9">
        <v>49</v>
      </c>
      <c r="AF103" s="101">
        <f>D7</f>
        <v>0</v>
      </c>
      <c r="AG103" s="9" t="s">
        <v>455</v>
      </c>
      <c r="AH103" s="9" t="str">
        <f t="shared" si="10"/>
        <v>0</v>
      </c>
      <c r="AI103" s="9" t="s">
        <v>7142</v>
      </c>
      <c r="AJ103" s="101" t="str">
        <f>D8</f>
        <v/>
      </c>
      <c r="AK103" s="9" t="str">
        <f t="shared" si="15"/>
        <v/>
      </c>
      <c r="AL103" s="9" t="s">
        <v>7142</v>
      </c>
      <c r="AM103" s="101">
        <v>98</v>
      </c>
      <c r="AN103" s="101"/>
      <c r="AO103" s="101" t="str">
        <f t="shared" si="12"/>
        <v/>
      </c>
      <c r="AP103" s="101" t="str">
        <f>IF(AD54&lt;=AC54, (CONCATENATE(AG54,AH54,AI54,AK54,AL54,AM54)),"")</f>
        <v/>
      </c>
      <c r="AQ103" s="101"/>
      <c r="AR103" s="101"/>
      <c r="AS103" s="101"/>
      <c r="AT103" s="768"/>
    </row>
    <row r="104" spans="2:46">
      <c r="B104" s="768"/>
      <c r="C104" s="768" t="str">
        <f>IF(D10="No", AO94, IF(D10="Yes", AP94, ""))</f>
        <v/>
      </c>
      <c r="D104" s="768"/>
      <c r="E104" s="876"/>
      <c r="F104" s="768"/>
      <c r="G104" s="768"/>
      <c r="H104" s="768"/>
      <c r="I104" s="768"/>
      <c r="J104" s="768"/>
      <c r="K104" s="768"/>
      <c r="L104" s="874"/>
      <c r="M104" s="882" t="str">
        <f>IF(D104="", "", IF(G11&lt;&gt;"Yes", 1, IF(D104="Existing Building", 1, MAX(AS6, AS7)+1)))</f>
        <v/>
      </c>
      <c r="N104" s="875"/>
      <c r="O104" s="874" t="str">
        <f t="shared" si="14"/>
        <v/>
      </c>
      <c r="P104" s="875"/>
      <c r="Q104" s="874" t="str">
        <f t="shared" si="13"/>
        <v/>
      </c>
      <c r="R104" s="788"/>
      <c r="S104" s="101"/>
      <c r="T104" s="101"/>
      <c r="U104" s="101"/>
      <c r="V104" s="101"/>
      <c r="W104" s="101"/>
      <c r="X104" s="101"/>
      <c r="Y104" s="101"/>
      <c r="Z104" s="101"/>
      <c r="AA104" s="101"/>
      <c r="AC104" s="101">
        <f>D9</f>
        <v>20</v>
      </c>
      <c r="AD104" s="9">
        <v>99</v>
      </c>
      <c r="AE104" s="9">
        <v>50</v>
      </c>
      <c r="AF104" s="101">
        <f>D7</f>
        <v>0</v>
      </c>
      <c r="AG104" s="9" t="s">
        <v>455</v>
      </c>
      <c r="AH104" s="9" t="str">
        <f t="shared" si="10"/>
        <v>0</v>
      </c>
      <c r="AI104" s="9" t="s">
        <v>7142</v>
      </c>
      <c r="AJ104" s="101" t="str">
        <f>D8</f>
        <v/>
      </c>
      <c r="AK104" s="9" t="str">
        <f t="shared" si="15"/>
        <v/>
      </c>
      <c r="AL104" s="9" t="s">
        <v>7142</v>
      </c>
      <c r="AM104" s="101">
        <v>99</v>
      </c>
      <c r="AN104" s="101"/>
      <c r="AO104" s="101" t="str">
        <f t="shared" si="12"/>
        <v/>
      </c>
      <c r="AP104" s="101" t="str">
        <f>IF(AD55&lt;=AC55, (CONCATENATE(AG55,AH55,AI55,AK55,AL55,AM55)),"")</f>
        <v/>
      </c>
      <c r="AQ104" s="101"/>
      <c r="AR104" s="101"/>
      <c r="AS104" s="101"/>
      <c r="AT104" s="768"/>
    </row>
    <row r="105" spans="2:46">
      <c r="B105" s="768"/>
      <c r="C105" s="768" t="str">
        <f>IF(D10="No", AO95, IF(D10="Yes", AP95, ""))</f>
        <v/>
      </c>
      <c r="D105" s="768"/>
      <c r="E105" s="876"/>
      <c r="F105" s="768"/>
      <c r="G105" s="768"/>
      <c r="H105" s="768"/>
      <c r="I105" s="768"/>
      <c r="J105" s="768"/>
      <c r="K105" s="768"/>
      <c r="L105" s="874"/>
      <c r="M105" s="882" t="str">
        <f>IF(D105="", "", IF(G11&lt;&gt;"Yes", 1, IF(D105="Existing Building", 1, MAX(AS6, AS7)+1)))</f>
        <v/>
      </c>
      <c r="N105" s="875"/>
      <c r="O105" s="874" t="str">
        <f t="shared" si="14"/>
        <v/>
      </c>
      <c r="P105" s="875"/>
      <c r="Q105" s="874" t="str">
        <f t="shared" si="13"/>
        <v/>
      </c>
      <c r="R105" s="788"/>
      <c r="S105" s="101"/>
      <c r="T105" s="101"/>
      <c r="U105" s="101"/>
      <c r="V105" s="101"/>
      <c r="W105" s="101"/>
      <c r="X105" s="101"/>
      <c r="Y105" s="101"/>
      <c r="Z105" s="101"/>
      <c r="AA105" s="101"/>
      <c r="AC105" s="101">
        <f>D9</f>
        <v>20</v>
      </c>
      <c r="AD105" s="9">
        <v>100</v>
      </c>
      <c r="AE105" s="9">
        <v>50</v>
      </c>
      <c r="AF105" s="101">
        <f>D7</f>
        <v>0</v>
      </c>
      <c r="AG105" s="9" t="s">
        <v>455</v>
      </c>
      <c r="AH105" s="9" t="str">
        <f t="shared" si="10"/>
        <v>0</v>
      </c>
      <c r="AI105" s="9" t="s">
        <v>7142</v>
      </c>
      <c r="AJ105" s="101" t="str">
        <f>D8</f>
        <v/>
      </c>
      <c r="AK105" s="9" t="str">
        <f t="shared" si="15"/>
        <v/>
      </c>
      <c r="AL105" s="9" t="s">
        <v>7142</v>
      </c>
      <c r="AM105" s="101">
        <v>100</v>
      </c>
      <c r="AN105" s="101"/>
      <c r="AO105" s="101" t="str">
        <f t="shared" si="12"/>
        <v/>
      </c>
      <c r="AP105" s="101" t="str">
        <f>IF(AD55&lt;=AC55, (CONCATENATE(AG55,AH55,AI55,AK55,AL55,AM55)),"")</f>
        <v/>
      </c>
      <c r="AQ105" s="101"/>
      <c r="AR105" s="101"/>
      <c r="AS105" s="101"/>
      <c r="AT105" s="768"/>
    </row>
    <row r="106" spans="2:46">
      <c r="B106" s="768"/>
      <c r="C106" s="768" t="str">
        <f>IF(D10="No", AO96, IF(D10="Yes", AP96, ""))</f>
        <v/>
      </c>
      <c r="D106" s="768"/>
      <c r="E106" s="876"/>
      <c r="F106" s="768"/>
      <c r="G106" s="768"/>
      <c r="H106" s="768"/>
      <c r="I106" s="768"/>
      <c r="J106" s="768"/>
      <c r="K106" s="768"/>
      <c r="L106" s="874"/>
      <c r="M106" s="882" t="str">
        <f>IF(D106="", "", IF(G11&lt;&gt;"Yes", 1, IF(D106="Existing Building", 1, MAX(AS6, AS7)+1)))</f>
        <v/>
      </c>
      <c r="N106" s="875"/>
      <c r="O106" s="874" t="str">
        <f t="shared" si="14"/>
        <v/>
      </c>
      <c r="P106" s="875"/>
      <c r="Q106" s="874" t="str">
        <f t="shared" si="13"/>
        <v/>
      </c>
      <c r="R106" s="788"/>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768"/>
    </row>
    <row r="107" spans="2:46">
      <c r="B107" s="768"/>
      <c r="C107" s="768" t="str">
        <f>IF(D10="No", AO97, IF(D10="Yes", AP97, ""))</f>
        <v/>
      </c>
      <c r="D107" s="768"/>
      <c r="E107" s="876"/>
      <c r="F107" s="768"/>
      <c r="G107" s="768"/>
      <c r="H107" s="768"/>
      <c r="I107" s="768"/>
      <c r="J107" s="768"/>
      <c r="K107" s="768"/>
      <c r="L107" s="874"/>
      <c r="M107" s="882" t="str">
        <f>IF(D107="", "", IF(G11&lt;&gt;"Yes", 1, IF(D107="Existing Building", 1, MAX(AS6, AS7)+1)))</f>
        <v/>
      </c>
      <c r="N107" s="875"/>
      <c r="O107" s="874" t="str">
        <f t="shared" si="14"/>
        <v/>
      </c>
      <c r="P107" s="875"/>
      <c r="Q107" s="874" t="str">
        <f t="shared" si="13"/>
        <v/>
      </c>
      <c r="R107" s="788"/>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768"/>
    </row>
    <row r="108" spans="2:46">
      <c r="B108" s="768"/>
      <c r="C108" s="768" t="str">
        <f>IF(D10="No", AO98, IF(D10="Yes", AP98, ""))</f>
        <v/>
      </c>
      <c r="D108" s="768"/>
      <c r="E108" s="876"/>
      <c r="F108" s="768"/>
      <c r="G108" s="768"/>
      <c r="H108" s="768"/>
      <c r="I108" s="768"/>
      <c r="J108" s="768"/>
      <c r="K108" s="768"/>
      <c r="L108" s="874"/>
      <c r="M108" s="882" t="str">
        <f>IF(D108="", "", IF(G11&lt;&gt;"Yes", 1, IF(D108="Existing Building", 1, MAX(AS6, AS7)+1)))</f>
        <v/>
      </c>
      <c r="N108" s="875"/>
      <c r="O108" s="874" t="str">
        <f t="shared" si="14"/>
        <v/>
      </c>
      <c r="P108" s="875"/>
      <c r="Q108" s="874" t="str">
        <f t="shared" si="13"/>
        <v/>
      </c>
      <c r="R108" s="788"/>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768"/>
    </row>
    <row r="109" spans="2:46">
      <c r="B109" s="768"/>
      <c r="C109" s="768" t="str">
        <f>IF(D10="No",AO99, IF( D10="Yes", AP99, ""))</f>
        <v/>
      </c>
      <c r="D109" s="768"/>
      <c r="E109" s="876"/>
      <c r="F109" s="768"/>
      <c r="G109" s="768"/>
      <c r="H109" s="768"/>
      <c r="I109" s="768"/>
      <c r="J109" s="768"/>
      <c r="K109" s="768"/>
      <c r="L109" s="874"/>
      <c r="M109" s="882" t="str">
        <f>IF(D109="", "", IF(G11&lt;&gt;"Yes", 1, IF(D109="Existing Building", 1, MAX(AS6, AS7)+1)))</f>
        <v/>
      </c>
      <c r="N109" s="875"/>
      <c r="O109" s="874" t="str">
        <f t="shared" si="14"/>
        <v/>
      </c>
      <c r="P109" s="875"/>
      <c r="Q109" s="874" t="str">
        <f t="shared" si="13"/>
        <v/>
      </c>
      <c r="R109" s="788"/>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768"/>
    </row>
    <row r="110" spans="2:46">
      <c r="B110" s="768"/>
      <c r="C110" s="768" t="str">
        <f>IF(D10="No", AO100, IF(D10="Yes", AP100, ""))</f>
        <v/>
      </c>
      <c r="D110" s="768"/>
      <c r="E110" s="876"/>
      <c r="F110" s="768"/>
      <c r="G110" s="768"/>
      <c r="H110" s="768"/>
      <c r="I110" s="768"/>
      <c r="J110" s="768"/>
      <c r="K110" s="768"/>
      <c r="L110" s="874"/>
      <c r="M110" s="882" t="str">
        <f>IF(D110="", "", IF(G11&lt;&gt;"Yes", 1, IF(D110="Existing Building", 1, MAX(AS6, AS7)+1)))</f>
        <v/>
      </c>
      <c r="N110" s="875"/>
      <c r="O110" s="874" t="str">
        <f t="shared" si="14"/>
        <v/>
      </c>
      <c r="P110" s="875"/>
      <c r="Q110" s="874" t="str">
        <f t="shared" si="13"/>
        <v/>
      </c>
      <c r="R110" s="788"/>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768"/>
    </row>
    <row r="111" spans="2:46">
      <c r="B111" s="768"/>
      <c r="C111" s="768" t="str">
        <f>IF(D10="No", AO101, IF(D10="Yes", AP101, ""))</f>
        <v/>
      </c>
      <c r="D111" s="768"/>
      <c r="E111" s="876"/>
      <c r="F111" s="768"/>
      <c r="G111" s="768"/>
      <c r="H111" s="768"/>
      <c r="I111" s="768"/>
      <c r="J111" s="768"/>
      <c r="K111" s="768"/>
      <c r="L111" s="874"/>
      <c r="M111" s="882" t="str">
        <f>IF(D111="", "", IF(G11&lt;&gt;"Yes", 1, IF(D111="Existing Building", 1, MAX(AS6, AS7)+1)))</f>
        <v/>
      </c>
      <c r="N111" s="875"/>
      <c r="O111" s="874" t="str">
        <f t="shared" si="14"/>
        <v/>
      </c>
      <c r="P111" s="875"/>
      <c r="Q111" s="874" t="str">
        <f t="shared" si="13"/>
        <v/>
      </c>
      <c r="R111" s="788"/>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768"/>
    </row>
    <row r="112" spans="2:46">
      <c r="B112" s="768"/>
      <c r="C112" s="768" t="str">
        <f>IF(D10="No", AO102, IF(D10="Yes", AP102, ""))</f>
        <v/>
      </c>
      <c r="D112" s="768"/>
      <c r="E112" s="876"/>
      <c r="F112" s="768"/>
      <c r="G112" s="768"/>
      <c r="H112" s="768"/>
      <c r="I112" s="768"/>
      <c r="J112" s="768"/>
      <c r="K112" s="768"/>
      <c r="L112" s="874"/>
      <c r="M112" s="882" t="str">
        <f>IF(D112="", "", IF(G11&lt;&gt;"Yes", 1, IF(D112="Existing Building", 1, MAX(AS6, AS7)+1)))</f>
        <v/>
      </c>
      <c r="N112" s="875"/>
      <c r="O112" s="874" t="str">
        <f t="shared" si="14"/>
        <v/>
      </c>
      <c r="P112" s="875"/>
      <c r="Q112" s="874" t="str">
        <f t="shared" ref="Q112:Q115" si="16">IF(AND(O112&lt;&gt;"",P112&lt;&gt;""), FLOOR(O112*P112,1), "")</f>
        <v/>
      </c>
      <c r="R112" s="788"/>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768"/>
    </row>
    <row r="113" spans="2:46">
      <c r="B113" s="768"/>
      <c r="C113" s="768" t="str">
        <f>IF(D10="No", AO103, IF(D10="Yes", AP103, ""))</f>
        <v/>
      </c>
      <c r="D113" s="768"/>
      <c r="E113" s="876"/>
      <c r="F113" s="768"/>
      <c r="G113" s="768"/>
      <c r="H113" s="768"/>
      <c r="I113" s="768"/>
      <c r="J113" s="768"/>
      <c r="K113" s="768"/>
      <c r="L113" s="874"/>
      <c r="M113" s="882" t="str">
        <f>IF(D113="", "", IF(G11&lt;&gt;"Yes", 1, IF(D113="Existing Building", 1, MAX(AS6, AS7)+1)))</f>
        <v/>
      </c>
      <c r="N113" s="875"/>
      <c r="O113" s="874" t="str">
        <f t="shared" si="14"/>
        <v/>
      </c>
      <c r="P113" s="875"/>
      <c r="Q113" s="874" t="str">
        <f t="shared" si="16"/>
        <v/>
      </c>
      <c r="R113" s="788"/>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768"/>
    </row>
    <row r="114" spans="2:46">
      <c r="B114" s="768"/>
      <c r="C114" s="768" t="str">
        <f>IF(D10="No", AO104, IF(D10="Yes", AP104, ""))</f>
        <v/>
      </c>
      <c r="D114" s="768"/>
      <c r="E114" s="876"/>
      <c r="F114" s="768"/>
      <c r="G114" s="768"/>
      <c r="H114" s="768"/>
      <c r="I114" s="768"/>
      <c r="J114" s="768"/>
      <c r="K114" s="768"/>
      <c r="L114" s="874"/>
      <c r="M114" s="882" t="str">
        <f>IF(D114="", "", IF(G11&lt;&gt;"Yes", 1, IF(D114="Existing Building", 1, MAX(AS6, AS7)+1)))</f>
        <v/>
      </c>
      <c r="N114" s="875"/>
      <c r="O114" s="874" t="str">
        <f t="shared" ref="O114:O115" si="17">IF(AND(L114&lt;&gt;"", M114&lt;&gt;"", N114&lt;&gt;""), ROUND(L114*M114*N114, 0), "")</f>
        <v/>
      </c>
      <c r="P114" s="875"/>
      <c r="Q114" s="874" t="str">
        <f t="shared" si="16"/>
        <v/>
      </c>
      <c r="R114" s="788"/>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768"/>
    </row>
    <row r="115" spans="2:46">
      <c r="B115" s="768"/>
      <c r="C115" s="768" t="str">
        <f>IF(D10="No", AO105, IF(D10="Yes", AP105, ""))</f>
        <v/>
      </c>
      <c r="D115" s="768"/>
      <c r="E115" s="876"/>
      <c r="F115" s="768"/>
      <c r="G115" s="768"/>
      <c r="H115" s="768"/>
      <c r="I115" s="768"/>
      <c r="J115" s="768"/>
      <c r="K115" s="768"/>
      <c r="L115" s="874"/>
      <c r="M115" s="882" t="str">
        <f>IF(D115="", "", IF(G11&lt;&gt;"Yes", 1, IF(D115="Existing Building", 1, MAX(AS6, AS7)+1)))</f>
        <v/>
      </c>
      <c r="N115" s="875"/>
      <c r="O115" s="874" t="str">
        <f t="shared" si="17"/>
        <v/>
      </c>
      <c r="P115" s="875"/>
      <c r="Q115" s="874" t="str">
        <f t="shared" si="16"/>
        <v/>
      </c>
      <c r="R115" s="788"/>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768"/>
    </row>
    <row r="116" spans="2:46">
      <c r="B116" s="768"/>
      <c r="C116" s="768"/>
      <c r="D116" s="768"/>
      <c r="E116" s="768"/>
      <c r="F116" s="768"/>
      <c r="G116" s="768"/>
      <c r="H116" s="768"/>
      <c r="I116" s="768"/>
      <c r="J116" s="768"/>
      <c r="K116" s="768"/>
      <c r="L116" s="768"/>
      <c r="M116" s="768"/>
      <c r="N116" s="768"/>
      <c r="O116" s="768"/>
      <c r="P116" s="768"/>
      <c r="Q116" s="768"/>
      <c r="R116" s="788"/>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768"/>
    </row>
    <row r="117" spans="2:46">
      <c r="B117" s="768"/>
      <c r="C117" s="768"/>
      <c r="D117" s="768"/>
      <c r="E117" s="768"/>
      <c r="F117" s="768"/>
      <c r="G117" s="768"/>
      <c r="H117" s="768"/>
      <c r="I117" s="768"/>
      <c r="J117" s="768"/>
      <c r="K117" s="768"/>
      <c r="L117" s="768"/>
      <c r="M117" s="768"/>
      <c r="N117" s="768"/>
      <c r="O117" s="768"/>
      <c r="P117" s="768"/>
      <c r="Q117" s="768"/>
      <c r="R117" s="788"/>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768"/>
    </row>
    <row r="118" spans="2:46">
      <c r="B118" s="768"/>
      <c r="C118" s="768"/>
      <c r="D118" s="768"/>
      <c r="E118" s="768"/>
      <c r="F118" s="768"/>
      <c r="G118" s="768"/>
      <c r="H118" s="768"/>
      <c r="I118" s="768"/>
      <c r="J118" s="768"/>
      <c r="K118" s="768"/>
      <c r="L118" s="768"/>
      <c r="M118" s="768"/>
      <c r="N118" s="768"/>
      <c r="O118" s="768"/>
      <c r="P118" s="768"/>
      <c r="Q118" s="768"/>
      <c r="R118" s="788"/>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768"/>
    </row>
    <row r="119" spans="2:46">
      <c r="B119" s="768"/>
      <c r="C119" s="768"/>
      <c r="D119" s="768"/>
      <c r="E119" s="768"/>
      <c r="F119" s="768"/>
      <c r="G119" s="768"/>
      <c r="H119" s="768"/>
      <c r="I119" s="768"/>
      <c r="J119" s="768"/>
      <c r="K119" s="768"/>
      <c r="L119" s="768"/>
      <c r="M119" s="768"/>
      <c r="N119" s="768"/>
      <c r="O119" s="768"/>
      <c r="P119" s="768"/>
      <c r="Q119" s="768"/>
      <c r="R119" s="788"/>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768"/>
    </row>
    <row r="120" spans="2:46">
      <c r="B120" s="768"/>
      <c r="C120" s="768"/>
      <c r="D120" s="768"/>
      <c r="E120" s="768"/>
      <c r="F120" s="768"/>
      <c r="G120" s="768"/>
      <c r="H120" s="768"/>
      <c r="I120" s="768"/>
      <c r="J120" s="768"/>
      <c r="K120" s="768"/>
      <c r="L120" s="768"/>
      <c r="M120" s="768"/>
      <c r="N120" s="768"/>
      <c r="O120" s="768"/>
      <c r="P120" s="768"/>
      <c r="Q120" s="768"/>
      <c r="R120" s="788"/>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768"/>
    </row>
    <row r="121" spans="2:46">
      <c r="B121" s="768"/>
      <c r="C121" s="768"/>
      <c r="D121" s="768"/>
      <c r="E121" s="768"/>
      <c r="F121" s="768"/>
      <c r="G121" s="768"/>
      <c r="H121" s="768"/>
      <c r="I121" s="768"/>
      <c r="J121" s="768"/>
      <c r="K121" s="768"/>
      <c r="L121" s="768"/>
      <c r="M121" s="768"/>
      <c r="N121" s="768"/>
      <c r="O121" s="768"/>
      <c r="P121" s="768"/>
      <c r="Q121" s="768"/>
      <c r="R121" s="788"/>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768"/>
    </row>
    <row r="122" spans="2:46">
      <c r="B122" s="768"/>
      <c r="C122" s="768"/>
      <c r="D122" s="768"/>
      <c r="E122" s="768"/>
      <c r="F122" s="768"/>
      <c r="G122" s="768"/>
      <c r="H122" s="768"/>
      <c r="I122" s="768"/>
      <c r="J122" s="768"/>
      <c r="K122" s="768"/>
      <c r="L122" s="768"/>
      <c r="M122" s="768"/>
      <c r="N122" s="768"/>
      <c r="O122" s="768"/>
      <c r="P122" s="768"/>
      <c r="Q122" s="768"/>
      <c r="R122" s="788"/>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768"/>
    </row>
    <row r="123" spans="2:46">
      <c r="B123" s="768"/>
      <c r="C123" s="768"/>
      <c r="D123" s="768"/>
      <c r="E123" s="768"/>
      <c r="F123" s="768"/>
      <c r="G123" s="768"/>
      <c r="H123" s="768"/>
      <c r="I123" s="768"/>
      <c r="J123" s="768"/>
      <c r="K123" s="768"/>
      <c r="L123" s="768"/>
      <c r="M123" s="768"/>
      <c r="N123" s="768"/>
      <c r="O123" s="768"/>
      <c r="P123" s="768"/>
      <c r="Q123" s="768"/>
      <c r="R123" s="788"/>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768"/>
    </row>
    <row r="124" spans="2:46">
      <c r="B124" s="768"/>
      <c r="C124" s="768"/>
      <c r="D124" s="768"/>
      <c r="E124" s="768"/>
      <c r="F124" s="768"/>
      <c r="G124" s="768"/>
      <c r="H124" s="768"/>
      <c r="I124" s="768"/>
      <c r="J124" s="768"/>
      <c r="K124" s="768"/>
      <c r="L124" s="768"/>
      <c r="M124" s="768"/>
      <c r="N124" s="768"/>
      <c r="O124" s="768"/>
      <c r="P124" s="768"/>
      <c r="Q124" s="768"/>
      <c r="R124" s="788"/>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768"/>
    </row>
    <row r="125" spans="2:46">
      <c r="B125" s="768"/>
      <c r="C125" s="768"/>
      <c r="D125" s="768"/>
      <c r="E125" s="768"/>
      <c r="F125" s="768"/>
      <c r="G125" s="768"/>
      <c r="H125" s="768"/>
      <c r="I125" s="768"/>
      <c r="J125" s="768"/>
      <c r="K125" s="768"/>
      <c r="L125" s="768"/>
      <c r="M125" s="768"/>
      <c r="N125" s="768"/>
      <c r="O125" s="768"/>
      <c r="P125" s="768"/>
      <c r="Q125" s="768"/>
      <c r="R125" s="788"/>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768"/>
    </row>
    <row r="126" spans="2:46">
      <c r="B126" s="768"/>
      <c r="C126" s="768"/>
      <c r="D126" s="768"/>
      <c r="E126" s="768"/>
      <c r="F126" s="768"/>
      <c r="G126" s="768"/>
      <c r="H126" s="768"/>
      <c r="I126" s="768"/>
      <c r="J126" s="768"/>
      <c r="K126" s="768"/>
      <c r="L126" s="768"/>
      <c r="M126" s="768"/>
      <c r="N126" s="768"/>
      <c r="O126" s="768"/>
      <c r="P126" s="768"/>
      <c r="Q126" s="768"/>
      <c r="R126" s="788"/>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768"/>
    </row>
    <row r="127" spans="2:46">
      <c r="B127" s="768"/>
      <c r="C127" s="768"/>
      <c r="D127" s="768"/>
      <c r="E127" s="768"/>
      <c r="F127" s="768"/>
      <c r="G127" s="768"/>
      <c r="H127" s="768"/>
      <c r="I127" s="768"/>
      <c r="J127" s="768"/>
      <c r="K127" s="768"/>
      <c r="L127" s="768"/>
      <c r="M127" s="768"/>
      <c r="N127" s="768"/>
      <c r="O127" s="768"/>
      <c r="P127" s="768"/>
      <c r="Q127" s="768"/>
      <c r="R127" s="788"/>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768"/>
    </row>
    <row r="128" spans="2:46">
      <c r="B128" s="768"/>
      <c r="C128" s="768"/>
      <c r="D128" s="768"/>
      <c r="E128" s="768"/>
      <c r="F128" s="768"/>
      <c r="G128" s="768"/>
      <c r="H128" s="768"/>
      <c r="I128" s="768"/>
      <c r="J128" s="768"/>
      <c r="K128" s="768"/>
      <c r="L128" s="768"/>
      <c r="M128" s="768"/>
      <c r="N128" s="768"/>
      <c r="O128" s="768"/>
      <c r="P128" s="768"/>
      <c r="Q128" s="768"/>
      <c r="R128" s="788"/>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768"/>
    </row>
    <row r="129" spans="2:46">
      <c r="B129" s="768"/>
      <c r="C129" s="768"/>
      <c r="D129" s="768"/>
      <c r="E129" s="768"/>
      <c r="F129" s="768"/>
      <c r="G129" s="768"/>
      <c r="H129" s="768"/>
      <c r="I129" s="768"/>
      <c r="J129" s="768"/>
      <c r="K129" s="768"/>
      <c r="L129" s="768"/>
      <c r="M129" s="768"/>
      <c r="N129" s="768"/>
      <c r="O129" s="768"/>
      <c r="P129" s="768"/>
      <c r="Q129" s="768"/>
      <c r="R129" s="788"/>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768"/>
    </row>
    <row r="130" spans="2:46">
      <c r="B130" s="768"/>
      <c r="C130" s="768"/>
      <c r="D130" s="768"/>
      <c r="E130" s="768"/>
      <c r="F130" s="768"/>
      <c r="G130" s="768"/>
      <c r="H130" s="768"/>
      <c r="I130" s="768"/>
      <c r="J130" s="768"/>
      <c r="K130" s="768"/>
      <c r="L130" s="768"/>
      <c r="M130" s="768"/>
      <c r="N130" s="768"/>
      <c r="O130" s="768"/>
      <c r="P130" s="768"/>
      <c r="Q130" s="768"/>
      <c r="R130" s="788"/>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768"/>
    </row>
    <row r="131" spans="2:46">
      <c r="B131" s="768"/>
      <c r="C131" s="768"/>
      <c r="D131" s="768"/>
      <c r="E131" s="768"/>
      <c r="F131" s="768"/>
      <c r="G131" s="768"/>
      <c r="H131" s="768"/>
      <c r="I131" s="768"/>
      <c r="J131" s="768"/>
      <c r="K131" s="768"/>
      <c r="L131" s="768"/>
      <c r="M131" s="768"/>
      <c r="N131" s="768"/>
      <c r="O131" s="768"/>
      <c r="P131" s="768"/>
      <c r="Q131" s="768"/>
      <c r="R131" s="788"/>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768"/>
    </row>
    <row r="132" spans="2:46">
      <c r="B132" s="768"/>
      <c r="C132" s="768"/>
      <c r="D132" s="768"/>
      <c r="E132" s="768"/>
      <c r="F132" s="768"/>
      <c r="G132" s="768"/>
      <c r="H132" s="768"/>
      <c r="I132" s="768"/>
      <c r="J132" s="768"/>
      <c r="K132" s="768"/>
      <c r="L132" s="768"/>
      <c r="M132" s="768"/>
      <c r="N132" s="768"/>
      <c r="O132" s="768"/>
      <c r="P132" s="768"/>
      <c r="Q132" s="768"/>
      <c r="R132" s="788"/>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768"/>
    </row>
    <row r="133" spans="2:46">
      <c r="B133" s="768"/>
      <c r="C133" s="768"/>
      <c r="D133" s="768"/>
      <c r="E133" s="768"/>
      <c r="F133" s="768"/>
      <c r="G133" s="768"/>
      <c r="H133" s="768"/>
      <c r="I133" s="768"/>
      <c r="J133" s="768"/>
      <c r="K133" s="768"/>
      <c r="L133" s="768"/>
      <c r="M133" s="768"/>
      <c r="N133" s="768"/>
      <c r="O133" s="768"/>
      <c r="P133" s="768"/>
      <c r="Q133" s="768"/>
      <c r="R133" s="788"/>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768"/>
    </row>
    <row r="134" spans="2:46">
      <c r="B134" s="768"/>
      <c r="C134" s="768"/>
      <c r="D134" s="768"/>
      <c r="E134" s="768"/>
      <c r="F134" s="768"/>
      <c r="G134" s="768"/>
      <c r="H134" s="768"/>
      <c r="I134" s="768"/>
      <c r="J134" s="768"/>
      <c r="K134" s="768"/>
      <c r="L134" s="768"/>
      <c r="M134" s="768"/>
      <c r="N134" s="768"/>
      <c r="O134" s="768"/>
      <c r="P134" s="768"/>
      <c r="Q134" s="768"/>
      <c r="R134" s="788"/>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768"/>
    </row>
    <row r="135" spans="2:46">
      <c r="B135" s="768"/>
      <c r="C135" s="768"/>
      <c r="D135" s="768"/>
      <c r="E135" s="768"/>
      <c r="F135" s="768"/>
      <c r="G135" s="768"/>
      <c r="H135" s="768"/>
      <c r="I135" s="768"/>
      <c r="J135" s="768"/>
      <c r="K135" s="768"/>
      <c r="L135" s="768"/>
      <c r="M135" s="768"/>
      <c r="N135" s="768"/>
      <c r="O135" s="768"/>
      <c r="P135" s="768"/>
      <c r="Q135" s="768"/>
      <c r="R135" s="788"/>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768"/>
    </row>
    <row r="136" spans="2:46">
      <c r="B136" s="768"/>
      <c r="C136" s="768"/>
      <c r="D136" s="768"/>
      <c r="E136" s="768"/>
      <c r="F136" s="768"/>
      <c r="G136" s="768"/>
      <c r="H136" s="768"/>
      <c r="I136" s="768"/>
      <c r="J136" s="768"/>
      <c r="K136" s="768"/>
      <c r="L136" s="768"/>
      <c r="M136" s="768"/>
      <c r="N136" s="768"/>
      <c r="O136" s="768"/>
      <c r="P136" s="768"/>
      <c r="Q136" s="768"/>
      <c r="R136" s="788"/>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768"/>
    </row>
    <row r="137" spans="2:46">
      <c r="B137" s="768"/>
      <c r="C137" s="768"/>
      <c r="D137" s="768"/>
      <c r="E137" s="768"/>
      <c r="F137" s="768"/>
      <c r="G137" s="768"/>
      <c r="H137" s="768"/>
      <c r="I137" s="768"/>
      <c r="J137" s="768"/>
      <c r="K137" s="768"/>
      <c r="L137" s="768"/>
      <c r="M137" s="768"/>
      <c r="N137" s="768"/>
      <c r="O137" s="768"/>
      <c r="P137" s="768"/>
      <c r="Q137" s="768"/>
      <c r="R137" s="788"/>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768"/>
    </row>
  </sheetData>
  <sheetProtection algorithmName="SHA-512" hashValue="T/mO94bdZj6+V+10h7JMX8d9iLVVk/NCUe86HvX5hBWi4XKiO/UWZ46rS+Dfn5zkWtcNdEvRNWhU60zii/HPqw==" saltValue="iRBQV9N1kC3qiTWVziyFNw==" spinCount="100000" sheet="1" objects="1" scenarios="1" selectLockedCells="1"/>
  <conditionalFormatting sqref="F7:G7">
    <cfRule type="expression" dxfId="1" priority="199">
      <formula>$D$6&lt;&gt;"9%"</formula>
    </cfRule>
  </conditionalFormatting>
  <conditionalFormatting sqref="Q14">
    <cfRule type="expression" dxfId="0" priority="200">
      <formula>SumCreditRequest&gt;G10</formula>
    </cfRule>
  </conditionalFormatting>
  <dataValidations count="2">
    <dataValidation type="custom" allowBlank="1" showInputMessage="1" showErrorMessage="1" sqref="F1:G1" xr:uid="{F109FB70-4B19-4BBD-A746-39AC9C614448}">
      <formula1>"&lt;0&gt;0"</formula1>
    </dataValidation>
    <dataValidation type="custom" allowBlank="1" showInputMessage="1" showErrorMessage="1" errorTitle="Numeric Values Only" error="Please enter numeric values only." sqref="J16:K65" xr:uid="{51DB94B1-090D-487E-9AAF-85DD1D01F438}">
      <formula1>ISNUMBER(J16)</formula1>
    </dataValidation>
  </dataValidation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98" id="{C8148E95-4AF3-487C-BF03-4F9EA84FCB03}">
            <xm:f>OR(AND($D$10="No", '3. Project Location'!$H$6 &gt; 1), $D$10="Yes")</xm:f>
            <x14:dxf>
              <fill>
                <patternFill>
                  <bgColor rgb="FFFFFF99"/>
                </patternFill>
              </fill>
              <border>
                <left style="thin">
                  <color auto="1"/>
                </left>
                <right style="thin">
                  <color auto="1"/>
                </right>
                <top style="thin">
                  <color auto="1"/>
                </top>
                <bottom style="thin">
                  <color auto="1"/>
                </bottom>
                <vertical/>
                <horizontal/>
              </border>
            </x14:dxf>
          </x14:cfRule>
          <xm:sqref>C17 O17 Q17</xm:sqref>
        </x14:conditionalFormatting>
        <x14:conditionalFormatting xmlns:xm="http://schemas.microsoft.com/office/excel/2006/main">
          <x14:cfRule type="expression" priority="196" id="{B2034539-346C-499B-8EAA-24D73AB3FAE4}">
            <xm:f>IF($D$10="No", '3. Project Location'!$H$6 &gt; 2,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C18 O18 Q18</xm:sqref>
        </x14:conditionalFormatting>
        <x14:conditionalFormatting xmlns:xm="http://schemas.microsoft.com/office/excel/2006/main">
          <x14:cfRule type="expression" priority="192" id="{9F710F2E-0C7F-4896-9FE4-E3BD07E31A2D}">
            <xm:f>IF($D$10="No", '3. Project Location'!$H$6 &gt; 3,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C19:C20 O19:O20 Q19:Q20</xm:sqref>
        </x14:conditionalFormatting>
        <x14:conditionalFormatting xmlns:xm="http://schemas.microsoft.com/office/excel/2006/main">
          <x14:cfRule type="expression" priority="190" id="{4BA40DD1-57D7-4328-B2CF-C6DAC05D8A17}">
            <xm:f>IF($D$10="No", '3. Project Location'!$H$6 &gt; 5, IF($D$10="Yes", '3. Project Location'!$H$6 &gt; 2, FALSE))</xm:f>
            <x14:dxf>
              <fill>
                <patternFill>
                  <bgColor rgb="FFFFFF99"/>
                </patternFill>
              </fill>
              <border>
                <left style="thin">
                  <color auto="1"/>
                </left>
                <right style="thin">
                  <color auto="1"/>
                </right>
                <top style="thin">
                  <color auto="1"/>
                </top>
                <bottom style="thin">
                  <color auto="1"/>
                </bottom>
                <vertical/>
                <horizontal/>
              </border>
            </x14:dxf>
          </x14:cfRule>
          <xm:sqref>C21 O21 Q21</xm:sqref>
        </x14:conditionalFormatting>
        <x14:conditionalFormatting xmlns:xm="http://schemas.microsoft.com/office/excel/2006/main">
          <x14:cfRule type="expression" priority="188" id="{E9CC2190-4D37-4EC9-975F-D6004CCD0EBA}">
            <xm:f>IF($D$10="No", '3. Project Location'!$H$6 &gt; 6,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C22 O22 Q22</xm:sqref>
        </x14:conditionalFormatting>
        <x14:conditionalFormatting xmlns:xm="http://schemas.microsoft.com/office/excel/2006/main">
          <x14:cfRule type="expression" priority="186" id="{84AE2C6B-48FF-489A-800A-29C83D80B728}">
            <xm:f>IF($D$10="No", '3. Project Location'!$H$6 &gt; 7,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C23 O23 Q23</xm:sqref>
        </x14:conditionalFormatting>
        <x14:conditionalFormatting xmlns:xm="http://schemas.microsoft.com/office/excel/2006/main">
          <x14:cfRule type="expression" priority="184" id="{5FE5A2C7-460A-4E85-B2E5-4DEB32209C30}">
            <xm:f>IF($D$10="No", '3. Project Location'!$H$6 &gt; 8,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C24 O24 Q24</xm:sqref>
        </x14:conditionalFormatting>
        <x14:conditionalFormatting xmlns:xm="http://schemas.microsoft.com/office/excel/2006/main">
          <x14:cfRule type="expression" priority="182" id="{064E1EE6-7365-4FDB-BF0A-30F5877F1E4F}">
            <xm:f>IF($D$10="No", '3. Project Location'!$H$6 &gt; 9,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C25 O25 Q25</xm:sqref>
        </x14:conditionalFormatting>
        <x14:conditionalFormatting xmlns:xm="http://schemas.microsoft.com/office/excel/2006/main">
          <x14:cfRule type="expression" priority="180" id="{DCFE0F34-709F-4E6D-9658-F5182C14631D}">
            <xm:f>IF($D$10="No", '3. Project Location'!$H$6 &gt; 10,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C26 O26 Q26</xm:sqref>
        </x14:conditionalFormatting>
        <x14:conditionalFormatting xmlns:xm="http://schemas.microsoft.com/office/excel/2006/main">
          <x14:cfRule type="expression" priority="178" id="{71BFE08D-B3AA-44C0-AD8B-304D9513326A}">
            <xm:f>IF($D$10="No", '3. Project Location'!$H$6 &gt; 11,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C27 O27 Q27</xm:sqref>
        </x14:conditionalFormatting>
        <x14:conditionalFormatting xmlns:xm="http://schemas.microsoft.com/office/excel/2006/main">
          <x14:cfRule type="expression" priority="176" id="{D7944357-1AF3-4242-8096-E16D89AB219A}">
            <xm:f>IF($D$10="No", '3. Project Location'!$H$6 &gt; 12,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C28 O28 Q28</xm:sqref>
        </x14:conditionalFormatting>
        <x14:conditionalFormatting xmlns:xm="http://schemas.microsoft.com/office/excel/2006/main">
          <x14:cfRule type="expression" priority="174" id="{58329D79-8828-4AB4-9338-46EC7DE2DE68}">
            <xm:f>IF($D$10="No", '3. Project Location'!$H$6 &gt; 13,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C29 O29 Q29</xm:sqref>
        </x14:conditionalFormatting>
        <x14:conditionalFormatting xmlns:xm="http://schemas.microsoft.com/office/excel/2006/main">
          <x14:cfRule type="expression" priority="172" id="{31A95A08-31FE-438B-B18F-2112B91A1501}">
            <xm:f>IF($D$10="No", '3. Project Location'!$H$6 &gt; 14,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C30 O30 Q30</xm:sqref>
        </x14:conditionalFormatting>
        <x14:conditionalFormatting xmlns:xm="http://schemas.microsoft.com/office/excel/2006/main">
          <x14:cfRule type="expression" priority="170" id="{8A142F85-1AF2-4F4B-87E8-07E40A403BB2}">
            <xm:f>IF($D$10="No", '3. Project Location'!$H$6 &gt; 15,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C31 O31 Q31</xm:sqref>
        </x14:conditionalFormatting>
        <x14:conditionalFormatting xmlns:xm="http://schemas.microsoft.com/office/excel/2006/main">
          <x14:cfRule type="expression" priority="168" id="{37DA0630-49A5-43D8-9ADB-47F7EF49CBBD}">
            <xm:f>IF($D$10="No", '3. Project Location'!$H$6 &gt; 16,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C32 O32 Q32</xm:sqref>
        </x14:conditionalFormatting>
        <x14:conditionalFormatting xmlns:xm="http://schemas.microsoft.com/office/excel/2006/main">
          <x14:cfRule type="expression" priority="166" id="{A522CF74-D458-4A42-B148-5E2F5B59C23E}">
            <xm:f>IF($D$10="No", '3. Project Location'!$H$6 &gt; 17,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C33 O33 Q33</xm:sqref>
        </x14:conditionalFormatting>
        <x14:conditionalFormatting xmlns:xm="http://schemas.microsoft.com/office/excel/2006/main">
          <x14:cfRule type="expression" priority="164" id="{69F2F2C1-FE57-435E-84D8-023D95F8DFC9}">
            <xm:f>IF($D$10="No", '3. Project Location'!$H$6 &gt; 18,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C34 O34 Q34</xm:sqref>
        </x14:conditionalFormatting>
        <x14:conditionalFormatting xmlns:xm="http://schemas.microsoft.com/office/excel/2006/main">
          <x14:cfRule type="expression" priority="162" id="{AB274996-E9A7-49B3-80AA-F24D92A12328}">
            <xm:f>IF($D$10="No", '3. Project Location'!$H$6 &gt; 19,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C35 O35 Q35</xm:sqref>
        </x14:conditionalFormatting>
        <x14:conditionalFormatting xmlns:xm="http://schemas.microsoft.com/office/excel/2006/main">
          <x14:cfRule type="expression" priority="160" id="{9D5F19ED-EA18-49E6-AE0D-783E50E56AF9}">
            <xm:f>IF($D$10="No", '3. Project Location'!$H$6 &gt; 20,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C36 O36 Q36</xm:sqref>
        </x14:conditionalFormatting>
        <x14:conditionalFormatting xmlns:xm="http://schemas.microsoft.com/office/excel/2006/main">
          <x14:cfRule type="expression" priority="158" id="{A7CC817F-56FC-4A76-8AE4-7C48F35D55BF}">
            <xm:f>IF($D$10="No", '3. Project Location'!$H$6 &gt; 21,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C37 O37 Q37</xm:sqref>
        </x14:conditionalFormatting>
        <x14:conditionalFormatting xmlns:xm="http://schemas.microsoft.com/office/excel/2006/main">
          <x14:cfRule type="expression" priority="156" id="{41056624-AA7D-45B4-9F2D-673303C4BD82}">
            <xm:f>IF($D$10="No", '3. Project Location'!$H$6 &gt; 22,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C38 O38 Q38</xm:sqref>
        </x14:conditionalFormatting>
        <x14:conditionalFormatting xmlns:xm="http://schemas.microsoft.com/office/excel/2006/main">
          <x14:cfRule type="expression" priority="154" id="{A0F3B72B-C9C1-4A61-AD79-D259F41937B3}">
            <xm:f>IF($D$10="No", '3. Project Location'!$H$6 &gt; 23,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C39 O39 Q39</xm:sqref>
        </x14:conditionalFormatting>
        <x14:conditionalFormatting xmlns:xm="http://schemas.microsoft.com/office/excel/2006/main">
          <x14:cfRule type="expression" priority="152" id="{F4887B13-D949-48D1-9752-9AF2294EE009}">
            <xm:f>IF($D$10="No", '3. Project Location'!$H$6 &gt; 24,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C40 O40 Q40</xm:sqref>
        </x14:conditionalFormatting>
        <x14:conditionalFormatting xmlns:xm="http://schemas.microsoft.com/office/excel/2006/main">
          <x14:cfRule type="expression" priority="150" id="{62E24CE9-CF02-468B-BDEC-F3ECE84559C5}">
            <xm:f>IF($D$10="No", '3. Project Location'!$H$6 &gt; 25,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C41 O41 Q41</xm:sqref>
        </x14:conditionalFormatting>
        <x14:conditionalFormatting xmlns:xm="http://schemas.microsoft.com/office/excel/2006/main">
          <x14:cfRule type="expression" priority="148" id="{FE04E62C-4542-47E7-9F2E-5E9A529167A8}">
            <xm:f>IF($D$10="No", '3. Project Location'!$H$6 &gt; 26,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C42 O42 Q42</xm:sqref>
        </x14:conditionalFormatting>
        <x14:conditionalFormatting xmlns:xm="http://schemas.microsoft.com/office/excel/2006/main">
          <x14:cfRule type="expression" priority="146" id="{6351C2C4-30A3-4C4D-86B3-F79122D72561}">
            <xm:f>IF($D$10="No", '3. Project Location'!$H$6 &gt; 27,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C43 O43 Q43</xm:sqref>
        </x14:conditionalFormatting>
        <x14:conditionalFormatting xmlns:xm="http://schemas.microsoft.com/office/excel/2006/main">
          <x14:cfRule type="expression" priority="144" id="{16CDA83A-4FDC-4A36-983D-14106B50A0DE}">
            <xm:f>IF($D$10="No", '3. Project Location'!$H$6 &gt; 28,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C44 O44 Q44</xm:sqref>
        </x14:conditionalFormatting>
        <x14:conditionalFormatting xmlns:xm="http://schemas.microsoft.com/office/excel/2006/main">
          <x14:cfRule type="expression" priority="142" id="{5ECA5223-48C7-41E0-AD3F-2ED6752C1768}">
            <xm:f>IF($D$10="No", '3. Project Location'!$H$6 &gt; 29,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C45 O45 Q45</xm:sqref>
        </x14:conditionalFormatting>
        <x14:conditionalFormatting xmlns:xm="http://schemas.microsoft.com/office/excel/2006/main">
          <x14:cfRule type="expression" priority="140" id="{11025ABB-3D28-4D0B-A4AF-6CBFDF8E2AB5}">
            <xm:f>IF($D$10="No", '3. Project Location'!$H$6 &gt; 30,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C46 O46 Q46</xm:sqref>
        </x14:conditionalFormatting>
        <x14:conditionalFormatting xmlns:xm="http://schemas.microsoft.com/office/excel/2006/main">
          <x14:cfRule type="expression" priority="138" id="{368029B4-4403-40DD-9094-2BC733416325}">
            <xm:f>IF($D$10="No", '3. Project Location'!$H$6 &gt; 31,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C47 O47 Q47</xm:sqref>
        </x14:conditionalFormatting>
        <x14:conditionalFormatting xmlns:xm="http://schemas.microsoft.com/office/excel/2006/main">
          <x14:cfRule type="expression" priority="136" id="{DF35FA57-9C4A-422C-8300-9F75E15224EB}">
            <xm:f>IF($D$10="No", '3. Project Location'!$H$6 &gt; 32,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C48 O48 Q48</xm:sqref>
        </x14:conditionalFormatting>
        <x14:conditionalFormatting xmlns:xm="http://schemas.microsoft.com/office/excel/2006/main">
          <x14:cfRule type="expression" priority="134" id="{F6E1DB07-B1D0-4D2A-881B-660DFF83C2B4}">
            <xm:f>IF($D$10="No", '3. Project Location'!$H$6 &gt; 33,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C49 O49 Q49</xm:sqref>
        </x14:conditionalFormatting>
        <x14:conditionalFormatting xmlns:xm="http://schemas.microsoft.com/office/excel/2006/main">
          <x14:cfRule type="expression" priority="132" id="{82CF110A-2A47-4A65-84B0-B03B5016A6F6}">
            <xm:f>IF($D$10="No", '3. Project Location'!$H$6 &gt; 34,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C50 O50 Q50</xm:sqref>
        </x14:conditionalFormatting>
        <x14:conditionalFormatting xmlns:xm="http://schemas.microsoft.com/office/excel/2006/main">
          <x14:cfRule type="expression" priority="130" id="{EC99CE6F-5F37-4EF4-A85F-1637A988C6B6}">
            <xm:f>IF($D$10="No", '3. Project Location'!$H$6 &gt; 35,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C51 O51 Q51</xm:sqref>
        </x14:conditionalFormatting>
        <x14:conditionalFormatting xmlns:xm="http://schemas.microsoft.com/office/excel/2006/main">
          <x14:cfRule type="expression" priority="128" id="{AA356990-BFB9-422F-9A17-8CC135E6211A}">
            <xm:f>IF($D$10="No", '3. Project Location'!$H$6 &gt; 36,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C52 O52 Q52</xm:sqref>
        </x14:conditionalFormatting>
        <x14:conditionalFormatting xmlns:xm="http://schemas.microsoft.com/office/excel/2006/main">
          <x14:cfRule type="expression" priority="126" id="{BC9CFD37-C4AA-4BB1-BA9C-4757C87E9D94}">
            <xm:f>IF($D$10="No", '3. Project Location'!$H$6 &gt; 37,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C53 O53 Q53</xm:sqref>
        </x14:conditionalFormatting>
        <x14:conditionalFormatting xmlns:xm="http://schemas.microsoft.com/office/excel/2006/main">
          <x14:cfRule type="expression" priority="124" id="{E9CD927D-FB0A-4D79-90CB-5F0980B4C13F}">
            <xm:f>IF($D$10="No", '3. Project Location'!$H$6 &gt; 38,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C54 O54 Q54</xm:sqref>
        </x14:conditionalFormatting>
        <x14:conditionalFormatting xmlns:xm="http://schemas.microsoft.com/office/excel/2006/main">
          <x14:cfRule type="expression" priority="122" id="{5DB16EB6-6A75-4803-A0EB-60D2E03491CC}">
            <xm:f>IF($D$10="No", '3. Project Location'!$H$6 &gt; 39,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C55 O55 Q55</xm:sqref>
        </x14:conditionalFormatting>
        <x14:conditionalFormatting xmlns:xm="http://schemas.microsoft.com/office/excel/2006/main">
          <x14:cfRule type="expression" priority="120" id="{05A19578-B9BD-4DE7-9908-6A413679FCDE}">
            <xm:f>IF($D$10="No", '3. Project Location'!$H$6 &gt; 40,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C56 O56 Q56</xm:sqref>
        </x14:conditionalFormatting>
        <x14:conditionalFormatting xmlns:xm="http://schemas.microsoft.com/office/excel/2006/main">
          <x14:cfRule type="expression" priority="118" id="{B91B2FFC-E267-4F59-8425-B8A748CC393B}">
            <xm:f>IF($D$10="No", '3. Project Location'!$H$6 &gt; 41,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C57 O57 Q57</xm:sqref>
        </x14:conditionalFormatting>
        <x14:conditionalFormatting xmlns:xm="http://schemas.microsoft.com/office/excel/2006/main">
          <x14:cfRule type="expression" priority="116" id="{020F4AFD-F019-48D9-AB50-95E6415788DD}">
            <xm:f>IF($D$10="No", '3. Project Location'!$H$6 &gt; 42,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C58 O58 Q58</xm:sqref>
        </x14:conditionalFormatting>
        <x14:conditionalFormatting xmlns:xm="http://schemas.microsoft.com/office/excel/2006/main">
          <x14:cfRule type="expression" priority="114" id="{389560DF-32EC-4745-AF40-775400B9FF52}">
            <xm:f>IF($D$10="No", '3. Project Location'!$H$6 &gt; 43,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C59 O59 Q59</xm:sqref>
        </x14:conditionalFormatting>
        <x14:conditionalFormatting xmlns:xm="http://schemas.microsoft.com/office/excel/2006/main">
          <x14:cfRule type="expression" priority="112" id="{70244EC0-3294-4866-9369-C5A2CF0F0446}">
            <xm:f>IF($D$10="No", '3. Project Location'!$H$6 &gt; 44,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C60 O60 Q60</xm:sqref>
        </x14:conditionalFormatting>
        <x14:conditionalFormatting xmlns:xm="http://schemas.microsoft.com/office/excel/2006/main">
          <x14:cfRule type="expression" priority="110" id="{E97929AE-CE3C-407C-96F6-0B30E933B940}">
            <xm:f>IF($D$10="No", '3. Project Location'!$H$6 &gt; 45,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C61 O61 Q61</xm:sqref>
        </x14:conditionalFormatting>
        <x14:conditionalFormatting xmlns:xm="http://schemas.microsoft.com/office/excel/2006/main">
          <x14:cfRule type="expression" priority="106" id="{6E73F1DC-0FCF-4C99-AC70-811DA3ADD1BD}">
            <xm:f>IF($D$10="No", '3. Project Location'!$H$6 &gt; 46, IF($D$10="Yes", '3. Project Location'!$H$6 &gt; 23, FALSE))</xm:f>
            <x14:dxf>
              <fill>
                <patternFill>
                  <bgColor rgb="FFFFFF99"/>
                </patternFill>
              </fill>
              <border>
                <left style="thin">
                  <color auto="1"/>
                </left>
                <right style="thin">
                  <color auto="1"/>
                </right>
                <top style="thin">
                  <color auto="1"/>
                </top>
                <bottom style="thin">
                  <color auto="1"/>
                </bottom>
                <vertical/>
                <horizontal/>
              </border>
            </x14:dxf>
          </x14:cfRule>
          <xm:sqref>C62:C63 O62:O63 Q62:Q63</xm:sqref>
        </x14:conditionalFormatting>
        <x14:conditionalFormatting xmlns:xm="http://schemas.microsoft.com/office/excel/2006/main">
          <x14:cfRule type="expression" priority="104" id="{250A69F6-DDA3-46FB-A022-A8E73D08C3C4}">
            <xm:f>IF($D$10="No", '3. Project Location'!$H$6 &gt; 48,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C64 O64 Q64</xm:sqref>
        </x14:conditionalFormatting>
        <x14:conditionalFormatting xmlns:xm="http://schemas.microsoft.com/office/excel/2006/main">
          <x14:cfRule type="expression" priority="102" id="{8A31223E-1050-4557-A700-4EBCEDCDDA7A}">
            <xm:f>IF($D$10="No", '3. Project Location'!$H$6 &gt; 49,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C65 O65 Q65</xm:sqref>
        </x14:conditionalFormatting>
        <x14:conditionalFormatting xmlns:xm="http://schemas.microsoft.com/office/excel/2006/main">
          <x14:cfRule type="expression" priority="100" id="{C23CF16B-DB0D-409B-93D6-D479E74BCB4C}">
            <xm:f>IF($D$10="No", '3. Project Location'!$H$6 &gt; 50,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C66 O66 Q66</xm:sqref>
        </x14:conditionalFormatting>
        <x14:conditionalFormatting xmlns:xm="http://schemas.microsoft.com/office/excel/2006/main">
          <x14:cfRule type="expression" priority="98" id="{09E7FBE7-EB55-46B9-8AB1-DDDAE9862770}">
            <xm:f>IF($D$10="No", '3. Project Location'!$H$6 &gt; 51,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C67 O67 Q67</xm:sqref>
        </x14:conditionalFormatting>
        <x14:conditionalFormatting xmlns:xm="http://schemas.microsoft.com/office/excel/2006/main">
          <x14:cfRule type="expression" priority="96" id="{D1EC1A4C-F43F-49DA-82FF-6E234B8E18CD}">
            <xm:f>IF($D$10="No", '3. Project Location'!$H$6 &gt; 52,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C68 O68 Q68</xm:sqref>
        </x14:conditionalFormatting>
        <x14:conditionalFormatting xmlns:xm="http://schemas.microsoft.com/office/excel/2006/main">
          <x14:cfRule type="expression" priority="94" id="{FCA220DB-D725-49C4-9716-1C75A6B2ABC3}">
            <xm:f>IF($D$10="No", '3. Project Location'!$H$6 &gt; 53,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C69 O69 Q69</xm:sqref>
        </x14:conditionalFormatting>
        <x14:conditionalFormatting xmlns:xm="http://schemas.microsoft.com/office/excel/2006/main">
          <x14:cfRule type="expression" priority="92" id="{E888EEA0-D503-4748-9486-25F572751033}">
            <xm:f>IF($D$10="No", '3. Project Location'!$H$6 &gt; 54,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C70 O70 Q70</xm:sqref>
        </x14:conditionalFormatting>
        <x14:conditionalFormatting xmlns:xm="http://schemas.microsoft.com/office/excel/2006/main">
          <x14:cfRule type="expression" priority="90" id="{82E38DEE-B703-432F-916E-549738CCD1B4}">
            <xm:f>IF($D$10="No", '3. Project Location'!$H$6 &gt; 55,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C71 O71 Q71</xm:sqref>
        </x14:conditionalFormatting>
        <x14:conditionalFormatting xmlns:xm="http://schemas.microsoft.com/office/excel/2006/main">
          <x14:cfRule type="expression" priority="88" id="{964B6A6C-008F-45A1-8245-0E8727D7A4F0}">
            <xm:f>IF($D$10="No", '3. Project Location'!$H$6 &gt; 56,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C72 O72 Q72</xm:sqref>
        </x14:conditionalFormatting>
        <x14:conditionalFormatting xmlns:xm="http://schemas.microsoft.com/office/excel/2006/main">
          <x14:cfRule type="expression" priority="86" id="{DD4D8392-F577-46E0-9D91-6EAD15738275}">
            <xm:f>IF($D$10="No", '3. Project Location'!$H$6 &gt; 57,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C73 O73 Q73</xm:sqref>
        </x14:conditionalFormatting>
        <x14:conditionalFormatting xmlns:xm="http://schemas.microsoft.com/office/excel/2006/main">
          <x14:cfRule type="expression" priority="84" id="{C6FDAC2E-DAC7-40E0-862F-AA5E9100D29F}">
            <xm:f>IF($D$10="No", '3. Project Location'!$H$6 &gt; 58,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C74 O74 Q74</xm:sqref>
        </x14:conditionalFormatting>
        <x14:conditionalFormatting xmlns:xm="http://schemas.microsoft.com/office/excel/2006/main">
          <x14:cfRule type="expression" priority="82" id="{E27B0BEC-AB6F-4D41-B657-E5315432E857}">
            <xm:f>IF($D$10="No", '3. Project Location'!$H$6 &gt; 59,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C75 O75 Q75</xm:sqref>
        </x14:conditionalFormatting>
        <x14:conditionalFormatting xmlns:xm="http://schemas.microsoft.com/office/excel/2006/main">
          <x14:cfRule type="expression" priority="80" id="{3A7DF383-468E-4BB2-B2EA-2F6A384DB6EA}">
            <xm:f>IF($D$10="No", '3. Project Location'!$H$6 &gt; 60,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C76 O76 Q76</xm:sqref>
        </x14:conditionalFormatting>
        <x14:conditionalFormatting xmlns:xm="http://schemas.microsoft.com/office/excel/2006/main">
          <x14:cfRule type="expression" priority="78" id="{1D0D81E1-94B0-47E3-982D-4836DB5FD3A7}">
            <xm:f>IF($D$10="No", '3. Project Location'!$H$6 &gt; 61,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C77 O77 Q77</xm:sqref>
        </x14:conditionalFormatting>
        <x14:conditionalFormatting xmlns:xm="http://schemas.microsoft.com/office/excel/2006/main">
          <x14:cfRule type="expression" priority="76" id="{D99F6723-AA69-4FB7-8C88-9A10056944D4}">
            <xm:f>IF($D$10="No", '3. Project Location'!$H$6 &gt; 62,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C78 O78 Q78</xm:sqref>
        </x14:conditionalFormatting>
        <x14:conditionalFormatting xmlns:xm="http://schemas.microsoft.com/office/excel/2006/main">
          <x14:cfRule type="expression" priority="74" id="{E10CA9B7-3805-4B40-B6C1-29CB05F0F80A}">
            <xm:f>IF($D$10="No", '3. Project Location'!$H$6 &gt; 63,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C79 O79 Q79</xm:sqref>
        </x14:conditionalFormatting>
        <x14:conditionalFormatting xmlns:xm="http://schemas.microsoft.com/office/excel/2006/main">
          <x14:cfRule type="expression" priority="72" id="{25183F1F-9797-41D7-B7FA-3F478249D790}">
            <xm:f>IF($D$10="No", '3. Project Location'!$H$6 &gt; 64,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C80 O80 Q80</xm:sqref>
        </x14:conditionalFormatting>
        <x14:conditionalFormatting xmlns:xm="http://schemas.microsoft.com/office/excel/2006/main">
          <x14:cfRule type="expression" priority="70" id="{AFAECE6F-7E06-42D3-804D-036754390E99}">
            <xm:f>IF($D$10="No", '3. Project Location'!$H$6 &gt; 65,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C81 O81 Q81</xm:sqref>
        </x14:conditionalFormatting>
        <x14:conditionalFormatting xmlns:xm="http://schemas.microsoft.com/office/excel/2006/main">
          <x14:cfRule type="expression" priority="68" id="{1CAAACB2-307C-4419-84D1-C67018E30982}">
            <xm:f>IF($D$10="No", '3. Project Location'!$H$6 &gt; 66,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C82 O82 Q82</xm:sqref>
        </x14:conditionalFormatting>
        <x14:conditionalFormatting xmlns:xm="http://schemas.microsoft.com/office/excel/2006/main">
          <x14:cfRule type="expression" priority="66" id="{9F4F6F5D-3F13-484E-B35E-0EC69643E209}">
            <xm:f>IF($D$10="No", '3. Project Location'!$H$6 &gt; 67,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C83 O83 Q83</xm:sqref>
        </x14:conditionalFormatting>
        <x14:conditionalFormatting xmlns:xm="http://schemas.microsoft.com/office/excel/2006/main">
          <x14:cfRule type="expression" priority="64" id="{6DEFE811-F55A-4423-908E-764D87E61C71}">
            <xm:f>IF($D$10="No", '3. Project Location'!$H$6 &gt; 68,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C84 O84 Q84</xm:sqref>
        </x14:conditionalFormatting>
        <x14:conditionalFormatting xmlns:xm="http://schemas.microsoft.com/office/excel/2006/main">
          <x14:cfRule type="expression" priority="62" id="{736E3CBA-57EE-4521-9DF5-B68D2856694B}">
            <xm:f>IF($D$10="No", '3. Project Location'!$H$6 &gt; 69,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C85 O85 Q85</xm:sqref>
        </x14:conditionalFormatting>
        <x14:conditionalFormatting xmlns:xm="http://schemas.microsoft.com/office/excel/2006/main">
          <x14:cfRule type="expression" priority="60" id="{C5680EB0-0931-41A3-92E8-916EBF90DD27}">
            <xm:f>IF($D$10="No", '3. Project Location'!$H$6 &gt; 70,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C86 O86 Q86</xm:sqref>
        </x14:conditionalFormatting>
        <x14:conditionalFormatting xmlns:xm="http://schemas.microsoft.com/office/excel/2006/main">
          <x14:cfRule type="expression" priority="58" id="{624EAED1-BAEF-4CAF-97CF-88D9383E067F}">
            <xm:f>IF($D$10="No", '3. Project Location'!$H$6 &gt; 71,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C87 O87 Q87</xm:sqref>
        </x14:conditionalFormatting>
        <x14:conditionalFormatting xmlns:xm="http://schemas.microsoft.com/office/excel/2006/main">
          <x14:cfRule type="expression" priority="56" id="{96CD20B0-1CC6-4971-A40E-E7165B83A1DC}">
            <xm:f>IF($D$10="No", '3. Project Location'!$H$6 &gt; 72,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C88 O88 Q88</xm:sqref>
        </x14:conditionalFormatting>
        <x14:conditionalFormatting xmlns:xm="http://schemas.microsoft.com/office/excel/2006/main">
          <x14:cfRule type="expression" priority="54" id="{342E43ED-B542-4808-8D94-93900795AC4F}">
            <xm:f>IF($D$10="No", '3. Project Location'!$H$6 &gt; 73,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C89 O89 Q89</xm:sqref>
        </x14:conditionalFormatting>
        <x14:conditionalFormatting xmlns:xm="http://schemas.microsoft.com/office/excel/2006/main">
          <x14:cfRule type="expression" priority="52" id="{B8856988-8CDE-40D9-AF13-5D2E2B7EA3C9}">
            <xm:f>IF($D$10="No", '3. Project Location'!$H$6 &gt; 74,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C90 O90 Q90</xm:sqref>
        </x14:conditionalFormatting>
        <x14:conditionalFormatting xmlns:xm="http://schemas.microsoft.com/office/excel/2006/main">
          <x14:cfRule type="expression" priority="50" id="{484C768A-3AD0-46D7-8BFB-F5A819968F71}">
            <xm:f>IF($D$10="No", '3. Project Location'!$H$6 &gt; 75,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C91 O91 Q91</xm:sqref>
        </x14:conditionalFormatting>
        <x14:conditionalFormatting xmlns:xm="http://schemas.microsoft.com/office/excel/2006/main">
          <x14:cfRule type="expression" priority="48" id="{BADBD1EB-B5E3-4A98-9149-33F82AF2227D}">
            <xm:f>IF($D$10="No", '3. Project Location'!$H$6 &gt; 76,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C92 O92 Q92</xm:sqref>
        </x14:conditionalFormatting>
        <x14:conditionalFormatting xmlns:xm="http://schemas.microsoft.com/office/excel/2006/main">
          <x14:cfRule type="expression" priority="46" id="{8EBFE217-3B7B-427F-985E-133CD80C5D7C}">
            <xm:f>IF($D$10="No", '3. Project Location'!$H$6 &gt; 77,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C93 O93 Q93</xm:sqref>
        </x14:conditionalFormatting>
        <x14:conditionalFormatting xmlns:xm="http://schemas.microsoft.com/office/excel/2006/main">
          <x14:cfRule type="expression" priority="44" id="{4DDA8E85-BD96-4C4A-A7E9-CDB057F3DE67}">
            <xm:f>IF($D$10="No", '3. Project Location'!$H$6 &gt; 78,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C94 O94 Q94</xm:sqref>
        </x14:conditionalFormatting>
        <x14:conditionalFormatting xmlns:xm="http://schemas.microsoft.com/office/excel/2006/main">
          <x14:cfRule type="expression" priority="42" id="{9EE2C731-2831-46E8-A560-8BA40E9968D4}">
            <xm:f>IF($D$10="No", '3. Project Location'!$H$6 &gt; 79,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C95 O95 Q95</xm:sqref>
        </x14:conditionalFormatting>
        <x14:conditionalFormatting xmlns:xm="http://schemas.microsoft.com/office/excel/2006/main">
          <x14:cfRule type="expression" priority="40" id="{CDA3A5E6-54DF-4884-A6B9-2F62D2C3A532}">
            <xm:f>IF($D$10="No", '3. Project Location'!$H$6 &gt; 80,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C96 O96 Q96</xm:sqref>
        </x14:conditionalFormatting>
        <x14:conditionalFormatting xmlns:xm="http://schemas.microsoft.com/office/excel/2006/main">
          <x14:cfRule type="expression" priority="38" id="{A76869AD-DA02-4F27-B516-8DE75B1F2D62}">
            <xm:f>IF($D$10="No", '3. Project Location'!$H$6 &gt; 81,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C97 O97 Q97</xm:sqref>
        </x14:conditionalFormatting>
        <x14:conditionalFormatting xmlns:xm="http://schemas.microsoft.com/office/excel/2006/main">
          <x14:cfRule type="expression" priority="36" id="{E9F382EF-1DD9-4528-8C55-545B3581FDEE}">
            <xm:f>IF($D$10="No", '3. Project Location'!$H$6 &gt; 82,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C98 O98 Q98</xm:sqref>
        </x14:conditionalFormatting>
        <x14:conditionalFormatting xmlns:xm="http://schemas.microsoft.com/office/excel/2006/main">
          <x14:cfRule type="expression" priority="34" id="{EDB284C8-0DF8-4D4C-9B85-D964D4D645E2}">
            <xm:f>IF($D$10="No", '3. Project Location'!$H$6 &gt; 83,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C99 O99 Q99</xm:sqref>
        </x14:conditionalFormatting>
        <x14:conditionalFormatting xmlns:xm="http://schemas.microsoft.com/office/excel/2006/main">
          <x14:cfRule type="expression" priority="32" id="{B114A0FD-64D9-4D83-B8E0-F63857F1FDCC}">
            <xm:f>IF($D$10="No", '3. Project Location'!$H$6 &gt; 84,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C100 O100 Q100</xm:sqref>
        </x14:conditionalFormatting>
        <x14:conditionalFormatting xmlns:xm="http://schemas.microsoft.com/office/excel/2006/main">
          <x14:cfRule type="expression" priority="30" id="{BEF55788-95F3-4535-8481-4CC252FF488A}">
            <xm:f>IF($D$10="No", '3. Project Location'!$H$6 &gt; 85,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C101 O101 Q101</xm:sqref>
        </x14:conditionalFormatting>
        <x14:conditionalFormatting xmlns:xm="http://schemas.microsoft.com/office/excel/2006/main">
          <x14:cfRule type="expression" priority="28" id="{0DB74593-D6F3-4351-9E91-4AC7811F30C6}">
            <xm:f>IF($D$10="No", '3. Project Location'!$H$6 &gt; 86,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C102 O102 Q102</xm:sqref>
        </x14:conditionalFormatting>
        <x14:conditionalFormatting xmlns:xm="http://schemas.microsoft.com/office/excel/2006/main">
          <x14:cfRule type="expression" priority="26" id="{C11A5169-3462-4E80-A211-2977330D9B51}">
            <xm:f>IF($D$10="No", '3. Project Location'!$H$6 &gt; 87,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C103 O103 Q103</xm:sqref>
        </x14:conditionalFormatting>
        <x14:conditionalFormatting xmlns:xm="http://schemas.microsoft.com/office/excel/2006/main">
          <x14:cfRule type="expression" priority="24" id="{19B40563-9711-48B6-9604-CAE7FC21AF9D}">
            <xm:f>IF($D$10="No", '3. Project Location'!$H$6 &gt; 88,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C104 O104 Q104</xm:sqref>
        </x14:conditionalFormatting>
        <x14:conditionalFormatting xmlns:xm="http://schemas.microsoft.com/office/excel/2006/main">
          <x14:cfRule type="expression" priority="22" id="{DA23B2EA-0946-46D5-8B6F-EDB7D459A741}">
            <xm:f>IF($D$10="No", '3. Project Location'!$H$6 &gt; 89,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C105 O105 Q105</xm:sqref>
        </x14:conditionalFormatting>
        <x14:conditionalFormatting xmlns:xm="http://schemas.microsoft.com/office/excel/2006/main">
          <x14:cfRule type="expression" priority="20" id="{0C0234DD-60B5-4920-A47D-00D2A994D22E}">
            <xm:f>IF($D$10="No", '3. Project Location'!$H$6 &gt; 90,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C106 O106 Q106</xm:sqref>
        </x14:conditionalFormatting>
        <x14:conditionalFormatting xmlns:xm="http://schemas.microsoft.com/office/excel/2006/main">
          <x14:cfRule type="expression" priority="18" id="{BFCF836A-C901-42C2-92F8-7F45048AC6D4}">
            <xm:f>IF($D$10="No", '3. Project Location'!$H$6 &gt; 91,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C107 O107 Q107</xm:sqref>
        </x14:conditionalFormatting>
        <x14:conditionalFormatting xmlns:xm="http://schemas.microsoft.com/office/excel/2006/main">
          <x14:cfRule type="expression" priority="16" id="{DD9553F8-9187-49B3-9A4D-1622B3C50442}">
            <xm:f>IF($D$10="No", '3. Project Location'!$H$6 &gt; 92,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C108 O108 Q108</xm:sqref>
        </x14:conditionalFormatting>
        <x14:conditionalFormatting xmlns:xm="http://schemas.microsoft.com/office/excel/2006/main">
          <x14:cfRule type="expression" priority="14" id="{4C41FD6F-3DBD-4EE0-AE7C-102C7BE791AB}">
            <xm:f>IF($D$10="No", '3. Project Location'!$H$6 &gt; 93,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C109 O109 Q109</xm:sqref>
        </x14:conditionalFormatting>
        <x14:conditionalFormatting xmlns:xm="http://schemas.microsoft.com/office/excel/2006/main">
          <x14:cfRule type="expression" priority="12" id="{82697948-9400-47E1-8D27-A40A3218D813}">
            <xm:f>IF($D$10="No", '3. Project Location'!$H$6 &gt; 94,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C110 O110 Q110</xm:sqref>
        </x14:conditionalFormatting>
        <x14:conditionalFormatting xmlns:xm="http://schemas.microsoft.com/office/excel/2006/main">
          <x14:cfRule type="expression" priority="10" id="{649B4CB0-4419-4CB6-BD60-D7F84DB62B22}">
            <xm:f>IF($D$10="No", '3. Project Location'!$H$6 &gt; 95,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C111 O111 Q111</xm:sqref>
        </x14:conditionalFormatting>
        <x14:conditionalFormatting xmlns:xm="http://schemas.microsoft.com/office/excel/2006/main">
          <x14:cfRule type="expression" priority="8" id="{09D40F71-5DE0-4F32-AA78-4FB8B69A9D56}">
            <xm:f>IF($D$10="No", '3. Project Location'!$H$6 &gt; 96,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C112 O112 Q112</xm:sqref>
        </x14:conditionalFormatting>
        <x14:conditionalFormatting xmlns:xm="http://schemas.microsoft.com/office/excel/2006/main">
          <x14:cfRule type="expression" priority="6" id="{C25F0689-0992-4C73-9A68-5AB534BED2E4}">
            <xm:f>IF($D$10="No", '3. Project Location'!$H$6 &gt; 97,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C113 O113 Q113</xm:sqref>
        </x14:conditionalFormatting>
        <x14:conditionalFormatting xmlns:xm="http://schemas.microsoft.com/office/excel/2006/main">
          <x14:cfRule type="expression" priority="4" id="{1434E57C-4072-409C-9D5C-24BDA9687B05}">
            <xm:f>IF($D$10="No", '3. Project Location'!$H$6 &gt; 98,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C114 O114 Q114</xm:sqref>
        </x14:conditionalFormatting>
        <x14:conditionalFormatting xmlns:xm="http://schemas.microsoft.com/office/excel/2006/main">
          <x14:cfRule type="expression" priority="2" id="{20EAE1EB-6289-4380-B5F3-ABCFB753F7C8}">
            <xm:f>IF($D$10="No", '3. Project Location'!$H$6 &gt; 99,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C115 O115 Q115</xm:sqref>
        </x14:conditionalFormatting>
        <x14:conditionalFormatting xmlns:xm="http://schemas.microsoft.com/office/excel/2006/main">
          <x14:cfRule type="expression" priority="197" id="{68686BAC-632E-4150-B9BD-CBFC8915E8D3}">
            <xm:f>OR(AND($D$10="No", '3. Project Location'!$H$6 &gt; 1), $D$10="Yes")</xm:f>
            <x14:dxf>
              <fill>
                <patternFill>
                  <bgColor rgb="FF92D050"/>
                </patternFill>
              </fill>
              <border>
                <left style="thin">
                  <color auto="1"/>
                </left>
                <right style="thin">
                  <color auto="1"/>
                </right>
                <top style="thin">
                  <color auto="1"/>
                </top>
                <bottom style="thin">
                  <color auto="1"/>
                </bottom>
                <vertical/>
                <horizontal/>
              </border>
            </x14:dxf>
          </x14:cfRule>
          <xm:sqref>D17:N17 P17</xm:sqref>
        </x14:conditionalFormatting>
        <x14:conditionalFormatting xmlns:xm="http://schemas.microsoft.com/office/excel/2006/main">
          <x14:cfRule type="expression" priority="195" id="{6113E615-27AA-42AC-9F30-7265852B95D2}">
            <xm:f>IF($D$10="No", '3. Project Location'!$H$6 &gt; 2,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D18:N18 P18</xm:sqref>
        </x14:conditionalFormatting>
        <x14:conditionalFormatting xmlns:xm="http://schemas.microsoft.com/office/excel/2006/main">
          <x14:cfRule type="expression" priority="191" id="{EFEBCAD9-1201-44B7-813F-1A4C90DB419B}">
            <xm:f>IF($D$10="No", '3. Project Location'!$H$6 &gt; 3,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D19:N20 P19:P20</xm:sqref>
        </x14:conditionalFormatting>
        <x14:conditionalFormatting xmlns:xm="http://schemas.microsoft.com/office/excel/2006/main">
          <x14:cfRule type="expression" priority="189" id="{4B3C5139-03E5-4C59-B5C9-54633D56083F}">
            <xm:f>IF($D$10="No", '3. Project Location'!$H$6 &gt; 5, IF($D$10="Yes", '3. Project Location'!$H$6 &gt; 2, FALSE))</xm:f>
            <x14:dxf>
              <fill>
                <patternFill>
                  <bgColor rgb="FF92D050"/>
                </patternFill>
              </fill>
              <border>
                <left style="thin">
                  <color auto="1"/>
                </left>
                <right style="thin">
                  <color auto="1"/>
                </right>
                <top style="thin">
                  <color auto="1"/>
                </top>
                <bottom style="thin">
                  <color auto="1"/>
                </bottom>
                <vertical/>
                <horizontal/>
              </border>
            </x14:dxf>
          </x14:cfRule>
          <xm:sqref>D21:N21 P21</xm:sqref>
        </x14:conditionalFormatting>
        <x14:conditionalFormatting xmlns:xm="http://schemas.microsoft.com/office/excel/2006/main">
          <x14:cfRule type="expression" priority="187" id="{C4A8CE8C-37FB-417F-9A71-7CA7C9A36924}">
            <xm:f>IF($D$10="No", '3. Project Location'!$H$6 &gt; 6,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D22:N22 P22</xm:sqref>
        </x14:conditionalFormatting>
        <x14:conditionalFormatting xmlns:xm="http://schemas.microsoft.com/office/excel/2006/main">
          <x14:cfRule type="expression" priority="185" id="{B2201DA0-3340-46E6-9D53-482A3F95BFD9}">
            <xm:f>IF($D$10="No", '3. Project Location'!$H$6 &gt; 7,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D23:N23 P23</xm:sqref>
        </x14:conditionalFormatting>
        <x14:conditionalFormatting xmlns:xm="http://schemas.microsoft.com/office/excel/2006/main">
          <x14:cfRule type="expression" priority="183" id="{BAA61D9B-0C8E-44B3-85B8-F591A02C8150}">
            <xm:f>IF($D$10="No", '3. Project Location'!$H$6 &gt; 8,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D24:N24 P24</xm:sqref>
        </x14:conditionalFormatting>
        <x14:conditionalFormatting xmlns:xm="http://schemas.microsoft.com/office/excel/2006/main">
          <x14:cfRule type="expression" priority="181" id="{B7B26E81-4A9A-44BE-A508-FB66BCC5910F}">
            <xm:f>IF($D$10="No", '3. Project Location'!$H$6 &gt; 9,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D25:N25 P25</xm:sqref>
        </x14:conditionalFormatting>
        <x14:conditionalFormatting xmlns:xm="http://schemas.microsoft.com/office/excel/2006/main">
          <x14:cfRule type="expression" priority="179" id="{F6949C1C-4B0E-479F-A915-9CE6620F1179}">
            <xm:f>IF($D$10="No", '3. Project Location'!$H$6 &gt; 10,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D26:N26 P26</xm:sqref>
        </x14:conditionalFormatting>
        <x14:conditionalFormatting xmlns:xm="http://schemas.microsoft.com/office/excel/2006/main">
          <x14:cfRule type="expression" priority="177" id="{869D72E8-5448-4C0B-BFC7-716C16BC13C6}">
            <xm:f>IF($D$10="No", '3. Project Location'!$H$6 &gt; 11,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D27:N27 P27</xm:sqref>
        </x14:conditionalFormatting>
        <x14:conditionalFormatting xmlns:xm="http://schemas.microsoft.com/office/excel/2006/main">
          <x14:cfRule type="expression" priority="175" id="{4FE5749A-314B-450A-99B2-20C5F05DE9BC}">
            <xm:f>IF($D$10="No", '3. Project Location'!$H$6 &gt; 12,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D28:N28 P28</xm:sqref>
        </x14:conditionalFormatting>
        <x14:conditionalFormatting xmlns:xm="http://schemas.microsoft.com/office/excel/2006/main">
          <x14:cfRule type="expression" priority="173" id="{692DF4BF-E4D7-4BDD-A06F-8F4ACD92CA8A}">
            <xm:f>IF($D$10="No", '3. Project Location'!$H$6 &gt; 13,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D29:N29 P29</xm:sqref>
        </x14:conditionalFormatting>
        <x14:conditionalFormatting xmlns:xm="http://schemas.microsoft.com/office/excel/2006/main">
          <x14:cfRule type="expression" priority="171" id="{971985D5-BF3F-46C2-A3FE-57F0695E8BBF}">
            <xm:f>IF($D$10="No", '3. Project Location'!$H$6 &gt; 14,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D30:N30 P30</xm:sqref>
        </x14:conditionalFormatting>
        <x14:conditionalFormatting xmlns:xm="http://schemas.microsoft.com/office/excel/2006/main">
          <x14:cfRule type="expression" priority="169" id="{BE0C7B6D-D4E8-44BD-961E-EE680C6833E1}">
            <xm:f>IF($D$10="No", '3. Project Location'!$H$6 &gt; 15,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D31:N31 P31</xm:sqref>
        </x14:conditionalFormatting>
        <x14:conditionalFormatting xmlns:xm="http://schemas.microsoft.com/office/excel/2006/main">
          <x14:cfRule type="expression" priority="167" id="{9357FE44-113D-47E5-B05F-6B1FA5395C41}">
            <xm:f>IF($D$10="No", '3. Project Location'!$H$6 &gt; 16,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D32:N32 P32</xm:sqref>
        </x14:conditionalFormatting>
        <x14:conditionalFormatting xmlns:xm="http://schemas.microsoft.com/office/excel/2006/main">
          <x14:cfRule type="expression" priority="165" id="{82350E88-7146-4AEF-A997-A5D811F137AB}">
            <xm:f>IF($D$10="No", '3. Project Location'!$H$6 &gt; 17,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D33:N33 P33</xm:sqref>
        </x14:conditionalFormatting>
        <x14:conditionalFormatting xmlns:xm="http://schemas.microsoft.com/office/excel/2006/main">
          <x14:cfRule type="expression" priority="163" id="{60EEB8E5-EB36-4D90-AEBE-6279F29E9BEC}">
            <xm:f>IF($D$10="No", '3. Project Location'!$H$6 &gt; 18,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D34:N34 P34</xm:sqref>
        </x14:conditionalFormatting>
        <x14:conditionalFormatting xmlns:xm="http://schemas.microsoft.com/office/excel/2006/main">
          <x14:cfRule type="expression" priority="161" id="{1C867C46-37D1-4A11-8B9C-A235FC846311}">
            <xm:f>IF($D$10="No", '3. Project Location'!$H$6 &gt; 19,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D35:N35 P35</xm:sqref>
        </x14:conditionalFormatting>
        <x14:conditionalFormatting xmlns:xm="http://schemas.microsoft.com/office/excel/2006/main">
          <x14:cfRule type="expression" priority="159" id="{70C06491-BFCF-456F-9877-53E8BD26954B}">
            <xm:f>IF($D$10="No", '3. Project Location'!$H$6 &gt; 20,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D36:N36 P36</xm:sqref>
        </x14:conditionalFormatting>
        <x14:conditionalFormatting xmlns:xm="http://schemas.microsoft.com/office/excel/2006/main">
          <x14:cfRule type="expression" priority="157" id="{1BE9069E-2516-402C-B970-D13748D3EE2F}">
            <xm:f>IF($D$10="No", '3. Project Location'!$H$6 &gt; 21,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D37:N37 P37</xm:sqref>
        </x14:conditionalFormatting>
        <x14:conditionalFormatting xmlns:xm="http://schemas.microsoft.com/office/excel/2006/main">
          <x14:cfRule type="expression" priority="155" id="{DD74AF75-ED39-4526-BA7F-AE0B26E84072}">
            <xm:f>IF($D$10="No", '3. Project Location'!$H$6 &gt; 22,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D38:N38 P38</xm:sqref>
        </x14:conditionalFormatting>
        <x14:conditionalFormatting xmlns:xm="http://schemas.microsoft.com/office/excel/2006/main">
          <x14:cfRule type="expression" priority="153" id="{53DDC33B-A863-48D5-8302-B99CFF6E0372}">
            <xm:f>IF($D$10="No", '3. Project Location'!$H$6 &gt; 23,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D39:N39 P39</xm:sqref>
        </x14:conditionalFormatting>
        <x14:conditionalFormatting xmlns:xm="http://schemas.microsoft.com/office/excel/2006/main">
          <x14:cfRule type="expression" priority="151" id="{011EBC58-A72C-4947-AA10-ECAC211DC82D}">
            <xm:f>IF($D$10="No", '3. Project Location'!$H$6 &gt; 24,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D40:N40 P40</xm:sqref>
        </x14:conditionalFormatting>
        <x14:conditionalFormatting xmlns:xm="http://schemas.microsoft.com/office/excel/2006/main">
          <x14:cfRule type="expression" priority="149" id="{0FEB64E5-9876-49F3-B2C0-440B76002724}">
            <xm:f>IF($D$10="No", '3. Project Location'!$H$6 &gt; 25,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D41:N41 P41</xm:sqref>
        </x14:conditionalFormatting>
        <x14:conditionalFormatting xmlns:xm="http://schemas.microsoft.com/office/excel/2006/main">
          <x14:cfRule type="expression" priority="147" id="{7C18A7BF-27EC-4F30-B679-6A163DEAC9F8}">
            <xm:f>IF($D$10="No", '3. Project Location'!$H$6 &gt; 26,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D42:N42 P42</xm:sqref>
        </x14:conditionalFormatting>
        <x14:conditionalFormatting xmlns:xm="http://schemas.microsoft.com/office/excel/2006/main">
          <x14:cfRule type="expression" priority="145" id="{B81EA6E0-7AD7-48C9-ADBA-4CF0A3173F9D}">
            <xm:f>IF($D$10="No", '3. Project Location'!$H$6 &gt; 27,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D43:N43 P43</xm:sqref>
        </x14:conditionalFormatting>
        <x14:conditionalFormatting xmlns:xm="http://schemas.microsoft.com/office/excel/2006/main">
          <x14:cfRule type="expression" priority="143" id="{0BAD7DB0-B47E-4F8F-B381-CD741EE8C02A}">
            <xm:f>IF($D$10="No", '3. Project Location'!$H$6 &gt; 28,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D44:N44 P44</xm:sqref>
        </x14:conditionalFormatting>
        <x14:conditionalFormatting xmlns:xm="http://schemas.microsoft.com/office/excel/2006/main">
          <x14:cfRule type="expression" priority="141" id="{1F7A9BE4-FDF7-4D17-812F-574EB5506835}">
            <xm:f>IF($D$10="No", '3. Project Location'!$H$6 &gt; 29,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D45:N45 P45</xm:sqref>
        </x14:conditionalFormatting>
        <x14:conditionalFormatting xmlns:xm="http://schemas.microsoft.com/office/excel/2006/main">
          <x14:cfRule type="expression" priority="139" id="{8F963C49-7AA4-493E-8A42-1F80B90DEBE4}">
            <xm:f>IF($D$10="No", '3. Project Location'!$H$6 &gt; 30,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D46:N46 P46</xm:sqref>
        </x14:conditionalFormatting>
        <x14:conditionalFormatting xmlns:xm="http://schemas.microsoft.com/office/excel/2006/main">
          <x14:cfRule type="expression" priority="137" id="{C12435E9-BFE5-4BFB-A21F-7058F0C0EE02}">
            <xm:f>IF($D$10="No", '3. Project Location'!$H$6 &gt; 31,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D47:N47 P47</xm:sqref>
        </x14:conditionalFormatting>
        <x14:conditionalFormatting xmlns:xm="http://schemas.microsoft.com/office/excel/2006/main">
          <x14:cfRule type="expression" priority="135" id="{7DB3BFFA-7FCF-426D-BCA8-E1FB781ED2B1}">
            <xm:f>IF($D$10="No", '3. Project Location'!$H$6 &gt; 32,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D48:N48 P48</xm:sqref>
        </x14:conditionalFormatting>
        <x14:conditionalFormatting xmlns:xm="http://schemas.microsoft.com/office/excel/2006/main">
          <x14:cfRule type="expression" priority="133" id="{CF1E687D-3E5A-4D0B-AC78-055928085891}">
            <xm:f>IF($D$10="No", '3. Project Location'!$H$6 &gt; 33,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D49:N49 P49</xm:sqref>
        </x14:conditionalFormatting>
        <x14:conditionalFormatting xmlns:xm="http://schemas.microsoft.com/office/excel/2006/main">
          <x14:cfRule type="expression" priority="131" id="{ECDCAA2A-D9B4-4F8B-AEE6-6E6F731C7EC9}">
            <xm:f>IF($D$10="No", '3. Project Location'!$H$6 &gt; 34,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D50:N50 P50</xm:sqref>
        </x14:conditionalFormatting>
        <x14:conditionalFormatting xmlns:xm="http://schemas.microsoft.com/office/excel/2006/main">
          <x14:cfRule type="expression" priority="129" id="{772C833B-554A-4C1D-92E7-239411754929}">
            <xm:f>IF($D$10="No", '3. Project Location'!$H$6 &gt; 35,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D51:N51 P51</xm:sqref>
        </x14:conditionalFormatting>
        <x14:conditionalFormatting xmlns:xm="http://schemas.microsoft.com/office/excel/2006/main">
          <x14:cfRule type="expression" priority="127" id="{C71CF054-CEEE-4E1D-ADFF-FA43B35CD5A4}">
            <xm:f>IF($D$10="No", '3. Project Location'!$H$6 &gt; 36,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D52:N52 P52</xm:sqref>
        </x14:conditionalFormatting>
        <x14:conditionalFormatting xmlns:xm="http://schemas.microsoft.com/office/excel/2006/main">
          <x14:cfRule type="expression" priority="125" id="{C91B8169-E022-4C99-9757-F5A102ED2083}">
            <xm:f>IF($D$10="No", '3. Project Location'!$H$6 &gt; 37,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D53:N53 P53</xm:sqref>
        </x14:conditionalFormatting>
        <x14:conditionalFormatting xmlns:xm="http://schemas.microsoft.com/office/excel/2006/main">
          <x14:cfRule type="expression" priority="123" id="{DC2B3CA9-6C46-4DE6-A6AE-F979AF9A781E}">
            <xm:f>IF($D$10="No", '3. Project Location'!$H$6 &gt; 38,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D54:N54 P54</xm:sqref>
        </x14:conditionalFormatting>
        <x14:conditionalFormatting xmlns:xm="http://schemas.microsoft.com/office/excel/2006/main">
          <x14:cfRule type="expression" priority="121" id="{52859034-9FFC-4BBA-A4EE-CD5C7BF5FD0C}">
            <xm:f>IF($D$10="No", '3. Project Location'!$H$6 &gt; 39,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D55:N55 P55</xm:sqref>
        </x14:conditionalFormatting>
        <x14:conditionalFormatting xmlns:xm="http://schemas.microsoft.com/office/excel/2006/main">
          <x14:cfRule type="expression" priority="119" id="{0FFFBF2A-3801-4EEF-833B-833BF549C44B}">
            <xm:f>IF($D$10="No", '3. Project Location'!$H$6 &gt; 40, IF($D$10="Yes", '3. Project Location'!$H$6 &gt; 20, FALSE))</xm:f>
            <x14:dxf>
              <fill>
                <patternFill>
                  <bgColor rgb="FF92D050"/>
                </patternFill>
              </fill>
              <border>
                <left style="thin">
                  <color auto="1"/>
                </left>
                <right style="thin">
                  <color auto="1"/>
                </right>
                <top style="thin">
                  <color auto="1"/>
                </top>
                <bottom style="thin">
                  <color auto="1"/>
                </bottom>
                <vertical/>
                <horizontal/>
              </border>
            </x14:dxf>
          </x14:cfRule>
          <xm:sqref>D56:N56 P56</xm:sqref>
        </x14:conditionalFormatting>
        <x14:conditionalFormatting xmlns:xm="http://schemas.microsoft.com/office/excel/2006/main">
          <x14:cfRule type="expression" priority="117" id="{E946867F-C2A9-4C2A-9957-8011595EBB94}">
            <xm:f>IF($D$10="No", '3. Project Location'!$H$6 &gt; 41, IF($D$10="Yes", '3. Project Location'!$H$6 &gt; 20, FALSE))</xm:f>
            <x14:dxf>
              <fill>
                <patternFill>
                  <bgColor rgb="FF92D050"/>
                </patternFill>
              </fill>
              <border>
                <left style="thin">
                  <color auto="1"/>
                </left>
                <right style="thin">
                  <color auto="1"/>
                </right>
                <top style="thin">
                  <color auto="1"/>
                </top>
                <bottom style="thin">
                  <color auto="1"/>
                </bottom>
              </border>
            </x14:dxf>
          </x14:cfRule>
          <xm:sqref>D57:N57 P57</xm:sqref>
        </x14:conditionalFormatting>
        <x14:conditionalFormatting xmlns:xm="http://schemas.microsoft.com/office/excel/2006/main">
          <x14:cfRule type="expression" priority="115" id="{FF6C5C73-E562-4E0A-A276-13FF66240AD8}">
            <xm:f>IF($D$10="No", '3. Project Location'!$H$6 &gt; 42,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D58:N58 P58</xm:sqref>
        </x14:conditionalFormatting>
        <x14:conditionalFormatting xmlns:xm="http://schemas.microsoft.com/office/excel/2006/main">
          <x14:cfRule type="expression" priority="113" id="{D3406570-AD90-44DB-9ACC-C59E795C746F}">
            <xm:f>IF($D$10="No", '3. Project Location'!$H$6 &gt; 43,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D59:N59 P59</xm:sqref>
        </x14:conditionalFormatting>
        <x14:conditionalFormatting xmlns:xm="http://schemas.microsoft.com/office/excel/2006/main">
          <x14:cfRule type="expression" priority="111" id="{0ABE1728-D674-4FDF-8755-DF8B2ECEF942}">
            <xm:f>IF($D$10="No", '3. Project Location'!$H$6 &gt; 44,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D60:N60 P60</xm:sqref>
        </x14:conditionalFormatting>
        <x14:conditionalFormatting xmlns:xm="http://schemas.microsoft.com/office/excel/2006/main">
          <x14:cfRule type="expression" priority="109" id="{C0676629-5BAC-4F16-86F5-D470A7839CFD}">
            <xm:f>IF($D$10="No", '3. Project Location'!$H$6 &gt; 45,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D61:N61 P61</xm:sqref>
        </x14:conditionalFormatting>
        <x14:conditionalFormatting xmlns:xm="http://schemas.microsoft.com/office/excel/2006/main">
          <x14:cfRule type="expression" priority="105" id="{1237EF88-8CA2-4CBC-8353-8C6A24507088}">
            <xm:f>IF($D$10="No", '3. Project Location'!$H$6 &gt; 46, IF($D$10="Yes", '3. Project Location'!$H$6 &gt; 23, FALSE))</xm:f>
            <x14:dxf>
              <fill>
                <patternFill>
                  <bgColor rgb="FF92D050"/>
                </patternFill>
              </fill>
              <border>
                <left style="thin">
                  <color auto="1"/>
                </left>
                <right style="thin">
                  <color auto="1"/>
                </right>
                <top style="thin">
                  <color auto="1"/>
                </top>
                <bottom style="thin">
                  <color auto="1"/>
                </bottom>
                <vertical/>
                <horizontal/>
              </border>
            </x14:dxf>
          </x14:cfRule>
          <xm:sqref>D62:N63 P62:P63</xm:sqref>
        </x14:conditionalFormatting>
        <x14:conditionalFormatting xmlns:xm="http://schemas.microsoft.com/office/excel/2006/main">
          <x14:cfRule type="expression" priority="103" id="{93B65468-B5B2-49EA-ACE3-4D575F8A01E4}">
            <xm:f>IF($D$10="No", '3. Project Location'!$H$6 &gt; 48,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D64:N64 P64</xm:sqref>
        </x14:conditionalFormatting>
        <x14:conditionalFormatting xmlns:xm="http://schemas.microsoft.com/office/excel/2006/main">
          <x14:cfRule type="expression" priority="101" id="{2A6E1003-BDB4-4D76-9E93-5FA1E6B824C7}">
            <xm:f>IF($D$10="No", '3. Project Location'!$H$6 &gt; 49,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D65:N65 P65</xm:sqref>
        </x14:conditionalFormatting>
        <x14:conditionalFormatting xmlns:xm="http://schemas.microsoft.com/office/excel/2006/main">
          <x14:cfRule type="expression" priority="99" id="{4550B748-11D8-4D11-A7E3-F7310FEB01EF}">
            <xm:f>IF($D$10="No", '3. Project Location'!$H$6 &gt; 50,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D66:N66 P66</xm:sqref>
        </x14:conditionalFormatting>
        <x14:conditionalFormatting xmlns:xm="http://schemas.microsoft.com/office/excel/2006/main">
          <x14:cfRule type="expression" priority="97" id="{8B77B416-EB1C-492C-85DE-8B57E9793C32}">
            <xm:f>IF($D$10="No", '3. Project Location'!$H$6 &gt; 51,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D67:N67 P67</xm:sqref>
        </x14:conditionalFormatting>
        <x14:conditionalFormatting xmlns:xm="http://schemas.microsoft.com/office/excel/2006/main">
          <x14:cfRule type="expression" priority="95" id="{715D0477-6720-4561-B930-F974B70E5629}">
            <xm:f>IF($D$10="No", '3. Project Location'!$H$6 &gt; 52,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D68:N68 P68</xm:sqref>
        </x14:conditionalFormatting>
        <x14:conditionalFormatting xmlns:xm="http://schemas.microsoft.com/office/excel/2006/main">
          <x14:cfRule type="expression" priority="93" id="{80DF87E4-B291-4D00-966E-F73544697AB4}">
            <xm:f>IF($D$10="No", '3. Project Location'!$H$6 &gt; 53,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D69:N69 P69</xm:sqref>
        </x14:conditionalFormatting>
        <x14:conditionalFormatting xmlns:xm="http://schemas.microsoft.com/office/excel/2006/main">
          <x14:cfRule type="expression" priority="91" id="{95CB3CCF-17C5-4407-99B2-FA527BB23948}">
            <xm:f>IF($D$10="No", '3. Project Location'!$H$6 &gt; 54,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D70:N70 P70</xm:sqref>
        </x14:conditionalFormatting>
        <x14:conditionalFormatting xmlns:xm="http://schemas.microsoft.com/office/excel/2006/main">
          <x14:cfRule type="expression" priority="89" id="{939E8BA0-B63F-4823-AA8E-F98EF5D7D5DF}">
            <xm:f>IF($D$10="No", '3. Project Location'!$H$6 &gt; 55,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D71:N71 P71</xm:sqref>
        </x14:conditionalFormatting>
        <x14:conditionalFormatting xmlns:xm="http://schemas.microsoft.com/office/excel/2006/main">
          <x14:cfRule type="expression" priority="87" id="{ADF771A6-44AD-40E2-A9E2-64410EDAFC7F}">
            <xm:f>IF($D$10="No", '3. Project Location'!$H$6 &gt; 56,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D72:N72 P72</xm:sqref>
        </x14:conditionalFormatting>
        <x14:conditionalFormatting xmlns:xm="http://schemas.microsoft.com/office/excel/2006/main">
          <x14:cfRule type="expression" priority="85" id="{599B8D8C-162E-4ABC-9BB4-AEED00C13874}">
            <xm:f>IF($D$10="No", '3. Project Location'!$H$6 &gt; 57,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D73:N73 P73</xm:sqref>
        </x14:conditionalFormatting>
        <x14:conditionalFormatting xmlns:xm="http://schemas.microsoft.com/office/excel/2006/main">
          <x14:cfRule type="expression" priority="83" id="{0E428D7C-7751-4DEA-96E7-E76D0FF87DA2}">
            <xm:f>IF($D$10="No", '3. Project Location'!$H$6 &gt; 58,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D74:N74 P74</xm:sqref>
        </x14:conditionalFormatting>
        <x14:conditionalFormatting xmlns:xm="http://schemas.microsoft.com/office/excel/2006/main">
          <x14:cfRule type="expression" priority="81" id="{F81C06A0-905A-4908-9FE5-03F2EACFEFE6}">
            <xm:f>IF($D$10="No", '3. Project Location'!$H$6 &gt; 59,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D75:N75 P75</xm:sqref>
        </x14:conditionalFormatting>
        <x14:conditionalFormatting xmlns:xm="http://schemas.microsoft.com/office/excel/2006/main">
          <x14:cfRule type="expression" priority="79" id="{92E2C0E4-CCAC-43F4-9D44-A28FEFA1EB8F}">
            <xm:f>IF($D$10="No", '3. Project Location'!$H$6 &gt; 60,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D76:N76 P76</xm:sqref>
        </x14:conditionalFormatting>
        <x14:conditionalFormatting xmlns:xm="http://schemas.microsoft.com/office/excel/2006/main">
          <x14:cfRule type="expression" priority="77" id="{FB687D29-70A6-4C8E-9B3D-FB4DFAB0C9DD}">
            <xm:f>IF($D$10="No", '3. Project Location'!$H$6 &gt; 61,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D77:N77 P77</xm:sqref>
        </x14:conditionalFormatting>
        <x14:conditionalFormatting xmlns:xm="http://schemas.microsoft.com/office/excel/2006/main">
          <x14:cfRule type="expression" priority="75" id="{C436282D-0933-449A-A874-6D864FA7AC7A}">
            <xm:f>IF($D$10="No", '3. Project Location'!$H$6 &gt; 62,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D78:N78 P78</xm:sqref>
        </x14:conditionalFormatting>
        <x14:conditionalFormatting xmlns:xm="http://schemas.microsoft.com/office/excel/2006/main">
          <x14:cfRule type="expression" priority="73" id="{8B685850-3453-4475-8DC9-BA551673DABC}">
            <xm:f>IF($D$10="No", '3. Project Location'!$H$6 &gt; 63,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D79:N79 P79</xm:sqref>
        </x14:conditionalFormatting>
        <x14:conditionalFormatting xmlns:xm="http://schemas.microsoft.com/office/excel/2006/main">
          <x14:cfRule type="expression" priority="71" id="{7CB69C33-B271-481B-919D-7F82C3AC8C67}">
            <xm:f>IF($D$10="No", '3. Project Location'!$H$6 &gt; 64,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D80:N80 P80</xm:sqref>
        </x14:conditionalFormatting>
        <x14:conditionalFormatting xmlns:xm="http://schemas.microsoft.com/office/excel/2006/main">
          <x14:cfRule type="expression" priority="69" id="{D56D9531-9E1F-47FB-A109-51D50A2AD558}">
            <xm:f>IF($D$10="No", '3. Project Location'!$H$6 &gt; 65,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D81:N81 P81</xm:sqref>
        </x14:conditionalFormatting>
        <x14:conditionalFormatting xmlns:xm="http://schemas.microsoft.com/office/excel/2006/main">
          <x14:cfRule type="expression" priority="67" id="{EB3B559C-ACFB-4D74-B4BF-7CE6701C27EC}">
            <xm:f>IF($D$10="No", '3. Project Location'!$H$6 &gt; 66,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D82:N82 P82</xm:sqref>
        </x14:conditionalFormatting>
        <x14:conditionalFormatting xmlns:xm="http://schemas.microsoft.com/office/excel/2006/main">
          <x14:cfRule type="expression" priority="65" id="{A32DC116-5740-402A-953B-B4BDDE5793D9}">
            <xm:f>IF($D$10="No", '3. Project Location'!$H$6 &gt; 67,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D83:N83 P83</xm:sqref>
        </x14:conditionalFormatting>
        <x14:conditionalFormatting xmlns:xm="http://schemas.microsoft.com/office/excel/2006/main">
          <x14:cfRule type="expression" priority="63" id="{54EC5DF8-FBF1-4A82-AAF6-2A631979DC5E}">
            <xm:f>IF($D$10="No", '3. Project Location'!$H$6 &gt; 68,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D84:N84 P84</xm:sqref>
        </x14:conditionalFormatting>
        <x14:conditionalFormatting xmlns:xm="http://schemas.microsoft.com/office/excel/2006/main">
          <x14:cfRule type="expression" priority="61" id="{64428D21-4901-4FAC-A754-3BDB3CF33B95}">
            <xm:f>IF($D$10="No", '3. Project Location'!$H$6 &gt; 69,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D85:N85 P85</xm:sqref>
        </x14:conditionalFormatting>
        <x14:conditionalFormatting xmlns:xm="http://schemas.microsoft.com/office/excel/2006/main">
          <x14:cfRule type="expression" priority="59" id="{5EEC47CC-A87A-4D42-8F83-16D3AB763FFD}">
            <xm:f>IF($D$10="No", '3. Project Location'!$H$6 &gt; 70,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D86:N86 P86</xm:sqref>
        </x14:conditionalFormatting>
        <x14:conditionalFormatting xmlns:xm="http://schemas.microsoft.com/office/excel/2006/main">
          <x14:cfRule type="expression" priority="57" id="{9C57910A-BF1F-4B3D-9EA4-91D47E4B0E93}">
            <xm:f>IF($D$10="No", '3. Project Location'!$H$6 &gt; 71,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D87:N87 P87</xm:sqref>
        </x14:conditionalFormatting>
        <x14:conditionalFormatting xmlns:xm="http://schemas.microsoft.com/office/excel/2006/main">
          <x14:cfRule type="expression" priority="55" id="{449C3F6B-4D54-43F1-A724-AED9573E5901}">
            <xm:f>IF($D$10="No", '3. Project Location'!$H$6 &gt; 72,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D88:N88 P88</xm:sqref>
        </x14:conditionalFormatting>
        <x14:conditionalFormatting xmlns:xm="http://schemas.microsoft.com/office/excel/2006/main">
          <x14:cfRule type="expression" priority="53" id="{DB3DDEDE-3D91-4C76-AB7B-D59581310BD9}">
            <xm:f>IF($D$10="No", '3. Project Location'!$H$6 &gt; 73,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D89:N89 P89</xm:sqref>
        </x14:conditionalFormatting>
        <x14:conditionalFormatting xmlns:xm="http://schemas.microsoft.com/office/excel/2006/main">
          <x14:cfRule type="expression" priority="51" id="{A4852D0C-84AA-4C03-8712-7506B87E66E5}">
            <xm:f>IF($D$10="No", '3. Project Location'!$H$6 &gt; 74,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D90:N90 P90</xm:sqref>
        </x14:conditionalFormatting>
        <x14:conditionalFormatting xmlns:xm="http://schemas.microsoft.com/office/excel/2006/main">
          <x14:cfRule type="expression" priority="49" id="{547E724A-BFD5-4670-8D01-BEC4C77BE807}">
            <xm:f>IF($D$10="No", '3. Project Location'!$H$6 &gt; 75,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D91:N91 P91</xm:sqref>
        </x14:conditionalFormatting>
        <x14:conditionalFormatting xmlns:xm="http://schemas.microsoft.com/office/excel/2006/main">
          <x14:cfRule type="expression" priority="47" id="{6F213C04-A33F-4186-865B-1D024B4BB394}">
            <xm:f>IF($D$10="No", '3. Project Location'!$H$6 &gt; 76,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D92:N92 P92</xm:sqref>
        </x14:conditionalFormatting>
        <x14:conditionalFormatting xmlns:xm="http://schemas.microsoft.com/office/excel/2006/main">
          <x14:cfRule type="expression" priority="45" id="{E96644AA-BAB8-419E-BC38-3B9607F790CC}">
            <xm:f>IF($D$10="No", '3. Project Location'!$H$6 &gt; 77,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D93:N93 P93</xm:sqref>
        </x14:conditionalFormatting>
        <x14:conditionalFormatting xmlns:xm="http://schemas.microsoft.com/office/excel/2006/main">
          <x14:cfRule type="expression" priority="43" id="{7E279D13-B061-408C-9B0A-6FEFFFC70F92}">
            <xm:f>IF($D$10="No", '3. Project Location'!$H$6 &gt; 78,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D94:N94 P94</xm:sqref>
        </x14:conditionalFormatting>
        <x14:conditionalFormatting xmlns:xm="http://schemas.microsoft.com/office/excel/2006/main">
          <x14:cfRule type="expression" priority="41" id="{3CDBC2E4-BC1B-430F-AF83-984C4160BF6D}">
            <xm:f>IF($D$10="No", '3. Project Location'!$H$6 &gt; 79,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D95:N95 P95</xm:sqref>
        </x14:conditionalFormatting>
        <x14:conditionalFormatting xmlns:xm="http://schemas.microsoft.com/office/excel/2006/main">
          <x14:cfRule type="expression" priority="39" id="{3336B7CB-070B-43A0-9FEA-0DB596B00574}">
            <xm:f>IF($D$10="No", '3. Project Location'!$H$6 &gt; 80,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D96:N96 P96</xm:sqref>
        </x14:conditionalFormatting>
        <x14:conditionalFormatting xmlns:xm="http://schemas.microsoft.com/office/excel/2006/main">
          <x14:cfRule type="expression" priority="37" id="{268B94E1-EB46-45D7-A04B-180EFD4A2CB2}">
            <xm:f>IF($D$10="No", '3. Project Location'!$H$6 &gt; 81,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D97:N97 P97</xm:sqref>
        </x14:conditionalFormatting>
        <x14:conditionalFormatting xmlns:xm="http://schemas.microsoft.com/office/excel/2006/main">
          <x14:cfRule type="expression" priority="35" id="{4EC11FFF-AD71-4AF1-AB25-FF82E2023CA7}">
            <xm:f>IF($D$10="No", '3. Project Location'!$H$6 &gt; 82,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D98:N98 P98</xm:sqref>
        </x14:conditionalFormatting>
        <x14:conditionalFormatting xmlns:xm="http://schemas.microsoft.com/office/excel/2006/main">
          <x14:cfRule type="expression" priority="33" id="{F5EC32FD-E96D-47AC-8EA3-274D1A5864C2}">
            <xm:f>IF($D$10="No", '3. Project Location'!$H$6 &gt; 83,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D99:N99 P99</xm:sqref>
        </x14:conditionalFormatting>
        <x14:conditionalFormatting xmlns:xm="http://schemas.microsoft.com/office/excel/2006/main">
          <x14:cfRule type="expression" priority="31" id="{B75D2992-4E65-44D1-8B56-D662C91EFC8B}">
            <xm:f>IF($D$10="No", '3. Project Location'!$H$6 &gt; 84,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D100:N100 P100</xm:sqref>
        </x14:conditionalFormatting>
        <x14:conditionalFormatting xmlns:xm="http://schemas.microsoft.com/office/excel/2006/main">
          <x14:cfRule type="expression" priority="29" id="{31CDAD35-01D4-4B1A-BA04-382B562FB5D1}">
            <xm:f>IF($D$10="No", '3. Project Location'!$H$6 &gt; 85,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D101:N101 P101</xm:sqref>
        </x14:conditionalFormatting>
        <x14:conditionalFormatting xmlns:xm="http://schemas.microsoft.com/office/excel/2006/main">
          <x14:cfRule type="expression" priority="27" id="{5128EF5B-3AB3-47C7-9CD3-3FCA2C5953CB}">
            <xm:f>IF($D$10="No", '3. Project Location'!$H$6 &gt; 86,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D102:N102 P102</xm:sqref>
        </x14:conditionalFormatting>
        <x14:conditionalFormatting xmlns:xm="http://schemas.microsoft.com/office/excel/2006/main">
          <x14:cfRule type="expression" priority="25" id="{E58B0BFE-54CE-4F17-87A5-45A9FC043CAB}">
            <xm:f>IF($D$10="No", '3. Project Location'!$H$6 &gt; 87,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D103:N103 P103</xm:sqref>
        </x14:conditionalFormatting>
        <x14:conditionalFormatting xmlns:xm="http://schemas.microsoft.com/office/excel/2006/main">
          <x14:cfRule type="expression" priority="23" id="{77533BC0-7D3E-4BBF-BFEA-BCB47A9649DC}">
            <xm:f>IF($D$10="No", '3. Project Location'!$H$6 &gt; 88,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D104:N104 P104</xm:sqref>
        </x14:conditionalFormatting>
        <x14:conditionalFormatting xmlns:xm="http://schemas.microsoft.com/office/excel/2006/main">
          <x14:cfRule type="expression" priority="21" id="{4137068C-A6EC-4975-B78C-0369DB2BABD1}">
            <xm:f>IF($D$10="No", '3. Project Location'!$H$6 &gt; 89,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D105:N105 P105</xm:sqref>
        </x14:conditionalFormatting>
        <x14:conditionalFormatting xmlns:xm="http://schemas.microsoft.com/office/excel/2006/main">
          <x14:cfRule type="expression" priority="19" id="{270DB9D4-B871-4CE8-96BD-85953377DE6B}">
            <xm:f>IF($D$10="No", '3. Project Location'!$H$6 &gt; 90,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D106:N106 P106</xm:sqref>
        </x14:conditionalFormatting>
        <x14:conditionalFormatting xmlns:xm="http://schemas.microsoft.com/office/excel/2006/main">
          <x14:cfRule type="expression" priority="17" id="{F9592A05-720D-407A-BB71-0355536BF371}">
            <xm:f>IF($D$10="No", '3. Project Location'!$H$6 &gt; 91,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D107:N107 P107</xm:sqref>
        </x14:conditionalFormatting>
        <x14:conditionalFormatting xmlns:xm="http://schemas.microsoft.com/office/excel/2006/main">
          <x14:cfRule type="expression" priority="15" id="{7B21C66D-929F-42CB-B0AE-F45219F2E828}">
            <xm:f>IF($D$10="No", '3. Project Location'!$H$6 &gt; 92,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D108:N108 P108</xm:sqref>
        </x14:conditionalFormatting>
        <x14:conditionalFormatting xmlns:xm="http://schemas.microsoft.com/office/excel/2006/main">
          <x14:cfRule type="expression" priority="13" id="{BE21E54E-EFB4-4692-94FE-683C67099176}">
            <xm:f>IF($D$10="No", '3. Project Location'!$H$6 &gt; 93,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D109:N109 P109</xm:sqref>
        </x14:conditionalFormatting>
        <x14:conditionalFormatting xmlns:xm="http://schemas.microsoft.com/office/excel/2006/main">
          <x14:cfRule type="expression" priority="11" id="{E8262A24-EFD4-4423-97FC-4AE28369C70F}">
            <xm:f>IF($D$10="No", '3. Project Location'!$H$6 &gt; 94,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D110:N110 P110</xm:sqref>
        </x14:conditionalFormatting>
        <x14:conditionalFormatting xmlns:xm="http://schemas.microsoft.com/office/excel/2006/main">
          <x14:cfRule type="expression" priority="9" id="{79829FA9-DFB8-475D-80FA-6CF1EDF2091B}">
            <xm:f>IF($D$10="No", '3. Project Location'!$H$6 &gt; 95,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D111:N111 P111</xm:sqref>
        </x14:conditionalFormatting>
        <x14:conditionalFormatting xmlns:xm="http://schemas.microsoft.com/office/excel/2006/main">
          <x14:cfRule type="expression" priority="7" id="{152EF264-7B3E-4138-A5A4-AE69192927D2}">
            <xm:f>IF($D$10="No", '3. Project Location'!$H$6 &gt; 96,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D112:N112 P112</xm:sqref>
        </x14:conditionalFormatting>
        <x14:conditionalFormatting xmlns:xm="http://schemas.microsoft.com/office/excel/2006/main">
          <x14:cfRule type="expression" priority="5" id="{12E29BE1-D4CC-4CB6-833F-0CAC5E470661}">
            <xm:f>IF($D$10="No", '3. Project Location'!$H$6 &gt; 97,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D113:N113 P113</xm:sqref>
        </x14:conditionalFormatting>
        <x14:conditionalFormatting xmlns:xm="http://schemas.microsoft.com/office/excel/2006/main">
          <x14:cfRule type="expression" priority="3" id="{5F1E4BD4-2324-4324-9341-38085913FBCE}">
            <xm:f>IF($D$10="No", '3. Project Location'!$H$6 &gt; 98,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D114:N114 P114</xm:sqref>
        </x14:conditionalFormatting>
        <x14:conditionalFormatting xmlns:xm="http://schemas.microsoft.com/office/excel/2006/main">
          <x14:cfRule type="expression" priority="1" id="{B02186F8-7DF1-4A5E-818B-16FFBD8F42A3}">
            <xm:f>IF($D$10="No", '3. Project Location'!$H$6 &gt; 99,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D115:N115 P115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314024-BA02-4CC0-9D58-ED980701507E}">
          <x14:formula1>
            <xm:f>'Dropdown Lists'!$AI$2:$AI$6</xm:f>
          </x14:formula1>
          <xm:sqref>D16:D115</xm:sqref>
        </x14:dataValidation>
        <x14:dataValidation type="list" allowBlank="1" showInputMessage="1" showErrorMessage="1" xr:uid="{11328FB6-3E3A-4686-9310-A6715CEA87A1}">
          <x14:formula1>
            <xm:f>'Dropdown Lists'!$A$2:$A$3</xm:f>
          </x14:formula1>
          <xm:sqref>D10 G7 G11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4574-F0F1-470A-8470-D761BDAB6A36}">
  <sheetPr codeName="Sheet40"/>
  <dimension ref="A1:AR643"/>
  <sheetViews>
    <sheetView topLeftCell="A305" workbookViewId="0">
      <selection activeCell="E334" sqref="E334"/>
    </sheetView>
  </sheetViews>
  <sheetFormatPr baseColWidth="10" defaultColWidth="9.1640625" defaultRowHeight="15"/>
  <cols>
    <col min="1" max="1" width="34" style="48" customWidth="1"/>
    <col min="2" max="2" width="39.33203125" customWidth="1"/>
    <col min="3" max="3" width="54.33203125" customWidth="1"/>
    <col min="4" max="4" width="23.83203125" bestFit="1" customWidth="1"/>
    <col min="5" max="5" width="21.5" customWidth="1"/>
    <col min="6" max="6" width="18.83203125" customWidth="1"/>
    <col min="7" max="7" width="29.1640625" customWidth="1"/>
    <col min="8" max="8" width="25" customWidth="1"/>
    <col min="9" max="9" width="22.6640625" bestFit="1" customWidth="1"/>
    <col min="10" max="10" width="20" customWidth="1"/>
    <col min="11" max="11" width="23.5" bestFit="1" customWidth="1"/>
    <col min="12" max="12" width="16.5" customWidth="1"/>
    <col min="13" max="13" width="28.5" customWidth="1"/>
    <col min="14" max="14" width="20.5" customWidth="1"/>
    <col min="15" max="16" width="15.5" customWidth="1"/>
    <col min="17" max="17" width="27" customWidth="1"/>
    <col min="18" max="23" width="16.5" customWidth="1"/>
    <col min="24" max="24" width="4.5" customWidth="1"/>
    <col min="25" max="25" width="43" bestFit="1" customWidth="1"/>
    <col min="26" max="26" width="31" style="57" customWidth="1"/>
    <col min="27" max="27" width="23.5" bestFit="1" customWidth="1"/>
    <col min="28" max="28" width="31.5" bestFit="1" customWidth="1"/>
    <col min="29" max="29" width="20" bestFit="1" customWidth="1"/>
    <col min="30" max="30" width="22.83203125" customWidth="1"/>
    <col min="31" max="31" width="43.5" customWidth="1"/>
    <col min="32" max="32" width="22" customWidth="1"/>
    <col min="33" max="33" width="13.83203125" customWidth="1"/>
    <col min="34" max="34" width="15.5" customWidth="1"/>
    <col min="35" max="35" width="18.83203125" bestFit="1" customWidth="1"/>
    <col min="36" max="36" width="17.5" customWidth="1"/>
    <col min="37" max="37" width="33.1640625" bestFit="1" customWidth="1"/>
    <col min="39" max="39" width="17.5" bestFit="1" customWidth="1"/>
    <col min="43" max="43" width="12.1640625" bestFit="1" customWidth="1"/>
    <col min="46" max="46" width="15.83203125" bestFit="1" customWidth="1"/>
    <col min="53" max="54" width="15.83203125" bestFit="1" customWidth="1"/>
  </cols>
  <sheetData>
    <row r="1" spans="1:39" ht="16" thickBot="1">
      <c r="A1" s="1757" t="s">
        <v>1321</v>
      </c>
      <c r="B1" s="1758"/>
      <c r="C1" s="1758"/>
      <c r="D1" s="1758"/>
      <c r="E1" s="1758"/>
      <c r="F1" s="1758"/>
      <c r="G1" s="1758"/>
      <c r="H1" s="1758"/>
      <c r="I1" s="1758"/>
      <c r="J1" s="1758"/>
      <c r="K1" s="1758"/>
      <c r="L1" s="1758"/>
      <c r="M1" s="1758"/>
      <c r="N1" s="1758"/>
      <c r="O1" s="1758"/>
      <c r="P1" s="1758"/>
      <c r="Q1" s="1758"/>
      <c r="R1" s="1759"/>
      <c r="S1" s="1743"/>
      <c r="T1" s="1743"/>
      <c r="U1" s="1743"/>
      <c r="V1" s="1743"/>
      <c r="W1" s="1743"/>
      <c r="X1" s="232"/>
      <c r="Y1" s="1757" t="s">
        <v>1322</v>
      </c>
      <c r="Z1" s="1758"/>
      <c r="AA1" s="1758"/>
      <c r="AB1" s="1758"/>
      <c r="AC1" s="1758"/>
      <c r="AD1" s="1758"/>
      <c r="AE1" s="1758"/>
      <c r="AF1" s="1758"/>
      <c r="AG1" s="1758"/>
      <c r="AH1" s="1758"/>
      <c r="AI1" s="1758"/>
      <c r="AJ1" s="1758"/>
      <c r="AK1" s="1758"/>
      <c r="AL1" s="1758"/>
      <c r="AM1" s="1759"/>
    </row>
    <row r="2" spans="1:39">
      <c r="A2" s="48" t="s">
        <v>6</v>
      </c>
      <c r="B2" t="s">
        <v>1323</v>
      </c>
      <c r="X2" s="232"/>
      <c r="Y2" t="s">
        <v>1324</v>
      </c>
      <c r="AB2" t="str">
        <f>IF(Z2="","",Z2)</f>
        <v/>
      </c>
    </row>
    <row r="3" spans="1:39">
      <c r="A3" s="48" t="s">
        <v>1325</v>
      </c>
      <c r="B3" t="s">
        <v>1326</v>
      </c>
      <c r="C3" t="str">
        <f>IF(Project_Name="","",Project_Name)</f>
        <v/>
      </c>
      <c r="X3" s="232"/>
      <c r="Y3" t="s">
        <v>507</v>
      </c>
      <c r="Z3" s="57" t="str">
        <f>IF($Z$2="","",IF(Property_address="","",Property_address))</f>
        <v/>
      </c>
    </row>
    <row r="4" spans="1:39">
      <c r="X4" s="232"/>
      <c r="Y4" t="s">
        <v>510</v>
      </c>
      <c r="Z4" s="57" t="str">
        <f>IF($Z$2="","",IF(Property_City="","",Property_City))</f>
        <v/>
      </c>
    </row>
    <row r="5" spans="1:39">
      <c r="X5" s="232"/>
      <c r="Y5" t="s">
        <v>511</v>
      </c>
      <c r="Z5" s="64" t="str">
        <f>IF($Z$2="","",IF(Property_County="","",Property_County&amp;" "&amp;"County"))</f>
        <v/>
      </c>
      <c r="AA5" t="s">
        <v>1327</v>
      </c>
    </row>
    <row r="6" spans="1:39">
      <c r="X6" s="232"/>
      <c r="Y6" t="s">
        <v>225</v>
      </c>
      <c r="Z6" s="64" t="str">
        <f>IF($Z$2="","","WI")</f>
        <v/>
      </c>
    </row>
    <row r="7" spans="1:39">
      <c r="X7" s="232"/>
    </row>
    <row r="8" spans="1:39">
      <c r="X8" s="232"/>
    </row>
    <row r="9" spans="1:39">
      <c r="X9" s="232"/>
    </row>
    <row r="10" spans="1:39">
      <c r="X10" s="232"/>
      <c r="Y10" t="s">
        <v>1328</v>
      </c>
      <c r="Z10" s="57" t="str">
        <f>IF($Z$2="","",IF(Is_project_a_Scattered_Site?="No","True",""))</f>
        <v/>
      </c>
    </row>
    <row r="11" spans="1:39">
      <c r="X11" s="232"/>
      <c r="Y11" t="s">
        <v>1329</v>
      </c>
    </row>
    <row r="12" spans="1:39">
      <c r="X12" s="232"/>
      <c r="Y12" t="s">
        <v>521</v>
      </c>
    </row>
    <row r="13" spans="1:39">
      <c r="X13" s="232"/>
    </row>
    <row r="14" spans="1:39">
      <c r="X14" s="232"/>
    </row>
    <row r="15" spans="1:39">
      <c r="X15" s="232"/>
    </row>
    <row r="16" spans="1:39">
      <c r="A16" s="48" t="s">
        <v>552</v>
      </c>
      <c r="X16" s="232"/>
    </row>
    <row r="17" spans="2:33">
      <c r="M17" t="s">
        <v>1330</v>
      </c>
      <c r="X17" s="232"/>
    </row>
    <row r="18" spans="2:33">
      <c r="M18" t="s">
        <v>1331</v>
      </c>
      <c r="X18" s="232"/>
    </row>
    <row r="19" spans="2:33">
      <c r="M19" t="s">
        <v>1332</v>
      </c>
      <c r="X19" s="232"/>
    </row>
    <row r="20" spans="2:33">
      <c r="M20" t="s">
        <v>1331</v>
      </c>
      <c r="X20" s="232"/>
      <c r="Y20" t="s">
        <v>295</v>
      </c>
      <c r="Z20" s="57" t="str">
        <f>IF($Z$2="","",IF(ProLink!F44&gt;0,"True","False"))</f>
        <v/>
      </c>
    </row>
    <row r="21" spans="2:33">
      <c r="X21" s="232"/>
    </row>
    <row r="22" spans="2:33">
      <c r="M22" t="s">
        <v>1333</v>
      </c>
      <c r="X22" s="232"/>
    </row>
    <row r="23" spans="2:33">
      <c r="M23" t="s">
        <v>211</v>
      </c>
      <c r="X23" s="232"/>
    </row>
    <row r="24" spans="2:33">
      <c r="M24" t="s">
        <v>1334</v>
      </c>
      <c r="X24" s="232"/>
    </row>
    <row r="25" spans="2:33">
      <c r="E25" t="s">
        <v>1335</v>
      </c>
      <c r="G25" t="s">
        <v>1336</v>
      </c>
      <c r="N25" s="233" t="str">
        <f>IF(ISNUMBER(SEARCH("40%",Minimum_Set_Aside_Requirements)),"40/60","")</f>
        <v/>
      </c>
      <c r="O25" s="233" t="str">
        <f>IF(ISNUMBER(SEARCH("20%",Minimum_Set_Aside_Requirements)),"20/50","")</f>
        <v/>
      </c>
      <c r="P25" s="233" t="str">
        <f>IF(Minimum_Set_Aside_Requirements="Income Averaging", "Income Averaging","")</f>
        <v/>
      </c>
      <c r="X25" s="232"/>
    </row>
    <row r="26" spans="2:33">
      <c r="M26" t="s">
        <v>694</v>
      </c>
      <c r="X26" s="232"/>
    </row>
    <row r="27" spans="2:33">
      <c r="M27" t="s">
        <v>1337</v>
      </c>
      <c r="X27" s="232"/>
    </row>
    <row r="28" spans="2:33">
      <c r="X28" s="232"/>
    </row>
    <row r="29" spans="2:33">
      <c r="B29" t="s">
        <v>1335</v>
      </c>
      <c r="E29" t="s">
        <v>261</v>
      </c>
      <c r="F29" t="s">
        <v>630</v>
      </c>
      <c r="G29" t="s">
        <v>633</v>
      </c>
      <c r="H29" t="s">
        <v>636</v>
      </c>
      <c r="I29" t="s">
        <v>1338</v>
      </c>
      <c r="J29" t="s">
        <v>642</v>
      </c>
      <c r="K29" t="s">
        <v>644</v>
      </c>
      <c r="X29" s="232"/>
      <c r="Z29"/>
      <c r="AA29" t="s">
        <v>261</v>
      </c>
      <c r="AB29" t="s">
        <v>630</v>
      </c>
      <c r="AC29" t="s">
        <v>633</v>
      </c>
      <c r="AD29" t="s">
        <v>636</v>
      </c>
      <c r="AE29" t="s">
        <v>1338</v>
      </c>
      <c r="AF29" t="s">
        <v>642</v>
      </c>
      <c r="AG29" t="s">
        <v>644</v>
      </c>
    </row>
    <row r="30" spans="2:33">
      <c r="B30" t="s">
        <v>627</v>
      </c>
      <c r="X30" s="232"/>
      <c r="Y30" t="s">
        <v>1339</v>
      </c>
      <c r="Z30" s="59" t="str">
        <f t="array" ref="Z30">IFERROR(INDEX($AA$30:$AG$30,SMALL(IF($AA$30:$AG$30&lt;&gt;"",COLUMN($AA$30:$AG$30)-COLUMN($AA$30)+1),1)),"")</f>
        <v/>
      </c>
      <c r="AA30" s="57" t="str">
        <f>IF($Z$2="","",IF(ProLink!F72="False","","General"))</f>
        <v/>
      </c>
      <c r="AB30" s="57" t="str">
        <f>IF($Z$2="","",IF(ProLink!F74="False","","Elderly"))</f>
        <v/>
      </c>
      <c r="AC30" s="57" t="str">
        <f>IF($Z$2="","",IF(ProLink!F76="False","","Homeless"))</f>
        <v/>
      </c>
      <c r="AD30" s="57" t="str">
        <f>IF($Z$2="","",IF(ProLink!F78="False","","Disabled"))</f>
        <v/>
      </c>
      <c r="AE30" s="57" t="str">
        <f>IF($Z$2="","",IF(ProLink!F80="False","","General"))</f>
        <v/>
      </c>
      <c r="AF30" s="57" t="str">
        <f>IF($Z$2="","",IF(ProLink!F82="False","","Disabled"))</f>
        <v/>
      </c>
      <c r="AG30" s="57" t="str">
        <f>IF($Z$2="","",IF(ProLink!F84="False","","Disabled"))</f>
        <v/>
      </c>
    </row>
    <row r="31" spans="2:33">
      <c r="B31" t="s">
        <v>678</v>
      </c>
      <c r="E31" t="str">
        <f>IF(ProLink!F72="False","",E29)</f>
        <v/>
      </c>
      <c r="F31" t="str">
        <f>IF(ProLink!F74="False","",F29)</f>
        <v/>
      </c>
      <c r="G31" t="str">
        <f>IF(ProLink!F76="False","",G29)</f>
        <v/>
      </c>
      <c r="H31" t="str">
        <f>IF(ProLink!F78="False","","Assisted Living")</f>
        <v/>
      </c>
      <c r="I31" t="str">
        <f>IF(ProLink!F80="False","",I29)</f>
        <v/>
      </c>
      <c r="J31" t="str">
        <f>IF(ProLink!F82="False","",J29)</f>
        <v/>
      </c>
      <c r="K31" t="str">
        <f>IF(ProLink!F84="False","",K29)</f>
        <v/>
      </c>
      <c r="X31" s="232"/>
      <c r="Y31" t="s">
        <v>1340</v>
      </c>
      <c r="Z31" s="59" t="str">
        <f t="array" ref="Z31">IFERROR(INDEX($AA$31:$AG$31,SMALL(IF($AA$31:$AG$31&lt;&gt;"",COLUMN($AA$31:$AG$31)-COLUMN($AA$31)+1),1)),"")</f>
        <v/>
      </c>
      <c r="AA31" t="str">
        <f>IF($Z$2="","",IF(AA30="","","All Family"))</f>
        <v/>
      </c>
      <c r="AB31" t="str">
        <f>IF($Z$2="","",IF(AB30="","","All Elderly"))</f>
        <v/>
      </c>
      <c r="AC31" t="str">
        <f>IF($Z$2="","",IF(AC30="","","Homeless"))</f>
        <v/>
      </c>
      <c r="AD31" t="str">
        <f>IF($Z$2="","",IF(AD30="","","Supportive Services"))</f>
        <v/>
      </c>
      <c r="AE31" t="str">
        <f>IF($Z$2="","",IF(AE30="","","Single Room Occupancy"))</f>
        <v/>
      </c>
      <c r="AF31" t="str">
        <f>IF($Z$2="","",IF(AF30="","","CBRF"))</f>
        <v/>
      </c>
      <c r="AG31" t="str">
        <f>IF($Z$2="","",IF(AG30="","","RCAR"))</f>
        <v/>
      </c>
    </row>
    <row r="32" spans="2:33">
      <c r="B32" t="s">
        <v>675</v>
      </c>
      <c r="X32" s="232"/>
      <c r="Y32" t="s">
        <v>1341</v>
      </c>
      <c r="Z32" s="59" t="str">
        <f t="array" ref="Z32">IFERROR(INDEX($AA$30:$AG$30,SMALL(IF($AA$30:$AG$30&lt;&gt;"",COLUMN($AA$30:$AG$30)-COLUMN($AA$30)+1),2)),"")</f>
        <v/>
      </c>
    </row>
    <row r="33" spans="1:26">
      <c r="B33" t="s">
        <v>699</v>
      </c>
      <c r="X33" s="232"/>
      <c r="Y33" t="s">
        <v>1342</v>
      </c>
      <c r="Z33" s="59" t="str">
        <f t="array" ref="Z33">IFERROR(INDEX($AA$31:$AG$31,SMALL(IF($AA$31:$AG$31&lt;&gt;"",COLUMN($AA$31:$AG$31)-COLUMN($AA$31)+1),2)),"")</f>
        <v/>
      </c>
    </row>
    <row r="34" spans="1:26">
      <c r="B34" t="s">
        <v>1343</v>
      </c>
      <c r="X34" s="232"/>
    </row>
    <row r="35" spans="1:26">
      <c r="B35" t="s">
        <v>1344</v>
      </c>
      <c r="X35" s="232"/>
    </row>
    <row r="36" spans="1:26">
      <c r="B36" s="533" t="s">
        <v>1345</v>
      </c>
      <c r="C36" s="526"/>
      <c r="D36" s="526" t="s">
        <v>1346</v>
      </c>
      <c r="E36" s="526" t="s">
        <v>1347</v>
      </c>
      <c r="F36" s="526" t="s">
        <v>1348</v>
      </c>
      <c r="G36" s="526" t="s">
        <v>274</v>
      </c>
      <c r="H36" s="527" t="s">
        <v>1349</v>
      </c>
      <c r="X36" s="232"/>
    </row>
    <row r="37" spans="1:26">
      <c r="B37" s="528" t="s">
        <v>672</v>
      </c>
      <c r="D37" t="str">
        <f>IF(AND(ProLink!F105="False", ProLink!F106="False", ProLink!F107="False"), "True", "False")</f>
        <v>True</v>
      </c>
      <c r="H37" s="529"/>
      <c r="X37" s="232"/>
    </row>
    <row r="38" spans="1:26">
      <c r="B38" s="530"/>
      <c r="C38" s="531"/>
      <c r="D38" s="531" t="str">
        <f>IF(D37="False","",D36)</f>
        <v>Apartments</v>
      </c>
      <c r="E38" s="531" t="str">
        <f>IF(ProLink!F105="False","",E36)</f>
        <v/>
      </c>
      <c r="F38" s="531" t="str">
        <f>IF(ProLink!F106="False","",F36)</f>
        <v/>
      </c>
      <c r="G38" s="531" t="str">
        <f>IF(ProLink!F107="False","",G36)</f>
        <v/>
      </c>
      <c r="H38" s="532" t="str">
        <f>IF(H37="False","",H36)</f>
        <v>Other-Mixed</v>
      </c>
      <c r="X38" s="232"/>
    </row>
    <row r="39" spans="1:26">
      <c r="A39" s="48" t="s">
        <v>1350</v>
      </c>
      <c r="B39" t="s">
        <v>714</v>
      </c>
      <c r="X39" s="232"/>
      <c r="Y39" t="s">
        <v>714</v>
      </c>
      <c r="Z39" s="57" t="str">
        <f>IF($Z$2="","",Developer_Name)</f>
        <v/>
      </c>
    </row>
    <row r="40" spans="1:26">
      <c r="B40" t="s">
        <v>1351</v>
      </c>
      <c r="X40" s="232"/>
    </row>
    <row r="41" spans="1:26">
      <c r="B41" t="s">
        <v>718</v>
      </c>
      <c r="X41" s="232"/>
    </row>
    <row r="42" spans="1:26">
      <c r="B42" t="s">
        <v>1352</v>
      </c>
      <c r="X42" s="232"/>
    </row>
    <row r="43" spans="1:26">
      <c r="B43" t="s">
        <v>1353</v>
      </c>
      <c r="X43" s="232"/>
    </row>
    <row r="44" spans="1:26">
      <c r="B44" t="s">
        <v>1354</v>
      </c>
      <c r="X44" s="232"/>
    </row>
    <row r="45" spans="1:26">
      <c r="B45" t="s">
        <v>1355</v>
      </c>
      <c r="X45" s="232"/>
    </row>
    <row r="46" spans="1:26">
      <c r="X46" s="232"/>
    </row>
    <row r="47" spans="1:26">
      <c r="X47" s="232"/>
    </row>
    <row r="48" spans="1:26">
      <c r="X48" s="232"/>
    </row>
    <row r="49" spans="1:26">
      <c r="X49" s="232"/>
    </row>
    <row r="50" spans="1:26">
      <c r="X50" s="232"/>
    </row>
    <row r="51" spans="1:26">
      <c r="A51" s="48" t="s">
        <v>730</v>
      </c>
      <c r="B51" t="s">
        <v>1356</v>
      </c>
      <c r="C51">
        <f>Total_Site_Acreage</f>
        <v>0</v>
      </c>
      <c r="X51" s="232"/>
    </row>
    <row r="52" spans="1:26">
      <c r="B52" t="s">
        <v>1357</v>
      </c>
      <c r="C52" t="str">
        <f>IF(Year_Built="","",Year_Built)</f>
        <v/>
      </c>
      <c r="X52" s="232"/>
      <c r="Y52" t="s">
        <v>1357</v>
      </c>
      <c r="Z52" s="57" t="str">
        <f>IF($Z$2="","",IF(Year_Built="","",Year_Built))</f>
        <v/>
      </c>
    </row>
    <row r="53" spans="1:26">
      <c r="B53" t="s">
        <v>552</v>
      </c>
      <c r="X53" s="232"/>
      <c r="Y53" t="s">
        <v>552</v>
      </c>
      <c r="Z53" s="57" t="str">
        <f>IF($Z$2="","",IF(Property_Description="","",Property_Description))</f>
        <v/>
      </c>
    </row>
    <row r="54" spans="1:26">
      <c r="B54" t="s">
        <v>1358</v>
      </c>
      <c r="C54">
        <f>Total_Buildable_Acreage</f>
        <v>0</v>
      </c>
      <c r="X54" s="232"/>
    </row>
    <row r="55" spans="1:26">
      <c r="B55" t="s">
        <v>1359</v>
      </c>
      <c r="C55" s="59" t="str">
        <f>IF(Demotition_Required="","",Demotition_Required)</f>
        <v/>
      </c>
      <c r="X55" s="232"/>
    </row>
    <row r="56" spans="1:26">
      <c r="B56" t="s">
        <v>1360</v>
      </c>
      <c r="C56" s="59" t="str">
        <f>IF(Buildings_Occupied="","",Buildings_Occupied)</f>
        <v/>
      </c>
      <c r="X56" s="232"/>
    </row>
    <row r="57" spans="1:26">
      <c r="B57" t="s">
        <v>743</v>
      </c>
      <c r="C57" s="59" t="str">
        <f>IF(Temporary_Displaced="","",Temporary_Displaced)</f>
        <v/>
      </c>
      <c r="X57" s="232"/>
    </row>
    <row r="58" spans="1:26">
      <c r="B58" t="s">
        <v>747</v>
      </c>
      <c r="C58" s="59" t="str">
        <f>IF(Permanently_Displaced="","",Permanently_Displaced)</f>
        <v/>
      </c>
      <c r="X58" s="232"/>
    </row>
    <row r="59" spans="1:26">
      <c r="B59" t="s">
        <v>1361</v>
      </c>
      <c r="C59" s="59" t="str">
        <f>IF(Flood_Zone="","",Flood_Zone)</f>
        <v/>
      </c>
      <c r="X59" s="232"/>
    </row>
    <row r="60" spans="1:26">
      <c r="X60" s="232"/>
    </row>
    <row r="61" spans="1:26">
      <c r="X61" s="232"/>
    </row>
    <row r="62" spans="1:26">
      <c r="X62" s="232"/>
    </row>
    <row r="63" spans="1:26">
      <c r="X63" s="232"/>
    </row>
    <row r="64" spans="1:26">
      <c r="A64" s="48" t="s">
        <v>754</v>
      </c>
      <c r="B64" t="s">
        <v>1362</v>
      </c>
      <c r="C64">
        <f>IF(Building_Address_1="","",Building_Address_1)</f>
        <v>0</v>
      </c>
      <c r="D64" t="s">
        <v>1363</v>
      </c>
      <c r="E64">
        <f>IF(Building_City_1="","",Building_City_1)</f>
        <v>0</v>
      </c>
      <c r="G64" t="s">
        <v>1364</v>
      </c>
      <c r="H64" s="59" t="str">
        <f t="shared" ref="H64:H97" si="0">IF(C64="","","WI")</f>
        <v>WI</v>
      </c>
      <c r="I64" t="s">
        <v>1365</v>
      </c>
      <c r="J64">
        <f>IF(Building_Zip_Code_1="","",Building_Zip_Code_1)</f>
        <v>0</v>
      </c>
      <c r="K64" t="s">
        <v>1366</v>
      </c>
      <c r="L64" t="str">
        <f>IF(MKT_Units_1="","",MKT_Units_1)</f>
        <v/>
      </c>
      <c r="M64" t="s">
        <v>1367</v>
      </c>
      <c r="N64" t="str">
        <f>IF(TC_Units_1="","",TC_Units_1)</f>
        <v/>
      </c>
      <c r="X64" s="232"/>
    </row>
    <row r="65" spans="2:24">
      <c r="B65" t="s">
        <v>1368</v>
      </c>
      <c r="C65" t="str">
        <f>IF(Building_Address_2="","",Building_Address_2)</f>
        <v/>
      </c>
      <c r="D65" t="s">
        <v>1369</v>
      </c>
      <c r="E65" t="str">
        <f>IF(Building_City_2="","",Building_City_2)</f>
        <v/>
      </c>
      <c r="G65" t="s">
        <v>1370</v>
      </c>
      <c r="H65" s="59" t="str">
        <f t="shared" si="0"/>
        <v/>
      </c>
      <c r="I65" t="s">
        <v>1371</v>
      </c>
      <c r="J65" t="str">
        <f>IF(Building_Zip_Code_2="","",Building_Zip_Code_2)</f>
        <v/>
      </c>
      <c r="K65" t="s">
        <v>1372</v>
      </c>
      <c r="L65" t="str" cm="1">
        <f t="array" ref="L65">IF(MKT_Units_2="","",MKT_Units_2)</f>
        <v/>
      </c>
      <c r="M65" t="s">
        <v>1373</v>
      </c>
      <c r="N65" t="str">
        <f>IF(TC_Units_2="","",TC_Units_2)</f>
        <v/>
      </c>
      <c r="X65" s="232"/>
    </row>
    <row r="66" spans="2:24">
      <c r="B66" t="s">
        <v>1374</v>
      </c>
      <c r="C66" t="str">
        <f>IF(Building_Address_3="","",Building_Address_3)</f>
        <v/>
      </c>
      <c r="D66" t="s">
        <v>1375</v>
      </c>
      <c r="E66" t="str">
        <f>IF(Building_City_3="","",Building_City_3)</f>
        <v/>
      </c>
      <c r="G66" t="s">
        <v>1376</v>
      </c>
      <c r="H66" s="59" t="str">
        <f t="shared" si="0"/>
        <v/>
      </c>
      <c r="I66" t="s">
        <v>1377</v>
      </c>
      <c r="J66" t="str">
        <f>IF(Building_Zip_Code_3="","",Building_Zip_Code_3)</f>
        <v/>
      </c>
      <c r="K66" t="s">
        <v>1378</v>
      </c>
      <c r="L66" t="str">
        <f>IF(MKT_Units_3="","",MKT_Units_3)</f>
        <v/>
      </c>
      <c r="M66" t="s">
        <v>1379</v>
      </c>
      <c r="N66" t="str">
        <f>IF(TC_Units_3="","",TC_Units_3)</f>
        <v/>
      </c>
      <c r="X66" s="232"/>
    </row>
    <row r="67" spans="2:24">
      <c r="B67" t="s">
        <v>1380</v>
      </c>
      <c r="C67" t="str">
        <f>IF(Building_Address_4="","",Building_Address_4)</f>
        <v/>
      </c>
      <c r="D67" t="s">
        <v>1381</v>
      </c>
      <c r="E67" t="str">
        <f>IF(Building_City_4="","",Building_City_4)</f>
        <v/>
      </c>
      <c r="G67" t="s">
        <v>1382</v>
      </c>
      <c r="H67" s="59" t="str">
        <f t="shared" si="0"/>
        <v/>
      </c>
      <c r="I67" t="s">
        <v>1383</v>
      </c>
      <c r="J67" t="str">
        <f>IF(Building_Zip_Code_4="","",Building_Zip_Code_4)</f>
        <v/>
      </c>
      <c r="K67" t="s">
        <v>1384</v>
      </c>
      <c r="L67" t="str">
        <f>IF(MKT_Units_4="","",MKT_Units_4)</f>
        <v/>
      </c>
      <c r="M67" t="s">
        <v>1385</v>
      </c>
      <c r="N67" t="str">
        <f>IF(TC_Units_4="","",TC_Units_4)</f>
        <v/>
      </c>
      <c r="X67" s="232"/>
    </row>
    <row r="68" spans="2:24">
      <c r="B68" t="s">
        <v>1386</v>
      </c>
      <c r="C68" t="str">
        <f>IF(Building_Address_5="","",Building_Address_5)</f>
        <v/>
      </c>
      <c r="D68" t="s">
        <v>1387</v>
      </c>
      <c r="E68" t="str">
        <f>IF(Building_City_5="","",Building_City_5)</f>
        <v/>
      </c>
      <c r="G68" t="s">
        <v>1388</v>
      </c>
      <c r="H68" s="59" t="str">
        <f t="shared" si="0"/>
        <v/>
      </c>
      <c r="I68" t="s">
        <v>1389</v>
      </c>
      <c r="J68" t="str">
        <f>IF(Building_Zip_Code_5="","",Building_Zip_Code_5)</f>
        <v/>
      </c>
      <c r="K68" t="s">
        <v>1390</v>
      </c>
      <c r="L68" t="str">
        <f>IF(MKT_Units_5="","",MKT_Units_5)</f>
        <v/>
      </c>
      <c r="M68" t="s">
        <v>1391</v>
      </c>
      <c r="N68" t="str">
        <f>IF(TC_Units_5="","",TC_Units_5)</f>
        <v/>
      </c>
      <c r="X68" s="232"/>
    </row>
    <row r="69" spans="2:24">
      <c r="B69" t="s">
        <v>1392</v>
      </c>
      <c r="C69" t="str">
        <f>IF(Building_Address_6="","",Building_Address_6)</f>
        <v/>
      </c>
      <c r="D69" t="s">
        <v>1393</v>
      </c>
      <c r="E69" t="str">
        <f>IF(Building_City_6="","",Building_City_6)</f>
        <v/>
      </c>
      <c r="G69" t="s">
        <v>1394</v>
      </c>
      <c r="H69" s="59" t="str">
        <f t="shared" si="0"/>
        <v/>
      </c>
      <c r="I69" t="s">
        <v>1395</v>
      </c>
      <c r="J69" t="str">
        <f>IF(Building_Zip_Code_6="","",Building_Zip_Code_6)</f>
        <v/>
      </c>
      <c r="K69" t="s">
        <v>1396</v>
      </c>
      <c r="L69" t="str">
        <f>IF(MKT_Units_6="","",MKT_Units_6)</f>
        <v/>
      </c>
      <c r="M69" t="s">
        <v>1397</v>
      </c>
      <c r="N69" t="str">
        <f>IF(TC_Units_6="","",TC_Units_6)</f>
        <v/>
      </c>
      <c r="X69" s="232"/>
    </row>
    <row r="70" spans="2:24">
      <c r="B70" t="s">
        <v>1398</v>
      </c>
      <c r="C70" t="str">
        <f>IF(Building_Address_7="","",Building_Address_7)</f>
        <v/>
      </c>
      <c r="D70" t="s">
        <v>1399</v>
      </c>
      <c r="E70" t="str">
        <f>IF(Building_City_7="","",Building_City_7)</f>
        <v/>
      </c>
      <c r="G70" t="s">
        <v>1400</v>
      </c>
      <c r="H70" s="59" t="str">
        <f t="shared" si="0"/>
        <v/>
      </c>
      <c r="I70" t="s">
        <v>1401</v>
      </c>
      <c r="J70" t="str">
        <f>IF(Building_Zip_Code_7="","",Building_Zip_Code_7)</f>
        <v/>
      </c>
      <c r="K70" t="s">
        <v>1402</v>
      </c>
      <c r="L70" t="str">
        <f>IF(MKT_Units_7="","",MKT_Units_7)</f>
        <v/>
      </c>
      <c r="M70" t="s">
        <v>1403</v>
      </c>
      <c r="N70" t="str">
        <f>IF(TC_Units_7="","",TC_Units_7)</f>
        <v/>
      </c>
      <c r="X70" s="232"/>
    </row>
    <row r="71" spans="2:24">
      <c r="B71" t="s">
        <v>1404</v>
      </c>
      <c r="C71" t="str">
        <f>IF(Building_Address_8="","",Building_Address_8)</f>
        <v/>
      </c>
      <c r="D71" t="s">
        <v>1405</v>
      </c>
      <c r="E71" t="str">
        <f>IF(Building_City_8="","",Building_City_8)</f>
        <v/>
      </c>
      <c r="G71" t="s">
        <v>1406</v>
      </c>
      <c r="H71" s="59" t="str">
        <f t="shared" si="0"/>
        <v/>
      </c>
      <c r="I71" t="s">
        <v>1407</v>
      </c>
      <c r="J71" t="str">
        <f>IF(Building_Zip_Code_8="","",Building_Zip_Code_8)</f>
        <v/>
      </c>
      <c r="K71" t="s">
        <v>1408</v>
      </c>
      <c r="L71" t="str">
        <f>IF(MKT_Units_8="","",MKT_Units_8)</f>
        <v/>
      </c>
      <c r="M71" t="s">
        <v>1409</v>
      </c>
      <c r="N71" t="str">
        <f>IF(TC_Units_8="","",TC_Units_8)</f>
        <v/>
      </c>
      <c r="X71" s="232"/>
    </row>
    <row r="72" spans="2:24">
      <c r="B72" t="s">
        <v>1410</v>
      </c>
      <c r="C72" t="str">
        <f>IF(Building_Address_9="","",Building_Address_9)</f>
        <v/>
      </c>
      <c r="D72" t="s">
        <v>1411</v>
      </c>
      <c r="E72" t="str">
        <f>IF(Building_City_9="","",Building_City_9)</f>
        <v/>
      </c>
      <c r="G72" t="s">
        <v>1412</v>
      </c>
      <c r="H72" s="59" t="str">
        <f t="shared" si="0"/>
        <v/>
      </c>
      <c r="I72" t="s">
        <v>1413</v>
      </c>
      <c r="J72" t="str">
        <f>IF(Building_Zip_Code_9="","",Building_Zip_Code_9)</f>
        <v/>
      </c>
      <c r="K72" t="s">
        <v>1414</v>
      </c>
      <c r="L72" t="str">
        <f>IF(MKT_Units_9="","",MKT_Units_9)</f>
        <v/>
      </c>
      <c r="M72" t="s">
        <v>1415</v>
      </c>
      <c r="N72" t="str">
        <f>IF(TC_Units_9="","",TC_Units_9)</f>
        <v/>
      </c>
      <c r="X72" s="232"/>
    </row>
    <row r="73" spans="2:24">
      <c r="B73" t="s">
        <v>1416</v>
      </c>
      <c r="C73" t="str">
        <f>IF(Building_Address_10="","",Building_Address_10)</f>
        <v/>
      </c>
      <c r="D73" t="s">
        <v>1417</v>
      </c>
      <c r="E73" t="str">
        <f>IF(Building_City_10="","",Building_City_10)</f>
        <v/>
      </c>
      <c r="G73" t="s">
        <v>1418</v>
      </c>
      <c r="H73" s="59" t="str">
        <f t="shared" si="0"/>
        <v/>
      </c>
      <c r="I73" t="s">
        <v>1419</v>
      </c>
      <c r="J73" t="str">
        <f>IF(Building_Zip_Code_10="","",Building_Zip_Code_10)</f>
        <v/>
      </c>
      <c r="K73" t="s">
        <v>1420</v>
      </c>
      <c r="L73" t="str">
        <f>IF(MKT_Units_10="","",MKT_Units_10)</f>
        <v/>
      </c>
      <c r="M73" t="s">
        <v>1421</v>
      </c>
      <c r="N73" t="str">
        <f>IF(TC_Units_10="","",TC_Units_10)</f>
        <v/>
      </c>
      <c r="X73" s="232"/>
    </row>
    <row r="74" spans="2:24">
      <c r="B74" t="s">
        <v>1422</v>
      </c>
      <c r="C74" t="str">
        <f>IF(Building_Address_11="","",Building_Address_11)</f>
        <v/>
      </c>
      <c r="D74" t="s">
        <v>1423</v>
      </c>
      <c r="E74" t="str">
        <f>IF(Building_City_11="","",Building_City_11)</f>
        <v/>
      </c>
      <c r="G74" t="s">
        <v>1424</v>
      </c>
      <c r="H74" s="59" t="str">
        <f t="shared" si="0"/>
        <v/>
      </c>
      <c r="I74" t="s">
        <v>1425</v>
      </c>
      <c r="J74" t="str">
        <f>IF(Building_Zip_Code_11="","",Building_Zip_Code_11)</f>
        <v/>
      </c>
      <c r="K74" t="s">
        <v>1426</v>
      </c>
      <c r="L74" t="str">
        <f>IF(MKT_Units_11="","",MKT_Units_11)</f>
        <v/>
      </c>
      <c r="M74" t="s">
        <v>1427</v>
      </c>
      <c r="N74" t="str">
        <f>IF(TC_Units_11="","",TC_Units_11)</f>
        <v/>
      </c>
      <c r="X74" s="232"/>
    </row>
    <row r="75" spans="2:24">
      <c r="B75" t="s">
        <v>1428</v>
      </c>
      <c r="C75" t="str">
        <f>IF(Building_Address_12="","",Building_Address_12)</f>
        <v/>
      </c>
      <c r="D75" t="s">
        <v>1429</v>
      </c>
      <c r="E75" t="str">
        <f>IF(Building_City_12="","",Building_City_12)</f>
        <v/>
      </c>
      <c r="G75" t="s">
        <v>1430</v>
      </c>
      <c r="H75" s="59" t="str">
        <f t="shared" si="0"/>
        <v/>
      </c>
      <c r="I75" t="s">
        <v>1431</v>
      </c>
      <c r="J75" t="str">
        <f>IF(Building_Zip_Code_12="","",Building_Zip_Code_12)</f>
        <v/>
      </c>
      <c r="K75" t="s">
        <v>1432</v>
      </c>
      <c r="L75" t="str">
        <f>IF(MKT_Units_12="","",MKT_Units_12)</f>
        <v/>
      </c>
      <c r="M75" t="s">
        <v>1433</v>
      </c>
      <c r="N75" t="str">
        <f>IF(TC_Units_12="","",TC_Units_12)</f>
        <v/>
      </c>
      <c r="X75" s="232"/>
    </row>
    <row r="76" spans="2:24">
      <c r="B76" t="s">
        <v>1434</v>
      </c>
      <c r="C76" t="str">
        <f>IF(Building_Address_13="","",Building_Address_13)</f>
        <v/>
      </c>
      <c r="D76" t="s">
        <v>1435</v>
      </c>
      <c r="E76" t="str">
        <f>IF(Building_City_13="","",Building_City_13)</f>
        <v/>
      </c>
      <c r="G76" t="s">
        <v>1436</v>
      </c>
      <c r="H76" s="59" t="str">
        <f t="shared" si="0"/>
        <v/>
      </c>
      <c r="I76" t="s">
        <v>1437</v>
      </c>
      <c r="J76" t="str">
        <f>IF(Building_Zip_Code_13="","",Building_Zip_Code_13)</f>
        <v/>
      </c>
      <c r="K76" t="s">
        <v>1438</v>
      </c>
      <c r="L76" t="str">
        <f>IF(MKT_Units_13="","",MKT_Units_13)</f>
        <v/>
      </c>
      <c r="M76" t="s">
        <v>1439</v>
      </c>
      <c r="N76" t="str">
        <f>IF(TC_Units_13="","",TC_Units_13)</f>
        <v/>
      </c>
      <c r="X76" s="232"/>
    </row>
    <row r="77" spans="2:24">
      <c r="B77" t="s">
        <v>1440</v>
      </c>
      <c r="C77" t="str">
        <f>IF(Building_Address_14="","",Building_Address_14)</f>
        <v/>
      </c>
      <c r="D77" t="s">
        <v>1441</v>
      </c>
      <c r="E77" t="str">
        <f>IF(Building_City_14="","",Building_City_14)</f>
        <v/>
      </c>
      <c r="G77" t="s">
        <v>1442</v>
      </c>
      <c r="H77" s="59" t="str">
        <f t="shared" si="0"/>
        <v/>
      </c>
      <c r="I77" t="s">
        <v>1443</v>
      </c>
      <c r="J77" t="str">
        <f>IF(Building_Zip_Code_14="","",Building_Zip_Code_14)</f>
        <v/>
      </c>
      <c r="K77" t="s">
        <v>1444</v>
      </c>
      <c r="L77" t="str">
        <f>IF(MKT_Units_14="","",MKT_Units_14)</f>
        <v/>
      </c>
      <c r="M77" t="s">
        <v>1445</v>
      </c>
      <c r="N77" t="str">
        <f>IF(TC_Units_14="","",TC_Units_14)</f>
        <v/>
      </c>
      <c r="X77" s="232"/>
    </row>
    <row r="78" spans="2:24">
      <c r="B78" t="s">
        <v>1446</v>
      </c>
      <c r="C78" t="str">
        <f>IF(Building_Address_15="","",Building_Address_15)</f>
        <v/>
      </c>
      <c r="D78" t="s">
        <v>1447</v>
      </c>
      <c r="E78" t="str">
        <f>IF(Building_City_15="","",Building_City_15)</f>
        <v/>
      </c>
      <c r="G78" t="s">
        <v>1448</v>
      </c>
      <c r="H78" s="59" t="str">
        <f t="shared" si="0"/>
        <v/>
      </c>
      <c r="I78" t="s">
        <v>1449</v>
      </c>
      <c r="J78" t="str">
        <f>IF(Building_Zip_Code_15="","",Building_Zip_Code_15)</f>
        <v/>
      </c>
      <c r="K78" t="s">
        <v>1450</v>
      </c>
      <c r="L78" t="str">
        <f>IF(MKT_Units_15="","",MKT_Units_15)</f>
        <v/>
      </c>
      <c r="M78" t="s">
        <v>1451</v>
      </c>
      <c r="N78" t="str">
        <f>IF(TC_Units_15="","",TC_Units_15)</f>
        <v/>
      </c>
      <c r="X78" s="232"/>
    </row>
    <row r="79" spans="2:24">
      <c r="B79" t="s">
        <v>1452</v>
      </c>
      <c r="C79" t="str">
        <f>IF(Building_Address_16="","",Building_Address_16)</f>
        <v/>
      </c>
      <c r="D79" t="s">
        <v>1453</v>
      </c>
      <c r="E79" t="str">
        <f>IF(Building_City_16="","",Building_City_16)</f>
        <v/>
      </c>
      <c r="G79" t="s">
        <v>1454</v>
      </c>
      <c r="H79" s="59" t="str">
        <f t="shared" si="0"/>
        <v/>
      </c>
      <c r="I79" t="s">
        <v>1455</v>
      </c>
      <c r="J79" t="str">
        <f>IF(Building_Zip_Code_16="","",Building_Zip_Code_16)</f>
        <v/>
      </c>
      <c r="K79" t="s">
        <v>1456</v>
      </c>
      <c r="L79" t="str">
        <f>IF(MKT_Units_16="","",MKT_Units_16)</f>
        <v/>
      </c>
      <c r="M79" t="s">
        <v>1457</v>
      </c>
      <c r="N79" t="str">
        <f>IF(TC_Units_16="","",TC_Units_16)</f>
        <v/>
      </c>
      <c r="X79" s="232"/>
    </row>
    <row r="80" spans="2:24">
      <c r="B80" t="s">
        <v>1458</v>
      </c>
      <c r="C80" t="str">
        <f>IF(Building_Address_17="","",Building_Address_17)</f>
        <v/>
      </c>
      <c r="D80" t="s">
        <v>1459</v>
      </c>
      <c r="E80" t="str">
        <f>IF(Building_City_17="","",Building_City_17)</f>
        <v/>
      </c>
      <c r="G80" t="s">
        <v>1460</v>
      </c>
      <c r="H80" s="59" t="str">
        <f t="shared" si="0"/>
        <v/>
      </c>
      <c r="I80" t="s">
        <v>1461</v>
      </c>
      <c r="J80" t="str">
        <f>IF(Building_Zip_Code_17="","",Building_Zip_Code_17)</f>
        <v/>
      </c>
      <c r="K80" t="s">
        <v>1462</v>
      </c>
      <c r="L80" t="str">
        <f>IF(MKT_Units_17="","",MKT_Units_17)</f>
        <v/>
      </c>
      <c r="M80" t="s">
        <v>1463</v>
      </c>
      <c r="N80" t="str">
        <f>IF(TC_Units_17="","",TC_Units_17)</f>
        <v/>
      </c>
      <c r="X80" s="232"/>
    </row>
    <row r="81" spans="2:24">
      <c r="B81" t="s">
        <v>1464</v>
      </c>
      <c r="C81" t="str">
        <f>IF(Building_Address_18="","",Building_Address_18)</f>
        <v/>
      </c>
      <c r="D81" t="s">
        <v>1465</v>
      </c>
      <c r="E81" t="str">
        <f>IF(Building_City_18="","",Building_City_18)</f>
        <v/>
      </c>
      <c r="G81" t="s">
        <v>1466</v>
      </c>
      <c r="H81" s="59" t="str">
        <f t="shared" si="0"/>
        <v/>
      </c>
      <c r="I81" t="s">
        <v>1467</v>
      </c>
      <c r="J81" t="str">
        <f>IF(Building_Zip_Code_18="","",Building_Zip_Code_18)</f>
        <v/>
      </c>
      <c r="K81" t="s">
        <v>1468</v>
      </c>
      <c r="L81" t="str">
        <f>IF(MKT_Units_18="","",MKT_Units_18)</f>
        <v/>
      </c>
      <c r="M81" t="s">
        <v>1469</v>
      </c>
      <c r="N81" t="str">
        <f>IF(TC_Units_18="","",TC_Units_18)</f>
        <v/>
      </c>
      <c r="X81" s="232"/>
    </row>
    <row r="82" spans="2:24">
      <c r="B82" t="s">
        <v>1470</v>
      </c>
      <c r="C82" t="str">
        <f>IF(Building_Address_19="","",Building_Address_19)</f>
        <v/>
      </c>
      <c r="D82" t="s">
        <v>1471</v>
      </c>
      <c r="E82" t="str">
        <f>IF(Building_City_19="","",Building_City_19)</f>
        <v/>
      </c>
      <c r="G82" t="s">
        <v>1472</v>
      </c>
      <c r="H82" s="59" t="str">
        <f t="shared" si="0"/>
        <v/>
      </c>
      <c r="I82" t="s">
        <v>1473</v>
      </c>
      <c r="J82" t="str">
        <f>IF(Building_Zip_Code_19="","",Building_Zip_Code_19)</f>
        <v/>
      </c>
      <c r="K82" t="s">
        <v>1474</v>
      </c>
      <c r="L82" t="str">
        <f>IF(MKT_Units_19="","",MKT_Units_19)</f>
        <v/>
      </c>
      <c r="M82" t="s">
        <v>1475</v>
      </c>
      <c r="N82" t="str">
        <f>IF(TC_Units_19="","",TC_Units_19)</f>
        <v/>
      </c>
      <c r="X82" s="232"/>
    </row>
    <row r="83" spans="2:24">
      <c r="B83" t="s">
        <v>1476</v>
      </c>
      <c r="C83" t="str">
        <f>IF(Building_Address_20="","",Building_Address_20)</f>
        <v/>
      </c>
      <c r="D83" t="s">
        <v>1477</v>
      </c>
      <c r="E83" t="str">
        <f>IF(Building_City_20="","",Building_City_20)</f>
        <v/>
      </c>
      <c r="G83" t="s">
        <v>1478</v>
      </c>
      <c r="H83" s="59" t="str">
        <f t="shared" si="0"/>
        <v/>
      </c>
      <c r="I83" t="s">
        <v>1479</v>
      </c>
      <c r="J83" t="str">
        <f>IF(Building_Zip_Code_20="","",Building_Zip_Code_20)</f>
        <v/>
      </c>
      <c r="K83" t="s">
        <v>1480</v>
      </c>
      <c r="L83" t="str">
        <f>IF(MKT_Units_20="","",MKT_Units_20)</f>
        <v/>
      </c>
      <c r="M83" t="s">
        <v>1481</v>
      </c>
      <c r="N83" t="str">
        <f>IF(TC_Units_20="","",TC_Units_20)</f>
        <v/>
      </c>
      <c r="X83" s="232"/>
    </row>
    <row r="84" spans="2:24">
      <c r="B84" t="s">
        <v>1482</v>
      </c>
      <c r="C84" t="str">
        <f>IF(Building_Address_21="","",Building_Address_21)</f>
        <v/>
      </c>
      <c r="D84" t="s">
        <v>1483</v>
      </c>
      <c r="E84" t="str">
        <f>IF(Building_City_21="","",Building_City_21)</f>
        <v/>
      </c>
      <c r="G84" t="s">
        <v>1484</v>
      </c>
      <c r="H84" s="59" t="str">
        <f t="shared" si="0"/>
        <v/>
      </c>
      <c r="I84" t="s">
        <v>1485</v>
      </c>
      <c r="J84" t="str">
        <f>IF(Building_Zip_Code_21="","",Building_Zip_Code_21)</f>
        <v/>
      </c>
      <c r="K84" t="s">
        <v>1486</v>
      </c>
      <c r="L84" t="str">
        <f>IF(MKT_Units_21="","",MKT_Units_21)</f>
        <v/>
      </c>
      <c r="M84" t="s">
        <v>1487</v>
      </c>
      <c r="N84" t="str">
        <f>IF(TC_Units_21="","",TC_Units_21)</f>
        <v/>
      </c>
      <c r="X84" s="232"/>
    </row>
    <row r="85" spans="2:24">
      <c r="B85" t="s">
        <v>1488</v>
      </c>
      <c r="C85" t="str">
        <f>IF(Building_Address_22="","",Building_Address_22)</f>
        <v/>
      </c>
      <c r="D85" t="s">
        <v>1489</v>
      </c>
      <c r="E85" t="str">
        <f>IF(Building_City_22="","",Building_City_22)</f>
        <v/>
      </c>
      <c r="G85" t="s">
        <v>1490</v>
      </c>
      <c r="H85" s="59" t="str">
        <f t="shared" si="0"/>
        <v/>
      </c>
      <c r="I85" t="s">
        <v>1491</v>
      </c>
      <c r="J85" t="str">
        <f>IF(Building_Zip_Code_22="","",Building_Zip_Code_22)</f>
        <v/>
      </c>
      <c r="K85" t="s">
        <v>1492</v>
      </c>
      <c r="L85" t="str">
        <f>IF(MKT_Units_22="","",MKT_Units_22)</f>
        <v/>
      </c>
      <c r="M85" t="s">
        <v>1493</v>
      </c>
      <c r="N85" t="str">
        <f>IF(TC_Units_22="","",TC_Units_22)</f>
        <v/>
      </c>
      <c r="X85" s="232"/>
    </row>
    <row r="86" spans="2:24">
      <c r="B86" t="s">
        <v>1494</v>
      </c>
      <c r="C86" t="str">
        <f>IF(Building_Address_23="","",Building_Address_23)</f>
        <v/>
      </c>
      <c r="D86" t="s">
        <v>1495</v>
      </c>
      <c r="E86" t="str">
        <f>IF(Building_City_23="","",Building_City_23)</f>
        <v/>
      </c>
      <c r="G86" t="s">
        <v>1496</v>
      </c>
      <c r="H86" s="59" t="str">
        <f t="shared" si="0"/>
        <v/>
      </c>
      <c r="I86" t="s">
        <v>1497</v>
      </c>
      <c r="J86" t="str">
        <f>IF(Building_Zip_Code_23="","",Building_Zip_Code_23)</f>
        <v/>
      </c>
      <c r="K86" t="s">
        <v>1498</v>
      </c>
      <c r="L86" t="str">
        <f>IF(MKT_Units_23="","",MKT_Units_23)</f>
        <v/>
      </c>
      <c r="M86" t="s">
        <v>1499</v>
      </c>
      <c r="N86" t="str">
        <f>IF(TC_Units_23="","",TC_Units_23)</f>
        <v/>
      </c>
      <c r="X86" s="232"/>
    </row>
    <row r="87" spans="2:24">
      <c r="B87" t="s">
        <v>1500</v>
      </c>
      <c r="C87" t="str">
        <f>IF(Building_Address_24="","",Building_Address_24)</f>
        <v/>
      </c>
      <c r="D87" t="s">
        <v>1501</v>
      </c>
      <c r="E87" t="str">
        <f>IF(Building_City_24="","",Building_City_24)</f>
        <v/>
      </c>
      <c r="G87" t="s">
        <v>1502</v>
      </c>
      <c r="H87" s="59" t="str">
        <f t="shared" si="0"/>
        <v/>
      </c>
      <c r="I87" t="s">
        <v>1503</v>
      </c>
      <c r="J87" t="str">
        <f>IF(Building_Zip_Code_24="","",Building_Zip_Code_24)</f>
        <v/>
      </c>
      <c r="K87" t="s">
        <v>1504</v>
      </c>
      <c r="L87" t="str">
        <f>IF(MKT_Units_24="","",MKT_Units_24)</f>
        <v/>
      </c>
      <c r="M87" t="s">
        <v>1505</v>
      </c>
      <c r="N87" t="str">
        <f>IF(TC_Units_24="","",TC_Units_24)</f>
        <v/>
      </c>
      <c r="X87" s="232"/>
    </row>
    <row r="88" spans="2:24">
      <c r="B88" t="s">
        <v>1506</v>
      </c>
      <c r="C88" t="str">
        <f>IF(Building_Address_25="","",Building_Address_25)</f>
        <v/>
      </c>
      <c r="D88" t="s">
        <v>1507</v>
      </c>
      <c r="E88" t="str">
        <f>IF(Building_City_25="","",Building_City_25)</f>
        <v/>
      </c>
      <c r="G88" t="s">
        <v>1508</v>
      </c>
      <c r="H88" s="59" t="str">
        <f t="shared" si="0"/>
        <v/>
      </c>
      <c r="I88" t="s">
        <v>1509</v>
      </c>
      <c r="J88" t="str">
        <f>IF(Building_Zip_Code_25="","",Building_Zip_Code_25)</f>
        <v/>
      </c>
      <c r="K88" t="s">
        <v>1510</v>
      </c>
      <c r="L88" t="str">
        <f>IF(MKT_Units_25="","",MKT_Units_25)</f>
        <v/>
      </c>
      <c r="M88" t="s">
        <v>1511</v>
      </c>
      <c r="N88" t="str">
        <f>IF(TC_Units_25="","",TC_Units_25)</f>
        <v/>
      </c>
      <c r="X88" s="232"/>
    </row>
    <row r="89" spans="2:24">
      <c r="B89" t="s">
        <v>1512</v>
      </c>
      <c r="C89" t="str">
        <f>IF(Building_Address_26="","",Building_Address_26)</f>
        <v/>
      </c>
      <c r="D89" t="s">
        <v>1513</v>
      </c>
      <c r="E89" t="str">
        <f>IF(Building_City_26="","",Building_City_26)</f>
        <v/>
      </c>
      <c r="G89" t="s">
        <v>1514</v>
      </c>
      <c r="H89" s="59" t="str">
        <f t="shared" si="0"/>
        <v/>
      </c>
      <c r="I89" t="s">
        <v>1515</v>
      </c>
      <c r="J89" t="str">
        <f>IF(Building_Zip_Code_26="","",Building_Zip_Code_26)</f>
        <v/>
      </c>
      <c r="K89" t="s">
        <v>1516</v>
      </c>
      <c r="L89" t="str">
        <f>IF(MKT_Units_26="","",MKT_Units_26)</f>
        <v/>
      </c>
      <c r="M89" t="s">
        <v>1517</v>
      </c>
      <c r="N89" t="str">
        <f>IF(TC_Units_26="","",TC_Units_26)</f>
        <v/>
      </c>
      <c r="X89" s="232"/>
    </row>
    <row r="90" spans="2:24">
      <c r="B90" t="s">
        <v>1518</v>
      </c>
      <c r="C90" t="str">
        <f>IF(Building_Address_27="","",Building_Address_27)</f>
        <v/>
      </c>
      <c r="D90" t="s">
        <v>1519</v>
      </c>
      <c r="E90" t="str">
        <f>IF(Building_City_27="","",Building_City_27)</f>
        <v/>
      </c>
      <c r="G90" t="s">
        <v>1520</v>
      </c>
      <c r="H90" s="59" t="str">
        <f t="shared" si="0"/>
        <v/>
      </c>
      <c r="I90" t="s">
        <v>1521</v>
      </c>
      <c r="J90" t="str">
        <f>IF(Building_Zip_Code_27="","",Building_Zip_Code_27)</f>
        <v/>
      </c>
      <c r="K90" t="s">
        <v>1522</v>
      </c>
      <c r="L90" t="str">
        <f>IF(MKT_Units_27="","",MKT_Units_27)</f>
        <v/>
      </c>
      <c r="M90" t="s">
        <v>1523</v>
      </c>
      <c r="N90" t="str">
        <f>IF(TC_Units_27="","",TC_Units_27)</f>
        <v/>
      </c>
      <c r="X90" s="232"/>
    </row>
    <row r="91" spans="2:24">
      <c r="B91" t="s">
        <v>1524</v>
      </c>
      <c r="C91" t="str">
        <f>IF(Building_Address_28="","",Building_Address_28)</f>
        <v/>
      </c>
      <c r="D91" t="s">
        <v>1525</v>
      </c>
      <c r="E91" t="str">
        <f>IF(Building_City_28="","",Building_City_28)</f>
        <v/>
      </c>
      <c r="G91" t="s">
        <v>1526</v>
      </c>
      <c r="H91" s="59" t="str">
        <f t="shared" si="0"/>
        <v/>
      </c>
      <c r="I91" t="s">
        <v>1527</v>
      </c>
      <c r="J91" t="str">
        <f>IF(Building_Zip_Code_28="","",Building_Zip_Code_28)</f>
        <v/>
      </c>
      <c r="K91" t="s">
        <v>1528</v>
      </c>
      <c r="L91" t="str">
        <f>IF(MKT_Units_28="","",MKT_Units_28)</f>
        <v/>
      </c>
      <c r="M91" t="s">
        <v>1529</v>
      </c>
      <c r="N91" t="str">
        <f>IF(TC_Units_28="","",TC_Units_28)</f>
        <v/>
      </c>
      <c r="X91" s="232"/>
    </row>
    <row r="92" spans="2:24">
      <c r="B92" t="s">
        <v>1530</v>
      </c>
      <c r="C92" t="str">
        <f>IF(Building_Address_29="","",Building_Address_29)</f>
        <v/>
      </c>
      <c r="D92" t="s">
        <v>1531</v>
      </c>
      <c r="E92" t="str">
        <f>IF(Building_City_29="","",Building_City_29)</f>
        <v/>
      </c>
      <c r="G92" t="s">
        <v>1532</v>
      </c>
      <c r="H92" s="59" t="str">
        <f t="shared" si="0"/>
        <v/>
      </c>
      <c r="I92" t="s">
        <v>1533</v>
      </c>
      <c r="J92" t="str">
        <f>IF(Building_Zip_Code_29="","",Building_Zip_Code_29)</f>
        <v/>
      </c>
      <c r="K92" t="s">
        <v>1534</v>
      </c>
      <c r="L92" t="str">
        <f>IF(MKT_Units_29="","",MKT_Units_29)</f>
        <v/>
      </c>
      <c r="M92" t="s">
        <v>1535</v>
      </c>
      <c r="N92" t="str">
        <f>IF(TC_Units_29="","",TC_Units_29)</f>
        <v/>
      </c>
      <c r="X92" s="232"/>
    </row>
    <row r="93" spans="2:24">
      <c r="B93" t="s">
        <v>1536</v>
      </c>
      <c r="C93" t="str">
        <f>IF(Building_Address_30="","",Building_Address_30)</f>
        <v/>
      </c>
      <c r="D93" t="s">
        <v>1537</v>
      </c>
      <c r="E93" t="str">
        <f>IF(Building_City_30="","",Building_City_30)</f>
        <v/>
      </c>
      <c r="G93" t="s">
        <v>1538</v>
      </c>
      <c r="H93" s="59" t="str">
        <f t="shared" si="0"/>
        <v/>
      </c>
      <c r="I93" t="s">
        <v>1539</v>
      </c>
      <c r="J93" t="str">
        <f>IF(Building_Zip_Code_30="","",Building_Zip_Code_30)</f>
        <v/>
      </c>
      <c r="K93" t="s">
        <v>1540</v>
      </c>
      <c r="L93" t="str">
        <f>IF(MKT_Units_30="","",MKT_Units_30)</f>
        <v/>
      </c>
      <c r="M93" t="s">
        <v>1541</v>
      </c>
      <c r="N93" t="str">
        <f>IF(TC_Units_30="","",TC_Units_30)</f>
        <v/>
      </c>
      <c r="X93" s="232"/>
    </row>
    <row r="94" spans="2:24">
      <c r="B94" t="s">
        <v>1542</v>
      </c>
      <c r="C94" t="str">
        <f>IF(Building_Address_31="","",Building_Address_31)</f>
        <v/>
      </c>
      <c r="D94" t="s">
        <v>1543</v>
      </c>
      <c r="E94" t="str">
        <f>IF(Building_City_31="","",Building_City_31)</f>
        <v/>
      </c>
      <c r="G94" t="s">
        <v>1544</v>
      </c>
      <c r="H94" s="59" t="str">
        <f t="shared" si="0"/>
        <v/>
      </c>
      <c r="I94" t="s">
        <v>1545</v>
      </c>
      <c r="J94" t="str">
        <f>IF(Building_Zip_Code_31="","",Building_Zip_Code_31)</f>
        <v/>
      </c>
      <c r="K94" t="s">
        <v>1546</v>
      </c>
      <c r="L94" t="str">
        <f>IF(MKT_Units_31="","",MKT_Units_31)</f>
        <v/>
      </c>
      <c r="M94" t="s">
        <v>1547</v>
      </c>
      <c r="N94" t="str">
        <f>IF(TC_Units_31="","",TC_Units_31)</f>
        <v/>
      </c>
      <c r="X94" s="232"/>
    </row>
    <row r="95" spans="2:24">
      <c r="B95" t="s">
        <v>1548</v>
      </c>
      <c r="C95" t="str">
        <f>IF(Building_Address_32="","",Building_Address_32)</f>
        <v/>
      </c>
      <c r="D95" t="s">
        <v>1549</v>
      </c>
      <c r="E95" t="str">
        <f>IF(Building_City_32="","",Building_City_32)</f>
        <v/>
      </c>
      <c r="G95" t="s">
        <v>1550</v>
      </c>
      <c r="H95" s="59" t="str">
        <f t="shared" si="0"/>
        <v/>
      </c>
      <c r="I95" t="s">
        <v>1551</v>
      </c>
      <c r="J95" t="str">
        <f>IF(Building_Zip_Code_32="","",Building_Zip_Code_32)</f>
        <v/>
      </c>
      <c r="K95" t="s">
        <v>1552</v>
      </c>
      <c r="L95" t="str">
        <f>IF(MKT_Units_32="","",MKT_Units_32)</f>
        <v/>
      </c>
      <c r="M95" t="s">
        <v>1553</v>
      </c>
      <c r="N95" t="str">
        <f>IF(TC_Units_32="","",TC_Units_32)</f>
        <v/>
      </c>
      <c r="X95" s="232"/>
    </row>
    <row r="96" spans="2:24">
      <c r="B96" t="s">
        <v>1554</v>
      </c>
      <c r="C96" t="str">
        <f>IF(Building_Address_33="","",Building_Address_33)</f>
        <v/>
      </c>
      <c r="D96" t="s">
        <v>1555</v>
      </c>
      <c r="E96" t="str">
        <f>IF(Building_City_33="","",Building_City_33)</f>
        <v/>
      </c>
      <c r="G96" t="s">
        <v>1556</v>
      </c>
      <c r="H96" s="59" t="str">
        <f t="shared" si="0"/>
        <v/>
      </c>
      <c r="I96" t="s">
        <v>1557</v>
      </c>
      <c r="J96" t="str">
        <f>IF(Building_Zip_Code_33="","",Building_Zip_Code_33)</f>
        <v/>
      </c>
      <c r="K96" t="s">
        <v>1558</v>
      </c>
      <c r="L96" t="str">
        <f>IF(MKT_Units_33="","",MKT_Units_33)</f>
        <v/>
      </c>
      <c r="M96" t="s">
        <v>1559</v>
      </c>
      <c r="N96" t="str">
        <f>IF(TC_Units_33="","",TC_Units_33)</f>
        <v/>
      </c>
      <c r="X96" s="232"/>
    </row>
    <row r="97" spans="1:24">
      <c r="B97" t="s">
        <v>1560</v>
      </c>
      <c r="C97" t="str">
        <f>IF(Building_Address_34="","",Building_Address_34)</f>
        <v/>
      </c>
      <c r="D97" t="s">
        <v>1561</v>
      </c>
      <c r="E97" t="str">
        <f>IF(Building_City_34="","",Building_City_34)</f>
        <v/>
      </c>
      <c r="G97" t="s">
        <v>1562</v>
      </c>
      <c r="H97" s="59" t="str">
        <f t="shared" si="0"/>
        <v/>
      </c>
      <c r="I97" t="s">
        <v>1563</v>
      </c>
      <c r="J97" t="str">
        <f>IF(Building_Zip_Code_34="","",Building_Zip_Code_34)</f>
        <v/>
      </c>
      <c r="K97" t="s">
        <v>1564</v>
      </c>
      <c r="L97" t="str">
        <f>IF(MKT_Units_34="","",MKT_Units_34)</f>
        <v/>
      </c>
      <c r="M97" t="s">
        <v>1565</v>
      </c>
      <c r="N97" t="str">
        <f>IF(TC_Units_34="","",TC_Units_34)</f>
        <v/>
      </c>
      <c r="X97" s="232"/>
    </row>
    <row r="98" spans="1:24">
      <c r="B98" t="s">
        <v>1566</v>
      </c>
      <c r="C98" cm="1">
        <f t="array" ref="C98">SUMPRODUCT(--(LEN(C64:C97)&gt;0))</f>
        <v>1</v>
      </c>
      <c r="X98" s="232"/>
    </row>
    <row r="99" spans="1:24">
      <c r="X99" s="232"/>
    </row>
    <row r="100" spans="1:24" ht="32">
      <c r="B100" s="66" t="s">
        <v>1567</v>
      </c>
      <c r="C100" s="59" t="str">
        <f>IF(Identity_Interest_Direct_Indirect="","",Identity_Interest_Direct_Indirect)</f>
        <v/>
      </c>
      <c r="X100" s="232"/>
    </row>
    <row r="101" spans="1:24">
      <c r="B101" s="46" t="s">
        <v>1568</v>
      </c>
      <c r="C101" s="67" t="str">
        <f>IF(Rehabilitation_expenditures_allocable_to_low_income_units="","",Rehabilitation_expenditures_allocable_to_low_income_units)</f>
        <v/>
      </c>
      <c r="X101" s="232"/>
    </row>
    <row r="102" spans="1:24">
      <c r="B102" s="46" t="s">
        <v>1569</v>
      </c>
      <c r="C102" s="67" t="str">
        <f>IF(Adjusted_building_basis="","",Adjusted_building_basis)</f>
        <v/>
      </c>
      <c r="X102" s="232"/>
    </row>
    <row r="103" spans="1:24">
      <c r="X103" s="232"/>
    </row>
    <row r="104" spans="1:24">
      <c r="X104" s="232"/>
    </row>
    <row r="105" spans="1:24">
      <c r="X105" s="232"/>
    </row>
    <row r="106" spans="1:24">
      <c r="A106" s="48" t="s">
        <v>1570</v>
      </c>
      <c r="B106" t="s">
        <v>759</v>
      </c>
      <c r="C106" t="str">
        <f>IF(Owner_Name = "","",Owner_Name)</f>
        <v/>
      </c>
      <c r="X106" s="232"/>
    </row>
    <row r="107" spans="1:24">
      <c r="B107" t="s">
        <v>507</v>
      </c>
      <c r="C107" t="str">
        <f>IF(Owner_Address="","",Owner_Address)</f>
        <v/>
      </c>
      <c r="X107" s="232"/>
    </row>
    <row r="108" spans="1:24">
      <c r="B108" t="s">
        <v>510</v>
      </c>
      <c r="C108" t="str">
        <f>IF(Owner_City="","",Owner_City)</f>
        <v/>
      </c>
      <c r="X108" s="232"/>
    </row>
    <row r="109" spans="1:24">
      <c r="B109" t="s">
        <v>225</v>
      </c>
      <c r="C109" s="59" t="str">
        <f>IF(Owner_State="","",Owner_State)</f>
        <v/>
      </c>
      <c r="D109" t="s">
        <v>1327</v>
      </c>
      <c r="X109" s="232"/>
    </row>
    <row r="110" spans="1:24">
      <c r="B110" t="s">
        <v>1329</v>
      </c>
      <c r="C110" t="str">
        <f>IF(Owner_Zip="","",Owner_Zip)</f>
        <v/>
      </c>
      <c r="X110" s="232"/>
    </row>
    <row r="111" spans="1:24">
      <c r="B111" t="s">
        <v>1571</v>
      </c>
      <c r="C111" t="str">
        <f>IF(Federal_Tax_ID_Number_of_Ownership_Entity="","",Federal_Tax_ID_Number_of_Ownership_Entity)</f>
        <v/>
      </c>
      <c r="X111" s="232"/>
    </row>
    <row r="112" spans="1:24">
      <c r="B112" t="s">
        <v>1572</v>
      </c>
      <c r="D112" t="s">
        <v>1573</v>
      </c>
      <c r="X112" s="232"/>
    </row>
    <row r="113" spans="1:24">
      <c r="B113" t="s">
        <v>491</v>
      </c>
      <c r="D113" t="s">
        <v>1573</v>
      </c>
      <c r="X113" s="232"/>
    </row>
    <row r="114" spans="1:24">
      <c r="B114" t="s">
        <v>762</v>
      </c>
      <c r="C114" t="str">
        <f>IF(Ownership_Contact_Person_First_Name="","",Ownership_Contact_Person_First_Name)</f>
        <v/>
      </c>
      <c r="X114" s="232"/>
    </row>
    <row r="115" spans="1:24">
      <c r="B115" t="s">
        <v>763</v>
      </c>
      <c r="C115" t="str">
        <f>IF(Ownership_Contact_Person_Last_Name="","",Ownership_Contact_Person_Last_Name)</f>
        <v/>
      </c>
      <c r="X115" s="232"/>
    </row>
    <row r="116" spans="1:24">
      <c r="X116" s="232"/>
    </row>
    <row r="117" spans="1:24">
      <c r="X117" s="232"/>
    </row>
    <row r="118" spans="1:24">
      <c r="X118" s="232"/>
    </row>
    <row r="119" spans="1:24">
      <c r="X119" s="232"/>
    </row>
    <row r="120" spans="1:24">
      <c r="A120" s="48" t="s">
        <v>174</v>
      </c>
      <c r="B120" t="s">
        <v>1574</v>
      </c>
      <c r="C120" t="str">
        <f>IF(Mgmt_Company_Name="","",Mgmt_Company_Name)</f>
        <v/>
      </c>
      <c r="X120" s="232"/>
    </row>
    <row r="121" spans="1:24">
      <c r="B121" t="s">
        <v>1575</v>
      </c>
      <c r="C121" t="str">
        <f>CONCATENATE(Mgmt_Contact_First_Name," ", Mgmt_Contact_Last_Name)</f>
        <v xml:space="preserve"> </v>
      </c>
      <c r="X121" s="232"/>
    </row>
    <row r="122" spans="1:24">
      <c r="B122" t="s">
        <v>1576</v>
      </c>
      <c r="C122" t="str">
        <f>IF(Consultant_Name="","",Consultant_Name)</f>
        <v/>
      </c>
      <c r="X122" s="232"/>
    </row>
    <row r="123" spans="1:24">
      <c r="B123" t="s">
        <v>1575</v>
      </c>
      <c r="C123" t="str">
        <f>CONCATENATE(Consultant_Contact_First_Name," ",Consultant_Contact_Last_Name)</f>
        <v xml:space="preserve"> </v>
      </c>
      <c r="X123" s="232"/>
    </row>
    <row r="124" spans="1:24">
      <c r="B124" t="s">
        <v>1577</v>
      </c>
      <c r="C124" t="str">
        <f>IF(Contractor_Name="","",Contractor_Name)</f>
        <v/>
      </c>
      <c r="D124" t="str">
        <f>C124</f>
        <v/>
      </c>
      <c r="E124" t="str">
        <f>IF(GC_Telephone_Number="","",GC_Telephone_Number)</f>
        <v/>
      </c>
      <c r="X124" s="232"/>
    </row>
    <row r="125" spans="1:24">
      <c r="B125" t="s">
        <v>1575</v>
      </c>
      <c r="C125" t="str">
        <f>CONCATENATE(Contractor_Contact_First_Name," ",Contractor_Contact_Last_Name)</f>
        <v xml:space="preserve"> </v>
      </c>
      <c r="D125" t="str">
        <f>C125</f>
        <v xml:space="preserve"> </v>
      </c>
      <c r="X125" s="232"/>
    </row>
    <row r="126" spans="1:24">
      <c r="B126" t="s">
        <v>1578</v>
      </c>
      <c r="C126" t="str">
        <f>IF(Syndicator="","",Syndicator)</f>
        <v/>
      </c>
      <c r="X126" s="232"/>
    </row>
    <row r="127" spans="1:24">
      <c r="B127" t="s">
        <v>1579</v>
      </c>
      <c r="C127" t="str">
        <f>IF(Architect="","",Architect)</f>
        <v/>
      </c>
      <c r="X127" s="232"/>
    </row>
    <row r="128" spans="1:24">
      <c r="B128" t="s">
        <v>1580</v>
      </c>
      <c r="C128" t="str">
        <f>CONCATENATE(Architect_Contact_First_Name," ",Architect_Contact_Last_Name)</f>
        <v xml:space="preserve"> </v>
      </c>
      <c r="D128" t="str">
        <f>C128</f>
        <v xml:space="preserve"> </v>
      </c>
      <c r="X128" s="232"/>
    </row>
    <row r="129" spans="2:37">
      <c r="B129" t="s">
        <v>1581</v>
      </c>
      <c r="C129" t="str">
        <f>IF(Accountant="","",Accountant)</f>
        <v/>
      </c>
      <c r="X129" s="232"/>
    </row>
    <row r="130" spans="2:37">
      <c r="B130" t="s">
        <v>1575</v>
      </c>
      <c r="C130" t="str">
        <f>CONCATENATE(Accountant_Contact_First_Name," ",Accountant_Contact_Last_Name)</f>
        <v xml:space="preserve"> </v>
      </c>
      <c r="X130" s="232"/>
    </row>
    <row r="131" spans="2:37">
      <c r="X131" s="232"/>
    </row>
    <row r="132" spans="2:37">
      <c r="B132" t="s">
        <v>1582</v>
      </c>
      <c r="C132" t="s">
        <v>1583</v>
      </c>
      <c r="D132" t="s">
        <v>1584</v>
      </c>
      <c r="E132" t="s">
        <v>1585</v>
      </c>
      <c r="F132" t="s">
        <v>1586</v>
      </c>
      <c r="G132" t="s">
        <v>507</v>
      </c>
      <c r="H132" t="s">
        <v>510</v>
      </c>
      <c r="I132" t="s">
        <v>225</v>
      </c>
      <c r="J132" t="s">
        <v>514</v>
      </c>
      <c r="K132" t="s">
        <v>1587</v>
      </c>
      <c r="L132" t="s">
        <v>1583</v>
      </c>
      <c r="M132" t="s">
        <v>1584</v>
      </c>
      <c r="N132" t="s">
        <v>1585</v>
      </c>
      <c r="O132" t="s">
        <v>1588</v>
      </c>
      <c r="P132" t="s">
        <v>1589</v>
      </c>
      <c r="Q132" t="s">
        <v>1590</v>
      </c>
      <c r="R132" t="s">
        <v>1586</v>
      </c>
      <c r="S132" t="s">
        <v>507</v>
      </c>
      <c r="T132" t="s">
        <v>510</v>
      </c>
      <c r="U132" t="s">
        <v>225</v>
      </c>
      <c r="V132" t="s">
        <v>1329</v>
      </c>
      <c r="W132" t="s">
        <v>1587</v>
      </c>
      <c r="X132" s="232"/>
      <c r="Z132" t="s">
        <v>1582</v>
      </c>
      <c r="AA132" t="s">
        <v>1591</v>
      </c>
      <c r="AB132" t="s">
        <v>1584</v>
      </c>
      <c r="AC132" t="s">
        <v>1585</v>
      </c>
      <c r="AD132" t="s">
        <v>1592</v>
      </c>
      <c r="AE132" t="s">
        <v>1590</v>
      </c>
      <c r="AF132" t="s">
        <v>1586</v>
      </c>
      <c r="AG132" t="s">
        <v>507</v>
      </c>
      <c r="AH132" t="s">
        <v>510</v>
      </c>
      <c r="AI132" t="s">
        <v>225</v>
      </c>
      <c r="AJ132" t="s">
        <v>1329</v>
      </c>
      <c r="AK132" t="s">
        <v>1587</v>
      </c>
    </row>
    <row r="133" spans="2:37">
      <c r="B133" t="s">
        <v>1593</v>
      </c>
      <c r="C133" t="str">
        <f>ProLink!F133</f>
        <v/>
      </c>
      <c r="D133" s="59" t="str">
        <f t="shared" ref="D133:D137" si="1">IF(C133="","","Company")</f>
        <v/>
      </c>
      <c r="E133" s="59" t="str">
        <f>IF(C133="","","Developer")</f>
        <v/>
      </c>
      <c r="G133" t="str">
        <f>IF(DEV_Street_Address="","",DEV_Street_Address)</f>
        <v/>
      </c>
      <c r="H133" t="str">
        <f>IF(Developer_City="","",Developer_City)</f>
        <v/>
      </c>
      <c r="I133" t="str">
        <f>IF(Developer_State="","",Developer_State)</f>
        <v/>
      </c>
      <c r="J133" t="str">
        <f>IF(Developer_Zip_Code="","",Developer_Zip_Code)</f>
        <v/>
      </c>
      <c r="L133" t="str" cm="1">
        <f t="array" ref="L133">IFERROR(INDEX($C$133:$C$162,SMALL(IF($C$133:$C$162&lt;&gt;"",ROW($C$133:$C$162)-ROW($C$133)+1),1)),"")</f>
        <v/>
      </c>
      <c r="M133" s="68" t="str" cm="1">
        <f t="array" aca="1" ref="M133" ca="1">CELL("contents",INDEX($C$133:$E$162,MATCH(L133,$C$133:$C$162,0),2))</f>
        <v/>
      </c>
      <c r="N133" s="68" t="str" cm="1">
        <f t="array" aca="1" ref="N133" ca="1">IF(CELL("contents",INDEX($C$133:$E$162,MATCH(L133,$C$133:$C$162,0),3))=0,"",CELL("contents",INDEX($C$133:$E$162,MATCH(L133,$C$133:$C$162,0),3)))</f>
        <v/>
      </c>
      <c r="O133" t="str">
        <f t="shared" ref="O133:O162" ca="1" si="2">IF(M133="Company",L133,"")</f>
        <v/>
      </c>
      <c r="P133" t="str">
        <f t="shared" ref="P133:P162" ca="1" si="3">IF(M133="Individual",LEFT(L133,SEARCH(" ",L133)-1),"")</f>
        <v/>
      </c>
      <c r="Q133" t="str">
        <f t="shared" ref="Q133:Q162" ca="1" si="4">IF(M133="Individual",MID(L133,SEARCH(" ",L133)+1,LEN(M133)),"")</f>
        <v/>
      </c>
      <c r="R133" t="str" cm="1">
        <f t="array" aca="1" ref="R133" ca="1">IF(CELL("contents",INDEX($C$133:$K$162,MATCH(L133,$C$133:$C$162,0),4))=0,"",CELL("contents",INDEX($C$133:$K$162,MATCH(L133,$C$133:$C$162,0),4)))</f>
        <v/>
      </c>
      <c r="S133" t="str" cm="1">
        <f t="array" aca="1" ref="S133" ca="1">IF(CELL("contents",INDEX($C$133:$K$162,MATCH(L133,$C$133:$C$162,0),5))=0,"",CELL("contents",INDEX($C$133:$K$162,MATCH(L133,$C$133:$C$162,0),5)))</f>
        <v/>
      </c>
      <c r="T133" t="str" cm="1">
        <f t="array" aca="1" ref="T133" ca="1">IF(CELL("contents",INDEX($C$133:$K$162,MATCH(L133,$C$133:$C$162,0),6))=0,"",CELL("contents",INDEX($C$133:$K$162,MATCH(L133,$C$133:$C$162,0),6)))</f>
        <v/>
      </c>
      <c r="U133" s="59" t="str" cm="1">
        <f t="array" aca="1" ref="U133" ca="1">IF(CELL("contents",INDEX($C$133:$K$162,MATCH(L133,$C$133:$C$162,0),7))=0,"",CELL("contents",INDEX($C$133:$K$162,MATCH(L133,$C$133:$C$162,0),7)))</f>
        <v/>
      </c>
      <c r="V133" t="str" cm="1">
        <f t="array" aca="1" ref="V133" ca="1">IF(CELL("contents",INDEX($C$133:$K$162,MATCH(L133,$C$133:$C$162,0),8))=0,"",CELL("contents",INDEX($C$133:$K$162,MATCH(L133,$C$133:$C$162,0),8)))</f>
        <v/>
      </c>
      <c r="W133" t="str" cm="1">
        <f t="array" aca="1" ref="W133" ca="1">IF(CELL("contents",INDEX($C$133:$K$162,MATCH(L133,$C$133:$C$162,0),9))=0,"",CELL("contents",INDEX($C$133:$K$162,MATCH(L133,$C$133:$C$162,0),9)))</f>
        <v/>
      </c>
      <c r="X133" s="232"/>
      <c r="Z133" t="s">
        <v>1593</v>
      </c>
      <c r="AA133" t="str">
        <f t="shared" ref="AA133:AA162" si="5">IF($Z$2="","",O133)</f>
        <v/>
      </c>
      <c r="AB133" s="59" t="str">
        <f t="shared" ref="AB133:AB162" si="6">IF($Z$2="","",M133)</f>
        <v/>
      </c>
      <c r="AC133" s="59" t="str">
        <f t="shared" ref="AC133:AC162" si="7">IF($Z$2="","",N133)</f>
        <v/>
      </c>
      <c r="AD133" t="str">
        <f t="shared" ref="AD133:AD162" si="8">IF($Z$2="","",P133)</f>
        <v/>
      </c>
      <c r="AE133" t="str">
        <f t="shared" ref="AE133:AE162" si="9">IF($Z$2="","",Q133)</f>
        <v/>
      </c>
      <c r="AF133" t="str">
        <f t="shared" ref="AF133:AF162" si="10">IF($Z$2="","",R133)</f>
        <v/>
      </c>
      <c r="AG133" t="str">
        <f t="shared" ref="AG133:AG162" si="11">IF($Z$2="","",S133)</f>
        <v/>
      </c>
      <c r="AH133" t="str">
        <f t="shared" ref="AH133:AH162" si="12">IF($Z$2="","",T133)</f>
        <v/>
      </c>
      <c r="AI133" s="59" t="str">
        <f t="shared" ref="AI133:AI162" si="13">IF($Z$2="","",U133)</f>
        <v/>
      </c>
      <c r="AJ133" t="str">
        <f t="shared" ref="AJ133:AJ162" si="14">IF($Z$2="","",V133)</f>
        <v/>
      </c>
      <c r="AK133" t="str">
        <f t="shared" ref="AK133:AK162" si="15">IF($Z$2="","",W133)</f>
        <v/>
      </c>
    </row>
    <row r="134" spans="2:37">
      <c r="B134" t="s">
        <v>1594</v>
      </c>
      <c r="C134" t="str">
        <f>C106</f>
        <v/>
      </c>
      <c r="D134" s="59" t="str">
        <f t="shared" si="1"/>
        <v/>
      </c>
      <c r="E134" t="str">
        <f>IF(C134="","","Owner")</f>
        <v/>
      </c>
      <c r="G134" t="str">
        <f>IF(Owner_Address="","",Owner_Address)</f>
        <v/>
      </c>
      <c r="H134" t="str">
        <f>IF(Owner_City="","",Owner_City)</f>
        <v/>
      </c>
      <c r="I134" t="str">
        <f>IF(Owner_State="","",Owner_State)</f>
        <v/>
      </c>
      <c r="J134" t="str">
        <f>IF(Owner_Zip="","",Owner_Zip)</f>
        <v/>
      </c>
      <c r="L134" t="str" cm="1">
        <f t="array" ref="L134">IFERROR(INDEX($C$133:$C$162,SMALL(IF($C$133:$C$162&lt;&gt;"",ROW($C$133:$C$162)-ROW($C$133)+1),2)),"")</f>
        <v/>
      </c>
      <c r="M134" s="68" t="str" cm="1">
        <f t="array" aca="1" ref="M134" ca="1">CELL("contents",INDEX($C$133:$E$162,MATCH(L134,$C$133:$C$162,0),2))</f>
        <v/>
      </c>
      <c r="N134" s="68" t="str" cm="1">
        <f t="array" aca="1" ref="N134" ca="1">IF(CELL("contents",INDEX($C$133:$E$162,MATCH(L134,$C$133:$C$162,0),3))=0,"",CELL("contents",INDEX($C$133:$E$162,MATCH(L134,$C$133:$C$162,0),3)))</f>
        <v/>
      </c>
      <c r="O134" t="str">
        <f t="shared" ca="1" si="2"/>
        <v/>
      </c>
      <c r="P134" t="str">
        <f t="shared" ca="1" si="3"/>
        <v/>
      </c>
      <c r="Q134" t="str">
        <f t="shared" ca="1" si="4"/>
        <v/>
      </c>
      <c r="R134" t="str" cm="1">
        <f t="array" aca="1" ref="R134" ca="1">IF(CELL("contents",INDEX($C$133:$K$162,MATCH(L134,$C$133:$C$162,0),4))=0,"",CELL("contents",INDEX($C$133:$K$162,MATCH(L134,$C$133:$C$162,0),4)))</f>
        <v/>
      </c>
      <c r="S134" t="str" cm="1">
        <f t="array" aca="1" ref="S134" ca="1">IF(CELL("contents",INDEX($C$133:$K$162,MATCH(L134,$C$133:$C$162,0),5))=0,"",CELL("contents",INDEX($C$133:$K$162,MATCH(L134,$C$133:$C$162,0),5)))</f>
        <v/>
      </c>
      <c r="T134" t="str" cm="1">
        <f t="array" aca="1" ref="T134" ca="1">IF(CELL("contents",INDEX($C$133:$K$162,MATCH(L134,$C$133:$C$162,0),6))=0,"",CELL("contents",INDEX($C$133:$K$162,MATCH(L134,$C$133:$C$162,0),6)))</f>
        <v/>
      </c>
      <c r="U134" s="59" t="str" cm="1">
        <f t="array" aca="1" ref="U134" ca="1">IF(CELL("contents",INDEX($C$133:$K$162,MATCH(L134,$C$133:$C$162,0),7))=0,"",CELL("contents",INDEX($C$133:$K$162,MATCH(L134,$C$133:$C$162,0),7)))</f>
        <v/>
      </c>
      <c r="V134" t="str" cm="1">
        <f t="array" aca="1" ref="V134" ca="1">IF(CELL("contents",INDEX($C$133:$K$162,MATCH(L134,$C$133:$C$162,0),8))=0,"",CELL("contents",INDEX($C$133:$K$162,MATCH(L134,$C$133:$C$162,0),8)))</f>
        <v/>
      </c>
      <c r="W134" t="str" cm="1">
        <f t="array" aca="1" ref="W134" ca="1">IF(CELL("contents",INDEX($C$133:$K$162,MATCH(L134,$C$133:$C$162,0),9))=0,"",CELL("contents",INDEX($C$133:$K$162,MATCH(L134,$C$133:$C$162,0),9)))</f>
        <v/>
      </c>
      <c r="X134" s="232"/>
      <c r="Z134" t="s">
        <v>1594</v>
      </c>
      <c r="AA134" t="str">
        <f t="shared" si="5"/>
        <v/>
      </c>
      <c r="AB134" s="59" t="str">
        <f t="shared" si="6"/>
        <v/>
      </c>
      <c r="AC134" s="59" t="str">
        <f t="shared" si="7"/>
        <v/>
      </c>
      <c r="AD134" t="str">
        <f t="shared" si="8"/>
        <v/>
      </c>
      <c r="AE134" t="str">
        <f t="shared" si="9"/>
        <v/>
      </c>
      <c r="AF134" t="str">
        <f t="shared" si="10"/>
        <v/>
      </c>
      <c r="AG134" t="str">
        <f t="shared" si="11"/>
        <v/>
      </c>
      <c r="AH134" t="str">
        <f t="shared" si="12"/>
        <v/>
      </c>
      <c r="AI134" s="59" t="str">
        <f t="shared" si="13"/>
        <v/>
      </c>
      <c r="AJ134" t="str">
        <f t="shared" si="14"/>
        <v/>
      </c>
      <c r="AK134" t="str">
        <f t="shared" si="15"/>
        <v/>
      </c>
    </row>
    <row r="135" spans="2:37">
      <c r="B135" t="s">
        <v>1595</v>
      </c>
      <c r="C135" t="str">
        <f>IF(Entity_Principal_Name_1="","",Entity_Principal_Name_1)</f>
        <v/>
      </c>
      <c r="D135" s="59" t="str">
        <f t="shared" si="1"/>
        <v/>
      </c>
      <c r="E135" t="str">
        <f>IF(C135="","","")</f>
        <v/>
      </c>
      <c r="L135" t="str" cm="1">
        <f t="array" ref="L135">IFERROR(INDEX($C$133:$C$162,SMALL(IF($C$133:$C$162&lt;&gt;"",ROW($C$133:$C$162)-ROW($C$133)+1),3)),"")</f>
        <v/>
      </c>
      <c r="M135" s="68" t="str" cm="1">
        <f t="array" aca="1" ref="M135" ca="1">CELL("contents",INDEX($C$133:$E$162,MATCH(L135,$C$133:$C$162,0),2))</f>
        <v/>
      </c>
      <c r="N135" s="68" t="str" cm="1">
        <f t="array" aca="1" ref="N135" ca="1">IF(CELL("contents",INDEX($C$133:$E$162,MATCH(L135,$C$133:$C$162,0),3))=0,"",CELL("contents",INDEX($C$133:$E$162,MATCH(L135,$C$133:$C$162,0),3)))</f>
        <v/>
      </c>
      <c r="O135" t="str">
        <f t="shared" ca="1" si="2"/>
        <v/>
      </c>
      <c r="P135" t="str">
        <f t="shared" ca="1" si="3"/>
        <v/>
      </c>
      <c r="Q135" t="str">
        <f t="shared" ca="1" si="4"/>
        <v/>
      </c>
      <c r="R135" t="str" cm="1">
        <f t="array" aca="1" ref="R135" ca="1">IF(CELL("contents",INDEX($C$133:$K$162,MATCH(L135,$C$133:$C$162,0),4))=0,"",CELL("contents",INDEX($C$133:$K$162,MATCH(L135,$C$133:$C$162,0),4)))</f>
        <v/>
      </c>
      <c r="S135" t="str" cm="1">
        <f t="array" aca="1" ref="S135" ca="1">IF(CELL("contents",INDEX($C$133:$K$162,MATCH(L135,$C$133:$C$162,0),5))=0,"",CELL("contents",INDEX($C$133:$K$162,MATCH(L135,$C$133:$C$162,0),5)))</f>
        <v/>
      </c>
      <c r="T135" t="str" cm="1">
        <f t="array" aca="1" ref="T135" ca="1">IF(CELL("contents",INDEX($C$133:$K$162,MATCH(L135,$C$133:$C$162,0),6))=0,"",CELL("contents",INDEX($C$133:$K$162,MATCH(L135,$C$133:$C$162,0),6)))</f>
        <v/>
      </c>
      <c r="U135" s="59" t="str" cm="1">
        <f t="array" aca="1" ref="U135" ca="1">IF(CELL("contents",INDEX($C$133:$K$162,MATCH(L135,$C$133:$C$162,0),7))=0,"",CELL("contents",INDEX($C$133:$K$162,MATCH(L135,$C$133:$C$162,0),7)))</f>
        <v/>
      </c>
      <c r="V135" t="str" cm="1">
        <f t="array" aca="1" ref="V135" ca="1">IF(CELL("contents",INDEX($C$133:$K$162,MATCH(L135,$C$133:$C$162,0),8))=0,"",CELL("contents",INDEX($C$133:$K$162,MATCH(L135,$C$133:$C$162,0),8)))</f>
        <v/>
      </c>
      <c r="W135" t="str" cm="1">
        <f t="array" aca="1" ref="W135" ca="1">IF(CELL("contents",INDEX($C$133:$K$162,MATCH(L135,$C$133:$C$162,0),9))=0,"",CELL("contents",INDEX($C$133:$K$162,MATCH(L135,$C$133:$C$162,0),9)))</f>
        <v/>
      </c>
      <c r="X135" s="232"/>
      <c r="Z135" t="s">
        <v>1595</v>
      </c>
      <c r="AA135" t="str">
        <f t="shared" si="5"/>
        <v/>
      </c>
      <c r="AB135" s="59" t="str">
        <f t="shared" si="6"/>
        <v/>
      </c>
      <c r="AC135" s="59" t="str">
        <f t="shared" si="7"/>
        <v/>
      </c>
      <c r="AD135" t="str">
        <f t="shared" si="8"/>
        <v/>
      </c>
      <c r="AE135" t="str">
        <f t="shared" si="9"/>
        <v/>
      </c>
      <c r="AF135" t="str">
        <f t="shared" si="10"/>
        <v/>
      </c>
      <c r="AG135" t="str">
        <f t="shared" si="11"/>
        <v/>
      </c>
      <c r="AH135" t="str">
        <f t="shared" si="12"/>
        <v/>
      </c>
      <c r="AI135" s="59" t="str">
        <f t="shared" si="13"/>
        <v/>
      </c>
      <c r="AJ135" t="str">
        <f t="shared" si="14"/>
        <v/>
      </c>
      <c r="AK135" t="str">
        <f t="shared" si="15"/>
        <v/>
      </c>
    </row>
    <row r="136" spans="2:37">
      <c r="B136" t="s">
        <v>1596</v>
      </c>
      <c r="C136" t="str">
        <f>IF(Entity_Principal_Name_2="","",Entity_Principal_Name_2)</f>
        <v/>
      </c>
      <c r="D136" s="59" t="str">
        <f t="shared" si="1"/>
        <v/>
      </c>
      <c r="E136" t="str">
        <f>IF(C136="","","")</f>
        <v/>
      </c>
      <c r="L136" t="str" cm="1">
        <f t="array" ref="L136">IFERROR(INDEX($C$133:$C$162,SMALL(IF($C$133:$C$162&lt;&gt;"",ROW($C$133:$C$162)-ROW($C$133)+1),4)),"")</f>
        <v/>
      </c>
      <c r="M136" s="68" t="str" cm="1">
        <f t="array" aca="1" ref="M136" ca="1">CELL("contents",INDEX($C$133:$E$162,MATCH(L136,$C$133:$C$162,0),2))</f>
        <v/>
      </c>
      <c r="N136" s="68" t="str" cm="1">
        <f t="array" aca="1" ref="N136" ca="1">IF(CELL("contents",INDEX($C$133:$E$162,MATCH(L136,$C$133:$C$162,0),3))=0,"",CELL("contents",INDEX($C$133:$E$162,MATCH(L136,$C$133:$C$162,0),3)))</f>
        <v/>
      </c>
      <c r="O136" t="str">
        <f t="shared" ca="1" si="2"/>
        <v/>
      </c>
      <c r="P136" t="str">
        <f t="shared" ca="1" si="3"/>
        <v/>
      </c>
      <c r="Q136" t="str">
        <f t="shared" ca="1" si="4"/>
        <v/>
      </c>
      <c r="R136" t="str" cm="1">
        <f t="array" aca="1" ref="R136" ca="1">IF(CELL("contents",INDEX($C$133:$K$162,MATCH(L136,$C$133:$C$162,0),4))=0,"",CELL("contents",INDEX($C$133:$K$162,MATCH(L136,$C$133:$C$162,0),4)))</f>
        <v/>
      </c>
      <c r="S136" t="str" cm="1">
        <f t="array" aca="1" ref="S136" ca="1">IF(CELL("contents",INDEX($C$133:$K$162,MATCH(L136,$C$133:$C$162,0),5))=0,"",CELL("contents",INDEX($C$133:$K$162,MATCH(L136,$C$133:$C$162,0),5)))</f>
        <v/>
      </c>
      <c r="T136" t="str" cm="1">
        <f t="array" aca="1" ref="T136" ca="1">IF(CELL("contents",INDEX($C$133:$K$162,MATCH(L136,$C$133:$C$162,0),6))=0,"",CELL("contents",INDEX($C$133:$K$162,MATCH(L136,$C$133:$C$162,0),6)))</f>
        <v/>
      </c>
      <c r="U136" s="59" t="str" cm="1">
        <f t="array" aca="1" ref="U136" ca="1">IF(CELL("contents",INDEX($C$133:$K$162,MATCH(L136,$C$133:$C$162,0),7))=0,"",CELL("contents",INDEX($C$133:$K$162,MATCH(L136,$C$133:$C$162,0),7)))</f>
        <v/>
      </c>
      <c r="V136" t="str" cm="1">
        <f t="array" aca="1" ref="V136" ca="1">IF(CELL("contents",INDEX($C$133:$K$162,MATCH(L136,$C$133:$C$162,0),8))=0,"",CELL("contents",INDEX($C$133:$K$162,MATCH(L136,$C$133:$C$162,0),8)))</f>
        <v/>
      </c>
      <c r="W136" t="str" cm="1">
        <f t="array" aca="1" ref="W136" ca="1">IF(CELL("contents",INDEX($C$133:$K$162,MATCH(L136,$C$133:$C$162,0),9))=0,"",CELL("contents",INDEX($C$133:$K$162,MATCH(L136,$C$133:$C$162,0),9)))</f>
        <v/>
      </c>
      <c r="X136" s="232"/>
      <c r="Z136" t="s">
        <v>1596</v>
      </c>
      <c r="AA136" t="str">
        <f t="shared" si="5"/>
        <v/>
      </c>
      <c r="AB136" s="59" t="str">
        <f t="shared" si="6"/>
        <v/>
      </c>
      <c r="AC136" s="59" t="str">
        <f t="shared" si="7"/>
        <v/>
      </c>
      <c r="AD136" t="str">
        <f t="shared" si="8"/>
        <v/>
      </c>
      <c r="AE136" t="str">
        <f t="shared" si="9"/>
        <v/>
      </c>
      <c r="AF136" t="str">
        <f t="shared" si="10"/>
        <v/>
      </c>
      <c r="AG136" t="str">
        <f t="shared" si="11"/>
        <v/>
      </c>
      <c r="AH136" t="str">
        <f t="shared" si="12"/>
        <v/>
      </c>
      <c r="AI136" s="59" t="str">
        <f t="shared" si="13"/>
        <v/>
      </c>
      <c r="AJ136" t="str">
        <f t="shared" si="14"/>
        <v/>
      </c>
      <c r="AK136" t="str">
        <f t="shared" si="15"/>
        <v/>
      </c>
    </row>
    <row r="137" spans="2:37">
      <c r="B137" t="s">
        <v>1597</v>
      </c>
      <c r="C137" t="str">
        <f>IF(Entity_Principal_Name_3="","",Entity_Principal_Name_3)</f>
        <v/>
      </c>
      <c r="D137" s="59" t="str">
        <f t="shared" si="1"/>
        <v/>
      </c>
      <c r="E137" t="str">
        <f>IF(C137="","","")</f>
        <v/>
      </c>
      <c r="L137" t="str" cm="1">
        <f t="array" ref="L137">IFERROR(INDEX($C$133:$C$162,SMALL(IF($C$133:$C$162&lt;&gt;"",ROW($C$133:$C$162)-ROW($C$133)+1),5)),"")</f>
        <v/>
      </c>
      <c r="M137" s="68" t="str" cm="1">
        <f t="array" aca="1" ref="M137" ca="1">CELL("contents",INDEX($C$133:$E$162,MATCH(L137,$C$133:$C$162,0),2))</f>
        <v/>
      </c>
      <c r="N137" s="68" t="str" cm="1">
        <f t="array" aca="1" ref="N137" ca="1">IF(CELL("contents",INDEX($C$133:$E$162,MATCH(L137,$C$133:$C$162,0),3))=0,"",CELL("contents",INDEX($C$133:$E$162,MATCH(L137,$C$133:$C$162,0),3)))</f>
        <v/>
      </c>
      <c r="O137" t="str">
        <f t="shared" ca="1" si="2"/>
        <v/>
      </c>
      <c r="P137" t="str">
        <f t="shared" ca="1" si="3"/>
        <v/>
      </c>
      <c r="Q137" t="str">
        <f t="shared" ca="1" si="4"/>
        <v/>
      </c>
      <c r="R137" t="str" cm="1">
        <f t="array" aca="1" ref="R137" ca="1">IF(CELL("contents",INDEX($C$133:$K$162,MATCH(L137,$C$133:$C$162,0),4))=0,"",CELL("contents",INDEX($C$133:$K$162,MATCH(L137,$C$133:$C$162,0),4)))</f>
        <v/>
      </c>
      <c r="S137" t="str" cm="1">
        <f t="array" aca="1" ref="S137" ca="1">IF(CELL("contents",INDEX($C$133:$K$162,MATCH(L137,$C$133:$C$162,0),5))=0,"",CELL("contents",INDEX($C$133:$K$162,MATCH(L137,$C$133:$C$162,0),5)))</f>
        <v/>
      </c>
      <c r="T137" t="str" cm="1">
        <f t="array" aca="1" ref="T137" ca="1">IF(CELL("contents",INDEX($C$133:$K$162,MATCH(L137,$C$133:$C$162,0),6))=0,"",CELL("contents",INDEX($C$133:$K$162,MATCH(L137,$C$133:$C$162,0),6)))</f>
        <v/>
      </c>
      <c r="U137" s="59" t="str" cm="1">
        <f t="array" aca="1" ref="U137" ca="1">IF(CELL("contents",INDEX($C$133:$K$162,MATCH(L137,$C$133:$C$162,0),7))=0,"",CELL("contents",INDEX($C$133:$K$162,MATCH(L137,$C$133:$C$162,0),7)))</f>
        <v/>
      </c>
      <c r="V137" t="str" cm="1">
        <f t="array" aca="1" ref="V137" ca="1">IF(CELL("contents",INDEX($C$133:$K$162,MATCH(L137,$C$133:$C$162,0),8))=0,"",CELL("contents",INDEX($C$133:$K$162,MATCH(L137,$C$133:$C$162,0),8)))</f>
        <v/>
      </c>
      <c r="W137" t="str" cm="1">
        <f t="array" aca="1" ref="W137" ca="1">IF(CELL("contents",INDEX($C$133:$K$162,MATCH(L137,$C$133:$C$162,0),9))=0,"",CELL("contents",INDEX($C$133:$K$162,MATCH(L137,$C$133:$C$162,0),9)))</f>
        <v/>
      </c>
      <c r="X137" s="232"/>
      <c r="Z137" t="s">
        <v>1597</v>
      </c>
      <c r="AA137" t="str">
        <f t="shared" si="5"/>
        <v/>
      </c>
      <c r="AB137" s="59" t="str">
        <f t="shared" si="6"/>
        <v/>
      </c>
      <c r="AC137" s="59" t="str">
        <f t="shared" si="7"/>
        <v/>
      </c>
      <c r="AD137" t="str">
        <f t="shared" si="8"/>
        <v/>
      </c>
      <c r="AE137" t="str">
        <f t="shared" si="9"/>
        <v/>
      </c>
      <c r="AF137" t="str">
        <f t="shared" si="10"/>
        <v/>
      </c>
      <c r="AG137" t="str">
        <f t="shared" si="11"/>
        <v/>
      </c>
      <c r="AH137" t="str">
        <f t="shared" si="12"/>
        <v/>
      </c>
      <c r="AI137" s="59" t="str">
        <f t="shared" si="13"/>
        <v/>
      </c>
      <c r="AJ137" t="str">
        <f t="shared" si="14"/>
        <v/>
      </c>
      <c r="AK137" t="str">
        <f t="shared" si="15"/>
        <v/>
      </c>
    </row>
    <row r="138" spans="2:37">
      <c r="B138" t="s">
        <v>1598</v>
      </c>
      <c r="C138" s="59" t="str">
        <f>C120</f>
        <v/>
      </c>
      <c r="D138" s="59" t="str">
        <f t="shared" ref="D138:D148" si="16">IF(C138="","","Company")</f>
        <v/>
      </c>
      <c r="E138" s="59" t="str">
        <f>IF(C138="","","Management Agent")</f>
        <v/>
      </c>
      <c r="F138" t="str">
        <f>IF(MA_Email_Address="","",MA_Email_Address)</f>
        <v/>
      </c>
      <c r="G138" t="str">
        <f>IF(MA_Street_Address="","",MA_Street_Address)</f>
        <v/>
      </c>
      <c r="H138" t="str">
        <f>IF(MA_City="","",MA_City)</f>
        <v/>
      </c>
      <c r="I138" t="str">
        <f>IF(MA_State="","",MA_State)</f>
        <v/>
      </c>
      <c r="J138" t="str">
        <f>IF(MA_Zipcode="","",MA_Zipcode)</f>
        <v/>
      </c>
      <c r="K138" t="str">
        <f>IF(MA_Telephone_Number="","",MA_Telephone_Number)</f>
        <v/>
      </c>
      <c r="L138" t="str" cm="1">
        <f t="array" ref="L138">IFERROR(INDEX($C$133:$C$162,SMALL(IF($C$133:$C$162&lt;&gt;"",ROW($C$133:$C$162)-ROW($C$133)+1),6)),"")</f>
        <v/>
      </c>
      <c r="M138" s="68" t="str" cm="1">
        <f t="array" aca="1" ref="M138" ca="1">CELL("contents",INDEX($C$133:$E$162,MATCH(L138,$C$133:$C$162,0),2))</f>
        <v/>
      </c>
      <c r="N138" s="68" t="str" cm="1">
        <f t="array" aca="1" ref="N138" ca="1">IF(CELL("contents",INDEX($C$133:$E$162,MATCH(L138,$C$133:$C$162,0),3))=0,"",CELL("contents",INDEX($C$133:$E$162,MATCH(L138,$C$133:$C$162,0),3)))</f>
        <v/>
      </c>
      <c r="O138" t="str">
        <f t="shared" ca="1" si="2"/>
        <v/>
      </c>
      <c r="P138" t="str">
        <f t="shared" ca="1" si="3"/>
        <v/>
      </c>
      <c r="Q138" t="str">
        <f t="shared" ca="1" si="4"/>
        <v/>
      </c>
      <c r="R138" t="str" cm="1">
        <f t="array" aca="1" ref="R138" ca="1">IF(CELL("contents",INDEX($C$133:$K$162,MATCH(L138,$C$133:$C$162,0),4))=0,"",CELL("contents",INDEX($C$133:$K$162,MATCH(L138,$C$133:$C$162,0),4)))</f>
        <v/>
      </c>
      <c r="S138" t="str" cm="1">
        <f t="array" aca="1" ref="S138" ca="1">IF(CELL("contents",INDEX($C$133:$K$162,MATCH(L138,$C$133:$C$162,0),5))=0,"",CELL("contents",INDEX($C$133:$K$162,MATCH(L138,$C$133:$C$162,0),5)))</f>
        <v/>
      </c>
      <c r="T138" t="str" cm="1">
        <f t="array" aca="1" ref="T138" ca="1">IF(CELL("contents",INDEX($C$133:$K$162,MATCH(L138,$C$133:$C$162,0),6))=0,"",CELL("contents",INDEX($C$133:$K$162,MATCH(L138,$C$133:$C$162,0),6)))</f>
        <v/>
      </c>
      <c r="U138" s="59" t="str" cm="1">
        <f t="array" aca="1" ref="U138" ca="1">IF(CELL("contents",INDEX($C$133:$K$162,MATCH(L138,$C$133:$C$162,0),7))=0,"",CELL("contents",INDEX($C$133:$K$162,MATCH(L138,$C$133:$C$162,0),7)))</f>
        <v/>
      </c>
      <c r="V138" t="str" cm="1">
        <f t="array" aca="1" ref="V138" ca="1">IF(CELL("contents",INDEX($C$133:$K$162,MATCH(L138,$C$133:$C$162,0),8))=0,"",CELL("contents",INDEX($C$133:$K$162,MATCH(L138,$C$133:$C$162,0),8)))</f>
        <v/>
      </c>
      <c r="W138" t="str" cm="1">
        <f t="array" aca="1" ref="W138" ca="1">IF(CELL("contents",INDEX($C$133:$K$162,MATCH(L138,$C$133:$C$162,0),9))=0,"",CELL("contents",INDEX($C$133:$K$162,MATCH(L138,$C$133:$C$162,0),9)))</f>
        <v/>
      </c>
      <c r="X138" s="232"/>
      <c r="Z138" t="s">
        <v>1598</v>
      </c>
      <c r="AA138" t="str">
        <f t="shared" si="5"/>
        <v/>
      </c>
      <c r="AB138" s="59" t="str">
        <f t="shared" si="6"/>
        <v/>
      </c>
      <c r="AC138" s="59" t="str">
        <f t="shared" si="7"/>
        <v/>
      </c>
      <c r="AD138" t="str">
        <f t="shared" si="8"/>
        <v/>
      </c>
      <c r="AE138" t="str">
        <f t="shared" si="9"/>
        <v/>
      </c>
      <c r="AF138" t="str">
        <f t="shared" si="10"/>
        <v/>
      </c>
      <c r="AG138" t="str">
        <f t="shared" si="11"/>
        <v/>
      </c>
      <c r="AH138" t="str">
        <f t="shared" si="12"/>
        <v/>
      </c>
      <c r="AI138" s="59" t="str">
        <f t="shared" si="13"/>
        <v/>
      </c>
      <c r="AJ138" t="str">
        <f t="shared" si="14"/>
        <v/>
      </c>
      <c r="AK138" t="str">
        <f t="shared" si="15"/>
        <v/>
      </c>
    </row>
    <row r="139" spans="2:37">
      <c r="B139" t="s">
        <v>1599</v>
      </c>
      <c r="C139" s="59" t="str">
        <f>C122</f>
        <v/>
      </c>
      <c r="D139" s="59" t="str">
        <f t="shared" si="16"/>
        <v/>
      </c>
      <c r="E139" t="str">
        <f>IF(C139="","","Consultant/Application Preparer")</f>
        <v/>
      </c>
      <c r="F139" t="str">
        <f>IF(Consultant_Email_Address="","",Consultant_Email_Address)</f>
        <v/>
      </c>
      <c r="G139" t="str">
        <f>IF(Consultant_Street_Address="","",Consultant_Street_Address)</f>
        <v/>
      </c>
      <c r="H139" t="str">
        <f>IF(Consultant_City="","",Consultant_City)</f>
        <v/>
      </c>
      <c r="I139" t="str">
        <f>IF(Consultant_State="","",Consultant_State)</f>
        <v/>
      </c>
      <c r="J139" t="str">
        <f>IF(Consultant_Zipcode="","",Consultant_Zipcode)</f>
        <v/>
      </c>
      <c r="K139" t="str">
        <f>IF(Consultant_Telephone_Number="","",Consultant_Telephone_Number)</f>
        <v/>
      </c>
      <c r="L139" t="str" cm="1">
        <f t="array" ref="L139">IFERROR(INDEX($C$133:$C$162,SMALL(IF($C$133:$C$162&lt;&gt;"",ROW($C$133:$C$162)-ROW($C$133)+1),7)),"")</f>
        <v/>
      </c>
      <c r="M139" s="68" t="str" cm="1">
        <f t="array" aca="1" ref="M139" ca="1">CELL("contents",INDEX($C$133:$E$162,MATCH(L139,$C$133:$C$162,0),2))</f>
        <v/>
      </c>
      <c r="N139" s="68" t="str" cm="1">
        <f t="array" aca="1" ref="N139" ca="1">IF(CELL("contents",INDEX($C$133:$E$162,MATCH(L139,$C$133:$C$162,0),3))=0,"",CELL("contents",INDEX($C$133:$E$162,MATCH(L139,$C$133:$C$162,0),3)))</f>
        <v/>
      </c>
      <c r="O139" t="str">
        <f t="shared" ca="1" si="2"/>
        <v/>
      </c>
      <c r="P139" t="str">
        <f t="shared" ca="1" si="3"/>
        <v/>
      </c>
      <c r="Q139" t="str">
        <f t="shared" ca="1" si="4"/>
        <v/>
      </c>
      <c r="R139" t="str" cm="1">
        <f t="array" aca="1" ref="R139" ca="1">IF(CELL("contents",INDEX($C$133:$K$162,MATCH(L139,$C$133:$C$162,0),4))=0,"",CELL("contents",INDEX($C$133:$K$162,MATCH(L139,$C$133:$C$162,0),4)))</f>
        <v/>
      </c>
      <c r="S139" t="str" cm="1">
        <f t="array" aca="1" ref="S139" ca="1">IF(CELL("contents",INDEX($C$133:$K$162,MATCH(L139,$C$133:$C$162,0),5))=0,"",CELL("contents",INDEX($C$133:$K$162,MATCH(L139,$C$133:$C$162,0),5)))</f>
        <v/>
      </c>
      <c r="T139" t="str" cm="1">
        <f t="array" aca="1" ref="T139" ca="1">IF(CELL("contents",INDEX($C$133:$K$162,MATCH(L139,$C$133:$C$162,0),6))=0,"",CELL("contents",INDEX($C$133:$K$162,MATCH(L139,$C$133:$C$162,0),6)))</f>
        <v/>
      </c>
      <c r="U139" s="59" t="str" cm="1">
        <f t="array" aca="1" ref="U139" ca="1">IF(CELL("contents",INDEX($C$133:$K$162,MATCH(L139,$C$133:$C$162,0),7))=0,"",CELL("contents",INDEX($C$133:$K$162,MATCH(L139,$C$133:$C$162,0),7)))</f>
        <v/>
      </c>
      <c r="V139" t="str" cm="1">
        <f t="array" aca="1" ref="V139" ca="1">IF(CELL("contents",INDEX($C$133:$K$162,MATCH(L139,$C$133:$C$162,0),8))=0,"",CELL("contents",INDEX($C$133:$K$162,MATCH(L139,$C$133:$C$162,0),8)))</f>
        <v/>
      </c>
      <c r="W139" t="str" cm="1">
        <f t="array" aca="1" ref="W139" ca="1">IF(CELL("contents",INDEX($C$133:$K$162,MATCH(L139,$C$133:$C$162,0),9))=0,"",CELL("contents",INDEX($C$133:$K$162,MATCH(L139,$C$133:$C$162,0),9)))</f>
        <v/>
      </c>
      <c r="X139" s="232"/>
      <c r="Z139" t="s">
        <v>1599</v>
      </c>
      <c r="AA139" t="str">
        <f t="shared" si="5"/>
        <v/>
      </c>
      <c r="AB139" s="59" t="str">
        <f t="shared" si="6"/>
        <v/>
      </c>
      <c r="AC139" s="59" t="str">
        <f t="shared" si="7"/>
        <v/>
      </c>
      <c r="AD139" t="str">
        <f t="shared" si="8"/>
        <v/>
      </c>
      <c r="AE139" t="str">
        <f t="shared" si="9"/>
        <v/>
      </c>
      <c r="AF139" t="str">
        <f t="shared" si="10"/>
        <v/>
      </c>
      <c r="AG139" t="str">
        <f t="shared" si="11"/>
        <v/>
      </c>
      <c r="AH139" t="str">
        <f t="shared" si="12"/>
        <v/>
      </c>
      <c r="AI139" s="59" t="str">
        <f t="shared" si="13"/>
        <v/>
      </c>
      <c r="AJ139" t="str">
        <f t="shared" si="14"/>
        <v/>
      </c>
      <c r="AK139" t="str">
        <f t="shared" si="15"/>
        <v/>
      </c>
    </row>
    <row r="140" spans="2:37">
      <c r="B140" t="s">
        <v>1600</v>
      </c>
      <c r="C140" s="59" t="str">
        <f>C124</f>
        <v/>
      </c>
      <c r="D140" s="59" t="str">
        <f t="shared" si="16"/>
        <v/>
      </c>
      <c r="E140" s="59" t="str">
        <f>IF(C140="","","General Contractor")</f>
        <v/>
      </c>
      <c r="F140" t="str">
        <f>IF(Contractor_Email_Address="","",Contractor_Email_Address)</f>
        <v/>
      </c>
      <c r="G140" t="str">
        <f>IF(Contractor_Street_Address="","",Contractor_Street_Address)</f>
        <v/>
      </c>
      <c r="H140" t="str">
        <f>IF(Contractor_City="","",Contractor_City)</f>
        <v/>
      </c>
      <c r="I140" t="str">
        <f>IF(Contractor_State="","",Contractor_State)</f>
        <v/>
      </c>
      <c r="J140" t="str">
        <f>IF(Contractor_Zipcode="","",Contractor_Zipcode)</f>
        <v/>
      </c>
      <c r="K140" t="str">
        <f>IF(Contractor_Telephone_Number="","",Contractor_Telephone_Number)</f>
        <v/>
      </c>
      <c r="L140" t="str" cm="1">
        <f t="array" ref="L140">IFERROR(INDEX($C$133:$C$162,SMALL(IF($C$133:$C$162&lt;&gt;"",ROW($C$133:$C$162)-ROW($C$133)+1),8)),"")</f>
        <v/>
      </c>
      <c r="M140" s="68" t="str" cm="1">
        <f t="array" aca="1" ref="M140" ca="1">CELL("contents",INDEX($C$133:$E$162,MATCH(L140,$C$133:$C$162,0),2))</f>
        <v/>
      </c>
      <c r="N140" s="68" t="str" cm="1">
        <f t="array" aca="1" ref="N140" ca="1">IF(CELL("contents",INDEX($C$133:$E$162,MATCH(L140,$C$133:$C$162,0),3))=0,"",CELL("contents",INDEX($C$133:$E$162,MATCH(L140,$C$133:$C$162,0),3)))</f>
        <v/>
      </c>
      <c r="O140" t="str">
        <f t="shared" ca="1" si="2"/>
        <v/>
      </c>
      <c r="P140" t="str">
        <f t="shared" ca="1" si="3"/>
        <v/>
      </c>
      <c r="Q140" t="str">
        <f t="shared" ca="1" si="4"/>
        <v/>
      </c>
      <c r="R140" t="str" cm="1">
        <f t="array" aca="1" ref="R140" ca="1">IF(CELL("contents",INDEX($C$133:$K$162,MATCH(L140,$C$133:$C$162,0),4))=0,"",CELL("contents",INDEX($C$133:$K$162,MATCH(L140,$C$133:$C$162,0),4)))</f>
        <v/>
      </c>
      <c r="S140" t="str" cm="1">
        <f t="array" aca="1" ref="S140" ca="1">IF(CELL("contents",INDEX($C$133:$K$162,MATCH(L140,$C$133:$C$162,0),5))=0,"",CELL("contents",INDEX($C$133:$K$162,MATCH(L140,$C$133:$C$162,0),5)))</f>
        <v/>
      </c>
      <c r="T140" t="str" cm="1">
        <f t="array" aca="1" ref="T140" ca="1">IF(CELL("contents",INDEX($C$133:$K$162,MATCH(L140,$C$133:$C$162,0),6))=0,"",CELL("contents",INDEX($C$133:$K$162,MATCH(L140,$C$133:$C$162,0),6)))</f>
        <v/>
      </c>
      <c r="U140" s="59" t="str" cm="1">
        <f t="array" aca="1" ref="U140" ca="1">IF(CELL("contents",INDEX($C$133:$K$162,MATCH(L140,$C$133:$C$162,0),7))=0,"",CELL("contents",INDEX($C$133:$K$162,MATCH(L140,$C$133:$C$162,0),7)))</f>
        <v/>
      </c>
      <c r="V140" t="str" cm="1">
        <f t="array" aca="1" ref="V140" ca="1">IF(CELL("contents",INDEX($C$133:$K$162,MATCH(L140,$C$133:$C$162,0),8))=0,"",CELL("contents",INDEX($C$133:$K$162,MATCH(L140,$C$133:$C$162,0),8)))</f>
        <v/>
      </c>
      <c r="W140" t="str" cm="1">
        <f t="array" aca="1" ref="W140" ca="1">IF(CELL("contents",INDEX($C$133:$K$162,MATCH(L140,$C$133:$C$162,0),9))=0,"",CELL("contents",INDEX($C$133:$K$162,MATCH(L140,$C$133:$C$162,0),9)))</f>
        <v/>
      </c>
      <c r="X140" s="232"/>
      <c r="Z140" t="s">
        <v>1600</v>
      </c>
      <c r="AA140" t="str">
        <f t="shared" si="5"/>
        <v/>
      </c>
      <c r="AB140" s="59" t="str">
        <f t="shared" si="6"/>
        <v/>
      </c>
      <c r="AC140" s="59" t="str">
        <f t="shared" si="7"/>
        <v/>
      </c>
      <c r="AD140" t="str">
        <f t="shared" si="8"/>
        <v/>
      </c>
      <c r="AE140" t="str">
        <f t="shared" si="9"/>
        <v/>
      </c>
      <c r="AF140" t="str">
        <f t="shared" si="10"/>
        <v/>
      </c>
      <c r="AG140" t="str">
        <f t="shared" si="11"/>
        <v/>
      </c>
      <c r="AH140" t="str">
        <f t="shared" si="12"/>
        <v/>
      </c>
      <c r="AI140" s="59" t="str">
        <f t="shared" si="13"/>
        <v/>
      </c>
      <c r="AJ140" t="str">
        <f t="shared" si="14"/>
        <v/>
      </c>
      <c r="AK140" t="str">
        <f t="shared" si="15"/>
        <v/>
      </c>
    </row>
    <row r="141" spans="2:37">
      <c r="B141" t="s">
        <v>1601</v>
      </c>
      <c r="C141" s="59" t="str">
        <f>C126</f>
        <v/>
      </c>
      <c r="D141" s="59" t="str">
        <f t="shared" si="16"/>
        <v/>
      </c>
      <c r="E141" t="str">
        <f>IF(C141="","","Equity Investor/Syndicator")</f>
        <v/>
      </c>
      <c r="F141" t="str">
        <f>IF(Syndicator_Email_Address="","",Syndicator_Email_Address)</f>
        <v/>
      </c>
      <c r="G141" t="str">
        <f>IF(Syndicator_Street_Address="","",Syndicator_Street_Address)</f>
        <v/>
      </c>
      <c r="H141" t="str">
        <f>IF(Syndicator_City="","",Syndicator_City)</f>
        <v/>
      </c>
      <c r="I141" t="str">
        <f>IF(Syndicator_State="","",Syndicator_State)</f>
        <v/>
      </c>
      <c r="J141" t="str">
        <f>IF(Syndicator_Zipcode="","",Syndicator_Zipcode)</f>
        <v/>
      </c>
      <c r="K141" t="str">
        <f>IF(Syndicator_Telephone_Number="","",Syndicator_Telephone_Number)</f>
        <v/>
      </c>
      <c r="L141" t="str" cm="1">
        <f t="array" ref="L141">IFERROR(INDEX($C$133:$C$162,SMALL(IF($C$133:$C$162&lt;&gt;"",ROW($C$133:$C$162)-ROW($C$133)+1),9)),"")</f>
        <v/>
      </c>
      <c r="M141" s="68" t="str" cm="1">
        <f t="array" aca="1" ref="M141" ca="1">CELL("contents",INDEX($C$133:$E$162,MATCH(L141,$C$133:$C$162,0),2))</f>
        <v/>
      </c>
      <c r="N141" s="68" t="str" cm="1">
        <f t="array" aca="1" ref="N141" ca="1">IF(CELL("contents",INDEX($C$133:$E$162,MATCH(L141,$C$133:$C$162,0),3))=0,"",CELL("contents",INDEX($C$133:$E$162,MATCH(L141,$C$133:$C$162,0),3)))</f>
        <v/>
      </c>
      <c r="O141" t="str">
        <f t="shared" ca="1" si="2"/>
        <v/>
      </c>
      <c r="P141" t="str">
        <f t="shared" ca="1" si="3"/>
        <v/>
      </c>
      <c r="Q141" t="str">
        <f t="shared" ca="1" si="4"/>
        <v/>
      </c>
      <c r="R141" t="str" cm="1">
        <f t="array" aca="1" ref="R141" ca="1">IF(CELL("contents",INDEX($C$133:$K$162,MATCH(L141,$C$133:$C$162,0),4))=0,"",CELL("contents",INDEX($C$133:$K$162,MATCH(L141,$C$133:$C$162,0),4)))</f>
        <v/>
      </c>
      <c r="S141" t="str" cm="1">
        <f t="array" aca="1" ref="S141" ca="1">IF(CELL("contents",INDEX($C$133:$K$162,MATCH(L141,$C$133:$C$162,0),5))=0,"",CELL("contents",INDEX($C$133:$K$162,MATCH(L141,$C$133:$C$162,0),5)))</f>
        <v/>
      </c>
      <c r="T141" t="str" cm="1">
        <f t="array" aca="1" ref="T141" ca="1">IF(CELL("contents",INDEX($C$133:$K$162,MATCH(L141,$C$133:$C$162,0),6))=0,"",CELL("contents",INDEX($C$133:$K$162,MATCH(L141,$C$133:$C$162,0),6)))</f>
        <v/>
      </c>
      <c r="U141" s="59" t="str" cm="1">
        <f t="array" aca="1" ref="U141" ca="1">IF(CELL("contents",INDEX($C$133:$K$162,MATCH(L141,$C$133:$C$162,0),7))=0,"",CELL("contents",INDEX($C$133:$K$162,MATCH(L141,$C$133:$C$162,0),7)))</f>
        <v/>
      </c>
      <c r="V141" t="str" cm="1">
        <f t="array" aca="1" ref="V141" ca="1">IF(CELL("contents",INDEX($C$133:$K$162,MATCH(L141,$C$133:$C$162,0),8))=0,"",CELL("contents",INDEX($C$133:$K$162,MATCH(L141,$C$133:$C$162,0),8)))</f>
        <v/>
      </c>
      <c r="W141" t="str" cm="1">
        <f t="array" aca="1" ref="W141" ca="1">IF(CELL("contents",INDEX($C$133:$K$162,MATCH(L141,$C$133:$C$162,0),9))=0,"",CELL("contents",INDEX($C$133:$K$162,MATCH(L141,$C$133:$C$162,0),9)))</f>
        <v/>
      </c>
      <c r="X141" s="232"/>
      <c r="Z141" t="s">
        <v>1601</v>
      </c>
      <c r="AA141" t="str">
        <f t="shared" si="5"/>
        <v/>
      </c>
      <c r="AB141" s="59" t="str">
        <f t="shared" si="6"/>
        <v/>
      </c>
      <c r="AC141" s="59" t="str">
        <f t="shared" si="7"/>
        <v/>
      </c>
      <c r="AD141" t="str">
        <f t="shared" si="8"/>
        <v/>
      </c>
      <c r="AE141" t="str">
        <f t="shared" si="9"/>
        <v/>
      </c>
      <c r="AF141" t="str">
        <f t="shared" si="10"/>
        <v/>
      </c>
      <c r="AG141" t="str">
        <f t="shared" si="11"/>
        <v/>
      </c>
      <c r="AH141" t="str">
        <f t="shared" si="12"/>
        <v/>
      </c>
      <c r="AI141" s="59" t="str">
        <f t="shared" si="13"/>
        <v/>
      </c>
      <c r="AJ141" t="str">
        <f t="shared" si="14"/>
        <v/>
      </c>
      <c r="AK141" t="str">
        <f t="shared" si="15"/>
        <v/>
      </c>
    </row>
    <row r="142" spans="2:37">
      <c r="B142" t="s">
        <v>1602</v>
      </c>
      <c r="C142" s="59" t="str">
        <f>C127</f>
        <v/>
      </c>
      <c r="D142" s="59" t="str">
        <f t="shared" si="16"/>
        <v/>
      </c>
      <c r="E142" s="59" t="str">
        <f>IF(C142="","","Architect")</f>
        <v/>
      </c>
      <c r="F142" t="str">
        <f>IF(Architect_Email_Address="","",Architect_Email_Address)</f>
        <v/>
      </c>
      <c r="G142" t="str">
        <f>IF(Architect_Street_Address="","",Architect_Street_Address)</f>
        <v/>
      </c>
      <c r="H142" t="str">
        <f>IF(Architect_City="","",Architect_City)</f>
        <v/>
      </c>
      <c r="I142" t="str">
        <f>IF(Architect_State="","",Architect_State)</f>
        <v/>
      </c>
      <c r="J142" t="str">
        <f>IF(Architect_Zipcode="","",Architect_Zipcode)</f>
        <v/>
      </c>
      <c r="K142" t="str">
        <f>IF(Architect_Telephone_Number="","",Architect_Telephone_Number)</f>
        <v/>
      </c>
      <c r="L142" t="str" cm="1">
        <f t="array" ref="L142">IFERROR(INDEX($C$133:$C$162,SMALL(IF($C$133:$C$162&lt;&gt;"",ROW($C$133:$C$162)-ROW($C$133)+1),10)),"")</f>
        <v/>
      </c>
      <c r="M142" s="68" t="str" cm="1">
        <f t="array" aca="1" ref="M142" ca="1">CELL("contents",INDEX($C$133:$E$162,MATCH(L142,$C$133:$C$162,0),2))</f>
        <v/>
      </c>
      <c r="N142" s="68" t="str" cm="1">
        <f t="array" aca="1" ref="N142" ca="1">IF(CELL("contents",INDEX($C$133:$E$162,MATCH(L142,$C$133:$C$162,0),3))=0,"",CELL("contents",INDEX($C$133:$E$162,MATCH(L142,$C$133:$C$162,0),3)))</f>
        <v/>
      </c>
      <c r="O142" t="str">
        <f t="shared" ca="1" si="2"/>
        <v/>
      </c>
      <c r="P142" t="str">
        <f t="shared" ca="1" si="3"/>
        <v/>
      </c>
      <c r="Q142" t="str">
        <f t="shared" ca="1" si="4"/>
        <v/>
      </c>
      <c r="R142" t="str" cm="1">
        <f t="array" aca="1" ref="R142" ca="1">IF(CELL("contents",INDEX($C$133:$K$162,MATCH(L142,$C$133:$C$162,0),4))=0,"",CELL("contents",INDEX($C$133:$K$162,MATCH(L142,$C$133:$C$162,0),4)))</f>
        <v/>
      </c>
      <c r="S142" t="str" cm="1">
        <f t="array" aca="1" ref="S142" ca="1">IF(CELL("contents",INDEX($C$133:$K$162,MATCH(L142,$C$133:$C$162,0),5))=0,"",CELL("contents",INDEX($C$133:$K$162,MATCH(L142,$C$133:$C$162,0),5)))</f>
        <v/>
      </c>
      <c r="T142" t="str" cm="1">
        <f t="array" aca="1" ref="T142" ca="1">IF(CELL("contents",INDEX($C$133:$K$162,MATCH(L142,$C$133:$C$162,0),6))=0,"",CELL("contents",INDEX($C$133:$K$162,MATCH(L142,$C$133:$C$162,0),6)))</f>
        <v/>
      </c>
      <c r="U142" s="59" t="str" cm="1">
        <f t="array" aca="1" ref="U142" ca="1">IF(CELL("contents",INDEX($C$133:$K$162,MATCH(L142,$C$133:$C$162,0),7))=0,"",CELL("contents",INDEX($C$133:$K$162,MATCH(L142,$C$133:$C$162,0),7)))</f>
        <v/>
      </c>
      <c r="V142" t="str" cm="1">
        <f t="array" aca="1" ref="V142" ca="1">IF(CELL("contents",INDEX($C$133:$K$162,MATCH(L142,$C$133:$C$162,0),8))=0,"",CELL("contents",INDEX($C$133:$K$162,MATCH(L142,$C$133:$C$162,0),8)))</f>
        <v/>
      </c>
      <c r="W142" t="str" cm="1">
        <f t="array" aca="1" ref="W142" ca="1">IF(CELL("contents",INDEX($C$133:$K$162,MATCH(L142,$C$133:$C$162,0),9))=0,"",CELL("contents",INDEX($C$133:$K$162,MATCH(L142,$C$133:$C$162,0),9)))</f>
        <v/>
      </c>
      <c r="X142" s="232"/>
      <c r="Z142" t="s">
        <v>1602</v>
      </c>
      <c r="AA142" t="str">
        <f t="shared" si="5"/>
        <v/>
      </c>
      <c r="AB142" s="59" t="str">
        <f t="shared" si="6"/>
        <v/>
      </c>
      <c r="AC142" s="59" t="str">
        <f t="shared" si="7"/>
        <v/>
      </c>
      <c r="AD142" t="str">
        <f t="shared" si="8"/>
        <v/>
      </c>
      <c r="AE142" t="str">
        <f t="shared" si="9"/>
        <v/>
      </c>
      <c r="AF142" t="str">
        <f t="shared" si="10"/>
        <v/>
      </c>
      <c r="AG142" t="str">
        <f t="shared" si="11"/>
        <v/>
      </c>
      <c r="AH142" t="str">
        <f t="shared" si="12"/>
        <v/>
      </c>
      <c r="AI142" s="59" t="str">
        <f t="shared" si="13"/>
        <v/>
      </c>
      <c r="AJ142" t="str">
        <f t="shared" si="14"/>
        <v/>
      </c>
      <c r="AK142" t="str">
        <f t="shared" si="15"/>
        <v/>
      </c>
    </row>
    <row r="143" spans="2:37">
      <c r="B143" t="s">
        <v>1603</v>
      </c>
      <c r="C143" s="59" t="str">
        <f>IF(Design_Architect="","",Design_Architect)</f>
        <v/>
      </c>
      <c r="D143" s="59" t="str">
        <f t="shared" si="16"/>
        <v/>
      </c>
      <c r="E143" s="59" t="str">
        <f>IF(C143="","","Architect")</f>
        <v/>
      </c>
      <c r="F143" t="str">
        <f>IF(DA_Email_Address="","",DA_Email_Address)</f>
        <v/>
      </c>
      <c r="G143" t="str">
        <f>IF(DA_Street_Address="","",DA_Street_Address)</f>
        <v/>
      </c>
      <c r="H143" t="str">
        <f>IF(DA_City="","",DA_City)</f>
        <v/>
      </c>
      <c r="I143" t="str">
        <f>IF(DA_State="","",DA_State)</f>
        <v/>
      </c>
      <c r="J143" t="str">
        <f>IF(DA_Zipcode="","",DA_Zipcode)</f>
        <v/>
      </c>
      <c r="K143" t="str">
        <f>IF(DA_Telephone_Number="","",DA_Telephone_Number)</f>
        <v/>
      </c>
      <c r="L143" t="str" cm="1">
        <f t="array" ref="L143">IFERROR(INDEX($C$133:$C$162,SMALL(IF($C$133:$C$162&lt;&gt;"",ROW($C$133:$C$162)-ROW($C$133)+1),11)),"")</f>
        <v/>
      </c>
      <c r="M143" s="68" t="str" cm="1">
        <f t="array" aca="1" ref="M143" ca="1">CELL("contents",INDEX($C$133:$E$162,MATCH(L143,$C$133:$C$162,0),2))</f>
        <v/>
      </c>
      <c r="N143" s="68" t="str" cm="1">
        <f t="array" aca="1" ref="N143" ca="1">IF(CELL("contents",INDEX($C$133:$E$162,MATCH(L143,$C$133:$C$162,0),3))=0,"",CELL("contents",INDEX($C$133:$E$162,MATCH(L143,$C$133:$C$162,0),3)))</f>
        <v/>
      </c>
      <c r="O143" t="str">
        <f t="shared" ca="1" si="2"/>
        <v/>
      </c>
      <c r="P143" t="str">
        <f t="shared" ca="1" si="3"/>
        <v/>
      </c>
      <c r="Q143" t="str">
        <f t="shared" ca="1" si="4"/>
        <v/>
      </c>
      <c r="R143" t="str" cm="1">
        <f t="array" aca="1" ref="R143" ca="1">IF(CELL("contents",INDEX($C$133:$K$162,MATCH(L143,$C$133:$C$162,0),4))=0,"",CELL("contents",INDEX($C$133:$K$162,MATCH(L143,$C$133:$C$162,0),4)))</f>
        <v/>
      </c>
      <c r="S143" t="str" cm="1">
        <f t="array" aca="1" ref="S143" ca="1">IF(CELL("contents",INDEX($C$133:$K$162,MATCH(L143,$C$133:$C$162,0),5))=0,"",CELL("contents",INDEX($C$133:$K$162,MATCH(L143,$C$133:$C$162,0),5)))</f>
        <v/>
      </c>
      <c r="T143" t="str" cm="1">
        <f t="array" aca="1" ref="T143" ca="1">IF(CELL("contents",INDEX($C$133:$K$162,MATCH(L143,$C$133:$C$162,0),6))=0,"",CELL("contents",INDEX($C$133:$K$162,MATCH(L143,$C$133:$C$162,0),6)))</f>
        <v/>
      </c>
      <c r="U143" s="59" t="str" cm="1">
        <f t="array" aca="1" ref="U143" ca="1">IF(CELL("contents",INDEX($C$133:$K$162,MATCH(L143,$C$133:$C$162,0),7))=0,"",CELL("contents",INDEX($C$133:$K$162,MATCH(L143,$C$133:$C$162,0),7)))</f>
        <v/>
      </c>
      <c r="V143" t="str" cm="1">
        <f t="array" aca="1" ref="V143" ca="1">IF(CELL("contents",INDEX($C$133:$K$162,MATCH(L143,$C$133:$C$162,0),8))=0,"",CELL("contents",INDEX($C$133:$K$162,MATCH(L143,$C$133:$C$162,0),8)))</f>
        <v/>
      </c>
      <c r="W143" t="str" cm="1">
        <f t="array" aca="1" ref="W143" ca="1">IF(CELL("contents",INDEX($C$133:$K$162,MATCH(L143,$C$133:$C$162,0),9))=0,"",CELL("contents",INDEX($C$133:$K$162,MATCH(L143,$C$133:$C$162,0),9)))</f>
        <v/>
      </c>
      <c r="X143" s="232"/>
      <c r="Z143" t="s">
        <v>1603</v>
      </c>
      <c r="AA143" t="str">
        <f t="shared" si="5"/>
        <v/>
      </c>
      <c r="AB143" s="59" t="str">
        <f t="shared" si="6"/>
        <v/>
      </c>
      <c r="AC143" s="59" t="str">
        <f t="shared" si="7"/>
        <v/>
      </c>
      <c r="AD143" t="str">
        <f t="shared" si="8"/>
        <v/>
      </c>
      <c r="AE143" t="str">
        <f t="shared" si="9"/>
        <v/>
      </c>
      <c r="AF143" t="str">
        <f t="shared" si="10"/>
        <v/>
      </c>
      <c r="AG143" t="str">
        <f t="shared" si="11"/>
        <v/>
      </c>
      <c r="AH143" t="str">
        <f t="shared" si="12"/>
        <v/>
      </c>
      <c r="AI143" s="59" t="str">
        <f t="shared" si="13"/>
        <v/>
      </c>
      <c r="AJ143" t="str">
        <f t="shared" si="14"/>
        <v/>
      </c>
      <c r="AK143" t="str">
        <f t="shared" si="15"/>
        <v/>
      </c>
    </row>
    <row r="144" spans="2:37">
      <c r="B144" t="s">
        <v>1604</v>
      </c>
      <c r="C144" s="59" t="str">
        <f>IF(Attorney="","",Attorney)</f>
        <v/>
      </c>
      <c r="D144" s="59" t="str">
        <f t="shared" si="16"/>
        <v/>
      </c>
      <c r="E144" t="str">
        <f>IF(C144="","","Attorney")</f>
        <v/>
      </c>
      <c r="F144" t="str">
        <f>IF(Attorney_Email_Address="","",Attorney_Email_Address)</f>
        <v/>
      </c>
      <c r="G144" t="str">
        <f>IF(Attorney_Street_Address="","",Attorney_Street_Address)</f>
        <v/>
      </c>
      <c r="H144" t="str">
        <f>IF(Attorney_City="","",Attorney_City)</f>
        <v/>
      </c>
      <c r="I144" t="str">
        <f>IF(Attorney_State="","",Attorney_State)</f>
        <v/>
      </c>
      <c r="J144" t="str">
        <f>IF(Attorney_Zipcode="","",Attorney_Zipcode)</f>
        <v/>
      </c>
      <c r="K144" t="str">
        <f>IF(Attorney_Telephone_Number="","",Attorney_Telephone_Number)</f>
        <v/>
      </c>
      <c r="L144" t="str" cm="1">
        <f t="array" ref="L144">IFERROR(INDEX($C$133:$C$162,SMALL(IF($C$133:$C$162&lt;&gt;"",ROW($C$133:$C$162)-ROW($C$133)+1),12)),"")</f>
        <v/>
      </c>
      <c r="M144" s="68" t="str" cm="1">
        <f t="array" aca="1" ref="M144" ca="1">CELL("contents",INDEX($C$133:$E$162,MATCH(L144,$C$133:$C$162,0),2))</f>
        <v/>
      </c>
      <c r="N144" s="68" t="str" cm="1">
        <f t="array" aca="1" ref="N144" ca="1">IF(CELL("contents",INDEX($C$133:$E$162,MATCH(L144,$C$133:$C$162,0),3))=0,"",CELL("contents",INDEX($C$133:$E$162,MATCH(L144,$C$133:$C$162,0),3)))</f>
        <v/>
      </c>
      <c r="O144" t="str">
        <f t="shared" ca="1" si="2"/>
        <v/>
      </c>
      <c r="P144" t="str">
        <f t="shared" ca="1" si="3"/>
        <v/>
      </c>
      <c r="Q144" t="str">
        <f t="shared" ca="1" si="4"/>
        <v/>
      </c>
      <c r="R144" t="str" cm="1">
        <f t="array" aca="1" ref="R144" ca="1">IF(CELL("contents",INDEX($C$133:$K$162,MATCH(L144,$C$133:$C$162,0),4))=0,"",CELL("contents",INDEX($C$133:$K$162,MATCH(L144,$C$133:$C$162,0),4)))</f>
        <v/>
      </c>
      <c r="S144" t="str" cm="1">
        <f t="array" aca="1" ref="S144" ca="1">IF(CELL("contents",INDEX($C$133:$K$162,MATCH(L144,$C$133:$C$162,0),5))=0,"",CELL("contents",INDEX($C$133:$K$162,MATCH(L144,$C$133:$C$162,0),5)))</f>
        <v/>
      </c>
      <c r="T144" t="str" cm="1">
        <f t="array" aca="1" ref="T144" ca="1">IF(CELL("contents",INDEX($C$133:$K$162,MATCH(L144,$C$133:$C$162,0),6))=0,"",CELL("contents",INDEX($C$133:$K$162,MATCH(L144,$C$133:$C$162,0),6)))</f>
        <v/>
      </c>
      <c r="U144" s="59" t="str" cm="1">
        <f t="array" aca="1" ref="U144" ca="1">IF(CELL("contents",INDEX($C$133:$K$162,MATCH(L144,$C$133:$C$162,0),7))=0,"",CELL("contents",INDEX($C$133:$K$162,MATCH(L144,$C$133:$C$162,0),7)))</f>
        <v/>
      </c>
      <c r="V144" t="str" cm="1">
        <f t="array" aca="1" ref="V144" ca="1">IF(CELL("contents",INDEX($C$133:$K$162,MATCH(L144,$C$133:$C$162,0),8))=0,"",CELL("contents",INDEX($C$133:$K$162,MATCH(L144,$C$133:$C$162,0),8)))</f>
        <v/>
      </c>
      <c r="W144" t="str" cm="1">
        <f t="array" aca="1" ref="W144" ca="1">IF(CELL("contents",INDEX($C$133:$K$162,MATCH(L144,$C$133:$C$162,0),9))=0,"",CELL("contents",INDEX($C$133:$K$162,MATCH(L144,$C$133:$C$162,0),9)))</f>
        <v/>
      </c>
      <c r="X144" s="232"/>
      <c r="Z144" t="s">
        <v>1604</v>
      </c>
      <c r="AA144" t="str">
        <f t="shared" si="5"/>
        <v/>
      </c>
      <c r="AB144" s="59" t="str">
        <f t="shared" si="6"/>
        <v/>
      </c>
      <c r="AC144" s="59" t="str">
        <f t="shared" si="7"/>
        <v/>
      </c>
      <c r="AD144" t="str">
        <f t="shared" si="8"/>
        <v/>
      </c>
      <c r="AE144" t="str">
        <f t="shared" si="9"/>
        <v/>
      </c>
      <c r="AF144" t="str">
        <f t="shared" si="10"/>
        <v/>
      </c>
      <c r="AG144" t="str">
        <f t="shared" si="11"/>
        <v/>
      </c>
      <c r="AH144" t="str">
        <f t="shared" si="12"/>
        <v/>
      </c>
      <c r="AI144" s="59" t="str">
        <f t="shared" si="13"/>
        <v/>
      </c>
      <c r="AJ144" t="str">
        <f t="shared" si="14"/>
        <v/>
      </c>
      <c r="AK144" t="str">
        <f t="shared" si="15"/>
        <v/>
      </c>
    </row>
    <row r="145" spans="2:37">
      <c r="B145" t="s">
        <v>1605</v>
      </c>
      <c r="C145" s="59" t="str">
        <f>C129</f>
        <v/>
      </c>
      <c r="D145" s="59" t="str">
        <f t="shared" si="16"/>
        <v/>
      </c>
      <c r="E145" s="59" t="str">
        <f>IF(C145="","","Accountant")</f>
        <v/>
      </c>
      <c r="F145" t="str">
        <f>IF(Accountant_Email_Address="","",Accountant_Email_Address)</f>
        <v/>
      </c>
      <c r="G145" t="str">
        <f>IF(Accountant_Street_Address="","",Accountant_Street_Address)</f>
        <v/>
      </c>
      <c r="H145" t="str">
        <f>IF(Accountant_City="","",Accountant_City)</f>
        <v/>
      </c>
      <c r="I145" t="str">
        <f>IF(Accountant_State="","",Accountant_State)</f>
        <v/>
      </c>
      <c r="J145" t="str">
        <f>IF(Accountant_Zipcode="","",Accountant_Zipcode)</f>
        <v/>
      </c>
      <c r="K145" t="str">
        <f>IF(Accountant_Telephone_Number="","",Accountant_Telephone_Number)</f>
        <v/>
      </c>
      <c r="L145" t="str" cm="1">
        <f t="array" ref="L145">IFERROR(INDEX($C$133:$C$162,SMALL(IF($C$133:$C$162&lt;&gt;"",ROW($C$133:$C$162)-ROW($C$133)+1),13)),"")</f>
        <v/>
      </c>
      <c r="M145" s="68" t="str" cm="1">
        <f t="array" aca="1" ref="M145" ca="1">CELL("contents",INDEX($C$133:$E$162,MATCH(L145,$C$133:$C$162,0),2))</f>
        <v/>
      </c>
      <c r="N145" s="68" t="str" cm="1">
        <f t="array" aca="1" ref="N145" ca="1">IF(CELL("contents",INDEX($C$133:$E$162,MATCH(L145,$C$133:$C$162,0),3))=0,"",CELL("contents",INDEX($C$133:$E$162,MATCH(L145,$C$133:$C$162,0),3)))</f>
        <v/>
      </c>
      <c r="O145" t="str">
        <f t="shared" ca="1" si="2"/>
        <v/>
      </c>
      <c r="P145" t="str">
        <f t="shared" ca="1" si="3"/>
        <v/>
      </c>
      <c r="Q145" t="str">
        <f t="shared" ca="1" si="4"/>
        <v/>
      </c>
      <c r="R145" t="str" cm="1">
        <f t="array" aca="1" ref="R145" ca="1">IF(CELL("contents",INDEX($C$133:$K$162,MATCH(L145,$C$133:$C$162,0),4))=0,"",CELL("contents",INDEX($C$133:$K$162,MATCH(L145,$C$133:$C$162,0),4)))</f>
        <v/>
      </c>
      <c r="S145" t="str" cm="1">
        <f t="array" aca="1" ref="S145" ca="1">IF(CELL("contents",INDEX($C$133:$K$162,MATCH(L145,$C$133:$C$162,0),5))=0,"",CELL("contents",INDEX($C$133:$K$162,MATCH(L145,$C$133:$C$162,0),5)))</f>
        <v/>
      </c>
      <c r="T145" t="str" cm="1">
        <f t="array" aca="1" ref="T145" ca="1">IF(CELL("contents",INDEX($C$133:$K$162,MATCH(L145,$C$133:$C$162,0),6))=0,"",CELL("contents",INDEX($C$133:$K$162,MATCH(L145,$C$133:$C$162,0),6)))</f>
        <v/>
      </c>
      <c r="U145" s="59" t="str" cm="1">
        <f t="array" aca="1" ref="U145" ca="1">IF(CELL("contents",INDEX($C$133:$K$162,MATCH(L145,$C$133:$C$162,0),7))=0,"",CELL("contents",INDEX($C$133:$K$162,MATCH(L145,$C$133:$C$162,0),7)))</f>
        <v/>
      </c>
      <c r="V145" t="str" cm="1">
        <f t="array" aca="1" ref="V145" ca="1">IF(CELL("contents",INDEX($C$133:$K$162,MATCH(L145,$C$133:$C$162,0),8))=0,"",CELL("contents",INDEX($C$133:$K$162,MATCH(L145,$C$133:$C$162,0),8)))</f>
        <v/>
      </c>
      <c r="W145" t="str" cm="1">
        <f t="array" aca="1" ref="W145" ca="1">IF(CELL("contents",INDEX($C$133:$K$162,MATCH(L145,$C$133:$C$162,0),9))=0,"",CELL("contents",INDEX($C$133:$K$162,MATCH(L145,$C$133:$C$162,0),9)))</f>
        <v/>
      </c>
      <c r="X145" s="232"/>
      <c r="Z145" t="s">
        <v>1605</v>
      </c>
      <c r="AA145" t="str">
        <f t="shared" si="5"/>
        <v/>
      </c>
      <c r="AB145" s="59" t="str">
        <f t="shared" si="6"/>
        <v/>
      </c>
      <c r="AC145" s="59" t="str">
        <f t="shared" si="7"/>
        <v/>
      </c>
      <c r="AD145" t="str">
        <f t="shared" si="8"/>
        <v/>
      </c>
      <c r="AE145" t="str">
        <f t="shared" si="9"/>
        <v/>
      </c>
      <c r="AF145" t="str">
        <f t="shared" si="10"/>
        <v/>
      </c>
      <c r="AG145" t="str">
        <f t="shared" si="11"/>
        <v/>
      </c>
      <c r="AH145" t="str">
        <f t="shared" si="12"/>
        <v/>
      </c>
      <c r="AI145" s="59" t="str">
        <f t="shared" si="13"/>
        <v/>
      </c>
      <c r="AJ145" t="str">
        <f t="shared" si="14"/>
        <v/>
      </c>
      <c r="AK145" t="str">
        <f t="shared" si="15"/>
        <v/>
      </c>
    </row>
    <row r="146" spans="2:37">
      <c r="B146" t="s">
        <v>1606</v>
      </c>
      <c r="C146" t="str">
        <f>IF(Developer_Name_2="","",Developer_Name_2)</f>
        <v/>
      </c>
      <c r="D146" s="59" t="str">
        <f t="shared" si="16"/>
        <v/>
      </c>
      <c r="E146" s="59" t="str">
        <f t="shared" ref="E146:E152" si="17">IF(C146="","","Developer")</f>
        <v/>
      </c>
      <c r="G146" t="str">
        <f>IF(DEV2_Street_Address="","",DEV2_Street_Address)</f>
        <v/>
      </c>
      <c r="H146" t="str">
        <f>IF(DEV2_City="","",DEV2_City)</f>
        <v/>
      </c>
      <c r="I146" t="str">
        <f>IF(DEV2_State="","",DEV2_State)</f>
        <v/>
      </c>
      <c r="J146" t="str">
        <f>IF(DEV2_Zip_Code="","",DEV2_Zip_Code)</f>
        <v/>
      </c>
      <c r="L146" t="str" cm="1">
        <f t="array" ref="L146">IFERROR(INDEX($C$133:$C$162,SMALL(IF($C$133:$C$162&lt;&gt;"",ROW($C$133:$C$162)-ROW($C$133)+1),14)),"")</f>
        <v/>
      </c>
      <c r="M146" s="68" t="str" cm="1">
        <f t="array" aca="1" ref="M146" ca="1">CELL("contents",INDEX($C$133:$E$162,MATCH(L146,$C$133:$C$162,0),2))</f>
        <v/>
      </c>
      <c r="N146" s="68" t="str" cm="1">
        <f t="array" aca="1" ref="N146" ca="1">IF(CELL("contents",INDEX($C$133:$E$162,MATCH(L146,$C$133:$C$162,0),3))=0,"",CELL("contents",INDEX($C$133:$E$162,MATCH(L146,$C$133:$C$162,0),3)))</f>
        <v/>
      </c>
      <c r="O146" t="str">
        <f t="shared" ca="1" si="2"/>
        <v/>
      </c>
      <c r="P146" t="str">
        <f t="shared" ca="1" si="3"/>
        <v/>
      </c>
      <c r="Q146" t="str">
        <f t="shared" ca="1" si="4"/>
        <v/>
      </c>
      <c r="R146" t="str" cm="1">
        <f t="array" aca="1" ref="R146" ca="1">IF(CELL("contents",INDEX($C$133:$K$162,MATCH(L146,$C$133:$C$162,0),4))=0,"",CELL("contents",INDEX($C$133:$K$162,MATCH(L146,$C$133:$C$162,0),4)))</f>
        <v/>
      </c>
      <c r="S146" t="str" cm="1">
        <f t="array" aca="1" ref="S146" ca="1">IF(CELL("contents",INDEX($C$133:$K$162,MATCH(L146,$C$133:$C$162,0),5))=0,"",CELL("contents",INDEX($C$133:$K$162,MATCH(L146,$C$133:$C$162,0),5)))</f>
        <v/>
      </c>
      <c r="T146" t="str" cm="1">
        <f t="array" aca="1" ref="T146" ca="1">IF(CELL("contents",INDEX($C$133:$K$162,MATCH(L146,$C$133:$C$162,0),6))=0,"",CELL("contents",INDEX($C$133:$K$162,MATCH(L146,$C$133:$C$162,0),6)))</f>
        <v/>
      </c>
      <c r="U146" s="59" t="str" cm="1">
        <f t="array" aca="1" ref="U146" ca="1">IF(CELL("contents",INDEX($C$133:$K$162,MATCH(L146,$C$133:$C$162,0),7))=0,"",CELL("contents",INDEX($C$133:$K$162,MATCH(L146,$C$133:$C$162,0),7)))</f>
        <v/>
      </c>
      <c r="V146" t="str" cm="1">
        <f t="array" aca="1" ref="V146" ca="1">IF(CELL("contents",INDEX($C$133:$K$162,MATCH(L146,$C$133:$C$162,0),8))=0,"",CELL("contents",INDEX($C$133:$K$162,MATCH(L146,$C$133:$C$162,0),8)))</f>
        <v/>
      </c>
      <c r="W146" t="str" cm="1">
        <f t="array" aca="1" ref="W146" ca="1">IF(CELL("contents",INDEX($C$133:$K$162,MATCH(L146,$C$133:$C$162,0),9))=0,"",CELL("contents",INDEX($C$133:$K$162,MATCH(L146,$C$133:$C$162,0),9)))</f>
        <v/>
      </c>
      <c r="X146" s="232"/>
      <c r="Z146" t="s">
        <v>1606</v>
      </c>
      <c r="AA146" t="str">
        <f t="shared" si="5"/>
        <v/>
      </c>
      <c r="AB146" s="59" t="str">
        <f t="shared" si="6"/>
        <v/>
      </c>
      <c r="AC146" s="59" t="str">
        <f t="shared" si="7"/>
        <v/>
      </c>
      <c r="AD146" t="str">
        <f t="shared" si="8"/>
        <v/>
      </c>
      <c r="AE146" t="str">
        <f t="shared" si="9"/>
        <v/>
      </c>
      <c r="AF146" t="str">
        <f t="shared" si="10"/>
        <v/>
      </c>
      <c r="AG146" t="str">
        <f t="shared" si="11"/>
        <v/>
      </c>
      <c r="AH146" t="str">
        <f t="shared" si="12"/>
        <v/>
      </c>
      <c r="AI146" s="59" t="str">
        <f t="shared" si="13"/>
        <v/>
      </c>
      <c r="AJ146" t="str">
        <f t="shared" si="14"/>
        <v/>
      </c>
      <c r="AK146" t="str">
        <f t="shared" si="15"/>
        <v/>
      </c>
    </row>
    <row r="147" spans="2:37">
      <c r="B147" t="s">
        <v>1607</v>
      </c>
      <c r="C147" t="str">
        <f>IF(Developer_Name_3="","",Developer_Name_3)</f>
        <v/>
      </c>
      <c r="D147" t="str">
        <f t="shared" si="16"/>
        <v/>
      </c>
      <c r="E147" s="59" t="str">
        <f t="shared" si="17"/>
        <v/>
      </c>
      <c r="G147" t="str">
        <f>IF(DEV3_Street_Address="","",DEV3_Street_Address)</f>
        <v/>
      </c>
      <c r="H147" t="str">
        <f>IF(DEV3_City="","",DEV3_City)</f>
        <v/>
      </c>
      <c r="I147" t="str">
        <f>IF(DEV3_State="","",DEV3_State)</f>
        <v/>
      </c>
      <c r="J147" t="str">
        <f>IF(DEV3_Zip_Code="","",DEV3_Zip_Code)</f>
        <v/>
      </c>
      <c r="L147" t="str" cm="1">
        <f t="array" ref="L147">IFERROR(INDEX($C$133:$C$162,SMALL(IF($C$133:$C$162&lt;&gt;"",ROW($C$133:$C$162)-ROW($C$133)+1),15)),"")</f>
        <v/>
      </c>
      <c r="M147" s="68" t="str" cm="1">
        <f t="array" aca="1" ref="M147" ca="1">CELL("contents",INDEX($C$133:$E$162,MATCH(L147,$C$133:$C$162,0),2))</f>
        <v/>
      </c>
      <c r="N147" s="68" t="str" cm="1">
        <f t="array" aca="1" ref="N147" ca="1">IF(CELL("contents",INDEX($C$133:$E$162,MATCH(L147,$C$133:$C$162,0),3))=0,"",CELL("contents",INDEX($C$133:$E$162,MATCH(L147,$C$133:$C$162,0),3)))</f>
        <v/>
      </c>
      <c r="O147" t="str">
        <f t="shared" ca="1" si="2"/>
        <v/>
      </c>
      <c r="P147" t="str">
        <f t="shared" ca="1" si="3"/>
        <v/>
      </c>
      <c r="Q147" t="str">
        <f t="shared" ca="1" si="4"/>
        <v/>
      </c>
      <c r="R147" t="str" cm="1">
        <f t="array" aca="1" ref="R147" ca="1">IF(CELL("contents",INDEX($C$133:$K$162,MATCH(L147,$C$133:$C$162,0),4))=0,"",CELL("contents",INDEX($C$133:$K$162,MATCH(L147,$C$133:$C$162,0),4)))</f>
        <v/>
      </c>
      <c r="S147" t="str" cm="1">
        <f t="array" aca="1" ref="S147" ca="1">IF(CELL("contents",INDEX($C$133:$K$162,MATCH(L147,$C$133:$C$162,0),5))=0,"",CELL("contents",INDEX($C$133:$K$162,MATCH(L147,$C$133:$C$162,0),5)))</f>
        <v/>
      </c>
      <c r="T147" t="str" cm="1">
        <f t="array" aca="1" ref="T147" ca="1">IF(CELL("contents",INDEX($C$133:$K$162,MATCH(L147,$C$133:$C$162,0),6))=0,"",CELL("contents",INDEX($C$133:$K$162,MATCH(L147,$C$133:$C$162,0),6)))</f>
        <v/>
      </c>
      <c r="U147" s="59" t="str" cm="1">
        <f t="array" aca="1" ref="U147" ca="1">IF(CELL("contents",INDEX($C$133:$K$162,MATCH(L147,$C$133:$C$162,0),7))=0,"",CELL("contents",INDEX($C$133:$K$162,MATCH(L147,$C$133:$C$162,0),7)))</f>
        <v/>
      </c>
      <c r="V147" t="str" cm="1">
        <f t="array" aca="1" ref="V147" ca="1">IF(CELL("contents",INDEX($C$133:$K$162,MATCH(L147,$C$133:$C$162,0),8))=0,"",CELL("contents",INDEX($C$133:$K$162,MATCH(L147,$C$133:$C$162,0),8)))</f>
        <v/>
      </c>
      <c r="W147" t="str" cm="1">
        <f t="array" aca="1" ref="W147" ca="1">IF(CELL("contents",INDEX($C$133:$K$162,MATCH(L147,$C$133:$C$162,0),9))=0,"",CELL("contents",INDEX($C$133:$K$162,MATCH(L147,$C$133:$C$162,0),9)))</f>
        <v/>
      </c>
      <c r="X147" s="232"/>
      <c r="Z147" t="s">
        <v>1607</v>
      </c>
      <c r="AA147" t="str">
        <f t="shared" si="5"/>
        <v/>
      </c>
      <c r="AB147" s="59" t="str">
        <f t="shared" si="6"/>
        <v/>
      </c>
      <c r="AC147" s="59" t="str">
        <f t="shared" si="7"/>
        <v/>
      </c>
      <c r="AD147" t="str">
        <f t="shared" si="8"/>
        <v/>
      </c>
      <c r="AE147" t="str">
        <f t="shared" si="9"/>
        <v/>
      </c>
      <c r="AF147" t="str">
        <f t="shared" si="10"/>
        <v/>
      </c>
      <c r="AG147" t="str">
        <f t="shared" si="11"/>
        <v/>
      </c>
      <c r="AH147" t="str">
        <f t="shared" si="12"/>
        <v/>
      </c>
      <c r="AI147" s="59" t="str">
        <f t="shared" si="13"/>
        <v/>
      </c>
      <c r="AJ147" t="str">
        <f t="shared" si="14"/>
        <v/>
      </c>
      <c r="AK147" t="str">
        <f t="shared" si="15"/>
        <v/>
      </c>
    </row>
    <row r="148" spans="2:37">
      <c r="B148" t="s">
        <v>1608</v>
      </c>
      <c r="C148" t="str">
        <f>IF(Developer_Name_4="","",Developer_Name_4)</f>
        <v/>
      </c>
      <c r="D148" t="str">
        <f t="shared" si="16"/>
        <v/>
      </c>
      <c r="E148" s="59" t="str">
        <f t="shared" si="17"/>
        <v/>
      </c>
      <c r="G148" t="str">
        <f>IF(DEV4_Street_Address="","",DEV4_Street_Address)</f>
        <v/>
      </c>
      <c r="H148" t="str">
        <f>IF(DEV4_City="","",DEV4_City)</f>
        <v/>
      </c>
      <c r="I148" t="str">
        <f>IF(DEV4_State="","",DEV4_State)</f>
        <v/>
      </c>
      <c r="J148" t="str">
        <f>IF(DEV4_Zip_Code="","",DEV4_Zip_Code)</f>
        <v/>
      </c>
      <c r="L148" t="str" cm="1">
        <f t="array" ref="L148">IFERROR(INDEX($C$133:$C$162,SMALL(IF($C$133:$C$162&lt;&gt;"",ROW($C$133:$C$162)-ROW($C$133)+1),16)),"")</f>
        <v/>
      </c>
      <c r="M148" s="68" t="str" cm="1">
        <f t="array" aca="1" ref="M148" ca="1">CELL("contents",INDEX($C$133:$E$162,MATCH(L148,$C$133:$C$162,0),2))</f>
        <v/>
      </c>
      <c r="N148" s="68" t="str" cm="1">
        <f t="array" aca="1" ref="N148" ca="1">IF(CELL("contents",INDEX($C$133:$E$162,MATCH(L148,$C$133:$C$162,0),3))=0,"",CELL("contents",INDEX($C$133:$E$162,MATCH(L148,$C$133:$C$162,0),3)))</f>
        <v/>
      </c>
      <c r="O148" t="str">
        <f t="shared" ca="1" si="2"/>
        <v/>
      </c>
      <c r="P148" t="str">
        <f t="shared" ca="1" si="3"/>
        <v/>
      </c>
      <c r="Q148" t="str">
        <f t="shared" ca="1" si="4"/>
        <v/>
      </c>
      <c r="R148" t="str" cm="1">
        <f t="array" aca="1" ref="R148" ca="1">IF(CELL("contents",INDEX($C$133:$K$162,MATCH(L148,$C$133:$C$162,0),4))=0,"",CELL("contents",INDEX($C$133:$K$162,MATCH(L148,$C$133:$C$162,0),4)))</f>
        <v/>
      </c>
      <c r="S148" t="str" cm="1">
        <f t="array" aca="1" ref="S148" ca="1">IF(CELL("contents",INDEX($C$133:$K$162,MATCH(L148,$C$133:$C$162,0),5))=0,"",CELL("contents",INDEX($C$133:$K$162,MATCH(L148,$C$133:$C$162,0),5)))</f>
        <v/>
      </c>
      <c r="T148" t="str" cm="1">
        <f t="array" aca="1" ref="T148" ca="1">IF(CELL("contents",INDEX($C$133:$K$162,MATCH(L148,$C$133:$C$162,0),6))=0,"",CELL("contents",INDEX($C$133:$K$162,MATCH(L148,$C$133:$C$162,0),6)))</f>
        <v/>
      </c>
      <c r="U148" s="59" t="str" cm="1">
        <f t="array" aca="1" ref="U148" ca="1">IF(CELL("contents",INDEX($C$133:$K$162,MATCH(L148,$C$133:$C$162,0),7))=0,"",CELL("contents",INDEX($C$133:$K$162,MATCH(L148,$C$133:$C$162,0),7)))</f>
        <v/>
      </c>
      <c r="V148" t="str" cm="1">
        <f t="array" aca="1" ref="V148" ca="1">IF(CELL("contents",INDEX($C$133:$K$162,MATCH(L148,$C$133:$C$162,0),8))=0,"",CELL("contents",INDEX($C$133:$K$162,MATCH(L148,$C$133:$C$162,0),8)))</f>
        <v/>
      </c>
      <c r="W148" t="str" cm="1">
        <f t="array" aca="1" ref="W148" ca="1">IF(CELL("contents",INDEX($C$133:$K$162,MATCH(L148,$C$133:$C$162,0),9))=0,"",CELL("contents",INDEX($C$133:$K$162,MATCH(L148,$C$133:$C$162,0),9)))</f>
        <v/>
      </c>
      <c r="X148" s="232"/>
      <c r="Z148" t="s">
        <v>1608</v>
      </c>
      <c r="AA148" t="str">
        <f t="shared" si="5"/>
        <v/>
      </c>
      <c r="AB148" s="59" t="str">
        <f t="shared" si="6"/>
        <v/>
      </c>
      <c r="AC148" s="59" t="str">
        <f t="shared" si="7"/>
        <v/>
      </c>
      <c r="AD148" t="str">
        <f t="shared" si="8"/>
        <v/>
      </c>
      <c r="AE148" t="str">
        <f t="shared" si="9"/>
        <v/>
      </c>
      <c r="AF148" t="str">
        <f t="shared" si="10"/>
        <v/>
      </c>
      <c r="AG148" t="str">
        <f t="shared" si="11"/>
        <v/>
      </c>
      <c r="AH148" t="str">
        <f t="shared" si="12"/>
        <v/>
      </c>
      <c r="AI148" s="59" t="str">
        <f t="shared" si="13"/>
        <v/>
      </c>
      <c r="AJ148" t="str">
        <f t="shared" si="14"/>
        <v/>
      </c>
      <c r="AK148" t="str">
        <f t="shared" si="15"/>
        <v/>
      </c>
    </row>
    <row r="149" spans="2:37">
      <c r="B149" t="s">
        <v>1609</v>
      </c>
      <c r="C149" t="str">
        <f>IF(DEV_Contact_First_Name="","",CONCATENATE(DEV_Contact_First_Name&amp;" "&amp;DEV_Contact_Last_Name))</f>
        <v/>
      </c>
      <c r="D149" t="str">
        <f t="shared" ref="D149:D162" si="18">IF(C149="","","Individual")</f>
        <v/>
      </c>
      <c r="E149" t="str">
        <f t="shared" si="17"/>
        <v/>
      </c>
      <c r="F149" t="str">
        <f>IF(DEV_Email_Address="","",DEV_Email_Address)</f>
        <v/>
      </c>
      <c r="K149" t="str">
        <f>IF(DEV_Telephone_Number="","",DEV_Telephone_Number)</f>
        <v/>
      </c>
      <c r="L149" t="str" cm="1">
        <f t="array" ref="L149">IFERROR(INDEX($C$133:$C$162,SMALL(IF($C$133:$C$162&lt;&gt;"",ROW($C$133:$C$162)-ROW($C$133)+1),17)),"")</f>
        <v/>
      </c>
      <c r="M149" s="68" t="str" cm="1">
        <f t="array" aca="1" ref="M149" ca="1">CELL("contents",INDEX($C$133:$E$162,MATCH(L149,$C$133:$C$162,0),2))</f>
        <v/>
      </c>
      <c r="N149" s="68" t="str" cm="1">
        <f t="array" aca="1" ref="N149" ca="1">IF(CELL("contents",INDEX($C$133:$E$162,MATCH(L149,$C$133:$C$162,0),3))=0,"",CELL("contents",INDEX($C$133:$E$162,MATCH(L149,$C$133:$C$162,0),3)))</f>
        <v/>
      </c>
      <c r="O149" t="str">
        <f t="shared" ca="1" si="2"/>
        <v/>
      </c>
      <c r="P149" t="str">
        <f t="shared" ca="1" si="3"/>
        <v/>
      </c>
      <c r="Q149" t="str">
        <f t="shared" ca="1" si="4"/>
        <v/>
      </c>
      <c r="R149" t="str" cm="1">
        <f t="array" aca="1" ref="R149" ca="1">IF(CELL("contents",INDEX($C$133:$K$162,MATCH(L149,$C$133:$C$162,0),4))=0,"",CELL("contents",INDEX($C$133:$K$162,MATCH(L149,$C$133:$C$162,0),4)))</f>
        <v/>
      </c>
      <c r="S149" t="str" cm="1">
        <f t="array" aca="1" ref="S149" ca="1">IF(CELL("contents",INDEX($C$133:$K$162,MATCH(L149,$C$133:$C$162,0),5))=0,"",CELL("contents",INDEX($C$133:$K$162,MATCH(L149,$C$133:$C$162,0),5)))</f>
        <v/>
      </c>
      <c r="T149" t="str" cm="1">
        <f t="array" aca="1" ref="T149" ca="1">IF(CELL("contents",INDEX($C$133:$K$162,MATCH(L149,$C$133:$C$162,0),6))=0,"",CELL("contents",INDEX($C$133:$K$162,MATCH(L149,$C$133:$C$162,0),6)))</f>
        <v/>
      </c>
      <c r="U149" s="59" t="str" cm="1">
        <f t="array" aca="1" ref="U149" ca="1">IF(CELL("contents",INDEX($C$133:$K$162,MATCH(L149,$C$133:$C$162,0),7))=0,"",CELL("contents",INDEX($C$133:$K$162,MATCH(L149,$C$133:$C$162,0),7)))</f>
        <v/>
      </c>
      <c r="V149" t="str" cm="1">
        <f t="array" aca="1" ref="V149" ca="1">IF(CELL("contents",INDEX($C$133:$K$162,MATCH(L149,$C$133:$C$162,0),8))=0,"",CELL("contents",INDEX($C$133:$K$162,MATCH(L149,$C$133:$C$162,0),8)))</f>
        <v/>
      </c>
      <c r="W149" t="str" cm="1">
        <f t="array" aca="1" ref="W149" ca="1">IF(CELL("contents",INDEX($C$133:$K$162,MATCH(L149,$C$133:$C$162,0),9))=0,"",CELL("contents",INDEX($C$133:$K$162,MATCH(L149,$C$133:$C$162,0),9)))</f>
        <v/>
      </c>
      <c r="X149" s="232"/>
      <c r="Z149" t="s">
        <v>1609</v>
      </c>
      <c r="AA149" t="str">
        <f t="shared" si="5"/>
        <v/>
      </c>
      <c r="AB149" s="59" t="str">
        <f t="shared" si="6"/>
        <v/>
      </c>
      <c r="AC149" s="59" t="str">
        <f t="shared" si="7"/>
        <v/>
      </c>
      <c r="AD149" t="str">
        <f t="shared" si="8"/>
        <v/>
      </c>
      <c r="AE149" t="str">
        <f t="shared" si="9"/>
        <v/>
      </c>
      <c r="AF149" t="str">
        <f t="shared" si="10"/>
        <v/>
      </c>
      <c r="AG149" t="str">
        <f t="shared" si="11"/>
        <v/>
      </c>
      <c r="AH149" t="str">
        <f t="shared" si="12"/>
        <v/>
      </c>
      <c r="AI149" s="59" t="str">
        <f t="shared" si="13"/>
        <v/>
      </c>
      <c r="AJ149" t="str">
        <f t="shared" si="14"/>
        <v/>
      </c>
      <c r="AK149" t="str">
        <f t="shared" si="15"/>
        <v/>
      </c>
    </row>
    <row r="150" spans="2:37">
      <c r="B150" t="s">
        <v>1610</v>
      </c>
      <c r="C150" t="str">
        <f>IF(DEV_Contact_First_Name_2="","",CONCATENATE(DEV_Contact_First_Name_2," ",DEV_Contact_Last_Name_2))</f>
        <v/>
      </c>
      <c r="D150" t="str">
        <f t="shared" si="18"/>
        <v/>
      </c>
      <c r="E150" t="str">
        <f t="shared" si="17"/>
        <v/>
      </c>
      <c r="F150" t="str">
        <f>IF(DEV2_Email_Address="","",DEV2_Email_Address)</f>
        <v/>
      </c>
      <c r="K150" t="str">
        <f>IF(DEV2_Telephone_Number="","",DEV2_Telephone_Number)</f>
        <v/>
      </c>
      <c r="L150" t="str" cm="1">
        <f t="array" ref="L150">IFERROR(INDEX($C$133:$C$162,SMALL(IF($C$133:$C$162&lt;&gt;"",ROW($C$133:$C$162)-ROW($C$133)+1),18)),"")</f>
        <v/>
      </c>
      <c r="M150" s="68" t="str" cm="1">
        <f t="array" aca="1" ref="M150" ca="1">CELL("contents",INDEX($C$133:$E$162,MATCH(L150,$C$133:$C$162,0),2))</f>
        <v/>
      </c>
      <c r="N150" s="68" t="str" cm="1">
        <f t="array" aca="1" ref="N150" ca="1">IF(CELL("contents",INDEX($C$133:$E$162,MATCH(L150,$C$133:$C$162,0),3))=0,"",CELL("contents",INDEX($C$133:$E$162,MATCH(L150,$C$133:$C$162,0),3)))</f>
        <v/>
      </c>
      <c r="O150" t="str">
        <f t="shared" ca="1" si="2"/>
        <v/>
      </c>
      <c r="P150" t="str">
        <f t="shared" ca="1" si="3"/>
        <v/>
      </c>
      <c r="Q150" t="str">
        <f t="shared" ca="1" si="4"/>
        <v/>
      </c>
      <c r="R150" t="str" cm="1">
        <f t="array" aca="1" ref="R150" ca="1">IF(CELL("contents",INDEX($C$133:$K$162,MATCH(L150,$C$133:$C$162,0),4))=0,"",CELL("contents",INDEX($C$133:$K$162,MATCH(L150,$C$133:$C$162,0),4)))</f>
        <v/>
      </c>
      <c r="S150" t="str" cm="1">
        <f t="array" aca="1" ref="S150" ca="1">IF(CELL("contents",INDEX($C$133:$K$162,MATCH(L150,$C$133:$C$162,0),5))=0,"",CELL("contents",INDEX($C$133:$K$162,MATCH(L150,$C$133:$C$162,0),5)))</f>
        <v/>
      </c>
      <c r="T150" t="str" cm="1">
        <f t="array" aca="1" ref="T150" ca="1">IF(CELL("contents",INDEX($C$133:$K$162,MATCH(L150,$C$133:$C$162,0),6))=0,"",CELL("contents",INDEX($C$133:$K$162,MATCH(L150,$C$133:$C$162,0),6)))</f>
        <v/>
      </c>
      <c r="U150" s="59" t="str" cm="1">
        <f t="array" aca="1" ref="U150" ca="1">IF(CELL("contents",INDEX($C$133:$K$162,MATCH(L150,$C$133:$C$162,0),7))=0,"",CELL("contents",INDEX($C$133:$K$162,MATCH(L150,$C$133:$C$162,0),7)))</f>
        <v/>
      </c>
      <c r="V150" t="str" cm="1">
        <f t="array" aca="1" ref="V150" ca="1">IF(CELL("contents",INDEX($C$133:$K$162,MATCH(L150,$C$133:$C$162,0),8))=0,"",CELL("contents",INDEX($C$133:$K$162,MATCH(L150,$C$133:$C$162,0),8)))</f>
        <v/>
      </c>
      <c r="W150" t="str" cm="1">
        <f t="array" aca="1" ref="W150" ca="1">IF(CELL("contents",INDEX($C$133:$K$162,MATCH(L150,$C$133:$C$162,0),9))=0,"",CELL("contents",INDEX($C$133:$K$162,MATCH(L150,$C$133:$C$162,0),9)))</f>
        <v/>
      </c>
      <c r="X150" s="232"/>
      <c r="Z150" t="s">
        <v>1610</v>
      </c>
      <c r="AA150" t="str">
        <f t="shared" si="5"/>
        <v/>
      </c>
      <c r="AB150" s="59" t="str">
        <f t="shared" si="6"/>
        <v/>
      </c>
      <c r="AC150" s="59" t="str">
        <f t="shared" si="7"/>
        <v/>
      </c>
      <c r="AD150" t="str">
        <f t="shared" si="8"/>
        <v/>
      </c>
      <c r="AE150" t="str">
        <f t="shared" si="9"/>
        <v/>
      </c>
      <c r="AF150" t="str">
        <f t="shared" si="10"/>
        <v/>
      </c>
      <c r="AG150" t="str">
        <f t="shared" si="11"/>
        <v/>
      </c>
      <c r="AH150" t="str">
        <f t="shared" si="12"/>
        <v/>
      </c>
      <c r="AI150" s="59" t="str">
        <f t="shared" si="13"/>
        <v/>
      </c>
      <c r="AJ150" t="str">
        <f t="shared" si="14"/>
        <v/>
      </c>
      <c r="AK150" t="str">
        <f t="shared" si="15"/>
        <v/>
      </c>
    </row>
    <row r="151" spans="2:37">
      <c r="B151" t="s">
        <v>1611</v>
      </c>
      <c r="C151" t="str">
        <f>IF(DEV_Contact_First_Name_3="","",CONCATENATE(DEV_Contact_First_Name_3," ",DEV_Contact_Last_Name_3))</f>
        <v/>
      </c>
      <c r="D151" t="str">
        <f t="shared" si="18"/>
        <v/>
      </c>
      <c r="E151" t="str">
        <f t="shared" si="17"/>
        <v/>
      </c>
      <c r="F151" t="str">
        <f>IF(DEV3_Email_Address="","",DEV3_Email_Address)</f>
        <v/>
      </c>
      <c r="K151" t="str">
        <f>IF(DEV3_Telephone_Number="","",DEV3_Telephone_Number)</f>
        <v/>
      </c>
      <c r="L151" t="str" cm="1">
        <f t="array" ref="L151">IFERROR(INDEX($C$133:$C$162,SMALL(IF($C$133:$C$162&lt;&gt;"",ROW($C$133:$C$162)-ROW($C$133)+1),19)),"")</f>
        <v/>
      </c>
      <c r="M151" s="68" t="str" cm="1">
        <f t="array" aca="1" ref="M151" ca="1">CELL("contents",INDEX($C$133:$E$162,MATCH(L151,$C$133:$C$162,0),2))</f>
        <v/>
      </c>
      <c r="N151" s="68" t="str" cm="1">
        <f t="array" aca="1" ref="N151" ca="1">IF(CELL("contents",INDEX($C$133:$E$162,MATCH(L151,$C$133:$C$162,0),3))=0,"",CELL("contents",INDEX($C$133:$E$162,MATCH(L151,$C$133:$C$162,0),3)))</f>
        <v/>
      </c>
      <c r="O151" t="str">
        <f t="shared" ca="1" si="2"/>
        <v/>
      </c>
      <c r="P151" t="str">
        <f t="shared" ca="1" si="3"/>
        <v/>
      </c>
      <c r="Q151" t="str">
        <f t="shared" ca="1" si="4"/>
        <v/>
      </c>
      <c r="R151" t="str" cm="1">
        <f t="array" aca="1" ref="R151" ca="1">IF(CELL("contents",INDEX($C$133:$K$162,MATCH(L151,$C$133:$C$162,0),4))=0,"",CELL("contents",INDEX($C$133:$K$162,MATCH(L151,$C$133:$C$162,0),4)))</f>
        <v/>
      </c>
      <c r="S151" t="str" cm="1">
        <f t="array" aca="1" ref="S151" ca="1">IF(CELL("contents",INDEX($C$133:$K$162,MATCH(L151,$C$133:$C$162,0),5))=0,"",CELL("contents",INDEX($C$133:$K$162,MATCH(L151,$C$133:$C$162,0),5)))</f>
        <v/>
      </c>
      <c r="T151" t="str" cm="1">
        <f t="array" aca="1" ref="T151" ca="1">IF(CELL("contents",INDEX($C$133:$K$162,MATCH(L151,$C$133:$C$162,0),6))=0,"",CELL("contents",INDEX($C$133:$K$162,MATCH(L151,$C$133:$C$162,0),6)))</f>
        <v/>
      </c>
      <c r="U151" s="59" t="str" cm="1">
        <f t="array" aca="1" ref="U151" ca="1">IF(CELL("contents",INDEX($C$133:$K$162,MATCH(L151,$C$133:$C$162,0),7))=0,"",CELL("contents",INDEX($C$133:$K$162,MATCH(L151,$C$133:$C$162,0),7)))</f>
        <v/>
      </c>
      <c r="V151" t="str" cm="1">
        <f t="array" aca="1" ref="V151" ca="1">IF(CELL("contents",INDEX($C$133:$K$162,MATCH(L151,$C$133:$C$162,0),8))=0,"",CELL("contents",INDEX($C$133:$K$162,MATCH(L151,$C$133:$C$162,0),8)))</f>
        <v/>
      </c>
      <c r="W151" t="str" cm="1">
        <f t="array" aca="1" ref="W151" ca="1">IF(CELL("contents",INDEX($C$133:$K$162,MATCH(L151,$C$133:$C$162,0),9))=0,"",CELL("contents",INDEX($C$133:$K$162,MATCH(L151,$C$133:$C$162,0),9)))</f>
        <v/>
      </c>
      <c r="X151" s="232"/>
      <c r="Z151" t="s">
        <v>1611</v>
      </c>
      <c r="AA151" t="str">
        <f t="shared" si="5"/>
        <v/>
      </c>
      <c r="AB151" s="59" t="str">
        <f t="shared" si="6"/>
        <v/>
      </c>
      <c r="AC151" s="59" t="str">
        <f t="shared" si="7"/>
        <v/>
      </c>
      <c r="AD151" t="str">
        <f t="shared" si="8"/>
        <v/>
      </c>
      <c r="AE151" t="str">
        <f t="shared" si="9"/>
        <v/>
      </c>
      <c r="AF151" t="str">
        <f t="shared" si="10"/>
        <v/>
      </c>
      <c r="AG151" t="str">
        <f t="shared" si="11"/>
        <v/>
      </c>
      <c r="AH151" t="str">
        <f t="shared" si="12"/>
        <v/>
      </c>
      <c r="AI151" s="59" t="str">
        <f t="shared" si="13"/>
        <v/>
      </c>
      <c r="AJ151" t="str">
        <f t="shared" si="14"/>
        <v/>
      </c>
      <c r="AK151" t="str">
        <f t="shared" si="15"/>
        <v/>
      </c>
    </row>
    <row r="152" spans="2:37">
      <c r="B152" t="s">
        <v>1612</v>
      </c>
      <c r="C152" t="str">
        <f>IF(DEV_Contact_First_Name_4="","",CONCATENATE(DEV_Contact_First_Name_4," ",DEV_Contact_Last_Name_4))</f>
        <v/>
      </c>
      <c r="D152" t="str">
        <f t="shared" si="18"/>
        <v/>
      </c>
      <c r="E152" t="str">
        <f t="shared" si="17"/>
        <v/>
      </c>
      <c r="F152" t="str">
        <f>IF(DEV4_Email_Address="","",DEV4_Email_Address)</f>
        <v/>
      </c>
      <c r="K152" t="str">
        <f>IF(DEV4_Telephone_Number="","",DEV4_Telephone_Number)</f>
        <v/>
      </c>
      <c r="L152" t="str" cm="1">
        <f t="array" ref="L152">IFERROR(INDEX($C$133:$C$162,SMALL(IF($C$133:$C$162&lt;&gt;"",ROW($C$133:$C$162)-ROW($C$133)+1),20)),"")</f>
        <v/>
      </c>
      <c r="M152" s="68" t="str" cm="1">
        <f t="array" aca="1" ref="M152" ca="1">CELL("contents",INDEX($C$133:$E$162,MATCH(L152,$C$133:$C$162,0),2))</f>
        <v/>
      </c>
      <c r="N152" s="68" t="str" cm="1">
        <f t="array" aca="1" ref="N152" ca="1">IF(CELL("contents",INDEX($C$133:$E$162,MATCH(L152,$C$133:$C$162,0),3))=0,"",CELL("contents",INDEX($C$133:$E$162,MATCH(L152,$C$133:$C$162,0),3)))</f>
        <v/>
      </c>
      <c r="O152" t="str">
        <f t="shared" ca="1" si="2"/>
        <v/>
      </c>
      <c r="P152" t="str">
        <f t="shared" ca="1" si="3"/>
        <v/>
      </c>
      <c r="Q152" t="str">
        <f t="shared" ca="1" si="4"/>
        <v/>
      </c>
      <c r="R152" t="str" cm="1">
        <f t="array" aca="1" ref="R152" ca="1">IF(CELL("contents",INDEX($C$133:$K$162,MATCH(L152,$C$133:$C$162,0),4))=0,"",CELL("contents",INDEX($C$133:$K$162,MATCH(L152,$C$133:$C$162,0),4)))</f>
        <v/>
      </c>
      <c r="S152" t="str" cm="1">
        <f t="array" aca="1" ref="S152" ca="1">IF(CELL("contents",INDEX($C$133:$K$162,MATCH(L152,$C$133:$C$162,0),5))=0,"",CELL("contents",INDEX($C$133:$K$162,MATCH(L152,$C$133:$C$162,0),5)))</f>
        <v/>
      </c>
      <c r="T152" t="str" cm="1">
        <f t="array" aca="1" ref="T152" ca="1">IF(CELL("contents",INDEX($C$133:$K$162,MATCH(L152,$C$133:$C$162,0),6))=0,"",CELL("contents",INDEX($C$133:$K$162,MATCH(L152,$C$133:$C$162,0),6)))</f>
        <v/>
      </c>
      <c r="U152" s="59" t="str" cm="1">
        <f t="array" aca="1" ref="U152" ca="1">IF(CELL("contents",INDEX($C$133:$K$162,MATCH(L152,$C$133:$C$162,0),7))=0,"",CELL("contents",INDEX($C$133:$K$162,MATCH(L152,$C$133:$C$162,0),7)))</f>
        <v/>
      </c>
      <c r="V152" t="str" cm="1">
        <f t="array" aca="1" ref="V152" ca="1">IF(CELL("contents",INDEX($C$133:$K$162,MATCH(L152,$C$133:$C$162,0),8))=0,"",CELL("contents",INDEX($C$133:$K$162,MATCH(L152,$C$133:$C$162,0),8)))</f>
        <v/>
      </c>
      <c r="W152" t="str" cm="1">
        <f t="array" aca="1" ref="W152" ca="1">IF(CELL("contents",INDEX($C$133:$K$162,MATCH(L152,$C$133:$C$162,0),9))=0,"",CELL("contents",INDEX($C$133:$K$162,MATCH(L152,$C$133:$C$162,0),9)))</f>
        <v/>
      </c>
      <c r="X152" s="232"/>
      <c r="Z152" t="s">
        <v>1612</v>
      </c>
      <c r="AA152" t="str">
        <f t="shared" si="5"/>
        <v/>
      </c>
      <c r="AB152" s="59" t="str">
        <f t="shared" si="6"/>
        <v/>
      </c>
      <c r="AC152" s="59" t="str">
        <f t="shared" si="7"/>
        <v/>
      </c>
      <c r="AD152" t="str">
        <f t="shared" si="8"/>
        <v/>
      </c>
      <c r="AE152" t="str">
        <f t="shared" si="9"/>
        <v/>
      </c>
      <c r="AF152" t="str">
        <f t="shared" si="10"/>
        <v/>
      </c>
      <c r="AG152" t="str">
        <f t="shared" si="11"/>
        <v/>
      </c>
      <c r="AH152" t="str">
        <f t="shared" si="12"/>
        <v/>
      </c>
      <c r="AI152" s="59" t="str">
        <f t="shared" si="13"/>
        <v/>
      </c>
      <c r="AJ152" t="str">
        <f t="shared" si="14"/>
        <v/>
      </c>
      <c r="AK152" t="str">
        <f t="shared" si="15"/>
        <v/>
      </c>
    </row>
    <row r="153" spans="2:37">
      <c r="B153" t="s">
        <v>1613</v>
      </c>
      <c r="C153" t="str">
        <f>IF(Mgmt_Contact_First_Name="","",CONCATENATE(Mgmt_Contact_First_Name," ",Mgmt_Contact_Last_Name))</f>
        <v/>
      </c>
      <c r="D153" t="str">
        <f t="shared" si="18"/>
        <v/>
      </c>
      <c r="E153" t="str">
        <f>IF(C153="","","Management Entity")</f>
        <v/>
      </c>
      <c r="L153" t="str" cm="1">
        <f t="array" ref="L153">IFERROR(INDEX($C$133:$C$162,SMALL(IF($C$133:$C$162&lt;&gt;"",ROW($C$133:$C$162)-ROW($C$133)+1),21)),"")</f>
        <v/>
      </c>
      <c r="M153" s="68" t="str" cm="1">
        <f t="array" aca="1" ref="M153" ca="1">CELL("contents",INDEX($C$133:$E$162,MATCH(L153,$C$133:$C$162,0),2))</f>
        <v/>
      </c>
      <c r="N153" s="68" t="str" cm="1">
        <f t="array" aca="1" ref="N153" ca="1">IF(CELL("contents",INDEX($C$133:$E$162,MATCH(L153,$C$133:$C$162,0),3))=0,"",CELL("contents",INDEX($C$133:$E$162,MATCH(L153,$C$133:$C$162,0),3)))</f>
        <v/>
      </c>
      <c r="O153" t="str">
        <f t="shared" ca="1" si="2"/>
        <v/>
      </c>
      <c r="P153" t="str">
        <f t="shared" ca="1" si="3"/>
        <v/>
      </c>
      <c r="Q153" t="str">
        <f t="shared" ca="1" si="4"/>
        <v/>
      </c>
      <c r="R153" t="str" cm="1">
        <f t="array" aca="1" ref="R153" ca="1">IF(CELL("contents",INDEX($C$133:$K$162,MATCH(L153,$C$133:$C$162,0),4))=0,"",CELL("contents",INDEX($C$133:$K$162,MATCH(L153,$C$133:$C$162,0),4)))</f>
        <v/>
      </c>
      <c r="S153" t="str" cm="1">
        <f t="array" aca="1" ref="S153" ca="1">IF(CELL("contents",INDEX($C$133:$K$162,MATCH(L153,$C$133:$C$162,0),5))=0,"",CELL("contents",INDEX($C$133:$K$162,MATCH(L153,$C$133:$C$162,0),5)))</f>
        <v/>
      </c>
      <c r="T153" t="str" cm="1">
        <f t="array" aca="1" ref="T153" ca="1">IF(CELL("contents",INDEX($C$133:$K$162,MATCH(L153,$C$133:$C$162,0),6))=0,"",CELL("contents",INDEX($C$133:$K$162,MATCH(L153,$C$133:$C$162,0),6)))</f>
        <v/>
      </c>
      <c r="U153" s="59" t="str" cm="1">
        <f t="array" aca="1" ref="U153" ca="1">IF(CELL("contents",INDEX($C$133:$K$162,MATCH(L153,$C$133:$C$162,0),7))=0,"",CELL("contents",INDEX($C$133:$K$162,MATCH(L153,$C$133:$C$162,0),7)))</f>
        <v/>
      </c>
      <c r="V153" t="str" cm="1">
        <f t="array" aca="1" ref="V153" ca="1">IF(CELL("contents",INDEX($C$133:$K$162,MATCH(L153,$C$133:$C$162,0),8))=0,"",CELL("contents",INDEX($C$133:$K$162,MATCH(L153,$C$133:$C$162,0),8)))</f>
        <v/>
      </c>
      <c r="W153" t="str" cm="1">
        <f t="array" aca="1" ref="W153" ca="1">IF(CELL("contents",INDEX($C$133:$K$162,MATCH(L153,$C$133:$C$162,0),9))=0,"",CELL("contents",INDEX($C$133:$K$162,MATCH(L153,$C$133:$C$162,0),9)))</f>
        <v/>
      </c>
      <c r="X153" s="232"/>
      <c r="Z153" t="s">
        <v>1613</v>
      </c>
      <c r="AA153" t="str">
        <f t="shared" si="5"/>
        <v/>
      </c>
      <c r="AB153" s="59" t="str">
        <f t="shared" si="6"/>
        <v/>
      </c>
      <c r="AC153" s="59" t="str">
        <f t="shared" si="7"/>
        <v/>
      </c>
      <c r="AD153" t="str">
        <f t="shared" si="8"/>
        <v/>
      </c>
      <c r="AE153" t="str">
        <f t="shared" si="9"/>
        <v/>
      </c>
      <c r="AF153" t="str">
        <f t="shared" si="10"/>
        <v/>
      </c>
      <c r="AG153" t="str">
        <f t="shared" si="11"/>
        <v/>
      </c>
      <c r="AH153" t="str">
        <f t="shared" si="12"/>
        <v/>
      </c>
      <c r="AI153" s="59" t="str">
        <f t="shared" si="13"/>
        <v/>
      </c>
      <c r="AJ153" t="str">
        <f t="shared" si="14"/>
        <v/>
      </c>
      <c r="AK153" t="str">
        <f t="shared" si="15"/>
        <v/>
      </c>
    </row>
    <row r="154" spans="2:37">
      <c r="B154" t="s">
        <v>1614</v>
      </c>
      <c r="C154" t="str">
        <f>IF(Consultant_Contact_First_Name="","",CONCATENATE(Consultant_Contact_First_Name," ",Consultant_Contact_Last_Name))</f>
        <v/>
      </c>
      <c r="D154" t="str">
        <f t="shared" si="18"/>
        <v/>
      </c>
      <c r="E154" t="str">
        <f>IF(C154="","","Consultant/Application Preparer")</f>
        <v/>
      </c>
      <c r="L154" t="str" cm="1">
        <f t="array" ref="L154">IFERROR(INDEX($C$133:$C$162,SMALL(IF($C$133:$C$162&lt;&gt;"",ROW($C$133:$C$162)-ROW($C$133)+1),22)),"")</f>
        <v/>
      </c>
      <c r="M154" s="68" t="str" cm="1">
        <f t="array" aca="1" ref="M154" ca="1">CELL("contents",INDEX($C$133:$E$162,MATCH(L154,$C$133:$C$162,0),2))</f>
        <v/>
      </c>
      <c r="N154" s="68" t="str" cm="1">
        <f t="array" aca="1" ref="N154" ca="1">IF(CELL("contents",INDEX($C$133:$E$162,MATCH(L154,$C$133:$C$162,0),3))=0,"",CELL("contents",INDEX($C$133:$E$162,MATCH(L154,$C$133:$C$162,0),3)))</f>
        <v/>
      </c>
      <c r="O154" t="str">
        <f t="shared" ca="1" si="2"/>
        <v/>
      </c>
      <c r="P154" t="str">
        <f t="shared" ca="1" si="3"/>
        <v/>
      </c>
      <c r="Q154" t="str">
        <f t="shared" ca="1" si="4"/>
        <v/>
      </c>
      <c r="R154" t="str" cm="1">
        <f t="array" aca="1" ref="R154" ca="1">IF(CELL("contents",INDEX($C$133:$K$162,MATCH(L154,$C$133:$C$162,0),4))=0,"",CELL("contents",INDEX($C$133:$K$162,MATCH(L154,$C$133:$C$162,0),4)))</f>
        <v/>
      </c>
      <c r="S154" t="str" cm="1">
        <f t="array" aca="1" ref="S154" ca="1">IF(CELL("contents",INDEX($C$133:$K$162,MATCH(L154,$C$133:$C$162,0),5))=0,"",CELL("contents",INDEX($C$133:$K$162,MATCH(L154,$C$133:$C$162,0),5)))</f>
        <v/>
      </c>
      <c r="T154" t="str" cm="1">
        <f t="array" aca="1" ref="T154" ca="1">IF(CELL("contents",INDEX($C$133:$K$162,MATCH(L154,$C$133:$C$162,0),6))=0,"",CELL("contents",INDEX($C$133:$K$162,MATCH(L154,$C$133:$C$162,0),6)))</f>
        <v/>
      </c>
      <c r="U154" s="59" t="str" cm="1">
        <f t="array" aca="1" ref="U154" ca="1">IF(CELL("contents",INDEX($C$133:$K$162,MATCH(L154,$C$133:$C$162,0),7))=0,"",CELL("contents",INDEX($C$133:$K$162,MATCH(L154,$C$133:$C$162,0),7)))</f>
        <v/>
      </c>
      <c r="V154" t="str" cm="1">
        <f t="array" aca="1" ref="V154" ca="1">IF(CELL("contents",INDEX($C$133:$K$162,MATCH(L154,$C$133:$C$162,0),8))=0,"",CELL("contents",INDEX($C$133:$K$162,MATCH(L154,$C$133:$C$162,0),8)))</f>
        <v/>
      </c>
      <c r="W154" t="str" cm="1">
        <f t="array" aca="1" ref="W154" ca="1">IF(CELL("contents",INDEX($C$133:$K$162,MATCH(L154,$C$133:$C$162,0),9))=0,"",CELL("contents",INDEX($C$133:$K$162,MATCH(L154,$C$133:$C$162,0),9)))</f>
        <v/>
      </c>
      <c r="X154" s="232"/>
      <c r="Z154" t="s">
        <v>1614</v>
      </c>
      <c r="AA154" t="str">
        <f t="shared" si="5"/>
        <v/>
      </c>
      <c r="AB154" s="59" t="str">
        <f t="shared" si="6"/>
        <v/>
      </c>
      <c r="AC154" s="59" t="str">
        <f t="shared" si="7"/>
        <v/>
      </c>
      <c r="AD154" t="str">
        <f t="shared" si="8"/>
        <v/>
      </c>
      <c r="AE154" t="str">
        <f t="shared" si="9"/>
        <v/>
      </c>
      <c r="AF154" t="str">
        <f t="shared" si="10"/>
        <v/>
      </c>
      <c r="AG154" t="str">
        <f t="shared" si="11"/>
        <v/>
      </c>
      <c r="AH154" t="str">
        <f t="shared" si="12"/>
        <v/>
      </c>
      <c r="AI154" s="59" t="str">
        <f t="shared" si="13"/>
        <v/>
      </c>
      <c r="AJ154" t="str">
        <f t="shared" si="14"/>
        <v/>
      </c>
      <c r="AK154" t="str">
        <f t="shared" si="15"/>
        <v/>
      </c>
    </row>
    <row r="155" spans="2:37">
      <c r="B155" t="s">
        <v>1615</v>
      </c>
      <c r="C155" t="str">
        <f>IF(Contractor_Contact_First_Name="","",CONCATENATE(Contractor_Contact_First_Name," ",Contractor_Contact_Last_Name))</f>
        <v/>
      </c>
      <c r="D155" t="str">
        <f t="shared" si="18"/>
        <v/>
      </c>
      <c r="E155" t="str">
        <f>IF(C155="","","General Contractor")</f>
        <v/>
      </c>
      <c r="L155" t="str" cm="1">
        <f t="array" ref="L155">IFERROR(INDEX($C$133:$C$162,SMALL(IF($C$133:$C$162&lt;&gt;"",ROW($C$133:$C$162)-ROW($C$133)+1),23)),"")</f>
        <v/>
      </c>
      <c r="M155" s="68" t="str" cm="1">
        <f t="array" aca="1" ref="M155" ca="1">CELL("contents",INDEX($C$133:$E$162,MATCH(L155,$C$133:$C$162,0),2))</f>
        <v/>
      </c>
      <c r="N155" s="68" t="str" cm="1">
        <f t="array" aca="1" ref="N155" ca="1">IF(CELL("contents",INDEX($C$133:$E$162,MATCH(L155,$C$133:$C$162,0),3))=0,"",CELL("contents",INDEX($C$133:$E$162,MATCH(L155,$C$133:$C$162,0),3)))</f>
        <v/>
      </c>
      <c r="O155" t="str">
        <f t="shared" ca="1" si="2"/>
        <v/>
      </c>
      <c r="P155" t="str">
        <f t="shared" ca="1" si="3"/>
        <v/>
      </c>
      <c r="Q155" t="str">
        <f t="shared" ca="1" si="4"/>
        <v/>
      </c>
      <c r="R155" t="str" cm="1">
        <f t="array" aca="1" ref="R155" ca="1">IF(CELL("contents",INDEX($C$133:$K$162,MATCH(L155,$C$133:$C$162,0),4))=0,"",CELL("contents",INDEX($C$133:$K$162,MATCH(L155,$C$133:$C$162,0),4)))</f>
        <v/>
      </c>
      <c r="S155" t="str" cm="1">
        <f t="array" aca="1" ref="S155" ca="1">IF(CELL("contents",INDEX($C$133:$K$162,MATCH(L155,$C$133:$C$162,0),5))=0,"",CELL("contents",INDEX($C$133:$K$162,MATCH(L155,$C$133:$C$162,0),5)))</f>
        <v/>
      </c>
      <c r="T155" t="str" cm="1">
        <f t="array" aca="1" ref="T155" ca="1">IF(CELL("contents",INDEX($C$133:$K$162,MATCH(L155,$C$133:$C$162,0),6))=0,"",CELL("contents",INDEX($C$133:$K$162,MATCH(L155,$C$133:$C$162,0),6)))</f>
        <v/>
      </c>
      <c r="U155" s="59" t="str" cm="1">
        <f t="array" aca="1" ref="U155" ca="1">IF(CELL("contents",INDEX($C$133:$K$162,MATCH(L155,$C$133:$C$162,0),7))=0,"",CELL("contents",INDEX($C$133:$K$162,MATCH(L155,$C$133:$C$162,0),7)))</f>
        <v/>
      </c>
      <c r="V155" t="str" cm="1">
        <f t="array" aca="1" ref="V155" ca="1">IF(CELL("contents",INDEX($C$133:$K$162,MATCH(L155,$C$133:$C$162,0),8))=0,"",CELL("contents",INDEX($C$133:$K$162,MATCH(L155,$C$133:$C$162,0),8)))</f>
        <v/>
      </c>
      <c r="W155" t="str" cm="1">
        <f t="array" aca="1" ref="W155" ca="1">IF(CELL("contents",INDEX($C$133:$K$162,MATCH(L155,$C$133:$C$162,0),9))=0,"",CELL("contents",INDEX($C$133:$K$162,MATCH(L155,$C$133:$C$162,0),9)))</f>
        <v/>
      </c>
      <c r="X155" s="232"/>
      <c r="Z155" t="s">
        <v>1615</v>
      </c>
      <c r="AA155" t="str">
        <f t="shared" si="5"/>
        <v/>
      </c>
      <c r="AB155" s="59" t="str">
        <f t="shared" si="6"/>
        <v/>
      </c>
      <c r="AC155" s="59" t="str">
        <f t="shared" si="7"/>
        <v/>
      </c>
      <c r="AD155" t="str">
        <f t="shared" si="8"/>
        <v/>
      </c>
      <c r="AE155" t="str">
        <f t="shared" si="9"/>
        <v/>
      </c>
      <c r="AF155" t="str">
        <f t="shared" si="10"/>
        <v/>
      </c>
      <c r="AG155" t="str">
        <f t="shared" si="11"/>
        <v/>
      </c>
      <c r="AH155" t="str">
        <f t="shared" si="12"/>
        <v/>
      </c>
      <c r="AI155" s="59" t="str">
        <f t="shared" si="13"/>
        <v/>
      </c>
      <c r="AJ155" t="str">
        <f t="shared" si="14"/>
        <v/>
      </c>
      <c r="AK155" t="str">
        <f t="shared" si="15"/>
        <v/>
      </c>
    </row>
    <row r="156" spans="2:37">
      <c r="B156" t="s">
        <v>1616</v>
      </c>
      <c r="C156" t="str">
        <f>IF(Syndicator_First_Name="","",CONCATENATE(Syndicator_First_Name," ",Syndicator_Last_Name))</f>
        <v/>
      </c>
      <c r="D156" t="str">
        <f t="shared" si="18"/>
        <v/>
      </c>
      <c r="E156" t="str">
        <f>IF(C156="","","Equity Investor/Syndicator")</f>
        <v/>
      </c>
      <c r="L156" t="str" cm="1">
        <f t="array" ref="L156">IFERROR(INDEX($C$133:$C$162,SMALL(IF($C$133:$C$162&lt;&gt;"",ROW($C$133:$C$162)-ROW($C$133)+1),24)),"")</f>
        <v/>
      </c>
      <c r="M156" s="68" t="str" cm="1">
        <f t="array" aca="1" ref="M156" ca="1">CELL("contents",INDEX($C$133:$E$162,MATCH(L156,$C$133:$C$162,0),2))</f>
        <v/>
      </c>
      <c r="N156" s="68" t="str" cm="1">
        <f t="array" aca="1" ref="N156" ca="1">IF(CELL("contents",INDEX($C$133:$E$162,MATCH(L156,$C$133:$C$162,0),3))=0,"",CELL("contents",INDEX($C$133:$E$162,MATCH(L156,$C$133:$C$162,0),3)))</f>
        <v/>
      </c>
      <c r="O156" t="str">
        <f t="shared" ca="1" si="2"/>
        <v/>
      </c>
      <c r="P156" t="str">
        <f t="shared" ca="1" si="3"/>
        <v/>
      </c>
      <c r="Q156" t="str">
        <f t="shared" ca="1" si="4"/>
        <v/>
      </c>
      <c r="R156" t="str" cm="1">
        <f t="array" aca="1" ref="R156" ca="1">IF(CELL("contents",INDEX($C$133:$K$162,MATCH(L156,$C$133:$C$162,0),4))=0,"",CELL("contents",INDEX($C$133:$K$162,MATCH(L156,$C$133:$C$162,0),4)))</f>
        <v/>
      </c>
      <c r="S156" t="str" cm="1">
        <f t="array" aca="1" ref="S156" ca="1">IF(CELL("contents",INDEX($C$133:$K$162,MATCH(L156,$C$133:$C$162,0),5))=0,"",CELL("contents",INDEX($C$133:$K$162,MATCH(L156,$C$133:$C$162,0),5)))</f>
        <v/>
      </c>
      <c r="T156" t="str" cm="1">
        <f t="array" aca="1" ref="T156" ca="1">IF(CELL("contents",INDEX($C$133:$K$162,MATCH(L156,$C$133:$C$162,0),6))=0,"",CELL("contents",INDEX($C$133:$K$162,MATCH(L156,$C$133:$C$162,0),6)))</f>
        <v/>
      </c>
      <c r="U156" s="59" t="str" cm="1">
        <f t="array" aca="1" ref="U156" ca="1">IF(CELL("contents",INDEX($C$133:$K$162,MATCH(L156,$C$133:$C$162,0),7))=0,"",CELL("contents",INDEX($C$133:$K$162,MATCH(L156,$C$133:$C$162,0),7)))</f>
        <v/>
      </c>
      <c r="V156" t="str" cm="1">
        <f t="array" aca="1" ref="V156" ca="1">IF(CELL("contents",INDEX($C$133:$K$162,MATCH(L156,$C$133:$C$162,0),8))=0,"",CELL("contents",INDEX($C$133:$K$162,MATCH(L156,$C$133:$C$162,0),8)))</f>
        <v/>
      </c>
      <c r="W156" t="str" cm="1">
        <f t="array" aca="1" ref="W156" ca="1">IF(CELL("contents",INDEX($C$133:$K$162,MATCH(L156,$C$133:$C$162,0),9))=0,"",CELL("contents",INDEX($C$133:$K$162,MATCH(L156,$C$133:$C$162,0),9)))</f>
        <v/>
      </c>
      <c r="X156" s="232"/>
      <c r="Z156" t="s">
        <v>1616</v>
      </c>
      <c r="AA156" t="str">
        <f t="shared" si="5"/>
        <v/>
      </c>
      <c r="AB156" s="59" t="str">
        <f t="shared" si="6"/>
        <v/>
      </c>
      <c r="AC156" s="59" t="str">
        <f t="shared" si="7"/>
        <v/>
      </c>
      <c r="AD156" t="str">
        <f t="shared" si="8"/>
        <v/>
      </c>
      <c r="AE156" t="str">
        <f t="shared" si="9"/>
        <v/>
      </c>
      <c r="AF156" t="str">
        <f t="shared" si="10"/>
        <v/>
      </c>
      <c r="AG156" t="str">
        <f t="shared" si="11"/>
        <v/>
      </c>
      <c r="AH156" t="str">
        <f t="shared" si="12"/>
        <v/>
      </c>
      <c r="AI156" s="59" t="str">
        <f t="shared" si="13"/>
        <v/>
      </c>
      <c r="AJ156" t="str">
        <f t="shared" si="14"/>
        <v/>
      </c>
      <c r="AK156" t="str">
        <f t="shared" si="15"/>
        <v/>
      </c>
    </row>
    <row r="157" spans="2:37">
      <c r="B157" t="s">
        <v>1617</v>
      </c>
      <c r="C157" t="str">
        <f>IF(DA_First_Name="","",CONCATENATE(DA_First_Name," ",DA_Last_Name))</f>
        <v/>
      </c>
      <c r="D157" t="str">
        <f t="shared" si="18"/>
        <v/>
      </c>
      <c r="E157" t="str">
        <f>IF(C157="","","Architect")</f>
        <v/>
      </c>
      <c r="L157" t="str" cm="1">
        <f t="array" ref="L157">IFERROR(INDEX($C$133:$C$162,SMALL(IF($C$133:$C$162&lt;&gt;"",ROW($C$133:$C$162)-ROW($C$133)+1),25)),"")</f>
        <v/>
      </c>
      <c r="M157" s="68" t="str" cm="1">
        <f t="array" aca="1" ref="M157" ca="1">CELL("contents",INDEX($C$133:$E$162,MATCH(L157,$C$133:$C$162,0),2))</f>
        <v/>
      </c>
      <c r="N157" s="68" t="str" cm="1">
        <f t="array" aca="1" ref="N157" ca="1">IF(CELL("contents",INDEX($C$133:$E$162,MATCH(L157,$C$133:$C$162,0),3))=0,"",CELL("contents",INDEX($C$133:$E$162,MATCH(L157,$C$133:$C$162,0),3)))</f>
        <v/>
      </c>
      <c r="O157" t="str">
        <f t="shared" ca="1" si="2"/>
        <v/>
      </c>
      <c r="P157" t="str">
        <f t="shared" ca="1" si="3"/>
        <v/>
      </c>
      <c r="Q157" t="str">
        <f t="shared" ca="1" si="4"/>
        <v/>
      </c>
      <c r="R157" t="str" cm="1">
        <f t="array" aca="1" ref="R157" ca="1">IF(CELL("contents",INDEX($C$133:$K$162,MATCH(L157,$C$133:$C$162,0),4))=0,"",CELL("contents",INDEX($C$133:$K$162,MATCH(L157,$C$133:$C$162,0),4)))</f>
        <v/>
      </c>
      <c r="S157" t="str" cm="1">
        <f t="array" aca="1" ref="S157" ca="1">IF(CELL("contents",INDEX($C$133:$K$162,MATCH(L157,$C$133:$C$162,0),5))=0,"",CELL("contents",INDEX($C$133:$K$162,MATCH(L157,$C$133:$C$162,0),5)))</f>
        <v/>
      </c>
      <c r="T157" t="str" cm="1">
        <f t="array" aca="1" ref="T157" ca="1">IF(CELL("contents",INDEX($C$133:$K$162,MATCH(L157,$C$133:$C$162,0),6))=0,"",CELL("contents",INDEX($C$133:$K$162,MATCH(L157,$C$133:$C$162,0),6)))</f>
        <v/>
      </c>
      <c r="U157" s="59" t="str" cm="1">
        <f t="array" aca="1" ref="U157" ca="1">IF(CELL("contents",INDEX($C$133:$K$162,MATCH(L157,$C$133:$C$162,0),7))=0,"",CELL("contents",INDEX($C$133:$K$162,MATCH(L157,$C$133:$C$162,0),7)))</f>
        <v/>
      </c>
      <c r="V157" t="str" cm="1">
        <f t="array" aca="1" ref="V157" ca="1">IF(CELL("contents",INDEX($C$133:$K$162,MATCH(L157,$C$133:$C$162,0),8))=0,"",CELL("contents",INDEX($C$133:$K$162,MATCH(L157,$C$133:$C$162,0),8)))</f>
        <v/>
      </c>
      <c r="W157" t="str" cm="1">
        <f t="array" aca="1" ref="W157" ca="1">IF(CELL("contents",INDEX($C$133:$K$162,MATCH(L157,$C$133:$C$162,0),9))=0,"",CELL("contents",INDEX($C$133:$K$162,MATCH(L157,$C$133:$C$162,0),9)))</f>
        <v/>
      </c>
      <c r="X157" s="232"/>
      <c r="Z157" t="s">
        <v>1617</v>
      </c>
      <c r="AA157" t="str">
        <f t="shared" si="5"/>
        <v/>
      </c>
      <c r="AB157" s="59" t="str">
        <f t="shared" si="6"/>
        <v/>
      </c>
      <c r="AC157" s="59" t="str">
        <f t="shared" si="7"/>
        <v/>
      </c>
      <c r="AD157" t="str">
        <f t="shared" si="8"/>
        <v/>
      </c>
      <c r="AE157" t="str">
        <f t="shared" si="9"/>
        <v/>
      </c>
      <c r="AF157" t="str">
        <f t="shared" si="10"/>
        <v/>
      </c>
      <c r="AG157" t="str">
        <f t="shared" si="11"/>
        <v/>
      </c>
      <c r="AH157" t="str">
        <f t="shared" si="12"/>
        <v/>
      </c>
      <c r="AI157" s="59" t="str">
        <f t="shared" si="13"/>
        <v/>
      </c>
      <c r="AJ157" t="str">
        <f t="shared" si="14"/>
        <v/>
      </c>
      <c r="AK157" t="str">
        <f t="shared" si="15"/>
        <v/>
      </c>
    </row>
    <row r="158" spans="2:37">
      <c r="B158" t="s">
        <v>1618</v>
      </c>
      <c r="C158" t="str">
        <f>IF(Architect_Contact_First_Name="","",CONCATENATE(Architect_Contact_First_Name," ",Architect_Contact_Last_Name))</f>
        <v/>
      </c>
      <c r="D158" t="str">
        <f t="shared" si="18"/>
        <v/>
      </c>
      <c r="E158" t="str">
        <f>IF(C158="","","Architect")</f>
        <v/>
      </c>
      <c r="L158" t="str" cm="1">
        <f t="array" ref="L158">IFERROR(INDEX($C$133:$C$162,SMALL(IF($C$133:$C$162&lt;&gt;"",ROW($C$133:$C$162)-ROW($C$133)+1),26)),"")</f>
        <v/>
      </c>
      <c r="M158" s="68" t="str" cm="1">
        <f t="array" aca="1" ref="M158" ca="1">CELL("contents",INDEX($C$133:$E$162,MATCH(L158,$C$133:$C$162,0),2))</f>
        <v/>
      </c>
      <c r="N158" s="68" t="str" cm="1">
        <f t="array" aca="1" ref="N158" ca="1">IF(CELL("contents",INDEX($C$133:$E$162,MATCH(L158,$C$133:$C$162,0),3))=0,"",CELL("contents",INDEX($C$133:$E$162,MATCH(L158,$C$133:$C$162,0),3)))</f>
        <v/>
      </c>
      <c r="O158" t="str">
        <f t="shared" ca="1" si="2"/>
        <v/>
      </c>
      <c r="P158" t="str">
        <f t="shared" ca="1" si="3"/>
        <v/>
      </c>
      <c r="Q158" t="str">
        <f t="shared" ca="1" si="4"/>
        <v/>
      </c>
      <c r="R158" t="str" cm="1">
        <f t="array" aca="1" ref="R158" ca="1">IF(CELL("contents",INDEX($C$133:$K$162,MATCH(L158,$C$133:$C$162,0),4))=0,"",CELL("contents",INDEX($C$133:$K$162,MATCH(L158,$C$133:$C$162,0),4)))</f>
        <v/>
      </c>
      <c r="S158" t="str" cm="1">
        <f t="array" aca="1" ref="S158" ca="1">IF(CELL("contents",INDEX($C$133:$K$162,MATCH(L158,$C$133:$C$162,0),5))=0,"",CELL("contents",INDEX($C$133:$K$162,MATCH(L158,$C$133:$C$162,0),5)))</f>
        <v/>
      </c>
      <c r="T158" t="str" cm="1">
        <f t="array" aca="1" ref="T158" ca="1">IF(CELL("contents",INDEX($C$133:$K$162,MATCH(L158,$C$133:$C$162,0),6))=0,"",CELL("contents",INDEX($C$133:$K$162,MATCH(L158,$C$133:$C$162,0),6)))</f>
        <v/>
      </c>
      <c r="U158" s="59" t="str" cm="1">
        <f t="array" aca="1" ref="U158" ca="1">IF(CELL("contents",INDEX($C$133:$K$162,MATCH(L158,$C$133:$C$162,0),7))=0,"",CELL("contents",INDEX($C$133:$K$162,MATCH(L158,$C$133:$C$162,0),7)))</f>
        <v/>
      </c>
      <c r="V158" t="str" cm="1">
        <f t="array" aca="1" ref="V158" ca="1">IF(CELL("contents",INDEX($C$133:$K$162,MATCH(L158,$C$133:$C$162,0),8))=0,"",CELL("contents",INDEX($C$133:$K$162,MATCH(L158,$C$133:$C$162,0),8)))</f>
        <v/>
      </c>
      <c r="W158" t="str" cm="1">
        <f t="array" aca="1" ref="W158" ca="1">IF(CELL("contents",INDEX($C$133:$K$162,MATCH(L158,$C$133:$C$162,0),9))=0,"",CELL("contents",INDEX($C$133:$K$162,MATCH(L158,$C$133:$C$162,0),9)))</f>
        <v/>
      </c>
      <c r="X158" s="232"/>
      <c r="Z158" t="s">
        <v>1618</v>
      </c>
      <c r="AA158" t="str">
        <f t="shared" si="5"/>
        <v/>
      </c>
      <c r="AB158" s="59" t="str">
        <f t="shared" si="6"/>
        <v/>
      </c>
      <c r="AC158" s="59" t="str">
        <f t="shared" si="7"/>
        <v/>
      </c>
      <c r="AD158" t="str">
        <f t="shared" si="8"/>
        <v/>
      </c>
      <c r="AE158" t="str">
        <f t="shared" si="9"/>
        <v/>
      </c>
      <c r="AF158" t="str">
        <f t="shared" si="10"/>
        <v/>
      </c>
      <c r="AG158" t="str">
        <f t="shared" si="11"/>
        <v/>
      </c>
      <c r="AH158" t="str">
        <f t="shared" si="12"/>
        <v/>
      </c>
      <c r="AI158" s="59" t="str">
        <f t="shared" si="13"/>
        <v/>
      </c>
      <c r="AJ158" t="str">
        <f t="shared" si="14"/>
        <v/>
      </c>
      <c r="AK158" t="str">
        <f t="shared" si="15"/>
        <v/>
      </c>
    </row>
    <row r="159" spans="2:37">
      <c r="B159" t="s">
        <v>1619</v>
      </c>
      <c r="C159" t="str">
        <f>IF(Accountant_Contact_First_Name="","",CONCATENATE(Accountant_Contact_First_Name," ",Accountant_Contact_Last_Name))</f>
        <v/>
      </c>
      <c r="D159" t="str">
        <f t="shared" si="18"/>
        <v/>
      </c>
      <c r="E159" t="str">
        <f>IF(C159="","","Accountant")</f>
        <v/>
      </c>
      <c r="L159" t="str" cm="1">
        <f t="array" ref="L159">IFERROR(INDEX($C$133:$C$162,SMALL(IF($C$133:$C$162&lt;&gt;"",ROW($C$133:$C$162)-ROW($C$133)+1),27)),"")</f>
        <v/>
      </c>
      <c r="M159" s="68" t="str" cm="1">
        <f t="array" aca="1" ref="M159" ca="1">CELL("contents",INDEX($C$133:$E$162,MATCH(L159,$C$133:$C$162,0),2))</f>
        <v/>
      </c>
      <c r="N159" s="68" t="str" cm="1">
        <f t="array" aca="1" ref="N159" ca="1">IF(CELL("contents",INDEX($C$133:$E$162,MATCH(L159,$C$133:$C$162,0),3))=0,"",CELL("contents",INDEX($C$133:$E$162,MATCH(L159,$C$133:$C$162,0),3)))</f>
        <v/>
      </c>
      <c r="O159" t="str">
        <f t="shared" ca="1" si="2"/>
        <v/>
      </c>
      <c r="P159" t="str">
        <f t="shared" ca="1" si="3"/>
        <v/>
      </c>
      <c r="Q159" t="str">
        <f t="shared" ca="1" si="4"/>
        <v/>
      </c>
      <c r="R159" t="str" cm="1">
        <f t="array" aca="1" ref="R159" ca="1">IF(CELL("contents",INDEX($C$133:$K$162,MATCH(L159,$C$133:$C$162,0),4))=0,"",CELL("contents",INDEX($C$133:$K$162,MATCH(L159,$C$133:$C$162,0),4)))</f>
        <v/>
      </c>
      <c r="S159" t="str" cm="1">
        <f t="array" aca="1" ref="S159" ca="1">IF(CELL("contents",INDEX($C$133:$K$162,MATCH(L159,$C$133:$C$162,0),5))=0,"",CELL("contents",INDEX($C$133:$K$162,MATCH(L159,$C$133:$C$162,0),5)))</f>
        <v/>
      </c>
      <c r="T159" t="str" cm="1">
        <f t="array" aca="1" ref="T159" ca="1">IF(CELL("contents",INDEX($C$133:$K$162,MATCH(L159,$C$133:$C$162,0),6))=0,"",CELL("contents",INDEX($C$133:$K$162,MATCH(L159,$C$133:$C$162,0),6)))</f>
        <v/>
      </c>
      <c r="U159" s="59" t="str" cm="1">
        <f t="array" aca="1" ref="U159" ca="1">IF(CELL("contents",INDEX($C$133:$K$162,MATCH(L159,$C$133:$C$162,0),7))=0,"",CELL("contents",INDEX($C$133:$K$162,MATCH(L159,$C$133:$C$162,0),7)))</f>
        <v/>
      </c>
      <c r="V159" t="str" cm="1">
        <f t="array" aca="1" ref="V159" ca="1">IF(CELL("contents",INDEX($C$133:$K$162,MATCH(L159,$C$133:$C$162,0),8))=0,"",CELL("contents",INDEX($C$133:$K$162,MATCH(L159,$C$133:$C$162,0),8)))</f>
        <v/>
      </c>
      <c r="W159" t="str" cm="1">
        <f t="array" aca="1" ref="W159" ca="1">IF(CELL("contents",INDEX($C$133:$K$162,MATCH(L159,$C$133:$C$162,0),9))=0,"",CELL("contents",INDEX($C$133:$K$162,MATCH(L159,$C$133:$C$162,0),9)))</f>
        <v/>
      </c>
      <c r="X159" s="232"/>
      <c r="Z159" t="s">
        <v>1619</v>
      </c>
      <c r="AA159" t="str">
        <f t="shared" si="5"/>
        <v/>
      </c>
      <c r="AB159" s="59" t="str">
        <f t="shared" si="6"/>
        <v/>
      </c>
      <c r="AC159" s="59" t="str">
        <f t="shared" si="7"/>
        <v/>
      </c>
      <c r="AD159" t="str">
        <f t="shared" si="8"/>
        <v/>
      </c>
      <c r="AE159" t="str">
        <f t="shared" si="9"/>
        <v/>
      </c>
      <c r="AF159" t="str">
        <f t="shared" si="10"/>
        <v/>
      </c>
      <c r="AG159" t="str">
        <f t="shared" si="11"/>
        <v/>
      </c>
      <c r="AH159" t="str">
        <f t="shared" si="12"/>
        <v/>
      </c>
      <c r="AI159" s="59" t="str">
        <f t="shared" si="13"/>
        <v/>
      </c>
      <c r="AJ159" t="str">
        <f t="shared" si="14"/>
        <v/>
      </c>
      <c r="AK159" t="str">
        <f t="shared" si="15"/>
        <v/>
      </c>
    </row>
    <row r="160" spans="2:37">
      <c r="B160" s="57" t="s">
        <v>1620</v>
      </c>
      <c r="C160" t="str">
        <f>IF(Principal1_First_Name="","",CONCATENATE(Principal1_First_Name," ",Principal1_Last_Name))</f>
        <v/>
      </c>
      <c r="D160" t="str">
        <f t="shared" si="18"/>
        <v/>
      </c>
      <c r="E160" t="str">
        <f>IF(C160="","","")</f>
        <v/>
      </c>
      <c r="F160" t="str">
        <f>IF(Principal1_Email="","",Principal1_Email)</f>
        <v/>
      </c>
      <c r="G160" t="str">
        <f>IF(Principal1_Address="","",Principal1_Address)</f>
        <v/>
      </c>
      <c r="H160" t="str">
        <f>IF(Principal1_City="","",Principal1_City)</f>
        <v/>
      </c>
      <c r="I160" t="str">
        <f>IF(Principal1_State="","",Principal1_State)</f>
        <v/>
      </c>
      <c r="J160" t="str">
        <f>IF(Principal1_Zip="","",Principal1_Zip)</f>
        <v/>
      </c>
      <c r="K160" t="str">
        <f>IF(Principal1_Telephone="","",Principal1_Telephone)</f>
        <v/>
      </c>
      <c r="L160" t="str" cm="1">
        <f t="array" ref="L160">IFERROR(INDEX($C$133:$C$162,SMALL(IF($C$133:$C$162&lt;&gt;"",ROW($C$133:$C$162)-ROW($C$133)+1),28)),"")</f>
        <v/>
      </c>
      <c r="M160" s="68" t="str" cm="1">
        <f t="array" aca="1" ref="M160" ca="1">CELL("contents",INDEX($C$133:$E$162,MATCH(L160,$C$133:$C$162,0),2))</f>
        <v/>
      </c>
      <c r="N160" s="68" t="str" cm="1">
        <f t="array" aca="1" ref="N160" ca="1">IF(CELL("contents",INDEX($C$133:$E$162,MATCH(L160,$C$133:$C$162,0),3))=0,"",CELL("contents",INDEX($C$133:$E$162,MATCH(L160,$C$133:$C$162,0),3)))</f>
        <v/>
      </c>
      <c r="O160" t="str">
        <f t="shared" ca="1" si="2"/>
        <v/>
      </c>
      <c r="P160" t="str">
        <f t="shared" ca="1" si="3"/>
        <v/>
      </c>
      <c r="Q160" t="str">
        <f t="shared" ca="1" si="4"/>
        <v/>
      </c>
      <c r="R160" t="str" cm="1">
        <f t="array" aca="1" ref="R160" ca="1">IF(CELL("contents",INDEX($C$133:$K$162,MATCH(L160,$C$133:$C$162,0),4))=0,"",CELL("contents",INDEX($C$133:$K$162,MATCH(L160,$C$133:$C$162,0),4)))</f>
        <v/>
      </c>
      <c r="S160" t="str" cm="1">
        <f t="array" aca="1" ref="S160" ca="1">IF(CELL("contents",INDEX($C$133:$K$162,MATCH(L160,$C$133:$C$162,0),5))=0,"",CELL("contents",INDEX($C$133:$K$162,MATCH(L160,$C$133:$C$162,0),5)))</f>
        <v/>
      </c>
      <c r="T160" t="str" cm="1">
        <f t="array" aca="1" ref="T160" ca="1">IF(CELL("contents",INDEX($C$133:$K$162,MATCH(L160,$C$133:$C$162,0),6))=0,"",CELL("contents",INDEX($C$133:$K$162,MATCH(L160,$C$133:$C$162,0),6)))</f>
        <v/>
      </c>
      <c r="U160" s="59" t="str" cm="1">
        <f t="array" aca="1" ref="U160" ca="1">IF(CELL("contents",INDEX($C$133:$K$162,MATCH(L160,$C$133:$C$162,0),7))=0,"",CELL("contents",INDEX($C$133:$K$162,MATCH(L160,$C$133:$C$162,0),7)))</f>
        <v/>
      </c>
      <c r="V160" t="str" cm="1">
        <f t="array" aca="1" ref="V160" ca="1">IF(CELL("contents",INDEX($C$133:$K$162,MATCH(L160,$C$133:$C$162,0),8))=0,"",CELL("contents",INDEX($C$133:$K$162,MATCH(L160,$C$133:$C$162,0),8)))</f>
        <v/>
      </c>
      <c r="W160" t="str" cm="1">
        <f t="array" aca="1" ref="W160" ca="1">IF(CELL("contents",INDEX($C$133:$K$162,MATCH(L160,$C$133:$C$162,0),9))=0,"",CELL("contents",INDEX($C$133:$K$162,MATCH(L160,$C$133:$C$162,0),9)))</f>
        <v/>
      </c>
      <c r="X160" s="232"/>
      <c r="Z160" s="57" t="s">
        <v>1620</v>
      </c>
      <c r="AA160" t="str">
        <f t="shared" si="5"/>
        <v/>
      </c>
      <c r="AB160" s="59" t="str">
        <f t="shared" si="6"/>
        <v/>
      </c>
      <c r="AC160" s="59" t="str">
        <f t="shared" si="7"/>
        <v/>
      </c>
      <c r="AD160" t="str">
        <f t="shared" si="8"/>
        <v/>
      </c>
      <c r="AE160" t="str">
        <f t="shared" si="9"/>
        <v/>
      </c>
      <c r="AF160" t="str">
        <f t="shared" si="10"/>
        <v/>
      </c>
      <c r="AG160" t="str">
        <f t="shared" si="11"/>
        <v/>
      </c>
      <c r="AH160" t="str">
        <f t="shared" si="12"/>
        <v/>
      </c>
      <c r="AI160" s="59" t="str">
        <f t="shared" si="13"/>
        <v/>
      </c>
      <c r="AJ160" t="str">
        <f t="shared" si="14"/>
        <v/>
      </c>
      <c r="AK160" t="str">
        <f t="shared" si="15"/>
        <v/>
      </c>
    </row>
    <row r="161" spans="1:37">
      <c r="B161" s="57" t="s">
        <v>1621</v>
      </c>
      <c r="C161" t="str">
        <f>IF(Principal2_First_Name="","",CONCATENATE(Principal2_First_Name," ",Principal2_Last_Name))</f>
        <v/>
      </c>
      <c r="D161" t="str">
        <f t="shared" si="18"/>
        <v/>
      </c>
      <c r="E161" t="str">
        <f>IF(C161="","","")</f>
        <v/>
      </c>
      <c r="F161" t="str">
        <f>IF(Principal2_Email="","",Principal2_Email)</f>
        <v/>
      </c>
      <c r="G161" t="str">
        <f>IF(Principal2_Address="","",Principal2_Address)</f>
        <v/>
      </c>
      <c r="H161" t="str">
        <f>IF(Principal2_City="","",Principal2_City)</f>
        <v/>
      </c>
      <c r="I161" t="str">
        <f>IF(Principal2_State="","",Principal2_State)</f>
        <v/>
      </c>
      <c r="J161" t="str">
        <f>IF(Principal2_Zip="","",Principal2_Zip)</f>
        <v/>
      </c>
      <c r="K161" t="str">
        <f>IF(Principal2_Telephone="","",Principal2_Telephone)</f>
        <v/>
      </c>
      <c r="L161" t="str" cm="1">
        <f t="array" ref="L161">IFERROR(INDEX($C$133:$C$162,SMALL(IF($C$133:$C$162&lt;&gt;"",ROW($C$133:$C$162)-ROW($C$133)+1),29)),"")</f>
        <v/>
      </c>
      <c r="M161" s="68" t="str" cm="1">
        <f t="array" aca="1" ref="M161" ca="1">CELL("contents",INDEX($C$133:$E$162,MATCH(L161,$C$133:$C$162,0),2))</f>
        <v/>
      </c>
      <c r="N161" s="68" t="str" cm="1">
        <f t="array" aca="1" ref="N161" ca="1">IF(CELL("contents",INDEX($C$133:$E$162,MATCH(L161,$C$133:$C$162,0),3))=0,"",CELL("contents",INDEX($C$133:$E$162,MATCH(L161,$C$133:$C$162,0),3)))</f>
        <v/>
      </c>
      <c r="O161" t="str">
        <f t="shared" ca="1" si="2"/>
        <v/>
      </c>
      <c r="P161" t="str">
        <f t="shared" ca="1" si="3"/>
        <v/>
      </c>
      <c r="Q161" t="str">
        <f t="shared" ca="1" si="4"/>
        <v/>
      </c>
      <c r="R161" t="str" cm="1">
        <f t="array" aca="1" ref="R161" ca="1">IF(CELL("contents",INDEX($C$133:$K$162,MATCH(L161,$C$133:$C$162,0),4))=0,"",CELL("contents",INDEX($C$133:$K$162,MATCH(L161,$C$133:$C$162,0),4)))</f>
        <v/>
      </c>
      <c r="S161" t="str" cm="1">
        <f t="array" aca="1" ref="S161" ca="1">IF(CELL("contents",INDEX($C$133:$K$162,MATCH(L161,$C$133:$C$162,0),5))=0,"",CELL("contents",INDEX($C$133:$K$162,MATCH(L161,$C$133:$C$162,0),5)))</f>
        <v/>
      </c>
      <c r="T161" t="str" cm="1">
        <f t="array" aca="1" ref="T161" ca="1">IF(CELL("contents",INDEX($C$133:$K$162,MATCH(L161,$C$133:$C$162,0),6))=0,"",CELL("contents",INDEX($C$133:$K$162,MATCH(L161,$C$133:$C$162,0),6)))</f>
        <v/>
      </c>
      <c r="U161" s="59" t="str" cm="1">
        <f t="array" aca="1" ref="U161" ca="1">IF(CELL("contents",INDEX($C$133:$K$162,MATCH(L161,$C$133:$C$162,0),7))=0,"",CELL("contents",INDEX($C$133:$K$162,MATCH(L161,$C$133:$C$162,0),7)))</f>
        <v/>
      </c>
      <c r="V161" t="str" cm="1">
        <f t="array" aca="1" ref="V161" ca="1">IF(CELL("contents",INDEX($C$133:$K$162,MATCH(L161,$C$133:$C$162,0),8))=0,"",CELL("contents",INDEX($C$133:$K$162,MATCH(L161,$C$133:$C$162,0),8)))</f>
        <v/>
      </c>
      <c r="W161" t="str" cm="1">
        <f t="array" aca="1" ref="W161" ca="1">IF(CELL("contents",INDEX($C$133:$K$162,MATCH(L161,$C$133:$C$162,0),9))=0,"",CELL("contents",INDEX($C$133:$K$162,MATCH(L161,$C$133:$C$162,0),9)))</f>
        <v/>
      </c>
      <c r="X161" s="232"/>
      <c r="Z161" s="57" t="s">
        <v>1621</v>
      </c>
      <c r="AA161" t="str">
        <f t="shared" si="5"/>
        <v/>
      </c>
      <c r="AB161" s="59" t="str">
        <f t="shared" si="6"/>
        <v/>
      </c>
      <c r="AC161" s="59" t="str">
        <f t="shared" si="7"/>
        <v/>
      </c>
      <c r="AD161" t="str">
        <f t="shared" si="8"/>
        <v/>
      </c>
      <c r="AE161" t="str">
        <f t="shared" si="9"/>
        <v/>
      </c>
      <c r="AF161" t="str">
        <f t="shared" si="10"/>
        <v/>
      </c>
      <c r="AG161" t="str">
        <f t="shared" si="11"/>
        <v/>
      </c>
      <c r="AH161" t="str">
        <f t="shared" si="12"/>
        <v/>
      </c>
      <c r="AI161" s="59" t="str">
        <f t="shared" si="13"/>
        <v/>
      </c>
      <c r="AJ161" t="str">
        <f t="shared" si="14"/>
        <v/>
      </c>
      <c r="AK161" t="str">
        <f t="shared" si="15"/>
        <v/>
      </c>
    </row>
    <row r="162" spans="1:37">
      <c r="B162" s="57" t="s">
        <v>1622</v>
      </c>
      <c r="C162" t="str">
        <f>IF(Principal3_First_Name="","",CONCATENATE(Principal3_First_Name," ",Principal3_Last_Name))</f>
        <v/>
      </c>
      <c r="D162" t="str">
        <f t="shared" si="18"/>
        <v/>
      </c>
      <c r="E162" t="str">
        <f>IF(C162="","","")</f>
        <v/>
      </c>
      <c r="F162" t="str">
        <f>IF(Principal3_Email="","",Principal3_Email)</f>
        <v/>
      </c>
      <c r="G162" t="str">
        <f>IF(Principal3_Address="","",Principal3_Address)</f>
        <v/>
      </c>
      <c r="H162" t="str">
        <f>IF(Principal3_City="","",Principal3_City)</f>
        <v/>
      </c>
      <c r="I162" t="str">
        <f>IF(Principal3_State="","",Principal3_State)</f>
        <v/>
      </c>
      <c r="J162" t="str">
        <f>IF(Principal3_Zip="","",Principal3_Zip)</f>
        <v/>
      </c>
      <c r="K162" t="str">
        <f>IF(Principal3_Telephone="","",Principal3_Telephone)</f>
        <v/>
      </c>
      <c r="L162" t="str" cm="1">
        <f t="array" ref="L162">IFERROR(INDEX($C$133:$C$162,SMALL(IF($C$133:$C$162&lt;&gt;"",ROW($C$133:$C$162)-ROW($C$133)+1),30)),"")</f>
        <v/>
      </c>
      <c r="M162" s="68" t="str" cm="1">
        <f t="array" aca="1" ref="M162" ca="1">CELL("contents",INDEX($C$133:$E$162,MATCH(L162,$C$133:$C$162,0),2))</f>
        <v/>
      </c>
      <c r="N162" s="68" t="str" cm="1">
        <f t="array" aca="1" ref="N162" ca="1">IF(CELL("contents",INDEX($C$133:$E$162,MATCH(L162,$C$133:$C$162,0),3))=0,"",CELL("contents",INDEX($C$133:$E$162,MATCH(L162,$C$133:$C$162,0),3)))</f>
        <v/>
      </c>
      <c r="O162" t="str">
        <f t="shared" ca="1" si="2"/>
        <v/>
      </c>
      <c r="P162" t="str">
        <f t="shared" ca="1" si="3"/>
        <v/>
      </c>
      <c r="Q162" t="str">
        <f t="shared" ca="1" si="4"/>
        <v/>
      </c>
      <c r="R162" t="str" cm="1">
        <f t="array" aca="1" ref="R162" ca="1">IF(CELL("contents",INDEX($C$133:$K$162,MATCH(L162,$C$133:$C$162,0),4))=0,"",CELL("contents",INDEX($C$133:$K$162,MATCH(L162,$C$133:$C$162,0),4)))</f>
        <v/>
      </c>
      <c r="S162" t="str" cm="1">
        <f t="array" aca="1" ref="S162" ca="1">IF(CELL("contents",INDEX($C$133:$K$162,MATCH(L162,$C$133:$C$162,0),5))=0,"",CELL("contents",INDEX($C$133:$K$162,MATCH(L162,$C$133:$C$162,0),5)))</f>
        <v/>
      </c>
      <c r="T162" t="str" cm="1">
        <f t="array" aca="1" ref="T162" ca="1">IF(CELL("contents",INDEX($C$133:$K$162,MATCH(L162,$C$133:$C$162,0),6))=0,"",CELL("contents",INDEX($C$133:$K$162,MATCH(L162,$C$133:$C$162,0),6)))</f>
        <v/>
      </c>
      <c r="U162" s="59" t="str" cm="1">
        <f t="array" aca="1" ref="U162" ca="1">IF(CELL("contents",INDEX($C$133:$K$162,MATCH(L162,$C$133:$C$162,0),7))=0,"",CELL("contents",INDEX($C$133:$K$162,MATCH(L162,$C$133:$C$162,0),7)))</f>
        <v/>
      </c>
      <c r="V162" t="str" cm="1">
        <f t="array" aca="1" ref="V162" ca="1">IF(CELL("contents",INDEX($C$133:$K$162,MATCH(L162,$C$133:$C$162,0),8))=0,"",CELL("contents",INDEX($C$133:$K$162,MATCH(L162,$C$133:$C$162,0),8)))</f>
        <v/>
      </c>
      <c r="W162" t="str" cm="1">
        <f t="array" aca="1" ref="W162" ca="1">IF(CELL("contents",INDEX($C$133:$K$162,MATCH(L162,$C$133:$C$162,0),9))=0,"",CELL("contents",INDEX($C$133:$K$162,MATCH(L162,$C$133:$C$162,0),9)))</f>
        <v/>
      </c>
      <c r="X162" s="232"/>
      <c r="Z162" s="57" t="s">
        <v>1622</v>
      </c>
      <c r="AA162" t="str">
        <f t="shared" si="5"/>
        <v/>
      </c>
      <c r="AB162" s="59" t="str">
        <f t="shared" si="6"/>
        <v/>
      </c>
      <c r="AC162" s="59" t="str">
        <f t="shared" si="7"/>
        <v/>
      </c>
      <c r="AD162" t="str">
        <f t="shared" si="8"/>
        <v/>
      </c>
      <c r="AE162" t="str">
        <f t="shared" si="9"/>
        <v/>
      </c>
      <c r="AF162" t="str">
        <f t="shared" si="10"/>
        <v/>
      </c>
      <c r="AG162" t="str">
        <f t="shared" si="11"/>
        <v/>
      </c>
      <c r="AH162" t="str">
        <f t="shared" si="12"/>
        <v/>
      </c>
      <c r="AI162" s="59" t="str">
        <f t="shared" si="13"/>
        <v/>
      </c>
      <c r="AJ162" t="str">
        <f t="shared" si="14"/>
        <v/>
      </c>
      <c r="AK162" t="str">
        <f t="shared" si="15"/>
        <v/>
      </c>
    </row>
    <row r="163" spans="1:37">
      <c r="X163" s="232"/>
      <c r="AA163" s="59"/>
    </row>
    <row r="164" spans="1:37">
      <c r="X164" s="232"/>
      <c r="AA164" s="59"/>
    </row>
    <row r="165" spans="1:37">
      <c r="B165" s="46" t="s">
        <v>1623</v>
      </c>
      <c r="C165" s="59" t="str">
        <f>IF(MA_Identity_of_Interest?="","",MA_Identity_of_Interest?)</f>
        <v/>
      </c>
      <c r="X165" s="232"/>
      <c r="AA165" s="59"/>
    </row>
    <row r="166" spans="1:37">
      <c r="B166" s="46" t="s">
        <v>1624</v>
      </c>
      <c r="C166" s="59" t="str">
        <f>IF(Consultant_Identity_of_Interest?="","",Consultant_Identity_of_Interest?)</f>
        <v/>
      </c>
      <c r="X166" s="232"/>
      <c r="AA166" s="59"/>
    </row>
    <row r="167" spans="1:37">
      <c r="B167" s="46" t="s">
        <v>1625</v>
      </c>
      <c r="C167" s="59" t="str">
        <f>IF(Contractor_Identity_of_Interest?="","",Contractor_Identity_of_Interest?)</f>
        <v/>
      </c>
      <c r="X167" s="232"/>
      <c r="AA167" s="59"/>
    </row>
    <row r="168" spans="1:37">
      <c r="B168" s="46" t="s">
        <v>1626</v>
      </c>
      <c r="C168" s="59" t="str">
        <f>IF(Syndicator_Identity_of_Interest?="","",Syndicator_Identity_of_Interest?)</f>
        <v/>
      </c>
      <c r="X168" s="232"/>
      <c r="AA168" s="59"/>
    </row>
    <row r="169" spans="1:37">
      <c r="B169" s="46" t="s">
        <v>1627</v>
      </c>
      <c r="C169" s="59" t="str">
        <f>IF(DA_Identity_of_Interest?="","",DA_Identity_of_Interest?)</f>
        <v/>
      </c>
      <c r="X169" s="232"/>
      <c r="AA169" s="59"/>
    </row>
    <row r="170" spans="1:37">
      <c r="B170" s="46" t="s">
        <v>1628</v>
      </c>
      <c r="C170" s="59" t="str">
        <f>IF(Architect_Identity_of_Interest?="","",Architect_Identity_of_Interest?)</f>
        <v/>
      </c>
      <c r="X170" s="232"/>
      <c r="AA170" s="59"/>
    </row>
    <row r="171" spans="1:37">
      <c r="B171" s="46" t="s">
        <v>1629</v>
      </c>
      <c r="C171" s="59" t="str">
        <f>IF(Attorney_Identity_of_Interest?="","",Attorney_Identity_of_Interest?)</f>
        <v/>
      </c>
      <c r="X171" s="232"/>
      <c r="AA171" s="59"/>
    </row>
    <row r="172" spans="1:37">
      <c r="B172" s="46" t="s">
        <v>1630</v>
      </c>
      <c r="C172" s="59" t="str">
        <f>IF(Accountant_Identity_of_Interest?="","",Accountant_Identity_of_Interest?)</f>
        <v/>
      </c>
      <c r="X172" s="232"/>
      <c r="AA172" s="59"/>
    </row>
    <row r="173" spans="1:37">
      <c r="X173" s="232"/>
      <c r="AA173" s="59"/>
    </row>
    <row r="174" spans="1:37">
      <c r="A174" s="48" t="s">
        <v>1631</v>
      </c>
      <c r="X174" s="232"/>
      <c r="AA174" s="59"/>
    </row>
    <row r="175" spans="1:37">
      <c r="B175" t="s">
        <v>1632</v>
      </c>
      <c r="C175" t="str">
        <f>IF(Community_Building="Yes","True","False")</f>
        <v>False</v>
      </c>
      <c r="D175" t="s">
        <v>1633</v>
      </c>
      <c r="F175" t="s">
        <v>1634</v>
      </c>
      <c r="H175" t="s">
        <v>1635</v>
      </c>
      <c r="I175">
        <f>Community_Room___Sq._Ft.</f>
        <v>0</v>
      </c>
      <c r="X175" s="232"/>
      <c r="Y175" t="s">
        <v>1632</v>
      </c>
      <c r="Z175" s="57" t="str">
        <f>IF($Z$2="","",C175)</f>
        <v/>
      </c>
      <c r="AA175" s="59" t="s">
        <v>1633</v>
      </c>
      <c r="AB175" t="str">
        <f>IF($Z$2="","",E175)</f>
        <v/>
      </c>
      <c r="AC175" t="s">
        <v>1634</v>
      </c>
      <c r="AD175" t="str">
        <f>IF($Z$2="","",L175)</f>
        <v/>
      </c>
    </row>
    <row r="176" spans="1:37">
      <c r="B176" t="s">
        <v>1636</v>
      </c>
      <c r="C176" t="str">
        <f>IF(Community_Room="Yes","True","False")</f>
        <v>False</v>
      </c>
      <c r="D176" t="s">
        <v>1637</v>
      </c>
      <c r="F176" t="s">
        <v>1638</v>
      </c>
      <c r="H176" t="s">
        <v>1639</v>
      </c>
      <c r="I176">
        <f>Number_Surface_Parking</f>
        <v>0</v>
      </c>
      <c r="L176" t="str">
        <f>IF(Walking_Trails="Yes","True","False")</f>
        <v>False</v>
      </c>
      <c r="N176" s="157" t="s">
        <v>1640</v>
      </c>
      <c r="O176">
        <f>'11. Unit Mix'!G74</f>
        <v>0</v>
      </c>
      <c r="P176">
        <f>IF('11. Unit Mix'!J74="Other - please note in comment box","Other",'11. Unit Mix'!J74)</f>
        <v>0</v>
      </c>
      <c r="X176" s="232"/>
      <c r="Y176" t="s">
        <v>1636</v>
      </c>
      <c r="Z176" s="57" t="str">
        <f t="shared" ref="Z176:Z181" si="19">IF($Z$2="","",C176)</f>
        <v/>
      </c>
      <c r="AA176" s="59" t="s">
        <v>1637</v>
      </c>
      <c r="AB176" t="str">
        <f t="shared" ref="AB176:AB188" si="20">IF($Z$2="","",E176)</f>
        <v/>
      </c>
      <c r="AC176" t="s">
        <v>1638</v>
      </c>
      <c r="AD176" t="str">
        <f t="shared" ref="AD176:AD180" si="21">IF($Z$2="","",L176)</f>
        <v/>
      </c>
    </row>
    <row r="177" spans="1:30">
      <c r="B177" t="s">
        <v>1641</v>
      </c>
      <c r="C177" t="str">
        <f>IF(Garages="Yes","True","False")</f>
        <v>False</v>
      </c>
      <c r="D177" t="s">
        <v>1642</v>
      </c>
      <c r="E177" t="str">
        <f>IF(Media_Center_Room="Yes","True","False")</f>
        <v>False</v>
      </c>
      <c r="F177" t="s">
        <v>1643</v>
      </c>
      <c r="H177" t="s">
        <v>1644</v>
      </c>
      <c r="I177">
        <f>Number_Underground_Parking+Number_Garages</f>
        <v>0</v>
      </c>
      <c r="N177" s="157" t="s">
        <v>240</v>
      </c>
      <c r="O177">
        <f>'11. Unit Mix'!G75</f>
        <v>0</v>
      </c>
      <c r="P177">
        <f>IF('11. Unit Mix'!J75="Other - please note in comment box","Other",'11. Unit Mix'!J75)</f>
        <v>0</v>
      </c>
      <c r="X177" s="232"/>
      <c r="Y177" t="s">
        <v>1641</v>
      </c>
      <c r="Z177" s="57" t="str">
        <f t="shared" si="19"/>
        <v/>
      </c>
      <c r="AA177" s="59" t="s">
        <v>1642</v>
      </c>
      <c r="AB177" t="str">
        <f t="shared" si="20"/>
        <v/>
      </c>
      <c r="AC177" t="s">
        <v>1643</v>
      </c>
      <c r="AD177" t="str">
        <f t="shared" si="21"/>
        <v/>
      </c>
    </row>
    <row r="178" spans="1:30">
      <c r="B178" t="s">
        <v>1645</v>
      </c>
      <c r="C178" t="str">
        <f>IF(Surface_Parking="Yes","True","False")</f>
        <v>False</v>
      </c>
      <c r="D178" t="s">
        <v>1646</v>
      </c>
      <c r="F178" t="s">
        <v>1647</v>
      </c>
      <c r="H178" t="s">
        <v>1648</v>
      </c>
      <c r="I178" s="67" t="str">
        <f>IF(Rent_Surface_Parking="","",ROUND(Surface_Rent_Per_Year,0))</f>
        <v/>
      </c>
      <c r="N178" s="157" t="s">
        <v>241</v>
      </c>
      <c r="O178">
        <f>'11. Unit Mix'!G76</f>
        <v>0</v>
      </c>
      <c r="P178">
        <f>IF('11. Unit Mix'!J76="Other - please note in comment box","Other",'11. Unit Mix'!J76)</f>
        <v>0</v>
      </c>
      <c r="X178" s="232"/>
      <c r="Y178" t="str">
        <f>IF($Z$2="","",IF(Z178="False","","Surface Parking"))</f>
        <v/>
      </c>
      <c r="Z178" s="57" t="str">
        <f t="shared" si="19"/>
        <v/>
      </c>
      <c r="AA178" s="59" t="s">
        <v>1646</v>
      </c>
      <c r="AB178" t="str">
        <f t="shared" si="20"/>
        <v/>
      </c>
      <c r="AC178" t="s">
        <v>1647</v>
      </c>
      <c r="AD178" t="str">
        <f t="shared" si="21"/>
        <v/>
      </c>
    </row>
    <row r="179" spans="1:30">
      <c r="A179" s="346" t="s">
        <v>1649</v>
      </c>
      <c r="B179" t="str">
        <f>IF(Underground_Parking="Yes", "Underground Parking", "")</f>
        <v/>
      </c>
      <c r="C179" t="str">
        <f>IF(Underground_Parking="Yes","True","False")</f>
        <v>False</v>
      </c>
      <c r="D179" t="s">
        <v>1650</v>
      </c>
      <c r="F179" t="s">
        <v>1651</v>
      </c>
      <c r="H179" t="s">
        <v>1652</v>
      </c>
      <c r="I179" s="67" t="str">
        <f>IF(Rent_Underground_Parking="","",ROUND(Underground_Rent_Per_Year,0)+ROUND(Garage_Rent_Per_Year,0))</f>
        <v/>
      </c>
      <c r="L179">
        <f>Number_Garages+Number_Surface_Parking+Number_Underground_Parking</f>
        <v>0</v>
      </c>
      <c r="N179" s="157" t="s">
        <v>242</v>
      </c>
      <c r="O179">
        <f>'11. Unit Mix'!G77</f>
        <v>0</v>
      </c>
      <c r="P179">
        <f>IF('11. Unit Mix'!J78="Other - please note in comment box","Other",'11. Unit Mix'!J78)</f>
        <v>0</v>
      </c>
      <c r="X179" s="232"/>
      <c r="Y179" t="s">
        <v>1649</v>
      </c>
      <c r="Z179" s="57" t="str">
        <f t="shared" si="19"/>
        <v/>
      </c>
      <c r="AA179" s="59" t="s">
        <v>1650</v>
      </c>
      <c r="AB179" t="str">
        <f t="shared" si="20"/>
        <v/>
      </c>
      <c r="AC179" t="s">
        <v>1651</v>
      </c>
      <c r="AD179" t="str">
        <f t="shared" si="21"/>
        <v/>
      </c>
    </row>
    <row r="180" spans="1:30">
      <c r="B180" t="s">
        <v>1653</v>
      </c>
      <c r="C180" t="str">
        <f>IF(Laundry_Room="Yes","True","False")</f>
        <v>False</v>
      </c>
      <c r="D180" t="s">
        <v>1654</v>
      </c>
      <c r="E180" t="str">
        <f>IF(Playground="Yes","True","False")</f>
        <v>False</v>
      </c>
      <c r="X180" s="232"/>
      <c r="Y180" t="s">
        <v>1653</v>
      </c>
      <c r="Z180" s="57" t="str">
        <f t="shared" si="19"/>
        <v/>
      </c>
      <c r="AA180" s="59" t="s">
        <v>1654</v>
      </c>
      <c r="AB180" t="str">
        <f t="shared" si="20"/>
        <v/>
      </c>
      <c r="AD180" t="str">
        <f t="shared" si="21"/>
        <v/>
      </c>
    </row>
    <row r="181" spans="1:30">
      <c r="B181" t="s">
        <v>1655</v>
      </c>
      <c r="C181" t="str">
        <f>IF(Resident_Computer_Center="Yes","True","False")</f>
        <v>False</v>
      </c>
      <c r="D181" t="s">
        <v>1656</v>
      </c>
      <c r="X181" s="232"/>
      <c r="Y181" t="s">
        <v>1655</v>
      </c>
      <c r="Z181" s="57" t="str">
        <f t="shared" si="19"/>
        <v/>
      </c>
      <c r="AA181" s="59" t="s">
        <v>1656</v>
      </c>
      <c r="AB181" t="str">
        <f t="shared" si="20"/>
        <v/>
      </c>
    </row>
    <row r="182" spans="1:30">
      <c r="B182" t="s">
        <v>1657</v>
      </c>
      <c r="D182" t="s">
        <v>1658</v>
      </c>
      <c r="X182" s="232"/>
      <c r="Y182" t="s">
        <v>1657</v>
      </c>
      <c r="Z182" s="57" t="str">
        <f t="shared" ref="Z182:Z184" si="22">IF($Z$2="","",C183)</f>
        <v/>
      </c>
      <c r="AA182" s="59" t="s">
        <v>1658</v>
      </c>
      <c r="AB182" t="str">
        <f t="shared" si="20"/>
        <v/>
      </c>
    </row>
    <row r="183" spans="1:30">
      <c r="B183" t="s">
        <v>1659</v>
      </c>
      <c r="D183" t="s">
        <v>1660</v>
      </c>
      <c r="X183" s="232"/>
      <c r="Y183" t="s">
        <v>1659</v>
      </c>
      <c r="Z183" s="57" t="str">
        <f t="shared" si="22"/>
        <v/>
      </c>
      <c r="AA183" s="59" t="s">
        <v>1660</v>
      </c>
      <c r="AB183" t="str">
        <f t="shared" si="20"/>
        <v/>
      </c>
    </row>
    <row r="184" spans="1:30">
      <c r="B184" t="s">
        <v>1661</v>
      </c>
      <c r="D184" t="s">
        <v>1662</v>
      </c>
      <c r="X184" s="232"/>
      <c r="Y184" t="s">
        <v>1661</v>
      </c>
      <c r="Z184" s="57" t="str">
        <f t="shared" si="22"/>
        <v/>
      </c>
      <c r="AA184" s="59" t="s">
        <v>1662</v>
      </c>
      <c r="AB184" t="str">
        <f t="shared" si="20"/>
        <v/>
      </c>
    </row>
    <row r="185" spans="1:30" ht="48">
      <c r="B185" t="s">
        <v>1663</v>
      </c>
      <c r="D185" t="s">
        <v>1664</v>
      </c>
      <c r="E185" t="str">
        <f>IF(Exercise_Room="Yes","True","False")</f>
        <v>False</v>
      </c>
      <c r="H185" s="66" t="s">
        <v>1665</v>
      </c>
      <c r="I185" t="str">
        <f>IF(Describe_Differences_in_Low_income___Market_rate_Unit_Amenities="","",Describe_Differences_in_Low_income___Market_rate_Unit_Amenities)</f>
        <v/>
      </c>
      <c r="X185" s="232"/>
      <c r="Y185" t="s">
        <v>1663</v>
      </c>
      <c r="Z185" s="57" t="str">
        <f>IF($Z$2="","",C2324)</f>
        <v/>
      </c>
      <c r="AA185" t="s">
        <v>1664</v>
      </c>
      <c r="AB185" t="str">
        <f t="shared" si="20"/>
        <v/>
      </c>
    </row>
    <row r="186" spans="1:30">
      <c r="B186" t="s">
        <v>1666</v>
      </c>
      <c r="D186" t="s">
        <v>1667</v>
      </c>
      <c r="F186" t="s">
        <v>1668</v>
      </c>
      <c r="G186" t="b">
        <f>'11. Unit Mix'!C74="Yes"</f>
        <v>0</v>
      </c>
      <c r="X186" s="232"/>
      <c r="Y186" t="s">
        <v>1666</v>
      </c>
      <c r="Z186" s="57" t="str">
        <f>IF($Z$2="","",C2325)</f>
        <v/>
      </c>
      <c r="AA186" t="s">
        <v>1667</v>
      </c>
      <c r="AB186" t="str">
        <f t="shared" si="20"/>
        <v/>
      </c>
    </row>
    <row r="187" spans="1:30">
      <c r="B187" t="s">
        <v>1669</v>
      </c>
      <c r="C187" t="str">
        <f>IF(Security_Locked_Building="Yes","True","False")</f>
        <v>False</v>
      </c>
      <c r="D187" t="s">
        <v>1670</v>
      </c>
      <c r="F187" t="s">
        <v>1671</v>
      </c>
      <c r="G187" t="b">
        <f>'11. Unit Mix'!C75="Yes"</f>
        <v>0</v>
      </c>
      <c r="X187" s="232"/>
      <c r="Y187" t="s">
        <v>1669</v>
      </c>
      <c r="Z187" s="57" t="str">
        <f>IF($Z$2="","",C2326)</f>
        <v/>
      </c>
      <c r="AA187" t="s">
        <v>1670</v>
      </c>
      <c r="AB187" t="str">
        <f t="shared" si="20"/>
        <v/>
      </c>
    </row>
    <row r="188" spans="1:30">
      <c r="B188" t="s">
        <v>1672</v>
      </c>
      <c r="D188" t="s">
        <v>1673</v>
      </c>
      <c r="E188" t="str">
        <f>IF(Pool="Yes","True","False")</f>
        <v>False</v>
      </c>
      <c r="F188" t="s">
        <v>1674</v>
      </c>
      <c r="G188" t="b">
        <f>'11. Unit Mix'!C76="Yes"</f>
        <v>0</v>
      </c>
      <c r="X188" s="232"/>
      <c r="Y188" t="s">
        <v>1672</v>
      </c>
      <c r="Z188" s="57" t="str">
        <f>IF($Z$2="","",C2327)</f>
        <v/>
      </c>
      <c r="AA188" t="s">
        <v>1673</v>
      </c>
      <c r="AB188" t="str">
        <f t="shared" si="20"/>
        <v/>
      </c>
    </row>
    <row r="189" spans="1:30">
      <c r="F189" t="s">
        <v>1675</v>
      </c>
      <c r="G189" t="b">
        <f>'11. Unit Mix'!C77="Yes"</f>
        <v>0</v>
      </c>
      <c r="X189" s="232"/>
    </row>
    <row r="190" spans="1:30">
      <c r="B190" t="s">
        <v>1676</v>
      </c>
      <c r="C190" s="59" t="str">
        <f>IF(P176=0,"",P176)</f>
        <v/>
      </c>
      <c r="D190" t="s">
        <v>1677</v>
      </c>
      <c r="E190" s="59" t="str">
        <f>IF(P178=0,"",P178)</f>
        <v/>
      </c>
      <c r="F190" t="s">
        <v>1678</v>
      </c>
      <c r="G190" t="b">
        <f>'11. Unit Mix'!C78="Yes"</f>
        <v>0</v>
      </c>
      <c r="X190" s="232"/>
    </row>
    <row r="191" spans="1:30">
      <c r="B191" t="s">
        <v>1679</v>
      </c>
      <c r="C191" s="59" t="str">
        <f>IF(P177=0,"",P177)</f>
        <v/>
      </c>
      <c r="D191" t="s">
        <v>1680</v>
      </c>
      <c r="E191" s="59" t="str">
        <f>IF(P179=0,"",P179)</f>
        <v/>
      </c>
      <c r="F191" t="s">
        <v>1681</v>
      </c>
      <c r="G191" t="b">
        <f>'11. Unit Mix'!C80="Yes"</f>
        <v>0</v>
      </c>
      <c r="X191" s="232"/>
    </row>
    <row r="192" spans="1:30">
      <c r="B192" t="s">
        <v>1682</v>
      </c>
      <c r="C192" t="str">
        <f>IF(In_Unit_Internet_Access="Yes","True","False")</f>
        <v>False</v>
      </c>
      <c r="F192" t="s">
        <v>1683</v>
      </c>
      <c r="G192" t="b">
        <f>'11. Unit Mix'!C81="Yes"</f>
        <v>0</v>
      </c>
      <c r="X192" s="232"/>
    </row>
    <row r="193" spans="1:38">
      <c r="F193" t="s">
        <v>1684</v>
      </c>
      <c r="G193" t="b">
        <f>'11. Unit Mix'!C83="Yes"</f>
        <v>0</v>
      </c>
      <c r="X193" s="232"/>
    </row>
    <row r="194" spans="1:38">
      <c r="F194" t="s">
        <v>1685</v>
      </c>
      <c r="G194" t="b">
        <f>'11. Unit Mix'!C79="Yes"</f>
        <v>0</v>
      </c>
      <c r="X194" s="232"/>
    </row>
    <row r="195" spans="1:38">
      <c r="X195" s="232"/>
    </row>
    <row r="196" spans="1:38">
      <c r="H196" s="590"/>
      <c r="X196" s="232"/>
    </row>
    <row r="197" spans="1:38">
      <c r="A197" s="48" t="s">
        <v>184</v>
      </c>
      <c r="B197" t="s">
        <v>1686</v>
      </c>
      <c r="C197" t="str">
        <f ca="1">'Unit Mix Helper'!F5</f>
        <v/>
      </c>
      <c r="D197" t="s">
        <v>1687</v>
      </c>
      <c r="E197">
        <f>UM_Bathrooms_1</f>
        <v>0</v>
      </c>
      <c r="G197" t="s">
        <v>1688</v>
      </c>
      <c r="H197" s="59" t="str">
        <f ca="1">IF(L197="","",C197&amp;" Bedroom")</f>
        <v/>
      </c>
      <c r="I197" t="s">
        <v>1689</v>
      </c>
      <c r="J197" t="str">
        <f ca="1">'Unit Mix Helper'!G5</f>
        <v/>
      </c>
      <c r="K197" t="s">
        <v>1690</v>
      </c>
      <c r="L197" t="str">
        <f ca="1">'Unit Mix Helper'!H5</f>
        <v/>
      </c>
      <c r="M197" t="s">
        <v>1691</v>
      </c>
      <c r="N197" t="str">
        <f ca="1">'Unit Mix Helper'!J5</f>
        <v/>
      </c>
      <c r="O197" t="s">
        <v>1692</v>
      </c>
      <c r="P197" s="59" t="str">
        <f ca="1">IF(L197="","",TRIM(TEXT('Unit Mix Helper'!I5,"#0%")))</f>
        <v/>
      </c>
      <c r="Q197" t="s">
        <v>1693</v>
      </c>
      <c r="R197" t="str">
        <f t="shared" ref="R197:R228" ca="1" si="23">IF(ISERROR(J197*L197),"",J197*L197)</f>
        <v/>
      </c>
      <c r="W197" s="69"/>
      <c r="X197" s="232"/>
      <c r="Y197" t="s">
        <v>1688</v>
      </c>
      <c r="Z197" s="64" t="str">
        <f t="shared" ref="Z197:Z228" si="24">IF($Z$2="","",IF(H197="","",H197))</f>
        <v/>
      </c>
      <c r="AA197" t="s">
        <v>1694</v>
      </c>
      <c r="AB197" s="59" t="str">
        <f>IF($Z$2="","",IF(Z197="","",'Unit Mix Helper'!K5))</f>
        <v/>
      </c>
      <c r="AC197" t="s">
        <v>1695</v>
      </c>
      <c r="AD197" s="56" t="str">
        <f t="shared" ref="AD197:AD228" si="25">IF($Z$2="","",IF(N197="","",N197))</f>
        <v/>
      </c>
      <c r="AE197" t="s">
        <v>1696</v>
      </c>
      <c r="AF197" t="str">
        <f t="shared" ref="AF197:AF228" si="26">IF($Z$2="","",IF(J197="","",J197))</f>
        <v/>
      </c>
      <c r="AG197" t="s">
        <v>1697</v>
      </c>
      <c r="AH197" t="str">
        <f t="shared" ref="AH197:AH228" si="27">IF($Z$2="","",IF(L197="","",L197))</f>
        <v/>
      </c>
      <c r="AI197" t="s">
        <v>1698</v>
      </c>
      <c r="AK197" t="s">
        <v>1699</v>
      </c>
      <c r="AL197" s="59" t="str">
        <f t="shared" ref="AL197:AL228" si="28">IF($Z$2="","",P197)</f>
        <v/>
      </c>
    </row>
    <row r="198" spans="1:38">
      <c r="B198" t="s">
        <v>1700</v>
      </c>
      <c r="C198" t="str">
        <f ca="1">'Unit Mix Helper'!F6</f>
        <v/>
      </c>
      <c r="D198" t="s">
        <v>1701</v>
      </c>
      <c r="E198">
        <f>UM_Bathrooms_2</f>
        <v>0</v>
      </c>
      <c r="G198" t="s">
        <v>1702</v>
      </c>
      <c r="H198" s="59" t="str">
        <f t="shared" ref="H198:H259" ca="1" si="29">IF(L198="","",C198&amp;" Bedroom")</f>
        <v/>
      </c>
      <c r="I198" t="s">
        <v>1703</v>
      </c>
      <c r="J198" t="str">
        <f ca="1">'Unit Mix Helper'!G6</f>
        <v/>
      </c>
      <c r="K198" t="s">
        <v>1704</v>
      </c>
      <c r="L198" t="str">
        <f ca="1">'Unit Mix Helper'!H6</f>
        <v/>
      </c>
      <c r="M198" t="s">
        <v>1705</v>
      </c>
      <c r="N198" t="str">
        <f ca="1">'Unit Mix Helper'!J6</f>
        <v/>
      </c>
      <c r="O198" t="s">
        <v>1706</v>
      </c>
      <c r="P198" s="59" t="str">
        <f ca="1">IF(L198="","",TRIM(TEXT('Unit Mix Helper'!I6,"#0%")))</f>
        <v/>
      </c>
      <c r="Q198" t="s">
        <v>1707</v>
      </c>
      <c r="R198" t="str">
        <f t="shared" ca="1" si="23"/>
        <v/>
      </c>
      <c r="W198" s="69"/>
      <c r="X198" s="232"/>
      <c r="Y198" t="s">
        <v>1702</v>
      </c>
      <c r="Z198" s="64" t="str">
        <f t="shared" si="24"/>
        <v/>
      </c>
      <c r="AA198" t="s">
        <v>1708</v>
      </c>
      <c r="AB198" s="59" t="str">
        <f>IF($Z$2="","",IF(Z198="","",'Unit Mix Helper'!K6))</f>
        <v/>
      </c>
      <c r="AC198" t="s">
        <v>1709</v>
      </c>
      <c r="AD198" s="56" t="str">
        <f t="shared" si="25"/>
        <v/>
      </c>
      <c r="AE198" t="s">
        <v>1710</v>
      </c>
      <c r="AF198" t="str">
        <f t="shared" si="26"/>
        <v/>
      </c>
      <c r="AG198" t="s">
        <v>1711</v>
      </c>
      <c r="AH198" t="str">
        <f t="shared" si="27"/>
        <v/>
      </c>
      <c r="AI198" t="s">
        <v>1712</v>
      </c>
      <c r="AK198" t="s">
        <v>1713</v>
      </c>
      <c r="AL198" s="59" t="str">
        <f t="shared" si="28"/>
        <v/>
      </c>
    </row>
    <row r="199" spans="1:38">
      <c r="B199" t="s">
        <v>1714</v>
      </c>
      <c r="C199" t="str">
        <f ca="1">'Unit Mix Helper'!F7</f>
        <v/>
      </c>
      <c r="D199" t="s">
        <v>1715</v>
      </c>
      <c r="E199">
        <f>UM_Bathrooms_3</f>
        <v>0</v>
      </c>
      <c r="G199" t="s">
        <v>1716</v>
      </c>
      <c r="H199" s="59" t="str">
        <f t="shared" ca="1" si="29"/>
        <v/>
      </c>
      <c r="I199" t="s">
        <v>1717</v>
      </c>
      <c r="J199" t="str">
        <f ca="1">'Unit Mix Helper'!G7</f>
        <v/>
      </c>
      <c r="K199" t="s">
        <v>1718</v>
      </c>
      <c r="L199" t="str">
        <f ca="1">'Unit Mix Helper'!H7</f>
        <v/>
      </c>
      <c r="M199" t="s">
        <v>1719</v>
      </c>
      <c r="N199" t="str">
        <f ca="1">'Unit Mix Helper'!J7</f>
        <v/>
      </c>
      <c r="O199" t="s">
        <v>1720</v>
      </c>
      <c r="P199" s="59" t="str">
        <f ca="1">IF(L199="","",TRIM(TEXT('Unit Mix Helper'!I7,"#0%")))</f>
        <v/>
      </c>
      <c r="Q199" t="s">
        <v>1721</v>
      </c>
      <c r="R199" t="str">
        <f t="shared" ca="1" si="23"/>
        <v/>
      </c>
      <c r="W199" s="69"/>
      <c r="X199" s="232"/>
      <c r="Y199" t="s">
        <v>1716</v>
      </c>
      <c r="Z199" s="64" t="str">
        <f t="shared" si="24"/>
        <v/>
      </c>
      <c r="AA199" t="s">
        <v>1722</v>
      </c>
      <c r="AB199" s="59" t="str">
        <f>IF($Z$2="","",IF(Z199="","",'Unit Mix Helper'!K7))</f>
        <v/>
      </c>
      <c r="AC199" t="s">
        <v>1723</v>
      </c>
      <c r="AD199" s="56" t="str">
        <f t="shared" si="25"/>
        <v/>
      </c>
      <c r="AE199" t="s">
        <v>1724</v>
      </c>
      <c r="AF199" t="str">
        <f t="shared" si="26"/>
        <v/>
      </c>
      <c r="AG199" t="s">
        <v>1725</v>
      </c>
      <c r="AH199" t="str">
        <f t="shared" si="27"/>
        <v/>
      </c>
      <c r="AI199" t="s">
        <v>1726</v>
      </c>
      <c r="AK199" t="s">
        <v>1727</v>
      </c>
      <c r="AL199" s="59" t="str">
        <f t="shared" si="28"/>
        <v/>
      </c>
    </row>
    <row r="200" spans="1:38">
      <c r="B200" t="s">
        <v>1728</v>
      </c>
      <c r="C200" t="str">
        <f ca="1">'Unit Mix Helper'!F8</f>
        <v/>
      </c>
      <c r="D200" t="s">
        <v>1729</v>
      </c>
      <c r="E200">
        <f>UM_Bathrooms_4</f>
        <v>0</v>
      </c>
      <c r="G200" t="s">
        <v>1730</v>
      </c>
      <c r="H200" s="59" t="str">
        <f t="shared" ca="1" si="29"/>
        <v/>
      </c>
      <c r="I200" t="s">
        <v>1731</v>
      </c>
      <c r="J200" t="str">
        <f ca="1">'Unit Mix Helper'!G8</f>
        <v/>
      </c>
      <c r="K200" t="s">
        <v>1732</v>
      </c>
      <c r="L200" t="str">
        <f ca="1">'Unit Mix Helper'!H8</f>
        <v/>
      </c>
      <c r="M200" t="s">
        <v>1733</v>
      </c>
      <c r="N200" t="str">
        <f ca="1">'Unit Mix Helper'!J8</f>
        <v/>
      </c>
      <c r="O200" t="s">
        <v>1734</v>
      </c>
      <c r="P200" s="59" t="str">
        <f ca="1">IF(L200="","",TRIM(TEXT('Unit Mix Helper'!I8,"#0%")))</f>
        <v/>
      </c>
      <c r="Q200" t="s">
        <v>1735</v>
      </c>
      <c r="R200" t="str">
        <f t="shared" ca="1" si="23"/>
        <v/>
      </c>
      <c r="W200" s="69"/>
      <c r="X200" s="232"/>
      <c r="Y200" t="s">
        <v>1730</v>
      </c>
      <c r="Z200" s="64" t="str">
        <f t="shared" si="24"/>
        <v/>
      </c>
      <c r="AA200" t="s">
        <v>1736</v>
      </c>
      <c r="AB200" s="59" t="str">
        <f>IF($Z$2="","",IF(Z200="","",'Unit Mix Helper'!K8))</f>
        <v/>
      </c>
      <c r="AC200" t="s">
        <v>1737</v>
      </c>
      <c r="AD200" s="56" t="str">
        <f t="shared" si="25"/>
        <v/>
      </c>
      <c r="AE200" t="s">
        <v>1738</v>
      </c>
      <c r="AF200" t="str">
        <f t="shared" si="26"/>
        <v/>
      </c>
      <c r="AG200" t="s">
        <v>1739</v>
      </c>
      <c r="AH200" t="str">
        <f t="shared" si="27"/>
        <v/>
      </c>
      <c r="AI200" t="s">
        <v>1740</v>
      </c>
      <c r="AK200" t="s">
        <v>1741</v>
      </c>
      <c r="AL200" s="59" t="str">
        <f t="shared" si="28"/>
        <v/>
      </c>
    </row>
    <row r="201" spans="1:38">
      <c r="B201" t="s">
        <v>1742</v>
      </c>
      <c r="C201" t="str">
        <f ca="1">'Unit Mix Helper'!F9</f>
        <v/>
      </c>
      <c r="D201" t="s">
        <v>1743</v>
      </c>
      <c r="E201">
        <f>UM_Bathrooms_5</f>
        <v>0</v>
      </c>
      <c r="G201" t="s">
        <v>1744</v>
      </c>
      <c r="H201" s="59" t="str">
        <f t="shared" ca="1" si="29"/>
        <v/>
      </c>
      <c r="I201" t="s">
        <v>1745</v>
      </c>
      <c r="J201" t="str">
        <f ca="1">'Unit Mix Helper'!G9</f>
        <v/>
      </c>
      <c r="K201" t="s">
        <v>1746</v>
      </c>
      <c r="L201" t="str">
        <f ca="1">'Unit Mix Helper'!H9</f>
        <v/>
      </c>
      <c r="M201" t="s">
        <v>1747</v>
      </c>
      <c r="N201" t="str">
        <f ca="1">'Unit Mix Helper'!J9</f>
        <v/>
      </c>
      <c r="O201" t="s">
        <v>1748</v>
      </c>
      <c r="P201" s="59" t="str">
        <f ca="1">IF(L201="","",TRIM(TEXT('Unit Mix Helper'!I9,"#0%")))</f>
        <v/>
      </c>
      <c r="Q201" t="s">
        <v>1749</v>
      </c>
      <c r="R201" t="str">
        <f t="shared" ca="1" si="23"/>
        <v/>
      </c>
      <c r="W201" s="69"/>
      <c r="X201" s="232"/>
      <c r="Y201" t="s">
        <v>1744</v>
      </c>
      <c r="Z201" s="64" t="str">
        <f t="shared" si="24"/>
        <v/>
      </c>
      <c r="AA201" t="s">
        <v>1750</v>
      </c>
      <c r="AB201" s="59" t="str">
        <f>IF($Z$2="","",IF(Z201="","",'Unit Mix Helper'!K9))</f>
        <v/>
      </c>
      <c r="AC201" t="s">
        <v>1751</v>
      </c>
      <c r="AD201" s="56" t="str">
        <f t="shared" si="25"/>
        <v/>
      </c>
      <c r="AE201" t="s">
        <v>1752</v>
      </c>
      <c r="AF201" t="str">
        <f t="shared" si="26"/>
        <v/>
      </c>
      <c r="AG201" t="s">
        <v>1753</v>
      </c>
      <c r="AH201" t="str">
        <f t="shared" si="27"/>
        <v/>
      </c>
      <c r="AI201" t="s">
        <v>1754</v>
      </c>
      <c r="AK201" t="s">
        <v>1755</v>
      </c>
      <c r="AL201" s="59" t="str">
        <f t="shared" si="28"/>
        <v/>
      </c>
    </row>
    <row r="202" spans="1:38">
      <c r="B202" t="s">
        <v>1756</v>
      </c>
      <c r="C202" t="str">
        <f ca="1">'Unit Mix Helper'!F10</f>
        <v/>
      </c>
      <c r="D202" t="s">
        <v>1757</v>
      </c>
      <c r="E202">
        <f>UM_Bathrooms_6</f>
        <v>0</v>
      </c>
      <c r="G202" t="s">
        <v>1758</v>
      </c>
      <c r="H202" s="59" t="str">
        <f t="shared" ca="1" si="29"/>
        <v/>
      </c>
      <c r="I202" t="s">
        <v>1759</v>
      </c>
      <c r="J202" t="str">
        <f ca="1">'Unit Mix Helper'!G10</f>
        <v/>
      </c>
      <c r="K202" t="s">
        <v>1760</v>
      </c>
      <c r="L202" t="str">
        <f ca="1">'Unit Mix Helper'!H10</f>
        <v/>
      </c>
      <c r="M202" t="s">
        <v>1761</v>
      </c>
      <c r="N202" t="str">
        <f ca="1">'Unit Mix Helper'!J10</f>
        <v/>
      </c>
      <c r="O202" t="s">
        <v>1762</v>
      </c>
      <c r="P202" s="59" t="str">
        <f ca="1">IF(L202="","",TRIM(TEXT('Unit Mix Helper'!I10,"#0%")))</f>
        <v/>
      </c>
      <c r="Q202" t="s">
        <v>1763</v>
      </c>
      <c r="R202" t="str">
        <f t="shared" ca="1" si="23"/>
        <v/>
      </c>
      <c r="W202" s="69"/>
      <c r="X202" s="232"/>
      <c r="Y202" t="s">
        <v>1758</v>
      </c>
      <c r="Z202" s="64" t="str">
        <f t="shared" si="24"/>
        <v/>
      </c>
      <c r="AA202" t="s">
        <v>1764</v>
      </c>
      <c r="AB202" s="59" t="str">
        <f>IF($Z$2="","",IF(Z202="","",'Unit Mix Helper'!K10))</f>
        <v/>
      </c>
      <c r="AC202" t="s">
        <v>1765</v>
      </c>
      <c r="AD202" s="56" t="str">
        <f t="shared" si="25"/>
        <v/>
      </c>
      <c r="AE202" t="s">
        <v>1766</v>
      </c>
      <c r="AF202" t="str">
        <f t="shared" si="26"/>
        <v/>
      </c>
      <c r="AG202" t="s">
        <v>1767</v>
      </c>
      <c r="AH202" t="str">
        <f t="shared" si="27"/>
        <v/>
      </c>
      <c r="AI202" t="s">
        <v>1768</v>
      </c>
      <c r="AK202" t="s">
        <v>1769</v>
      </c>
      <c r="AL202" s="59" t="str">
        <f t="shared" si="28"/>
        <v/>
      </c>
    </row>
    <row r="203" spans="1:38">
      <c r="B203" t="s">
        <v>1770</v>
      </c>
      <c r="C203" t="str">
        <f ca="1">'Unit Mix Helper'!F11</f>
        <v/>
      </c>
      <c r="D203" t="s">
        <v>1771</v>
      </c>
      <c r="E203">
        <f>UM_Bathrooms_7</f>
        <v>0</v>
      </c>
      <c r="G203" t="s">
        <v>1772</v>
      </c>
      <c r="H203" s="59" t="str">
        <f t="shared" ca="1" si="29"/>
        <v/>
      </c>
      <c r="I203" t="s">
        <v>1773</v>
      </c>
      <c r="J203" t="str">
        <f ca="1">'Unit Mix Helper'!G11</f>
        <v/>
      </c>
      <c r="K203" t="s">
        <v>1774</v>
      </c>
      <c r="L203" t="str">
        <f ca="1">'Unit Mix Helper'!H11</f>
        <v/>
      </c>
      <c r="M203" t="s">
        <v>1775</v>
      </c>
      <c r="N203" t="str">
        <f ca="1">'Unit Mix Helper'!J11</f>
        <v/>
      </c>
      <c r="O203" t="s">
        <v>1776</v>
      </c>
      <c r="P203" s="59" t="str">
        <f ca="1">IF(L203="","",TRIM(TEXT('Unit Mix Helper'!I11,"#0%")))</f>
        <v/>
      </c>
      <c r="Q203" t="s">
        <v>1777</v>
      </c>
      <c r="R203" t="str">
        <f t="shared" ca="1" si="23"/>
        <v/>
      </c>
      <c r="W203" s="69"/>
      <c r="X203" s="232"/>
      <c r="Y203" t="s">
        <v>1772</v>
      </c>
      <c r="Z203" s="64" t="str">
        <f t="shared" si="24"/>
        <v/>
      </c>
      <c r="AA203" t="s">
        <v>1778</v>
      </c>
      <c r="AB203" s="59" t="str">
        <f>IF($Z$2="","",IF(Z203="","",'Unit Mix Helper'!K11))</f>
        <v/>
      </c>
      <c r="AC203" t="s">
        <v>1779</v>
      </c>
      <c r="AD203" s="56" t="str">
        <f t="shared" si="25"/>
        <v/>
      </c>
      <c r="AE203" t="s">
        <v>1780</v>
      </c>
      <c r="AF203" t="str">
        <f t="shared" si="26"/>
        <v/>
      </c>
      <c r="AG203" t="s">
        <v>1781</v>
      </c>
      <c r="AH203" t="str">
        <f t="shared" si="27"/>
        <v/>
      </c>
      <c r="AI203" t="s">
        <v>1782</v>
      </c>
      <c r="AK203" t="s">
        <v>1783</v>
      </c>
      <c r="AL203" s="59" t="str">
        <f t="shared" si="28"/>
        <v/>
      </c>
    </row>
    <row r="204" spans="1:38">
      <c r="B204" t="s">
        <v>1784</v>
      </c>
      <c r="C204" t="str">
        <f ca="1">'Unit Mix Helper'!F12</f>
        <v/>
      </c>
      <c r="D204" t="s">
        <v>1785</v>
      </c>
      <c r="E204">
        <f>UM_Bathrooms_8</f>
        <v>0</v>
      </c>
      <c r="G204" t="s">
        <v>1786</v>
      </c>
      <c r="H204" s="59" t="str">
        <f t="shared" ca="1" si="29"/>
        <v/>
      </c>
      <c r="I204" t="s">
        <v>1787</v>
      </c>
      <c r="J204" t="str">
        <f ca="1">'Unit Mix Helper'!G12</f>
        <v/>
      </c>
      <c r="K204" t="s">
        <v>1788</v>
      </c>
      <c r="L204" t="str">
        <f ca="1">'Unit Mix Helper'!H12</f>
        <v/>
      </c>
      <c r="M204" t="s">
        <v>1789</v>
      </c>
      <c r="N204" t="str">
        <f ca="1">'Unit Mix Helper'!J12</f>
        <v/>
      </c>
      <c r="O204" t="s">
        <v>1790</v>
      </c>
      <c r="P204" s="59" t="str">
        <f ca="1">IF(L204="","",TRIM(TEXT('Unit Mix Helper'!I12,"#0%")))</f>
        <v/>
      </c>
      <c r="Q204" t="s">
        <v>1791</v>
      </c>
      <c r="R204" t="str">
        <f t="shared" ca="1" si="23"/>
        <v/>
      </c>
      <c r="W204" s="69"/>
      <c r="X204" s="232"/>
      <c r="Y204" t="s">
        <v>1786</v>
      </c>
      <c r="Z204" s="64" t="str">
        <f t="shared" si="24"/>
        <v/>
      </c>
      <c r="AA204" t="s">
        <v>1792</v>
      </c>
      <c r="AB204" s="59" t="str">
        <f>IF($Z$2="","",IF(Z204="","",'Unit Mix Helper'!K12))</f>
        <v/>
      </c>
      <c r="AC204" t="s">
        <v>1793</v>
      </c>
      <c r="AD204" s="56" t="str">
        <f t="shared" si="25"/>
        <v/>
      </c>
      <c r="AE204" t="s">
        <v>1794</v>
      </c>
      <c r="AF204" t="str">
        <f t="shared" si="26"/>
        <v/>
      </c>
      <c r="AG204" t="s">
        <v>1795</v>
      </c>
      <c r="AH204" t="str">
        <f t="shared" si="27"/>
        <v/>
      </c>
      <c r="AI204" t="s">
        <v>1796</v>
      </c>
      <c r="AK204" t="s">
        <v>1797</v>
      </c>
      <c r="AL204" s="59" t="str">
        <f t="shared" si="28"/>
        <v/>
      </c>
    </row>
    <row r="205" spans="1:38">
      <c r="B205" t="s">
        <v>1798</v>
      </c>
      <c r="C205" t="str">
        <f ca="1">'Unit Mix Helper'!F13</f>
        <v/>
      </c>
      <c r="D205" t="s">
        <v>1799</v>
      </c>
      <c r="E205">
        <f>UM_Bathrooms_9</f>
        <v>0</v>
      </c>
      <c r="G205" t="s">
        <v>1800</v>
      </c>
      <c r="H205" s="59" t="str">
        <f t="shared" ca="1" si="29"/>
        <v/>
      </c>
      <c r="I205" t="s">
        <v>1801</v>
      </c>
      <c r="J205" t="str">
        <f ca="1">'Unit Mix Helper'!G13</f>
        <v/>
      </c>
      <c r="K205" t="s">
        <v>1802</v>
      </c>
      <c r="L205" t="str">
        <f ca="1">'Unit Mix Helper'!H13</f>
        <v/>
      </c>
      <c r="M205" t="s">
        <v>1803</v>
      </c>
      <c r="N205" t="str">
        <f ca="1">'Unit Mix Helper'!J13</f>
        <v/>
      </c>
      <c r="O205" t="s">
        <v>1804</v>
      </c>
      <c r="P205" s="59" t="str">
        <f ca="1">IF(L205="","",TRIM(TEXT('Unit Mix Helper'!I13,"#0%")))</f>
        <v/>
      </c>
      <c r="Q205" t="s">
        <v>1805</v>
      </c>
      <c r="R205" t="str">
        <f t="shared" ca="1" si="23"/>
        <v/>
      </c>
      <c r="W205" s="69"/>
      <c r="X205" s="232"/>
      <c r="Y205" t="s">
        <v>1800</v>
      </c>
      <c r="Z205" s="64" t="str">
        <f t="shared" si="24"/>
        <v/>
      </c>
      <c r="AA205" t="s">
        <v>1806</v>
      </c>
      <c r="AB205" s="59" t="str">
        <f>IF($Z$2="","",IF(Z205="","",'Unit Mix Helper'!K13))</f>
        <v/>
      </c>
      <c r="AC205" t="s">
        <v>1807</v>
      </c>
      <c r="AD205" s="56" t="str">
        <f t="shared" si="25"/>
        <v/>
      </c>
      <c r="AE205" t="s">
        <v>1808</v>
      </c>
      <c r="AF205" t="str">
        <f t="shared" si="26"/>
        <v/>
      </c>
      <c r="AG205" t="s">
        <v>1809</v>
      </c>
      <c r="AH205" t="str">
        <f t="shared" si="27"/>
        <v/>
      </c>
      <c r="AI205" t="s">
        <v>1810</v>
      </c>
      <c r="AK205" t="s">
        <v>1811</v>
      </c>
      <c r="AL205" s="59" t="str">
        <f t="shared" si="28"/>
        <v/>
      </c>
    </row>
    <row r="206" spans="1:38">
      <c r="B206" t="s">
        <v>1812</v>
      </c>
      <c r="C206" t="str">
        <f ca="1">'Unit Mix Helper'!F14</f>
        <v/>
      </c>
      <c r="D206" t="s">
        <v>1813</v>
      </c>
      <c r="E206">
        <f>UM_Bathrooms_10</f>
        <v>0</v>
      </c>
      <c r="G206" t="s">
        <v>1814</v>
      </c>
      <c r="H206" s="59" t="str">
        <f t="shared" ca="1" si="29"/>
        <v/>
      </c>
      <c r="I206" t="s">
        <v>1815</v>
      </c>
      <c r="J206" t="str">
        <f ca="1">'Unit Mix Helper'!G14</f>
        <v/>
      </c>
      <c r="K206" t="s">
        <v>1816</v>
      </c>
      <c r="L206" t="str">
        <f ca="1">'Unit Mix Helper'!H14</f>
        <v/>
      </c>
      <c r="M206" t="s">
        <v>1817</v>
      </c>
      <c r="N206" t="str">
        <f ca="1">'Unit Mix Helper'!J14</f>
        <v/>
      </c>
      <c r="O206" t="s">
        <v>1818</v>
      </c>
      <c r="P206" s="59" t="str">
        <f ca="1">IF(L206="","",TRIM(TEXT('Unit Mix Helper'!I14,"#0%")))</f>
        <v/>
      </c>
      <c r="Q206" t="s">
        <v>1819</v>
      </c>
      <c r="R206" t="str">
        <f t="shared" ca="1" si="23"/>
        <v/>
      </c>
      <c r="W206" s="69"/>
      <c r="X206" s="232"/>
      <c r="Y206" t="s">
        <v>1814</v>
      </c>
      <c r="Z206" s="64" t="str">
        <f t="shared" si="24"/>
        <v/>
      </c>
      <c r="AA206" t="s">
        <v>1820</v>
      </c>
      <c r="AB206" s="59" t="str">
        <f>IF($Z$2="","",IF(Z206="","",'Unit Mix Helper'!K14))</f>
        <v/>
      </c>
      <c r="AC206" t="s">
        <v>1821</v>
      </c>
      <c r="AD206" s="56" t="str">
        <f t="shared" si="25"/>
        <v/>
      </c>
      <c r="AE206" t="s">
        <v>1822</v>
      </c>
      <c r="AF206" t="str">
        <f t="shared" si="26"/>
        <v/>
      </c>
      <c r="AG206" t="s">
        <v>1823</v>
      </c>
      <c r="AH206" t="str">
        <f t="shared" si="27"/>
        <v/>
      </c>
      <c r="AI206" t="s">
        <v>1824</v>
      </c>
      <c r="AK206" t="s">
        <v>1825</v>
      </c>
      <c r="AL206" s="59" t="str">
        <f t="shared" si="28"/>
        <v/>
      </c>
    </row>
    <row r="207" spans="1:38">
      <c r="B207" t="s">
        <v>1826</v>
      </c>
      <c r="C207" t="str">
        <f ca="1">'Unit Mix Helper'!F15</f>
        <v/>
      </c>
      <c r="D207" t="s">
        <v>1827</v>
      </c>
      <c r="E207">
        <f>UM_Bathrooms_11</f>
        <v>0</v>
      </c>
      <c r="G207" t="s">
        <v>1828</v>
      </c>
      <c r="H207" s="59" t="str">
        <f t="shared" ca="1" si="29"/>
        <v/>
      </c>
      <c r="I207" t="s">
        <v>1829</v>
      </c>
      <c r="J207" t="str">
        <f ca="1">'Unit Mix Helper'!G15</f>
        <v/>
      </c>
      <c r="K207" t="s">
        <v>1830</v>
      </c>
      <c r="L207" t="str">
        <f ca="1">'Unit Mix Helper'!H15</f>
        <v/>
      </c>
      <c r="M207" t="s">
        <v>1831</v>
      </c>
      <c r="N207" t="str">
        <f ca="1">'Unit Mix Helper'!J15</f>
        <v/>
      </c>
      <c r="O207" t="s">
        <v>1832</v>
      </c>
      <c r="P207" s="59" t="str">
        <f ca="1">IF(L207="","",TRIM(TEXT('Unit Mix Helper'!I15,"#0%")))</f>
        <v/>
      </c>
      <c r="Q207" t="s">
        <v>1833</v>
      </c>
      <c r="R207" t="str">
        <f t="shared" ca="1" si="23"/>
        <v/>
      </c>
      <c r="W207" s="69"/>
      <c r="X207" s="232"/>
      <c r="Y207" t="s">
        <v>1828</v>
      </c>
      <c r="Z207" s="64" t="str">
        <f t="shared" si="24"/>
        <v/>
      </c>
      <c r="AA207" t="s">
        <v>1834</v>
      </c>
      <c r="AB207" s="59" t="str">
        <f>IF($Z$2="","",IF(Z207="","",'Unit Mix Helper'!K15))</f>
        <v/>
      </c>
      <c r="AC207" t="s">
        <v>1835</v>
      </c>
      <c r="AD207" s="56" t="str">
        <f t="shared" si="25"/>
        <v/>
      </c>
      <c r="AE207" t="s">
        <v>1836</v>
      </c>
      <c r="AF207" t="str">
        <f t="shared" si="26"/>
        <v/>
      </c>
      <c r="AG207" t="s">
        <v>1837</v>
      </c>
      <c r="AH207" t="str">
        <f t="shared" si="27"/>
        <v/>
      </c>
      <c r="AI207" t="s">
        <v>1838</v>
      </c>
      <c r="AK207" t="s">
        <v>1839</v>
      </c>
      <c r="AL207" s="59" t="str">
        <f t="shared" si="28"/>
        <v/>
      </c>
    </row>
    <row r="208" spans="1:38">
      <c r="B208" t="s">
        <v>1840</v>
      </c>
      <c r="C208" t="str">
        <f ca="1">'Unit Mix Helper'!F16</f>
        <v/>
      </c>
      <c r="D208" t="s">
        <v>1841</v>
      </c>
      <c r="E208">
        <f>UM_Bathrooms_12</f>
        <v>0</v>
      </c>
      <c r="G208" t="s">
        <v>1842</v>
      </c>
      <c r="H208" s="59" t="str">
        <f t="shared" ca="1" si="29"/>
        <v/>
      </c>
      <c r="I208" t="s">
        <v>1843</v>
      </c>
      <c r="J208" t="str">
        <f ca="1">'Unit Mix Helper'!G16</f>
        <v/>
      </c>
      <c r="K208" t="s">
        <v>1844</v>
      </c>
      <c r="L208" t="str">
        <f ca="1">'Unit Mix Helper'!H16</f>
        <v/>
      </c>
      <c r="M208" t="s">
        <v>1845</v>
      </c>
      <c r="N208" t="str">
        <f ca="1">'Unit Mix Helper'!J16</f>
        <v/>
      </c>
      <c r="O208" t="s">
        <v>1846</v>
      </c>
      <c r="P208" s="59" t="str">
        <f ca="1">IF(L208="","",TRIM(TEXT('Unit Mix Helper'!I16,"#0%")))</f>
        <v/>
      </c>
      <c r="Q208" t="s">
        <v>1847</v>
      </c>
      <c r="R208" t="str">
        <f t="shared" ca="1" si="23"/>
        <v/>
      </c>
      <c r="W208" s="69"/>
      <c r="X208" s="232"/>
      <c r="Y208" t="s">
        <v>1842</v>
      </c>
      <c r="Z208" s="64" t="str">
        <f t="shared" si="24"/>
        <v/>
      </c>
      <c r="AA208" t="s">
        <v>1848</v>
      </c>
      <c r="AB208" s="59" t="str">
        <f>IF($Z$2="","",IF(Z208="","",'Unit Mix Helper'!K16))</f>
        <v/>
      </c>
      <c r="AC208" t="s">
        <v>1849</v>
      </c>
      <c r="AD208" s="56" t="str">
        <f t="shared" si="25"/>
        <v/>
      </c>
      <c r="AE208" t="s">
        <v>1850</v>
      </c>
      <c r="AF208" t="str">
        <f t="shared" si="26"/>
        <v/>
      </c>
      <c r="AG208" t="s">
        <v>1851</v>
      </c>
      <c r="AH208" t="str">
        <f t="shared" si="27"/>
        <v/>
      </c>
      <c r="AI208" t="s">
        <v>1852</v>
      </c>
      <c r="AK208" t="s">
        <v>1853</v>
      </c>
      <c r="AL208" s="59" t="str">
        <f t="shared" si="28"/>
        <v/>
      </c>
    </row>
    <row r="209" spans="2:38">
      <c r="B209" t="s">
        <v>1854</v>
      </c>
      <c r="C209" t="str">
        <f ca="1">'Unit Mix Helper'!F17</f>
        <v/>
      </c>
      <c r="D209" t="s">
        <v>1855</v>
      </c>
      <c r="E209">
        <f>UM_Bathrooms_13</f>
        <v>0</v>
      </c>
      <c r="G209" t="s">
        <v>1856</v>
      </c>
      <c r="H209" s="59" t="str">
        <f t="shared" ca="1" si="29"/>
        <v/>
      </c>
      <c r="I209" t="s">
        <v>1857</v>
      </c>
      <c r="J209" t="str">
        <f ca="1">'Unit Mix Helper'!G17</f>
        <v/>
      </c>
      <c r="K209" t="s">
        <v>1858</v>
      </c>
      <c r="L209" t="str">
        <f ca="1">'Unit Mix Helper'!H17</f>
        <v/>
      </c>
      <c r="M209" t="s">
        <v>1859</v>
      </c>
      <c r="N209" t="str">
        <f ca="1">'Unit Mix Helper'!J17</f>
        <v/>
      </c>
      <c r="O209" t="s">
        <v>1860</v>
      </c>
      <c r="P209" s="59" t="str">
        <f ca="1">IF(L209="","",TRIM(TEXT('Unit Mix Helper'!I17,"#0%")))</f>
        <v/>
      </c>
      <c r="Q209" t="s">
        <v>1861</v>
      </c>
      <c r="R209" t="str">
        <f t="shared" ca="1" si="23"/>
        <v/>
      </c>
      <c r="W209" s="69"/>
      <c r="X209" s="232"/>
      <c r="Y209" t="s">
        <v>1856</v>
      </c>
      <c r="Z209" s="64" t="str">
        <f t="shared" si="24"/>
        <v/>
      </c>
      <c r="AA209" t="s">
        <v>1862</v>
      </c>
      <c r="AB209" s="59" t="str">
        <f>IF($Z$2="","",IF(Z209="","",'Unit Mix Helper'!K17))</f>
        <v/>
      </c>
      <c r="AC209" t="s">
        <v>1863</v>
      </c>
      <c r="AD209" s="56" t="str">
        <f t="shared" si="25"/>
        <v/>
      </c>
      <c r="AE209" t="s">
        <v>1864</v>
      </c>
      <c r="AF209" t="str">
        <f t="shared" si="26"/>
        <v/>
      </c>
      <c r="AG209" t="s">
        <v>1865</v>
      </c>
      <c r="AH209" t="str">
        <f t="shared" si="27"/>
        <v/>
      </c>
      <c r="AI209" t="s">
        <v>1866</v>
      </c>
      <c r="AK209" t="s">
        <v>1867</v>
      </c>
      <c r="AL209" s="59" t="str">
        <f t="shared" si="28"/>
        <v/>
      </c>
    </row>
    <row r="210" spans="2:38">
      <c r="B210" t="s">
        <v>1868</v>
      </c>
      <c r="C210" t="str">
        <f ca="1">'Unit Mix Helper'!F18</f>
        <v/>
      </c>
      <c r="D210" t="s">
        <v>1869</v>
      </c>
      <c r="E210">
        <f>UM_Bathrooms_14</f>
        <v>0</v>
      </c>
      <c r="G210" t="s">
        <v>1870</v>
      </c>
      <c r="H210" s="59" t="str">
        <f t="shared" ca="1" si="29"/>
        <v/>
      </c>
      <c r="I210" t="s">
        <v>1871</v>
      </c>
      <c r="J210" t="str">
        <f ca="1">'Unit Mix Helper'!G18</f>
        <v/>
      </c>
      <c r="K210" t="s">
        <v>1872</v>
      </c>
      <c r="L210" t="str">
        <f ca="1">'Unit Mix Helper'!H18</f>
        <v/>
      </c>
      <c r="M210" t="s">
        <v>1873</v>
      </c>
      <c r="N210" t="str">
        <f ca="1">'Unit Mix Helper'!J18</f>
        <v/>
      </c>
      <c r="O210" t="s">
        <v>1874</v>
      </c>
      <c r="P210" s="59" t="str">
        <f ca="1">IF(L210="","",TRIM(TEXT('Unit Mix Helper'!I18,"#0%")))</f>
        <v/>
      </c>
      <c r="Q210" t="s">
        <v>1875</v>
      </c>
      <c r="R210" t="str">
        <f t="shared" ca="1" si="23"/>
        <v/>
      </c>
      <c r="W210" s="69"/>
      <c r="X210" s="232"/>
      <c r="Y210" t="s">
        <v>1870</v>
      </c>
      <c r="Z210" s="64" t="str">
        <f t="shared" si="24"/>
        <v/>
      </c>
      <c r="AA210" t="s">
        <v>1876</v>
      </c>
      <c r="AB210" s="59" t="str">
        <f>IF($Z$2="","",IF(Z210="","",'Unit Mix Helper'!K18))</f>
        <v/>
      </c>
      <c r="AC210" t="s">
        <v>1877</v>
      </c>
      <c r="AD210" s="56" t="str">
        <f t="shared" si="25"/>
        <v/>
      </c>
      <c r="AE210" t="s">
        <v>1878</v>
      </c>
      <c r="AF210" t="str">
        <f t="shared" si="26"/>
        <v/>
      </c>
      <c r="AG210" t="s">
        <v>1879</v>
      </c>
      <c r="AH210" t="str">
        <f t="shared" si="27"/>
        <v/>
      </c>
      <c r="AI210" t="s">
        <v>1880</v>
      </c>
      <c r="AK210" t="s">
        <v>1881</v>
      </c>
      <c r="AL210" s="59" t="str">
        <f t="shared" si="28"/>
        <v/>
      </c>
    </row>
    <row r="211" spans="2:38">
      <c r="B211" t="s">
        <v>1882</v>
      </c>
      <c r="C211" t="str">
        <f ca="1">'Unit Mix Helper'!F19</f>
        <v/>
      </c>
      <c r="D211" t="s">
        <v>1883</v>
      </c>
      <c r="E211">
        <f>UM_Bathrooms_15</f>
        <v>0</v>
      </c>
      <c r="G211" t="s">
        <v>1884</v>
      </c>
      <c r="H211" s="59" t="str">
        <f t="shared" ca="1" si="29"/>
        <v/>
      </c>
      <c r="I211" t="s">
        <v>1885</v>
      </c>
      <c r="J211" t="str">
        <f ca="1">'Unit Mix Helper'!G19</f>
        <v/>
      </c>
      <c r="K211" t="s">
        <v>1886</v>
      </c>
      <c r="L211" t="str">
        <f ca="1">'Unit Mix Helper'!H19</f>
        <v/>
      </c>
      <c r="M211" t="s">
        <v>1887</v>
      </c>
      <c r="N211" t="str">
        <f ca="1">'Unit Mix Helper'!J19</f>
        <v/>
      </c>
      <c r="O211" t="s">
        <v>1888</v>
      </c>
      <c r="P211" s="59" t="str">
        <f ca="1">IF(L211="","",TRIM(TEXT('Unit Mix Helper'!I19,"#0%")))</f>
        <v/>
      </c>
      <c r="Q211" t="s">
        <v>1889</v>
      </c>
      <c r="R211" t="str">
        <f t="shared" ca="1" si="23"/>
        <v/>
      </c>
      <c r="W211" s="69"/>
      <c r="X211" s="232"/>
      <c r="Y211" t="s">
        <v>1884</v>
      </c>
      <c r="Z211" s="64" t="str">
        <f t="shared" si="24"/>
        <v/>
      </c>
      <c r="AA211" t="s">
        <v>1890</v>
      </c>
      <c r="AB211" s="59" t="str">
        <f>IF($Z$2="","",IF(Z211="","",'Unit Mix Helper'!K19))</f>
        <v/>
      </c>
      <c r="AC211" t="s">
        <v>1891</v>
      </c>
      <c r="AD211" s="56" t="str">
        <f t="shared" si="25"/>
        <v/>
      </c>
      <c r="AE211" t="s">
        <v>1892</v>
      </c>
      <c r="AF211" t="str">
        <f t="shared" si="26"/>
        <v/>
      </c>
      <c r="AG211" t="s">
        <v>1893</v>
      </c>
      <c r="AH211" t="str">
        <f t="shared" si="27"/>
        <v/>
      </c>
      <c r="AI211" t="s">
        <v>1894</v>
      </c>
      <c r="AK211" t="s">
        <v>1895</v>
      </c>
      <c r="AL211" s="59" t="str">
        <f t="shared" si="28"/>
        <v/>
      </c>
    </row>
    <row r="212" spans="2:38">
      <c r="B212" t="s">
        <v>1896</v>
      </c>
      <c r="C212" t="str">
        <f ca="1">'Unit Mix Helper'!F20</f>
        <v/>
      </c>
      <c r="D212" t="s">
        <v>1897</v>
      </c>
      <c r="E212">
        <f>UM_Bathrooms_16</f>
        <v>0</v>
      </c>
      <c r="G212" t="s">
        <v>1898</v>
      </c>
      <c r="H212" s="59" t="str">
        <f t="shared" ca="1" si="29"/>
        <v/>
      </c>
      <c r="I212" t="s">
        <v>1899</v>
      </c>
      <c r="J212" t="str">
        <f ca="1">'Unit Mix Helper'!G20</f>
        <v/>
      </c>
      <c r="K212" t="s">
        <v>1900</v>
      </c>
      <c r="L212" t="str">
        <f ca="1">'Unit Mix Helper'!H20</f>
        <v/>
      </c>
      <c r="M212" t="s">
        <v>1901</v>
      </c>
      <c r="N212" t="str">
        <f ca="1">'Unit Mix Helper'!J20</f>
        <v/>
      </c>
      <c r="O212" t="s">
        <v>1902</v>
      </c>
      <c r="P212" s="59" t="str">
        <f ca="1">IF(L212="","",TRIM(TEXT('Unit Mix Helper'!I20,"#0%")))</f>
        <v/>
      </c>
      <c r="Q212" t="s">
        <v>1903</v>
      </c>
      <c r="R212" t="str">
        <f t="shared" ca="1" si="23"/>
        <v/>
      </c>
      <c r="W212" s="69"/>
      <c r="X212" s="232"/>
      <c r="Y212" t="s">
        <v>1898</v>
      </c>
      <c r="Z212" s="64" t="str">
        <f t="shared" si="24"/>
        <v/>
      </c>
      <c r="AA212" t="s">
        <v>1904</v>
      </c>
      <c r="AB212" s="59" t="str">
        <f>IF($Z$2="","",IF(Z212="","",'Unit Mix Helper'!K20))</f>
        <v/>
      </c>
      <c r="AC212" t="s">
        <v>1905</v>
      </c>
      <c r="AD212" s="56" t="str">
        <f t="shared" si="25"/>
        <v/>
      </c>
      <c r="AE212" t="s">
        <v>1906</v>
      </c>
      <c r="AF212" t="str">
        <f t="shared" si="26"/>
        <v/>
      </c>
      <c r="AG212" t="s">
        <v>1907</v>
      </c>
      <c r="AH212" t="str">
        <f t="shared" si="27"/>
        <v/>
      </c>
      <c r="AI212" t="s">
        <v>1908</v>
      </c>
      <c r="AK212" t="s">
        <v>1909</v>
      </c>
      <c r="AL212" s="59" t="str">
        <f t="shared" si="28"/>
        <v/>
      </c>
    </row>
    <row r="213" spans="2:38">
      <c r="B213" t="s">
        <v>1910</v>
      </c>
      <c r="C213" t="str">
        <f ca="1">'Unit Mix Helper'!F21</f>
        <v/>
      </c>
      <c r="D213" t="s">
        <v>1911</v>
      </c>
      <c r="E213">
        <f>UM_Bathrooms_17</f>
        <v>0</v>
      </c>
      <c r="G213" t="s">
        <v>1912</v>
      </c>
      <c r="H213" s="59" t="str">
        <f t="shared" ca="1" si="29"/>
        <v/>
      </c>
      <c r="I213" t="s">
        <v>1913</v>
      </c>
      <c r="J213" t="str">
        <f ca="1">'Unit Mix Helper'!G21</f>
        <v/>
      </c>
      <c r="K213" t="s">
        <v>1914</v>
      </c>
      <c r="L213" t="str">
        <f ca="1">'Unit Mix Helper'!H21</f>
        <v/>
      </c>
      <c r="M213" t="s">
        <v>1915</v>
      </c>
      <c r="N213" t="str">
        <f ca="1">'Unit Mix Helper'!J21</f>
        <v/>
      </c>
      <c r="O213" t="s">
        <v>1916</v>
      </c>
      <c r="P213" s="59" t="str">
        <f ca="1">IF(L213="","",TRIM(TEXT('Unit Mix Helper'!I21,"#0%")))</f>
        <v/>
      </c>
      <c r="Q213" t="s">
        <v>1917</v>
      </c>
      <c r="R213" t="str">
        <f t="shared" ca="1" si="23"/>
        <v/>
      </c>
      <c r="W213" s="69"/>
      <c r="X213" s="232"/>
      <c r="Y213" t="s">
        <v>1912</v>
      </c>
      <c r="Z213" s="64" t="str">
        <f t="shared" si="24"/>
        <v/>
      </c>
      <c r="AA213" t="s">
        <v>1918</v>
      </c>
      <c r="AB213" s="59" t="str">
        <f>IF($Z$2="","",IF(Z213="","",'Unit Mix Helper'!K21))</f>
        <v/>
      </c>
      <c r="AC213" t="s">
        <v>1919</v>
      </c>
      <c r="AD213" s="56" t="str">
        <f t="shared" si="25"/>
        <v/>
      </c>
      <c r="AE213" t="s">
        <v>1920</v>
      </c>
      <c r="AF213" t="str">
        <f t="shared" si="26"/>
        <v/>
      </c>
      <c r="AG213" t="s">
        <v>1921</v>
      </c>
      <c r="AH213" t="str">
        <f t="shared" si="27"/>
        <v/>
      </c>
      <c r="AI213" t="s">
        <v>1922</v>
      </c>
      <c r="AK213" t="s">
        <v>1923</v>
      </c>
      <c r="AL213" s="59" t="str">
        <f t="shared" si="28"/>
        <v/>
      </c>
    </row>
    <row r="214" spans="2:38">
      <c r="B214" t="s">
        <v>1924</v>
      </c>
      <c r="C214" t="str">
        <f ca="1">'Unit Mix Helper'!F22</f>
        <v/>
      </c>
      <c r="D214" t="s">
        <v>1925</v>
      </c>
      <c r="E214">
        <f>UM_Bathrooms_18</f>
        <v>0</v>
      </c>
      <c r="G214" t="s">
        <v>1926</v>
      </c>
      <c r="H214" s="59" t="str">
        <f t="shared" ca="1" si="29"/>
        <v/>
      </c>
      <c r="I214" t="s">
        <v>1927</v>
      </c>
      <c r="J214" t="str">
        <f ca="1">'Unit Mix Helper'!G22</f>
        <v/>
      </c>
      <c r="K214" t="s">
        <v>1928</v>
      </c>
      <c r="L214" t="str">
        <f ca="1">'Unit Mix Helper'!H22</f>
        <v/>
      </c>
      <c r="M214" t="s">
        <v>1929</v>
      </c>
      <c r="N214" t="str">
        <f ca="1">'Unit Mix Helper'!J22</f>
        <v/>
      </c>
      <c r="O214" t="s">
        <v>1930</v>
      </c>
      <c r="P214" s="59" t="str">
        <f ca="1">IF(L214="","",TRIM(TEXT('Unit Mix Helper'!I22,"#0%")))</f>
        <v/>
      </c>
      <c r="Q214" t="s">
        <v>1931</v>
      </c>
      <c r="R214" t="str">
        <f t="shared" ca="1" si="23"/>
        <v/>
      </c>
      <c r="W214" s="69"/>
      <c r="X214" s="232"/>
      <c r="Y214" t="s">
        <v>1926</v>
      </c>
      <c r="Z214" s="64" t="str">
        <f t="shared" si="24"/>
        <v/>
      </c>
      <c r="AA214" t="s">
        <v>1932</v>
      </c>
      <c r="AB214" s="59" t="str">
        <f>IF($Z$2="","",IF(Z214="","",'Unit Mix Helper'!K22))</f>
        <v/>
      </c>
      <c r="AC214" t="s">
        <v>1933</v>
      </c>
      <c r="AD214" s="56" t="str">
        <f t="shared" si="25"/>
        <v/>
      </c>
      <c r="AE214" t="s">
        <v>1934</v>
      </c>
      <c r="AF214" t="str">
        <f t="shared" si="26"/>
        <v/>
      </c>
      <c r="AG214" t="s">
        <v>1935</v>
      </c>
      <c r="AH214" t="str">
        <f t="shared" si="27"/>
        <v/>
      </c>
      <c r="AI214" t="s">
        <v>1936</v>
      </c>
      <c r="AK214" t="s">
        <v>1937</v>
      </c>
      <c r="AL214" s="59" t="str">
        <f t="shared" si="28"/>
        <v/>
      </c>
    </row>
    <row r="215" spans="2:38">
      <c r="B215" t="s">
        <v>1938</v>
      </c>
      <c r="C215" t="str">
        <f ca="1">'Unit Mix Helper'!F23</f>
        <v/>
      </c>
      <c r="D215" t="s">
        <v>1939</v>
      </c>
      <c r="E215">
        <f>UM_Bathrooms_19</f>
        <v>0</v>
      </c>
      <c r="G215" t="s">
        <v>1940</v>
      </c>
      <c r="H215" s="59" t="str">
        <f t="shared" ca="1" si="29"/>
        <v/>
      </c>
      <c r="I215" t="s">
        <v>1941</v>
      </c>
      <c r="J215" t="str">
        <f ca="1">'Unit Mix Helper'!G23</f>
        <v/>
      </c>
      <c r="K215" t="s">
        <v>1942</v>
      </c>
      <c r="L215" t="str">
        <f ca="1">'Unit Mix Helper'!H23</f>
        <v/>
      </c>
      <c r="M215" t="s">
        <v>1943</v>
      </c>
      <c r="N215" t="str">
        <f ca="1">'Unit Mix Helper'!J23</f>
        <v/>
      </c>
      <c r="O215" t="s">
        <v>1944</v>
      </c>
      <c r="P215" s="59" t="str">
        <f ca="1">IF(L215="","",TRIM(TEXT('Unit Mix Helper'!I23,"#0%")))</f>
        <v/>
      </c>
      <c r="Q215" t="s">
        <v>1945</v>
      </c>
      <c r="R215" t="str">
        <f t="shared" ca="1" si="23"/>
        <v/>
      </c>
      <c r="W215" s="69"/>
      <c r="X215" s="232"/>
      <c r="Y215" t="s">
        <v>1940</v>
      </c>
      <c r="Z215" s="64" t="str">
        <f t="shared" si="24"/>
        <v/>
      </c>
      <c r="AA215" t="s">
        <v>1946</v>
      </c>
      <c r="AB215" s="59" t="str">
        <f>IF($Z$2="","",IF(Z215="","",'Unit Mix Helper'!K23))</f>
        <v/>
      </c>
      <c r="AC215" t="s">
        <v>1947</v>
      </c>
      <c r="AD215" s="56" t="str">
        <f t="shared" si="25"/>
        <v/>
      </c>
      <c r="AE215" t="s">
        <v>1948</v>
      </c>
      <c r="AF215" t="str">
        <f t="shared" si="26"/>
        <v/>
      </c>
      <c r="AG215" t="s">
        <v>1949</v>
      </c>
      <c r="AH215" t="str">
        <f t="shared" si="27"/>
        <v/>
      </c>
      <c r="AI215" t="s">
        <v>1950</v>
      </c>
      <c r="AK215" t="s">
        <v>1951</v>
      </c>
      <c r="AL215" s="59" t="str">
        <f t="shared" si="28"/>
        <v/>
      </c>
    </row>
    <row r="216" spans="2:38">
      <c r="B216" t="s">
        <v>1952</v>
      </c>
      <c r="C216" t="str">
        <f ca="1">'Unit Mix Helper'!F24</f>
        <v/>
      </c>
      <c r="D216" t="s">
        <v>1953</v>
      </c>
      <c r="E216">
        <f>UM_Bathrooms_20</f>
        <v>0</v>
      </c>
      <c r="G216" t="s">
        <v>1954</v>
      </c>
      <c r="H216" s="59" t="str">
        <f t="shared" ca="1" si="29"/>
        <v/>
      </c>
      <c r="I216" t="s">
        <v>1955</v>
      </c>
      <c r="J216" t="str">
        <f ca="1">'Unit Mix Helper'!G24</f>
        <v/>
      </c>
      <c r="K216" t="s">
        <v>1956</v>
      </c>
      <c r="L216" t="str">
        <f ca="1">'Unit Mix Helper'!H24</f>
        <v/>
      </c>
      <c r="M216" t="s">
        <v>1957</v>
      </c>
      <c r="N216" t="str">
        <f ca="1">'Unit Mix Helper'!J24</f>
        <v/>
      </c>
      <c r="O216" t="s">
        <v>1958</v>
      </c>
      <c r="P216" s="59" t="str">
        <f ca="1">IF(L216="","",TRIM(TEXT('Unit Mix Helper'!I24,"#0%")))</f>
        <v/>
      </c>
      <c r="Q216" t="s">
        <v>1959</v>
      </c>
      <c r="R216" t="str">
        <f t="shared" ca="1" si="23"/>
        <v/>
      </c>
      <c r="W216" s="69"/>
      <c r="X216" s="232"/>
      <c r="Y216" t="s">
        <v>1954</v>
      </c>
      <c r="Z216" s="64" t="str">
        <f t="shared" si="24"/>
        <v/>
      </c>
      <c r="AA216" t="s">
        <v>1960</v>
      </c>
      <c r="AB216" s="59" t="str">
        <f>IF($Z$2="","",IF(Z216="","",'Unit Mix Helper'!K24))</f>
        <v/>
      </c>
      <c r="AC216" t="s">
        <v>1961</v>
      </c>
      <c r="AD216" s="56" t="str">
        <f t="shared" si="25"/>
        <v/>
      </c>
      <c r="AE216" t="s">
        <v>1962</v>
      </c>
      <c r="AF216" t="str">
        <f t="shared" si="26"/>
        <v/>
      </c>
      <c r="AG216" t="s">
        <v>1963</v>
      </c>
      <c r="AH216" t="str">
        <f t="shared" si="27"/>
        <v/>
      </c>
      <c r="AI216" t="s">
        <v>1964</v>
      </c>
      <c r="AK216" t="s">
        <v>1965</v>
      </c>
      <c r="AL216" s="59" t="str">
        <f t="shared" si="28"/>
        <v/>
      </c>
    </row>
    <row r="217" spans="2:38">
      <c r="B217" t="s">
        <v>1966</v>
      </c>
      <c r="C217" t="str">
        <f ca="1">'Unit Mix Helper'!F25</f>
        <v/>
      </c>
      <c r="D217" t="s">
        <v>1967</v>
      </c>
      <c r="E217">
        <f>UM_Bathrooms_21</f>
        <v>0</v>
      </c>
      <c r="G217" t="s">
        <v>1968</v>
      </c>
      <c r="H217" s="59" t="str">
        <f t="shared" ca="1" si="29"/>
        <v/>
      </c>
      <c r="I217" t="s">
        <v>1969</v>
      </c>
      <c r="J217" t="str">
        <f ca="1">'Unit Mix Helper'!G25</f>
        <v/>
      </c>
      <c r="K217" t="s">
        <v>1970</v>
      </c>
      <c r="L217" t="str">
        <f ca="1">'Unit Mix Helper'!H25</f>
        <v/>
      </c>
      <c r="M217" t="s">
        <v>1971</v>
      </c>
      <c r="N217" t="str">
        <f ca="1">'Unit Mix Helper'!J25</f>
        <v/>
      </c>
      <c r="O217" t="s">
        <v>1972</v>
      </c>
      <c r="P217" s="59" t="str">
        <f ca="1">IF(L217="","",TRIM(TEXT('Unit Mix Helper'!I25,"#0%")))</f>
        <v/>
      </c>
      <c r="Q217" t="s">
        <v>1973</v>
      </c>
      <c r="R217" t="str">
        <f t="shared" ca="1" si="23"/>
        <v/>
      </c>
      <c r="W217" s="69"/>
      <c r="X217" s="232"/>
      <c r="Y217" t="s">
        <v>1968</v>
      </c>
      <c r="Z217" s="64" t="str">
        <f t="shared" si="24"/>
        <v/>
      </c>
      <c r="AA217" t="s">
        <v>1974</v>
      </c>
      <c r="AB217" s="59" t="str">
        <f>IF($Z$2="","",IF(Z217="","",'Unit Mix Helper'!K25))</f>
        <v/>
      </c>
      <c r="AC217" t="s">
        <v>1975</v>
      </c>
      <c r="AD217" s="56" t="str">
        <f t="shared" si="25"/>
        <v/>
      </c>
      <c r="AE217" t="s">
        <v>1976</v>
      </c>
      <c r="AF217" t="str">
        <f t="shared" si="26"/>
        <v/>
      </c>
      <c r="AG217" t="s">
        <v>1977</v>
      </c>
      <c r="AH217" t="str">
        <f t="shared" si="27"/>
        <v/>
      </c>
      <c r="AI217" t="s">
        <v>1978</v>
      </c>
      <c r="AK217" t="s">
        <v>1979</v>
      </c>
      <c r="AL217" s="59" t="str">
        <f t="shared" si="28"/>
        <v/>
      </c>
    </row>
    <row r="218" spans="2:38">
      <c r="B218" t="s">
        <v>1980</v>
      </c>
      <c r="C218" t="str">
        <f ca="1">'Unit Mix Helper'!F26</f>
        <v/>
      </c>
      <c r="D218" t="s">
        <v>1981</v>
      </c>
      <c r="E218">
        <f>UM_Bathrooms_22</f>
        <v>0</v>
      </c>
      <c r="G218" t="s">
        <v>1982</v>
      </c>
      <c r="H218" s="59" t="str">
        <f t="shared" ca="1" si="29"/>
        <v/>
      </c>
      <c r="I218" t="s">
        <v>1983</v>
      </c>
      <c r="J218" t="str">
        <f ca="1">'Unit Mix Helper'!G26</f>
        <v/>
      </c>
      <c r="K218" t="s">
        <v>1984</v>
      </c>
      <c r="L218" t="str">
        <f ca="1">'Unit Mix Helper'!H26</f>
        <v/>
      </c>
      <c r="M218" t="s">
        <v>1985</v>
      </c>
      <c r="N218" t="str">
        <f ca="1">'Unit Mix Helper'!J26</f>
        <v/>
      </c>
      <c r="O218" t="s">
        <v>1986</v>
      </c>
      <c r="P218" s="59" t="str">
        <f ca="1">IF(L218="","",TRIM(TEXT('Unit Mix Helper'!I26,"#0%")))</f>
        <v/>
      </c>
      <c r="Q218" t="s">
        <v>1987</v>
      </c>
      <c r="R218" t="str">
        <f t="shared" ca="1" si="23"/>
        <v/>
      </c>
      <c r="W218" s="69"/>
      <c r="X218" s="232"/>
      <c r="Y218" t="s">
        <v>1982</v>
      </c>
      <c r="Z218" s="64" t="str">
        <f t="shared" si="24"/>
        <v/>
      </c>
      <c r="AA218" t="s">
        <v>1988</v>
      </c>
      <c r="AB218" s="59" t="str">
        <f>IF($Z$2="","",IF(Z218="","",'Unit Mix Helper'!K26))</f>
        <v/>
      </c>
      <c r="AC218" t="s">
        <v>1989</v>
      </c>
      <c r="AD218" s="56" t="str">
        <f t="shared" si="25"/>
        <v/>
      </c>
      <c r="AE218" t="s">
        <v>1990</v>
      </c>
      <c r="AF218" t="str">
        <f t="shared" si="26"/>
        <v/>
      </c>
      <c r="AG218" t="s">
        <v>1991</v>
      </c>
      <c r="AH218" t="str">
        <f t="shared" si="27"/>
        <v/>
      </c>
      <c r="AI218" t="s">
        <v>1992</v>
      </c>
      <c r="AK218" t="s">
        <v>1993</v>
      </c>
      <c r="AL218" s="59" t="str">
        <f t="shared" si="28"/>
        <v/>
      </c>
    </row>
    <row r="219" spans="2:38">
      <c r="B219" t="s">
        <v>1994</v>
      </c>
      <c r="C219" t="str">
        <f ca="1">'Unit Mix Helper'!F27</f>
        <v/>
      </c>
      <c r="D219" t="s">
        <v>1995</v>
      </c>
      <c r="E219">
        <f>UM_Bathrooms_23</f>
        <v>0</v>
      </c>
      <c r="G219" t="s">
        <v>1996</v>
      </c>
      <c r="H219" s="59" t="str">
        <f t="shared" ca="1" si="29"/>
        <v/>
      </c>
      <c r="I219" t="s">
        <v>1997</v>
      </c>
      <c r="J219" t="str">
        <f ca="1">'Unit Mix Helper'!G27</f>
        <v/>
      </c>
      <c r="K219" t="s">
        <v>1998</v>
      </c>
      <c r="L219" t="str">
        <f ca="1">'Unit Mix Helper'!H27</f>
        <v/>
      </c>
      <c r="M219" t="s">
        <v>1999</v>
      </c>
      <c r="N219" t="str">
        <f ca="1">'Unit Mix Helper'!J27</f>
        <v/>
      </c>
      <c r="O219" t="s">
        <v>2000</v>
      </c>
      <c r="P219" s="59" t="str">
        <f ca="1">IF(L219="","",TRIM(TEXT('Unit Mix Helper'!I27,"#0%")))</f>
        <v/>
      </c>
      <c r="Q219" t="s">
        <v>2001</v>
      </c>
      <c r="R219" t="str">
        <f t="shared" ca="1" si="23"/>
        <v/>
      </c>
      <c r="W219" s="69"/>
      <c r="X219" s="232"/>
      <c r="Y219" t="s">
        <v>1996</v>
      </c>
      <c r="Z219" s="64" t="str">
        <f t="shared" si="24"/>
        <v/>
      </c>
      <c r="AA219" t="s">
        <v>2002</v>
      </c>
      <c r="AB219" s="59" t="str">
        <f>IF($Z$2="","",IF(Z219="","",'Unit Mix Helper'!K27))</f>
        <v/>
      </c>
      <c r="AC219" t="s">
        <v>2003</v>
      </c>
      <c r="AD219" s="56" t="str">
        <f t="shared" si="25"/>
        <v/>
      </c>
      <c r="AE219" t="s">
        <v>2004</v>
      </c>
      <c r="AF219" t="str">
        <f t="shared" si="26"/>
        <v/>
      </c>
      <c r="AG219" t="s">
        <v>2005</v>
      </c>
      <c r="AH219" t="str">
        <f t="shared" si="27"/>
        <v/>
      </c>
      <c r="AI219" t="s">
        <v>2006</v>
      </c>
      <c r="AK219" t="s">
        <v>2007</v>
      </c>
      <c r="AL219" s="59" t="str">
        <f t="shared" si="28"/>
        <v/>
      </c>
    </row>
    <row r="220" spans="2:38">
      <c r="B220" t="s">
        <v>2008</v>
      </c>
      <c r="C220" t="str">
        <f ca="1">'Unit Mix Helper'!F28</f>
        <v/>
      </c>
      <c r="D220" t="s">
        <v>2009</v>
      </c>
      <c r="E220">
        <f>UM_Bathrooms_24</f>
        <v>0</v>
      </c>
      <c r="G220" t="s">
        <v>2010</v>
      </c>
      <c r="H220" s="59" t="str">
        <f t="shared" ca="1" si="29"/>
        <v/>
      </c>
      <c r="I220" t="s">
        <v>2011</v>
      </c>
      <c r="J220" t="str">
        <f ca="1">'Unit Mix Helper'!G28</f>
        <v/>
      </c>
      <c r="K220" t="s">
        <v>2012</v>
      </c>
      <c r="L220" t="str">
        <f ca="1">'Unit Mix Helper'!H28</f>
        <v/>
      </c>
      <c r="M220" t="s">
        <v>2013</v>
      </c>
      <c r="N220" t="str">
        <f ca="1">'Unit Mix Helper'!J28</f>
        <v/>
      </c>
      <c r="O220" t="s">
        <v>2014</v>
      </c>
      <c r="P220" s="59" t="str">
        <f ca="1">IF(L220="","",TRIM(TEXT('Unit Mix Helper'!I28,"#0%")))</f>
        <v/>
      </c>
      <c r="Q220" t="s">
        <v>2015</v>
      </c>
      <c r="R220" t="str">
        <f t="shared" ca="1" si="23"/>
        <v/>
      </c>
      <c r="W220" s="69"/>
      <c r="X220" s="232"/>
      <c r="Y220" t="s">
        <v>2010</v>
      </c>
      <c r="Z220" s="64" t="str">
        <f t="shared" si="24"/>
        <v/>
      </c>
      <c r="AA220" t="s">
        <v>2016</v>
      </c>
      <c r="AB220" s="59" t="str">
        <f>IF($Z$2="","",IF(Z220="","",'Unit Mix Helper'!K28))</f>
        <v/>
      </c>
      <c r="AC220" t="s">
        <v>2017</v>
      </c>
      <c r="AD220" s="56" t="str">
        <f t="shared" si="25"/>
        <v/>
      </c>
      <c r="AE220" t="s">
        <v>2018</v>
      </c>
      <c r="AF220" t="str">
        <f t="shared" si="26"/>
        <v/>
      </c>
      <c r="AG220" t="s">
        <v>2019</v>
      </c>
      <c r="AH220" t="str">
        <f t="shared" si="27"/>
        <v/>
      </c>
      <c r="AI220" t="s">
        <v>2020</v>
      </c>
      <c r="AK220" t="s">
        <v>2021</v>
      </c>
      <c r="AL220" s="59" t="str">
        <f t="shared" si="28"/>
        <v/>
      </c>
    </row>
    <row r="221" spans="2:38">
      <c r="B221" t="s">
        <v>2022</v>
      </c>
      <c r="C221" t="str">
        <f ca="1">'Unit Mix Helper'!F29</f>
        <v/>
      </c>
      <c r="D221" t="s">
        <v>2023</v>
      </c>
      <c r="E221">
        <f>UM_Bathrooms_25</f>
        <v>0</v>
      </c>
      <c r="G221" t="s">
        <v>2024</v>
      </c>
      <c r="H221" s="59" t="str">
        <f t="shared" ca="1" si="29"/>
        <v/>
      </c>
      <c r="I221" t="s">
        <v>2025</v>
      </c>
      <c r="J221" t="str">
        <f ca="1">'Unit Mix Helper'!G29</f>
        <v/>
      </c>
      <c r="K221" t="s">
        <v>2026</v>
      </c>
      <c r="L221" t="str">
        <f ca="1">'Unit Mix Helper'!H29</f>
        <v/>
      </c>
      <c r="M221" t="s">
        <v>2027</v>
      </c>
      <c r="N221" t="str">
        <f ca="1">'Unit Mix Helper'!J29</f>
        <v/>
      </c>
      <c r="O221" t="s">
        <v>2028</v>
      </c>
      <c r="P221" s="59" t="str">
        <f ca="1">IF(L221="","",TRIM(TEXT('Unit Mix Helper'!I29,"#0%")))</f>
        <v/>
      </c>
      <c r="Q221" t="s">
        <v>2029</v>
      </c>
      <c r="R221" t="str">
        <f t="shared" ca="1" si="23"/>
        <v/>
      </c>
      <c r="W221" s="69"/>
      <c r="X221" s="232"/>
      <c r="Y221" t="s">
        <v>2024</v>
      </c>
      <c r="Z221" s="64" t="str">
        <f t="shared" si="24"/>
        <v/>
      </c>
      <c r="AA221" t="s">
        <v>2030</v>
      </c>
      <c r="AB221" s="59" t="str">
        <f>IF($Z$2="","",IF(Z221="","",'Unit Mix Helper'!K29))</f>
        <v/>
      </c>
      <c r="AC221" t="s">
        <v>2031</v>
      </c>
      <c r="AD221" s="56" t="str">
        <f t="shared" si="25"/>
        <v/>
      </c>
      <c r="AE221" t="s">
        <v>2032</v>
      </c>
      <c r="AF221" t="str">
        <f t="shared" si="26"/>
        <v/>
      </c>
      <c r="AG221" t="s">
        <v>2033</v>
      </c>
      <c r="AH221" t="str">
        <f t="shared" si="27"/>
        <v/>
      </c>
      <c r="AI221" t="s">
        <v>2034</v>
      </c>
      <c r="AK221" t="s">
        <v>2035</v>
      </c>
      <c r="AL221" s="59" t="str">
        <f t="shared" si="28"/>
        <v/>
      </c>
    </row>
    <row r="222" spans="2:38">
      <c r="B222" t="s">
        <v>2036</v>
      </c>
      <c r="C222" t="str">
        <f ca="1">'Unit Mix Helper'!F30</f>
        <v/>
      </c>
      <c r="D222" t="s">
        <v>2037</v>
      </c>
      <c r="E222">
        <f>UM_Bathrooms_26</f>
        <v>0</v>
      </c>
      <c r="G222" t="s">
        <v>2038</v>
      </c>
      <c r="H222" s="59" t="str">
        <f t="shared" ca="1" si="29"/>
        <v/>
      </c>
      <c r="I222" t="s">
        <v>2039</v>
      </c>
      <c r="J222" t="str">
        <f ca="1">'Unit Mix Helper'!G30</f>
        <v/>
      </c>
      <c r="K222" t="s">
        <v>2040</v>
      </c>
      <c r="L222" t="str">
        <f ca="1">'Unit Mix Helper'!H30</f>
        <v/>
      </c>
      <c r="M222" t="s">
        <v>2041</v>
      </c>
      <c r="N222" t="str">
        <f ca="1">'Unit Mix Helper'!J30</f>
        <v/>
      </c>
      <c r="O222" t="s">
        <v>2042</v>
      </c>
      <c r="P222" s="59" t="str">
        <f ca="1">IF(L222="","",TRIM(TEXT('Unit Mix Helper'!I30,"#0%")))</f>
        <v/>
      </c>
      <c r="Q222" t="s">
        <v>2043</v>
      </c>
      <c r="R222" t="str">
        <f t="shared" ca="1" si="23"/>
        <v/>
      </c>
      <c r="W222" s="69"/>
      <c r="X222" s="232"/>
      <c r="Y222" t="s">
        <v>2038</v>
      </c>
      <c r="Z222" s="64" t="str">
        <f t="shared" si="24"/>
        <v/>
      </c>
      <c r="AA222" t="s">
        <v>2044</v>
      </c>
      <c r="AB222" s="59" t="str">
        <f>IF($Z$2="","",IF(Z222="","",'Unit Mix Helper'!K30))</f>
        <v/>
      </c>
      <c r="AC222" t="s">
        <v>2045</v>
      </c>
      <c r="AD222" s="56" t="str">
        <f t="shared" si="25"/>
        <v/>
      </c>
      <c r="AE222" t="s">
        <v>2046</v>
      </c>
      <c r="AF222" t="str">
        <f t="shared" si="26"/>
        <v/>
      </c>
      <c r="AG222" t="s">
        <v>2047</v>
      </c>
      <c r="AH222" t="str">
        <f t="shared" si="27"/>
        <v/>
      </c>
      <c r="AI222" t="s">
        <v>2048</v>
      </c>
      <c r="AK222" t="s">
        <v>2049</v>
      </c>
      <c r="AL222" s="59" t="str">
        <f t="shared" si="28"/>
        <v/>
      </c>
    </row>
    <row r="223" spans="2:38">
      <c r="B223" t="s">
        <v>2050</v>
      </c>
      <c r="C223" t="str">
        <f ca="1">'Unit Mix Helper'!F31</f>
        <v/>
      </c>
      <c r="D223" t="s">
        <v>2051</v>
      </c>
      <c r="E223">
        <f>UM_Bathrooms_27</f>
        <v>0</v>
      </c>
      <c r="G223" t="s">
        <v>2052</v>
      </c>
      <c r="H223" s="59" t="str">
        <f t="shared" ca="1" si="29"/>
        <v/>
      </c>
      <c r="I223" t="s">
        <v>2053</v>
      </c>
      <c r="J223" t="str">
        <f ca="1">'Unit Mix Helper'!G31</f>
        <v/>
      </c>
      <c r="K223" t="s">
        <v>2054</v>
      </c>
      <c r="L223" t="str">
        <f ca="1">'Unit Mix Helper'!H31</f>
        <v/>
      </c>
      <c r="M223" t="s">
        <v>2055</v>
      </c>
      <c r="N223" t="str">
        <f ca="1">'Unit Mix Helper'!J31</f>
        <v/>
      </c>
      <c r="O223" t="s">
        <v>2056</v>
      </c>
      <c r="P223" s="59" t="str">
        <f ca="1">IF(L223="","",TRIM(TEXT('Unit Mix Helper'!I31,"#0%")))</f>
        <v/>
      </c>
      <c r="Q223" t="s">
        <v>2057</v>
      </c>
      <c r="R223" t="str">
        <f t="shared" ca="1" si="23"/>
        <v/>
      </c>
      <c r="W223" s="69"/>
      <c r="X223" s="232"/>
      <c r="Y223" t="s">
        <v>2052</v>
      </c>
      <c r="Z223" s="64" t="str">
        <f t="shared" si="24"/>
        <v/>
      </c>
      <c r="AA223" t="s">
        <v>2058</v>
      </c>
      <c r="AB223" s="59" t="str">
        <f>IF($Z$2="","",IF(Z223="","",'Unit Mix Helper'!K31))</f>
        <v/>
      </c>
      <c r="AC223" t="s">
        <v>2059</v>
      </c>
      <c r="AD223" s="56" t="str">
        <f t="shared" si="25"/>
        <v/>
      </c>
      <c r="AE223" t="s">
        <v>2060</v>
      </c>
      <c r="AF223" t="str">
        <f t="shared" si="26"/>
        <v/>
      </c>
      <c r="AG223" t="s">
        <v>2061</v>
      </c>
      <c r="AH223" t="str">
        <f t="shared" si="27"/>
        <v/>
      </c>
      <c r="AI223" t="s">
        <v>2062</v>
      </c>
      <c r="AK223" t="s">
        <v>2063</v>
      </c>
      <c r="AL223" s="59" t="str">
        <f t="shared" si="28"/>
        <v/>
      </c>
    </row>
    <row r="224" spans="2:38">
      <c r="B224" t="s">
        <v>2064</v>
      </c>
      <c r="C224" t="str">
        <f ca="1">'Unit Mix Helper'!F32</f>
        <v/>
      </c>
      <c r="D224" t="s">
        <v>2065</v>
      </c>
      <c r="E224">
        <f>UM_Bathrooms_28</f>
        <v>0</v>
      </c>
      <c r="G224" t="s">
        <v>2066</v>
      </c>
      <c r="H224" s="59" t="str">
        <f t="shared" ca="1" si="29"/>
        <v/>
      </c>
      <c r="I224" t="s">
        <v>2067</v>
      </c>
      <c r="J224" t="str">
        <f ca="1">'Unit Mix Helper'!G32</f>
        <v/>
      </c>
      <c r="K224" t="s">
        <v>2068</v>
      </c>
      <c r="L224" t="str">
        <f ca="1">'Unit Mix Helper'!H32</f>
        <v/>
      </c>
      <c r="M224" t="s">
        <v>2069</v>
      </c>
      <c r="N224" t="str">
        <f ca="1">'Unit Mix Helper'!J32</f>
        <v/>
      </c>
      <c r="O224" t="s">
        <v>2070</v>
      </c>
      <c r="P224" s="59" t="str">
        <f ca="1">IF(L224="","",TRIM(TEXT('Unit Mix Helper'!I32,"#0%")))</f>
        <v/>
      </c>
      <c r="Q224" t="s">
        <v>2071</v>
      </c>
      <c r="R224" t="str">
        <f t="shared" ca="1" si="23"/>
        <v/>
      </c>
      <c r="W224" s="69"/>
      <c r="X224" s="232"/>
      <c r="Y224" t="s">
        <v>2066</v>
      </c>
      <c r="Z224" s="64" t="str">
        <f t="shared" si="24"/>
        <v/>
      </c>
      <c r="AA224" t="s">
        <v>2072</v>
      </c>
      <c r="AB224" s="59" t="str">
        <f>IF($Z$2="","",IF(Z224="","",'Unit Mix Helper'!K32))</f>
        <v/>
      </c>
      <c r="AC224" t="s">
        <v>2073</v>
      </c>
      <c r="AD224" s="56" t="str">
        <f t="shared" si="25"/>
        <v/>
      </c>
      <c r="AE224" t="s">
        <v>2074</v>
      </c>
      <c r="AF224" t="str">
        <f t="shared" si="26"/>
        <v/>
      </c>
      <c r="AG224" t="s">
        <v>2075</v>
      </c>
      <c r="AH224" t="str">
        <f t="shared" si="27"/>
        <v/>
      </c>
      <c r="AI224" t="s">
        <v>2076</v>
      </c>
      <c r="AK224" t="s">
        <v>2077</v>
      </c>
      <c r="AL224" s="59" t="str">
        <f t="shared" si="28"/>
        <v/>
      </c>
    </row>
    <row r="225" spans="2:38">
      <c r="B225" t="s">
        <v>2078</v>
      </c>
      <c r="C225" t="str">
        <f ca="1">'Unit Mix Helper'!F33</f>
        <v/>
      </c>
      <c r="D225" t="s">
        <v>2079</v>
      </c>
      <c r="E225">
        <f>UM_Bathrooms_29</f>
        <v>0</v>
      </c>
      <c r="G225" t="s">
        <v>2080</v>
      </c>
      <c r="H225" s="59" t="str">
        <f t="shared" ca="1" si="29"/>
        <v/>
      </c>
      <c r="I225" t="s">
        <v>2081</v>
      </c>
      <c r="J225" t="str">
        <f ca="1">'Unit Mix Helper'!G33</f>
        <v/>
      </c>
      <c r="K225" t="s">
        <v>2082</v>
      </c>
      <c r="L225" t="str">
        <f ca="1">'Unit Mix Helper'!H33</f>
        <v/>
      </c>
      <c r="M225" t="s">
        <v>2083</v>
      </c>
      <c r="N225" t="str">
        <f ca="1">'Unit Mix Helper'!J33</f>
        <v/>
      </c>
      <c r="O225" t="s">
        <v>2084</v>
      </c>
      <c r="P225" s="59" t="str">
        <f ca="1">IF(L225="","",TRIM(TEXT('Unit Mix Helper'!I33,"#0%")))</f>
        <v/>
      </c>
      <c r="Q225" t="s">
        <v>2085</v>
      </c>
      <c r="R225" t="str">
        <f t="shared" ca="1" si="23"/>
        <v/>
      </c>
      <c r="W225" s="69"/>
      <c r="X225" s="232"/>
      <c r="Y225" t="s">
        <v>2080</v>
      </c>
      <c r="Z225" s="64" t="str">
        <f t="shared" si="24"/>
        <v/>
      </c>
      <c r="AA225" t="s">
        <v>2086</v>
      </c>
      <c r="AB225" s="59" t="str">
        <f>IF($Z$2="","",IF(Z225="","",'Unit Mix Helper'!K33))</f>
        <v/>
      </c>
      <c r="AC225" t="s">
        <v>2087</v>
      </c>
      <c r="AD225" s="56" t="str">
        <f t="shared" si="25"/>
        <v/>
      </c>
      <c r="AE225" t="s">
        <v>2088</v>
      </c>
      <c r="AF225" t="str">
        <f t="shared" si="26"/>
        <v/>
      </c>
      <c r="AG225" t="s">
        <v>2089</v>
      </c>
      <c r="AH225" t="str">
        <f t="shared" si="27"/>
        <v/>
      </c>
      <c r="AI225" t="s">
        <v>2090</v>
      </c>
      <c r="AK225" t="s">
        <v>2091</v>
      </c>
      <c r="AL225" s="59" t="str">
        <f t="shared" si="28"/>
        <v/>
      </c>
    </row>
    <row r="226" spans="2:38">
      <c r="B226" t="s">
        <v>2092</v>
      </c>
      <c r="C226" t="str">
        <f ca="1">'Unit Mix Helper'!F34</f>
        <v/>
      </c>
      <c r="D226" t="s">
        <v>2093</v>
      </c>
      <c r="E226">
        <f>UM_Bathrooms_30</f>
        <v>0</v>
      </c>
      <c r="G226" t="s">
        <v>2094</v>
      </c>
      <c r="H226" s="59" t="str">
        <f t="shared" ca="1" si="29"/>
        <v/>
      </c>
      <c r="I226" t="s">
        <v>2095</v>
      </c>
      <c r="J226" t="str">
        <f ca="1">'Unit Mix Helper'!G34</f>
        <v/>
      </c>
      <c r="K226" t="s">
        <v>2096</v>
      </c>
      <c r="L226" t="str">
        <f ca="1">'Unit Mix Helper'!H34</f>
        <v/>
      </c>
      <c r="M226" t="s">
        <v>2097</v>
      </c>
      <c r="N226" t="str">
        <f ca="1">'Unit Mix Helper'!J34</f>
        <v/>
      </c>
      <c r="O226" t="s">
        <v>2098</v>
      </c>
      <c r="P226" s="59" t="str">
        <f ca="1">IF(L226="","",TRIM(TEXT('Unit Mix Helper'!I34,"#0%")))</f>
        <v/>
      </c>
      <c r="Q226" t="s">
        <v>2099</v>
      </c>
      <c r="R226" t="str">
        <f t="shared" ca="1" si="23"/>
        <v/>
      </c>
      <c r="W226" s="69"/>
      <c r="X226" s="232"/>
      <c r="Y226" t="s">
        <v>2094</v>
      </c>
      <c r="Z226" s="64" t="str">
        <f t="shared" si="24"/>
        <v/>
      </c>
      <c r="AA226" t="s">
        <v>2100</v>
      </c>
      <c r="AB226" s="59" t="str">
        <f>IF($Z$2="","",IF(Z226="","",'Unit Mix Helper'!K34))</f>
        <v/>
      </c>
      <c r="AC226" t="s">
        <v>2101</v>
      </c>
      <c r="AD226" s="56" t="str">
        <f t="shared" si="25"/>
        <v/>
      </c>
      <c r="AE226" t="s">
        <v>2102</v>
      </c>
      <c r="AF226" t="str">
        <f t="shared" si="26"/>
        <v/>
      </c>
      <c r="AG226" t="s">
        <v>2103</v>
      </c>
      <c r="AH226" t="str">
        <f t="shared" si="27"/>
        <v/>
      </c>
      <c r="AI226" t="s">
        <v>2104</v>
      </c>
      <c r="AK226" t="s">
        <v>2105</v>
      </c>
      <c r="AL226" s="59" t="str">
        <f t="shared" si="28"/>
        <v/>
      </c>
    </row>
    <row r="227" spans="2:38">
      <c r="B227" t="s">
        <v>2106</v>
      </c>
      <c r="C227" t="str">
        <f ca="1">'Unit Mix Helper'!F35</f>
        <v/>
      </c>
      <c r="D227" t="s">
        <v>2107</v>
      </c>
      <c r="E227">
        <f>UM_Bathrooms_31</f>
        <v>0</v>
      </c>
      <c r="G227" t="s">
        <v>2108</v>
      </c>
      <c r="H227" s="59" t="str">
        <f t="shared" ca="1" si="29"/>
        <v/>
      </c>
      <c r="I227" t="s">
        <v>2109</v>
      </c>
      <c r="J227" t="str">
        <f ca="1">'Unit Mix Helper'!G35</f>
        <v/>
      </c>
      <c r="K227" t="s">
        <v>2110</v>
      </c>
      <c r="L227" t="str">
        <f ca="1">'Unit Mix Helper'!H35</f>
        <v/>
      </c>
      <c r="M227" t="s">
        <v>2111</v>
      </c>
      <c r="N227" t="str">
        <f ca="1">'Unit Mix Helper'!J35</f>
        <v/>
      </c>
      <c r="O227" t="s">
        <v>2112</v>
      </c>
      <c r="P227" s="59" t="str">
        <f ca="1">IF(L227="","",TRIM(TEXT('Unit Mix Helper'!I35,"#0%")))</f>
        <v/>
      </c>
      <c r="Q227" t="s">
        <v>2113</v>
      </c>
      <c r="R227" t="str">
        <f t="shared" ca="1" si="23"/>
        <v/>
      </c>
      <c r="W227" s="69"/>
      <c r="X227" s="232"/>
      <c r="Y227" t="s">
        <v>2108</v>
      </c>
      <c r="Z227" s="64" t="str">
        <f t="shared" si="24"/>
        <v/>
      </c>
      <c r="AA227" t="s">
        <v>2114</v>
      </c>
      <c r="AB227" s="59" t="str">
        <f>IF($Z$2="","",IF(Z227="","",'Unit Mix Helper'!K35))</f>
        <v/>
      </c>
      <c r="AC227" t="s">
        <v>2115</v>
      </c>
      <c r="AD227" s="56" t="str">
        <f t="shared" si="25"/>
        <v/>
      </c>
      <c r="AE227" t="s">
        <v>2116</v>
      </c>
      <c r="AF227" t="str">
        <f t="shared" si="26"/>
        <v/>
      </c>
      <c r="AG227" t="s">
        <v>2117</v>
      </c>
      <c r="AH227" t="str">
        <f t="shared" si="27"/>
        <v/>
      </c>
      <c r="AI227" t="s">
        <v>2118</v>
      </c>
      <c r="AK227" t="s">
        <v>2119</v>
      </c>
      <c r="AL227" s="59" t="str">
        <f t="shared" si="28"/>
        <v/>
      </c>
    </row>
    <row r="228" spans="2:38">
      <c r="B228" t="s">
        <v>2120</v>
      </c>
      <c r="C228" t="str">
        <f ca="1">'Unit Mix Helper'!F36</f>
        <v/>
      </c>
      <c r="D228" t="s">
        <v>2121</v>
      </c>
      <c r="E228">
        <f>UM_Bathrooms_32</f>
        <v>0</v>
      </c>
      <c r="G228" t="s">
        <v>2122</v>
      </c>
      <c r="H228" s="59" t="str">
        <f t="shared" ca="1" si="29"/>
        <v/>
      </c>
      <c r="I228" t="s">
        <v>2123</v>
      </c>
      <c r="J228" t="str">
        <f ca="1">'Unit Mix Helper'!G36</f>
        <v/>
      </c>
      <c r="K228" t="s">
        <v>2124</v>
      </c>
      <c r="L228" t="str">
        <f ca="1">'Unit Mix Helper'!H36</f>
        <v/>
      </c>
      <c r="M228" t="s">
        <v>2125</v>
      </c>
      <c r="N228" t="str">
        <f ca="1">'Unit Mix Helper'!J36</f>
        <v/>
      </c>
      <c r="O228" t="s">
        <v>2126</v>
      </c>
      <c r="P228" s="59" t="str">
        <f ca="1">IF(L228="","",TRIM(TEXT('Unit Mix Helper'!I36,"#0%")))</f>
        <v/>
      </c>
      <c r="Q228" t="s">
        <v>2127</v>
      </c>
      <c r="R228" t="str">
        <f t="shared" ca="1" si="23"/>
        <v/>
      </c>
      <c r="W228" s="69"/>
      <c r="X228" s="232"/>
      <c r="Y228" t="s">
        <v>2122</v>
      </c>
      <c r="Z228" s="64" t="str">
        <f t="shared" si="24"/>
        <v/>
      </c>
      <c r="AA228" t="s">
        <v>2128</v>
      </c>
      <c r="AB228" s="59" t="str">
        <f>IF($Z$2="","",IF(Z228="","",'Unit Mix Helper'!K36))</f>
        <v/>
      </c>
      <c r="AC228" t="s">
        <v>2129</v>
      </c>
      <c r="AD228" s="56" t="str">
        <f t="shared" si="25"/>
        <v/>
      </c>
      <c r="AE228" t="s">
        <v>2130</v>
      </c>
      <c r="AF228" t="str">
        <f t="shared" si="26"/>
        <v/>
      </c>
      <c r="AG228" t="s">
        <v>2131</v>
      </c>
      <c r="AH228" t="str">
        <f t="shared" si="27"/>
        <v/>
      </c>
      <c r="AI228" t="s">
        <v>2132</v>
      </c>
      <c r="AK228" t="s">
        <v>2133</v>
      </c>
      <c r="AL228" s="59" t="str">
        <f t="shared" si="28"/>
        <v/>
      </c>
    </row>
    <row r="229" spans="2:38">
      <c r="B229" t="s">
        <v>2134</v>
      </c>
      <c r="C229" t="str">
        <f ca="1">'Unit Mix Helper'!F37</f>
        <v/>
      </c>
      <c r="D229" t="s">
        <v>2135</v>
      </c>
      <c r="E229">
        <f>UM_Bathrooms_33</f>
        <v>0</v>
      </c>
      <c r="G229" t="s">
        <v>2136</v>
      </c>
      <c r="H229" s="59" t="str">
        <f t="shared" ca="1" si="29"/>
        <v/>
      </c>
      <c r="I229" t="s">
        <v>2137</v>
      </c>
      <c r="J229" t="str">
        <f ca="1">'Unit Mix Helper'!G37</f>
        <v/>
      </c>
      <c r="K229" t="s">
        <v>2138</v>
      </c>
      <c r="L229" t="str">
        <f ca="1">'Unit Mix Helper'!H37</f>
        <v/>
      </c>
      <c r="M229" t="s">
        <v>2139</v>
      </c>
      <c r="N229" t="str">
        <f ca="1">'Unit Mix Helper'!J37</f>
        <v/>
      </c>
      <c r="O229" t="s">
        <v>2140</v>
      </c>
      <c r="P229" s="59" t="str">
        <f ca="1">IF(L229="","",TRIM(TEXT('Unit Mix Helper'!I37,"#0%")))</f>
        <v/>
      </c>
      <c r="Q229" t="s">
        <v>2141</v>
      </c>
      <c r="R229" t="str">
        <f t="shared" ref="R229:R256" ca="1" si="30">IF(ISERROR(J229*L229),"",J229*L229)</f>
        <v/>
      </c>
      <c r="W229" s="69"/>
      <c r="X229" s="232"/>
      <c r="Y229" t="s">
        <v>2136</v>
      </c>
      <c r="Z229" s="64" t="str">
        <f t="shared" ref="Z229:Z256" si="31">IF($Z$2="","",IF(H229="","",H229))</f>
        <v/>
      </c>
      <c r="AA229" t="s">
        <v>2142</v>
      </c>
      <c r="AB229" s="59" t="str">
        <f>IF($Z$2="","",IF(Z229="","",'Unit Mix Helper'!K37))</f>
        <v/>
      </c>
      <c r="AC229" t="s">
        <v>2143</v>
      </c>
      <c r="AD229" s="56" t="str">
        <f t="shared" ref="AD229:AD256" si="32">IF($Z$2="","",IF(N229="","",N229))</f>
        <v/>
      </c>
      <c r="AE229" t="s">
        <v>2144</v>
      </c>
      <c r="AF229" t="str">
        <f t="shared" ref="AF229:AF256" si="33">IF($Z$2="","",IF(J229="","",J229))</f>
        <v/>
      </c>
      <c r="AG229" t="s">
        <v>2145</v>
      </c>
      <c r="AH229" t="str">
        <f t="shared" ref="AH229:AH256" si="34">IF($Z$2="","",IF(L229="","",L229))</f>
        <v/>
      </c>
      <c r="AI229" t="s">
        <v>2146</v>
      </c>
      <c r="AK229" t="s">
        <v>2147</v>
      </c>
      <c r="AL229" s="59" t="str">
        <f t="shared" ref="AL229:AL246" si="35">IF($Z$2="","",P229)</f>
        <v/>
      </c>
    </row>
    <row r="230" spans="2:38">
      <c r="B230" t="s">
        <v>2148</v>
      </c>
      <c r="C230" t="str">
        <f ca="1">'Unit Mix Helper'!F38</f>
        <v/>
      </c>
      <c r="D230" t="s">
        <v>2149</v>
      </c>
      <c r="E230">
        <f>UM_Bathrooms_34</f>
        <v>0</v>
      </c>
      <c r="G230" t="s">
        <v>2150</v>
      </c>
      <c r="H230" s="59" t="str">
        <f t="shared" ca="1" si="29"/>
        <v/>
      </c>
      <c r="I230" t="s">
        <v>2151</v>
      </c>
      <c r="J230" t="str">
        <f ca="1">'Unit Mix Helper'!G38</f>
        <v/>
      </c>
      <c r="K230" t="s">
        <v>2152</v>
      </c>
      <c r="L230" t="str">
        <f ca="1">'Unit Mix Helper'!H38</f>
        <v/>
      </c>
      <c r="M230" t="s">
        <v>2153</v>
      </c>
      <c r="N230" t="str">
        <f ca="1">'Unit Mix Helper'!J38</f>
        <v/>
      </c>
      <c r="O230" t="s">
        <v>2154</v>
      </c>
      <c r="P230" s="59" t="str">
        <f ca="1">IF(L230="","",TRIM(TEXT('Unit Mix Helper'!I38,"#0%")))</f>
        <v/>
      </c>
      <c r="Q230" t="s">
        <v>2155</v>
      </c>
      <c r="R230" t="str">
        <f t="shared" ca="1" si="30"/>
        <v/>
      </c>
      <c r="W230" s="69"/>
      <c r="X230" s="232"/>
      <c r="Y230" t="s">
        <v>2150</v>
      </c>
      <c r="Z230" s="64" t="str">
        <f t="shared" si="31"/>
        <v/>
      </c>
      <c r="AA230" t="s">
        <v>2156</v>
      </c>
      <c r="AB230" s="59" t="str">
        <f>IF($Z$2="","",IF(Z230="","",'Unit Mix Helper'!K38))</f>
        <v/>
      </c>
      <c r="AC230" t="s">
        <v>2157</v>
      </c>
      <c r="AD230" s="56" t="str">
        <f t="shared" si="32"/>
        <v/>
      </c>
      <c r="AE230" t="s">
        <v>2158</v>
      </c>
      <c r="AF230" t="str">
        <f t="shared" si="33"/>
        <v/>
      </c>
      <c r="AG230" t="s">
        <v>2159</v>
      </c>
      <c r="AH230" t="str">
        <f t="shared" si="34"/>
        <v/>
      </c>
      <c r="AI230" t="s">
        <v>2160</v>
      </c>
      <c r="AK230" t="s">
        <v>2161</v>
      </c>
      <c r="AL230" s="59" t="str">
        <f t="shared" si="35"/>
        <v/>
      </c>
    </row>
    <row r="231" spans="2:38">
      <c r="B231" t="s">
        <v>2162</v>
      </c>
      <c r="C231" t="str">
        <f ca="1">'Unit Mix Helper'!F39</f>
        <v/>
      </c>
      <c r="D231" t="s">
        <v>2163</v>
      </c>
      <c r="E231">
        <f>UM_Bathrooms_35</f>
        <v>0</v>
      </c>
      <c r="G231" t="s">
        <v>2164</v>
      </c>
      <c r="H231" s="59" t="str">
        <f t="shared" ca="1" si="29"/>
        <v/>
      </c>
      <c r="I231" t="s">
        <v>2165</v>
      </c>
      <c r="J231" t="str">
        <f ca="1">'Unit Mix Helper'!G39</f>
        <v/>
      </c>
      <c r="K231" t="s">
        <v>2166</v>
      </c>
      <c r="L231" t="str">
        <f ca="1">'Unit Mix Helper'!H39</f>
        <v/>
      </c>
      <c r="M231" t="s">
        <v>2167</v>
      </c>
      <c r="N231" t="str">
        <f ca="1">'Unit Mix Helper'!J39</f>
        <v/>
      </c>
      <c r="O231" t="s">
        <v>2168</v>
      </c>
      <c r="P231" s="59" t="str">
        <f ca="1">IF(L231="","",TRIM(TEXT('Unit Mix Helper'!I39,"#0%")))</f>
        <v/>
      </c>
      <c r="Q231" t="s">
        <v>2169</v>
      </c>
      <c r="R231" t="str">
        <f t="shared" ca="1" si="30"/>
        <v/>
      </c>
      <c r="W231" s="69"/>
      <c r="X231" s="232"/>
      <c r="Y231" t="s">
        <v>2164</v>
      </c>
      <c r="Z231" s="64" t="str">
        <f t="shared" si="31"/>
        <v/>
      </c>
      <c r="AA231" t="s">
        <v>2170</v>
      </c>
      <c r="AB231" s="59" t="str">
        <f>IF($Z$2="","",IF(Z231="","",'Unit Mix Helper'!K39))</f>
        <v/>
      </c>
      <c r="AC231" t="s">
        <v>2171</v>
      </c>
      <c r="AD231" s="56" t="str">
        <f t="shared" si="32"/>
        <v/>
      </c>
      <c r="AE231" t="s">
        <v>2172</v>
      </c>
      <c r="AF231" t="str">
        <f t="shared" si="33"/>
        <v/>
      </c>
      <c r="AG231" t="s">
        <v>2173</v>
      </c>
      <c r="AH231" t="str">
        <f t="shared" si="34"/>
        <v/>
      </c>
      <c r="AI231" t="s">
        <v>2174</v>
      </c>
      <c r="AK231" t="s">
        <v>2175</v>
      </c>
      <c r="AL231" s="59" t="str">
        <f t="shared" si="35"/>
        <v/>
      </c>
    </row>
    <row r="232" spans="2:38">
      <c r="B232" t="s">
        <v>2176</v>
      </c>
      <c r="C232" t="str">
        <f ca="1">'Unit Mix Helper'!F40</f>
        <v/>
      </c>
      <c r="D232" t="s">
        <v>2177</v>
      </c>
      <c r="E232">
        <f>UM_Bathrooms_36</f>
        <v>0</v>
      </c>
      <c r="G232" t="s">
        <v>2178</v>
      </c>
      <c r="H232" s="59" t="str">
        <f t="shared" ca="1" si="29"/>
        <v/>
      </c>
      <c r="I232" t="s">
        <v>2179</v>
      </c>
      <c r="J232" t="str">
        <f ca="1">'Unit Mix Helper'!G40</f>
        <v/>
      </c>
      <c r="K232" t="s">
        <v>2180</v>
      </c>
      <c r="L232" t="str">
        <f ca="1">'Unit Mix Helper'!H40</f>
        <v/>
      </c>
      <c r="M232" t="s">
        <v>2181</v>
      </c>
      <c r="N232" t="str">
        <f ca="1">'Unit Mix Helper'!J40</f>
        <v/>
      </c>
      <c r="O232" t="s">
        <v>2182</v>
      </c>
      <c r="P232" s="59" t="str">
        <f ca="1">IF(L232="","",TRIM(TEXT('Unit Mix Helper'!I40,"#0%")))</f>
        <v/>
      </c>
      <c r="Q232" t="s">
        <v>2183</v>
      </c>
      <c r="R232" t="str">
        <f t="shared" ca="1" si="30"/>
        <v/>
      </c>
      <c r="W232" s="69"/>
      <c r="X232" s="232"/>
      <c r="Y232" t="s">
        <v>2178</v>
      </c>
      <c r="Z232" s="64" t="str">
        <f t="shared" si="31"/>
        <v/>
      </c>
      <c r="AA232" t="s">
        <v>2184</v>
      </c>
      <c r="AB232" s="59" t="str">
        <f>IF($Z$2="","",IF(Z232="","",'Unit Mix Helper'!K40))</f>
        <v/>
      </c>
      <c r="AC232" t="s">
        <v>2185</v>
      </c>
      <c r="AD232" s="56" t="str">
        <f t="shared" si="32"/>
        <v/>
      </c>
      <c r="AE232" t="s">
        <v>2186</v>
      </c>
      <c r="AF232" t="str">
        <f t="shared" si="33"/>
        <v/>
      </c>
      <c r="AG232" t="s">
        <v>2187</v>
      </c>
      <c r="AH232" t="str">
        <f t="shared" si="34"/>
        <v/>
      </c>
      <c r="AI232" t="s">
        <v>2188</v>
      </c>
      <c r="AK232" t="s">
        <v>2189</v>
      </c>
      <c r="AL232" s="59" t="str">
        <f t="shared" si="35"/>
        <v/>
      </c>
    </row>
    <row r="233" spans="2:38">
      <c r="B233" t="s">
        <v>2190</v>
      </c>
      <c r="C233" t="str">
        <f ca="1">'Unit Mix Helper'!F41</f>
        <v/>
      </c>
      <c r="D233" t="s">
        <v>2191</v>
      </c>
      <c r="E233">
        <f>UM_Bathrooms_37</f>
        <v>0</v>
      </c>
      <c r="G233" t="s">
        <v>2192</v>
      </c>
      <c r="H233" s="59" t="str">
        <f t="shared" ca="1" si="29"/>
        <v/>
      </c>
      <c r="I233" t="s">
        <v>2193</v>
      </c>
      <c r="J233" t="str">
        <f ca="1">'Unit Mix Helper'!G41</f>
        <v/>
      </c>
      <c r="K233" t="s">
        <v>2194</v>
      </c>
      <c r="L233" t="str">
        <f ca="1">'Unit Mix Helper'!H41</f>
        <v/>
      </c>
      <c r="M233" t="s">
        <v>2195</v>
      </c>
      <c r="N233" t="str">
        <f ca="1">'Unit Mix Helper'!J41</f>
        <v/>
      </c>
      <c r="O233" t="s">
        <v>2196</v>
      </c>
      <c r="P233" s="59" t="str">
        <f ca="1">IF(L233="","",TRIM(TEXT('Unit Mix Helper'!I41,"#0%")))</f>
        <v/>
      </c>
      <c r="Q233" t="s">
        <v>2197</v>
      </c>
      <c r="R233" t="str">
        <f t="shared" ca="1" si="30"/>
        <v/>
      </c>
      <c r="W233" s="69"/>
      <c r="X233" s="232"/>
      <c r="Y233" t="s">
        <v>2192</v>
      </c>
      <c r="Z233" s="64" t="str">
        <f t="shared" si="31"/>
        <v/>
      </c>
      <c r="AA233" t="s">
        <v>2198</v>
      </c>
      <c r="AB233" s="59" t="str">
        <f>IF($Z$2="","",IF(Z233="","",'Unit Mix Helper'!K41))</f>
        <v/>
      </c>
      <c r="AC233" t="s">
        <v>2199</v>
      </c>
      <c r="AD233" s="56" t="str">
        <f t="shared" si="32"/>
        <v/>
      </c>
      <c r="AE233" t="s">
        <v>2200</v>
      </c>
      <c r="AF233" t="str">
        <f t="shared" si="33"/>
        <v/>
      </c>
      <c r="AG233" t="s">
        <v>2201</v>
      </c>
      <c r="AH233" t="str">
        <f t="shared" si="34"/>
        <v/>
      </c>
      <c r="AI233" t="s">
        <v>2202</v>
      </c>
      <c r="AK233" t="s">
        <v>2203</v>
      </c>
      <c r="AL233" s="59" t="str">
        <f t="shared" si="35"/>
        <v/>
      </c>
    </row>
    <row r="234" spans="2:38">
      <c r="B234" t="s">
        <v>2204</v>
      </c>
      <c r="C234" t="str">
        <f ca="1">'Unit Mix Helper'!F42</f>
        <v/>
      </c>
      <c r="D234" t="s">
        <v>2205</v>
      </c>
      <c r="E234">
        <f>UM_Bathrooms_38</f>
        <v>0</v>
      </c>
      <c r="G234" t="s">
        <v>2206</v>
      </c>
      <c r="H234" s="59" t="str">
        <f t="shared" ca="1" si="29"/>
        <v/>
      </c>
      <c r="I234" t="s">
        <v>2207</v>
      </c>
      <c r="J234" t="str">
        <f ca="1">'Unit Mix Helper'!G42</f>
        <v/>
      </c>
      <c r="K234" t="s">
        <v>2208</v>
      </c>
      <c r="L234" t="str">
        <f ca="1">'Unit Mix Helper'!H42</f>
        <v/>
      </c>
      <c r="M234" t="s">
        <v>2209</v>
      </c>
      <c r="N234" t="str">
        <f ca="1">'Unit Mix Helper'!J42</f>
        <v/>
      </c>
      <c r="O234" t="s">
        <v>2210</v>
      </c>
      <c r="P234" s="59" t="str">
        <f ca="1">IF(L234="","",TRIM(TEXT('Unit Mix Helper'!I42,"#0%")))</f>
        <v/>
      </c>
      <c r="Q234" t="s">
        <v>2211</v>
      </c>
      <c r="R234" t="str">
        <f t="shared" ca="1" si="30"/>
        <v/>
      </c>
      <c r="W234" s="69"/>
      <c r="X234" s="232"/>
      <c r="Y234" t="s">
        <v>2206</v>
      </c>
      <c r="Z234" s="64" t="str">
        <f t="shared" si="31"/>
        <v/>
      </c>
      <c r="AA234" t="s">
        <v>2212</v>
      </c>
      <c r="AB234" s="59" t="str">
        <f>IF($Z$2="","",IF(Z234="","",'Unit Mix Helper'!K42))</f>
        <v/>
      </c>
      <c r="AC234" t="s">
        <v>2213</v>
      </c>
      <c r="AD234" s="56" t="str">
        <f t="shared" si="32"/>
        <v/>
      </c>
      <c r="AE234" t="s">
        <v>2214</v>
      </c>
      <c r="AF234" t="str">
        <f t="shared" si="33"/>
        <v/>
      </c>
      <c r="AG234" t="s">
        <v>2215</v>
      </c>
      <c r="AH234" t="str">
        <f t="shared" si="34"/>
        <v/>
      </c>
      <c r="AI234" t="s">
        <v>2216</v>
      </c>
      <c r="AK234" t="s">
        <v>2217</v>
      </c>
      <c r="AL234" s="59" t="str">
        <f t="shared" si="35"/>
        <v/>
      </c>
    </row>
    <row r="235" spans="2:38">
      <c r="B235" t="s">
        <v>2218</v>
      </c>
      <c r="C235" t="str">
        <f ca="1">'Unit Mix Helper'!F43</f>
        <v/>
      </c>
      <c r="D235" t="s">
        <v>2219</v>
      </c>
      <c r="E235">
        <f>UM_Bathrooms_39</f>
        <v>0</v>
      </c>
      <c r="G235" t="s">
        <v>2220</v>
      </c>
      <c r="H235" s="59" t="str">
        <f t="shared" ca="1" si="29"/>
        <v/>
      </c>
      <c r="I235" t="s">
        <v>2221</v>
      </c>
      <c r="J235" t="str">
        <f ca="1">'Unit Mix Helper'!G43</f>
        <v/>
      </c>
      <c r="K235" t="s">
        <v>2222</v>
      </c>
      <c r="L235" t="str">
        <f ca="1">'Unit Mix Helper'!H43</f>
        <v/>
      </c>
      <c r="M235" t="s">
        <v>2223</v>
      </c>
      <c r="N235" t="str">
        <f ca="1">'Unit Mix Helper'!J43</f>
        <v/>
      </c>
      <c r="O235" t="s">
        <v>2224</v>
      </c>
      <c r="P235" s="59" t="str">
        <f ca="1">IF(L235="","",TRIM(TEXT('Unit Mix Helper'!I43,"#0%")))</f>
        <v/>
      </c>
      <c r="Q235" t="s">
        <v>2225</v>
      </c>
      <c r="R235" t="str">
        <f t="shared" ca="1" si="30"/>
        <v/>
      </c>
      <c r="W235" s="69"/>
      <c r="X235" s="232"/>
      <c r="Y235" t="s">
        <v>2220</v>
      </c>
      <c r="Z235" s="64" t="str">
        <f t="shared" si="31"/>
        <v/>
      </c>
      <c r="AA235" t="s">
        <v>2226</v>
      </c>
      <c r="AB235" s="59" t="str">
        <f>IF($Z$2="","",IF(Z235="","",'Unit Mix Helper'!K43))</f>
        <v/>
      </c>
      <c r="AC235" t="s">
        <v>2227</v>
      </c>
      <c r="AD235" s="56" t="str">
        <f t="shared" si="32"/>
        <v/>
      </c>
      <c r="AE235" t="s">
        <v>2228</v>
      </c>
      <c r="AF235" t="str">
        <f t="shared" si="33"/>
        <v/>
      </c>
      <c r="AG235" t="s">
        <v>2229</v>
      </c>
      <c r="AH235" t="str">
        <f t="shared" si="34"/>
        <v/>
      </c>
      <c r="AI235" t="s">
        <v>2230</v>
      </c>
      <c r="AK235" t="s">
        <v>2231</v>
      </c>
      <c r="AL235" s="59" t="str">
        <f t="shared" si="35"/>
        <v/>
      </c>
    </row>
    <row r="236" spans="2:38">
      <c r="B236" t="s">
        <v>2232</v>
      </c>
      <c r="C236" t="str">
        <f ca="1">'Unit Mix Helper'!F44</f>
        <v/>
      </c>
      <c r="D236" t="s">
        <v>2233</v>
      </c>
      <c r="E236">
        <f>UM_Bathrooms_40</f>
        <v>0</v>
      </c>
      <c r="G236" t="s">
        <v>2234</v>
      </c>
      <c r="H236" s="59" t="str">
        <f t="shared" ca="1" si="29"/>
        <v/>
      </c>
      <c r="I236" t="s">
        <v>2235</v>
      </c>
      <c r="J236" t="str">
        <f ca="1">'Unit Mix Helper'!G44</f>
        <v/>
      </c>
      <c r="K236" t="s">
        <v>2236</v>
      </c>
      <c r="L236" t="str">
        <f ca="1">'Unit Mix Helper'!H44</f>
        <v/>
      </c>
      <c r="M236" t="s">
        <v>2237</v>
      </c>
      <c r="N236" t="str">
        <f ca="1">'Unit Mix Helper'!J44</f>
        <v/>
      </c>
      <c r="O236" t="s">
        <v>2238</v>
      </c>
      <c r="P236" s="59" t="str">
        <f ca="1">IF(L236="","",TRIM(TEXT('Unit Mix Helper'!I44,"#0%")))</f>
        <v/>
      </c>
      <c r="Q236" t="s">
        <v>2239</v>
      </c>
      <c r="R236" t="str">
        <f t="shared" ca="1" si="30"/>
        <v/>
      </c>
      <c r="W236" s="69"/>
      <c r="X236" s="232"/>
      <c r="Y236" t="s">
        <v>2234</v>
      </c>
      <c r="Z236" s="64" t="str">
        <f t="shared" si="31"/>
        <v/>
      </c>
      <c r="AA236" t="s">
        <v>2240</v>
      </c>
      <c r="AB236" s="59" t="str">
        <f>IF($Z$2="","",IF(Z236="","",'Unit Mix Helper'!K44))</f>
        <v/>
      </c>
      <c r="AC236" t="s">
        <v>2241</v>
      </c>
      <c r="AD236" s="56" t="str">
        <f t="shared" si="32"/>
        <v/>
      </c>
      <c r="AE236" t="s">
        <v>2242</v>
      </c>
      <c r="AF236" t="str">
        <f t="shared" si="33"/>
        <v/>
      </c>
      <c r="AG236" t="s">
        <v>2243</v>
      </c>
      <c r="AH236" t="str">
        <f t="shared" si="34"/>
        <v/>
      </c>
      <c r="AI236" t="s">
        <v>2244</v>
      </c>
      <c r="AK236" t="s">
        <v>2245</v>
      </c>
      <c r="AL236" s="59" t="str">
        <f t="shared" si="35"/>
        <v/>
      </c>
    </row>
    <row r="237" spans="2:38">
      <c r="B237" t="s">
        <v>2246</v>
      </c>
      <c r="C237" t="str">
        <f ca="1">'Unit Mix Helper'!F45</f>
        <v/>
      </c>
      <c r="D237" t="s">
        <v>2247</v>
      </c>
      <c r="E237">
        <f>UM_Bathrooms_41</f>
        <v>0</v>
      </c>
      <c r="G237" t="s">
        <v>2248</v>
      </c>
      <c r="H237" s="59" t="str">
        <f t="shared" ca="1" si="29"/>
        <v/>
      </c>
      <c r="I237" t="s">
        <v>2249</v>
      </c>
      <c r="J237" t="str">
        <f ca="1">'Unit Mix Helper'!G45</f>
        <v/>
      </c>
      <c r="K237" t="s">
        <v>2250</v>
      </c>
      <c r="L237" t="str">
        <f ca="1">'Unit Mix Helper'!H45</f>
        <v/>
      </c>
      <c r="M237" t="s">
        <v>2251</v>
      </c>
      <c r="N237" t="str">
        <f ca="1">'Unit Mix Helper'!J45</f>
        <v/>
      </c>
      <c r="O237" t="s">
        <v>2252</v>
      </c>
      <c r="P237" s="59" t="str">
        <f ca="1">IF(L237="","",TRIM(TEXT('Unit Mix Helper'!I45,"#0%")))</f>
        <v/>
      </c>
      <c r="Q237" t="s">
        <v>2253</v>
      </c>
      <c r="R237" t="str">
        <f t="shared" ca="1" si="30"/>
        <v/>
      </c>
      <c r="W237" s="69"/>
      <c r="X237" s="232"/>
      <c r="Y237" t="s">
        <v>2248</v>
      </c>
      <c r="Z237" s="64" t="str">
        <f t="shared" si="31"/>
        <v/>
      </c>
      <c r="AA237" t="s">
        <v>2254</v>
      </c>
      <c r="AB237" s="59" t="str">
        <f>IF($Z$2="","",IF(Z237="","",'Unit Mix Helper'!K45))</f>
        <v/>
      </c>
      <c r="AC237" t="s">
        <v>2255</v>
      </c>
      <c r="AD237" s="56" t="str">
        <f t="shared" si="32"/>
        <v/>
      </c>
      <c r="AE237" t="s">
        <v>2256</v>
      </c>
      <c r="AF237" t="str">
        <f t="shared" si="33"/>
        <v/>
      </c>
      <c r="AG237" t="s">
        <v>2257</v>
      </c>
      <c r="AH237" t="str">
        <f t="shared" si="34"/>
        <v/>
      </c>
      <c r="AI237" t="s">
        <v>2258</v>
      </c>
      <c r="AK237" t="s">
        <v>2259</v>
      </c>
      <c r="AL237" s="59" t="str">
        <f t="shared" si="35"/>
        <v/>
      </c>
    </row>
    <row r="238" spans="2:38">
      <c r="B238" t="s">
        <v>2260</v>
      </c>
      <c r="C238" t="str">
        <f ca="1">'Unit Mix Helper'!F46</f>
        <v/>
      </c>
      <c r="D238" t="s">
        <v>2261</v>
      </c>
      <c r="E238">
        <f>UM_Bathrooms_42</f>
        <v>0</v>
      </c>
      <c r="G238" t="s">
        <v>2262</v>
      </c>
      <c r="H238" s="59" t="str">
        <f t="shared" ca="1" si="29"/>
        <v/>
      </c>
      <c r="I238" t="s">
        <v>2263</v>
      </c>
      <c r="J238" t="str">
        <f ca="1">'Unit Mix Helper'!G46</f>
        <v/>
      </c>
      <c r="K238" t="s">
        <v>2264</v>
      </c>
      <c r="L238" t="str">
        <f ca="1">'Unit Mix Helper'!H46</f>
        <v/>
      </c>
      <c r="M238" t="s">
        <v>2265</v>
      </c>
      <c r="N238" t="str">
        <f ca="1">'Unit Mix Helper'!J46</f>
        <v/>
      </c>
      <c r="O238" t="s">
        <v>2266</v>
      </c>
      <c r="P238" s="59" t="str">
        <f ca="1">IF(L238="","",TRIM(TEXT('Unit Mix Helper'!I46,"#0%")))</f>
        <v/>
      </c>
      <c r="Q238" t="s">
        <v>2267</v>
      </c>
      <c r="R238" t="str">
        <f t="shared" ca="1" si="30"/>
        <v/>
      </c>
      <c r="W238" s="69"/>
      <c r="X238" s="232"/>
      <c r="Y238" t="s">
        <v>2262</v>
      </c>
      <c r="Z238" s="64" t="str">
        <f t="shared" si="31"/>
        <v/>
      </c>
      <c r="AA238" t="s">
        <v>2268</v>
      </c>
      <c r="AB238" s="59" t="str">
        <f>IF($Z$2="","",IF(Z238="","",'Unit Mix Helper'!K46))</f>
        <v/>
      </c>
      <c r="AC238" t="s">
        <v>2269</v>
      </c>
      <c r="AD238" s="56" t="str">
        <f t="shared" si="32"/>
        <v/>
      </c>
      <c r="AE238" t="s">
        <v>2270</v>
      </c>
      <c r="AF238" t="str">
        <f t="shared" si="33"/>
        <v/>
      </c>
      <c r="AG238" t="s">
        <v>2271</v>
      </c>
      <c r="AH238" t="str">
        <f t="shared" si="34"/>
        <v/>
      </c>
      <c r="AI238" t="s">
        <v>2272</v>
      </c>
      <c r="AK238" t="s">
        <v>2273</v>
      </c>
      <c r="AL238" s="59" t="str">
        <f t="shared" si="35"/>
        <v/>
      </c>
    </row>
    <row r="239" spans="2:38">
      <c r="B239" t="s">
        <v>2274</v>
      </c>
      <c r="C239" t="str">
        <f ca="1">'Unit Mix Helper'!F47</f>
        <v/>
      </c>
      <c r="D239" t="s">
        <v>2275</v>
      </c>
      <c r="E239">
        <f>UM_Bathrooms_43</f>
        <v>0</v>
      </c>
      <c r="G239" t="s">
        <v>2276</v>
      </c>
      <c r="H239" s="59" t="str">
        <f t="shared" ca="1" si="29"/>
        <v/>
      </c>
      <c r="I239" t="s">
        <v>2277</v>
      </c>
      <c r="J239" t="str">
        <f ca="1">'Unit Mix Helper'!G47</f>
        <v/>
      </c>
      <c r="K239" t="s">
        <v>2278</v>
      </c>
      <c r="L239" t="str">
        <f ca="1">'Unit Mix Helper'!H47</f>
        <v/>
      </c>
      <c r="M239" t="s">
        <v>2279</v>
      </c>
      <c r="N239" t="str">
        <f ca="1">'Unit Mix Helper'!J47</f>
        <v/>
      </c>
      <c r="O239" t="s">
        <v>2280</v>
      </c>
      <c r="P239" s="59" t="str">
        <f ca="1">IF(L239="","",TRIM(TEXT('Unit Mix Helper'!I47,"#0%")))</f>
        <v/>
      </c>
      <c r="Q239" t="s">
        <v>2281</v>
      </c>
      <c r="R239" t="str">
        <f t="shared" ca="1" si="30"/>
        <v/>
      </c>
      <c r="W239" s="69"/>
      <c r="X239" s="232"/>
      <c r="Y239" t="s">
        <v>2276</v>
      </c>
      <c r="Z239" s="64" t="str">
        <f t="shared" si="31"/>
        <v/>
      </c>
      <c r="AA239" t="s">
        <v>2282</v>
      </c>
      <c r="AB239" s="59" t="str">
        <f>IF($Z$2="","",IF(Z239="","",'Unit Mix Helper'!K47))</f>
        <v/>
      </c>
      <c r="AC239" t="s">
        <v>2283</v>
      </c>
      <c r="AD239" s="56" t="str">
        <f t="shared" si="32"/>
        <v/>
      </c>
      <c r="AE239" t="s">
        <v>2284</v>
      </c>
      <c r="AF239" t="str">
        <f t="shared" si="33"/>
        <v/>
      </c>
      <c r="AG239" t="s">
        <v>2285</v>
      </c>
      <c r="AH239" t="str">
        <f t="shared" si="34"/>
        <v/>
      </c>
      <c r="AI239" t="s">
        <v>2286</v>
      </c>
      <c r="AK239" t="s">
        <v>2287</v>
      </c>
      <c r="AL239" s="59" t="str">
        <f t="shared" si="35"/>
        <v/>
      </c>
    </row>
    <row r="240" spans="2:38">
      <c r="B240" t="s">
        <v>2288</v>
      </c>
      <c r="C240" t="str">
        <f ca="1">'Unit Mix Helper'!F48</f>
        <v/>
      </c>
      <c r="D240" t="s">
        <v>2289</v>
      </c>
      <c r="E240">
        <f>UM_Bathrooms_44</f>
        <v>0</v>
      </c>
      <c r="G240" t="s">
        <v>2290</v>
      </c>
      <c r="H240" s="59" t="str">
        <f t="shared" ca="1" si="29"/>
        <v/>
      </c>
      <c r="I240" t="s">
        <v>2291</v>
      </c>
      <c r="J240" t="str">
        <f ca="1">'Unit Mix Helper'!G48</f>
        <v/>
      </c>
      <c r="K240" t="s">
        <v>2292</v>
      </c>
      <c r="L240" t="str">
        <f ca="1">'Unit Mix Helper'!H48</f>
        <v/>
      </c>
      <c r="M240" t="s">
        <v>2293</v>
      </c>
      <c r="N240" t="str">
        <f ca="1">'Unit Mix Helper'!J48</f>
        <v/>
      </c>
      <c r="O240" t="s">
        <v>2294</v>
      </c>
      <c r="P240" s="59" t="str">
        <f ca="1">IF(L240="","",TRIM(TEXT('Unit Mix Helper'!I48,"#0%")))</f>
        <v/>
      </c>
      <c r="Q240" t="s">
        <v>2295</v>
      </c>
      <c r="R240" t="str">
        <f t="shared" ca="1" si="30"/>
        <v/>
      </c>
      <c r="W240" s="69"/>
      <c r="X240" s="232"/>
      <c r="Y240" t="s">
        <v>2290</v>
      </c>
      <c r="Z240" s="64" t="str">
        <f t="shared" si="31"/>
        <v/>
      </c>
      <c r="AA240" t="s">
        <v>2296</v>
      </c>
      <c r="AB240" s="59" t="str">
        <f>IF($Z$2="","",IF(Z240="","",'Unit Mix Helper'!K48))</f>
        <v/>
      </c>
      <c r="AC240" t="s">
        <v>2297</v>
      </c>
      <c r="AD240" s="56" t="str">
        <f t="shared" si="32"/>
        <v/>
      </c>
      <c r="AE240" t="s">
        <v>2298</v>
      </c>
      <c r="AF240" t="str">
        <f t="shared" si="33"/>
        <v/>
      </c>
      <c r="AG240" t="s">
        <v>2299</v>
      </c>
      <c r="AH240" t="str">
        <f t="shared" si="34"/>
        <v/>
      </c>
      <c r="AI240" t="s">
        <v>2300</v>
      </c>
      <c r="AK240" t="s">
        <v>2301</v>
      </c>
      <c r="AL240" s="59" t="str">
        <f t="shared" si="35"/>
        <v/>
      </c>
    </row>
    <row r="241" spans="2:38">
      <c r="B241" t="s">
        <v>2302</v>
      </c>
      <c r="C241" t="str">
        <f ca="1">'Unit Mix Helper'!F49</f>
        <v/>
      </c>
      <c r="D241" t="s">
        <v>2303</v>
      </c>
      <c r="E241">
        <f>UM_Bathrooms_45</f>
        <v>0</v>
      </c>
      <c r="G241" t="s">
        <v>2304</v>
      </c>
      <c r="H241" s="59" t="str">
        <f t="shared" ca="1" si="29"/>
        <v/>
      </c>
      <c r="I241" t="s">
        <v>2305</v>
      </c>
      <c r="J241" t="str">
        <f ca="1">'Unit Mix Helper'!G49</f>
        <v/>
      </c>
      <c r="K241" t="s">
        <v>2306</v>
      </c>
      <c r="L241" t="str">
        <f ca="1">'Unit Mix Helper'!H49</f>
        <v/>
      </c>
      <c r="M241" t="s">
        <v>2307</v>
      </c>
      <c r="N241" t="str">
        <f ca="1">'Unit Mix Helper'!J49</f>
        <v/>
      </c>
      <c r="O241" t="s">
        <v>2308</v>
      </c>
      <c r="P241" s="59" t="str">
        <f ca="1">IF(L241="","",TRIM(TEXT('Unit Mix Helper'!I49,"#0%")))</f>
        <v/>
      </c>
      <c r="Q241" t="s">
        <v>2309</v>
      </c>
      <c r="R241" t="str">
        <f t="shared" ca="1" si="30"/>
        <v/>
      </c>
      <c r="W241" s="69"/>
      <c r="X241" s="232"/>
      <c r="Y241" t="s">
        <v>2304</v>
      </c>
      <c r="Z241" s="64" t="str">
        <f t="shared" si="31"/>
        <v/>
      </c>
      <c r="AA241" t="s">
        <v>2310</v>
      </c>
      <c r="AB241" s="59" t="str">
        <f>IF($Z$2="","",IF(Z241="","",'Unit Mix Helper'!K49))</f>
        <v/>
      </c>
      <c r="AC241" t="s">
        <v>2311</v>
      </c>
      <c r="AD241" s="56" t="str">
        <f t="shared" si="32"/>
        <v/>
      </c>
      <c r="AE241" t="s">
        <v>2312</v>
      </c>
      <c r="AF241" t="str">
        <f t="shared" si="33"/>
        <v/>
      </c>
      <c r="AG241" t="s">
        <v>2313</v>
      </c>
      <c r="AH241" t="str">
        <f t="shared" si="34"/>
        <v/>
      </c>
      <c r="AI241" t="s">
        <v>2314</v>
      </c>
      <c r="AK241" t="s">
        <v>2315</v>
      </c>
      <c r="AL241" s="59" t="str">
        <f t="shared" si="35"/>
        <v/>
      </c>
    </row>
    <row r="242" spans="2:38">
      <c r="B242" t="s">
        <v>2316</v>
      </c>
      <c r="C242" t="str">
        <f ca="1">'Unit Mix Helper'!F50</f>
        <v/>
      </c>
      <c r="D242" t="s">
        <v>2317</v>
      </c>
      <c r="E242">
        <f>UM_Bathrooms_46</f>
        <v>0</v>
      </c>
      <c r="G242" t="s">
        <v>2318</v>
      </c>
      <c r="H242" s="59" t="str">
        <f t="shared" ca="1" si="29"/>
        <v/>
      </c>
      <c r="I242" t="s">
        <v>2319</v>
      </c>
      <c r="J242" t="str">
        <f ca="1">'Unit Mix Helper'!G50</f>
        <v/>
      </c>
      <c r="K242" t="s">
        <v>2320</v>
      </c>
      <c r="L242" t="str">
        <f ca="1">'Unit Mix Helper'!H50</f>
        <v/>
      </c>
      <c r="M242" t="s">
        <v>2321</v>
      </c>
      <c r="N242" t="str">
        <f ca="1">'Unit Mix Helper'!J50</f>
        <v/>
      </c>
      <c r="O242" t="s">
        <v>2322</v>
      </c>
      <c r="P242" s="59" t="str">
        <f ca="1">IF(L242="","",TRIM(TEXT('Unit Mix Helper'!I50,"#0%")))</f>
        <v/>
      </c>
      <c r="Q242" t="s">
        <v>2323</v>
      </c>
      <c r="R242" t="str">
        <f t="shared" ca="1" si="30"/>
        <v/>
      </c>
      <c r="W242" s="69"/>
      <c r="X242" s="232"/>
      <c r="Y242" t="s">
        <v>2318</v>
      </c>
      <c r="Z242" s="64" t="str">
        <f t="shared" si="31"/>
        <v/>
      </c>
      <c r="AA242" t="s">
        <v>2324</v>
      </c>
      <c r="AB242" s="59" t="str">
        <f>IF($Z$2="","",IF(Z242="","",'Unit Mix Helper'!K50))</f>
        <v/>
      </c>
      <c r="AC242" t="s">
        <v>2325</v>
      </c>
      <c r="AD242" s="56" t="str">
        <f t="shared" si="32"/>
        <v/>
      </c>
      <c r="AE242" t="s">
        <v>2326</v>
      </c>
      <c r="AF242" t="str">
        <f t="shared" si="33"/>
        <v/>
      </c>
      <c r="AG242" t="s">
        <v>2327</v>
      </c>
      <c r="AH242" t="str">
        <f t="shared" si="34"/>
        <v/>
      </c>
      <c r="AI242" t="s">
        <v>2328</v>
      </c>
      <c r="AK242" t="s">
        <v>2329</v>
      </c>
      <c r="AL242" s="59" t="str">
        <f t="shared" si="35"/>
        <v/>
      </c>
    </row>
    <row r="243" spans="2:38">
      <c r="B243" t="s">
        <v>2330</v>
      </c>
      <c r="C243" t="str">
        <f ca="1">'Unit Mix Helper'!F51</f>
        <v/>
      </c>
      <c r="D243" t="s">
        <v>2331</v>
      </c>
      <c r="E243">
        <f>UM_Bathrooms_47</f>
        <v>0</v>
      </c>
      <c r="G243" t="s">
        <v>2332</v>
      </c>
      <c r="H243" s="59" t="str">
        <f t="shared" ca="1" si="29"/>
        <v/>
      </c>
      <c r="I243" t="s">
        <v>2333</v>
      </c>
      <c r="J243" t="str">
        <f ca="1">'Unit Mix Helper'!G51</f>
        <v/>
      </c>
      <c r="K243" t="s">
        <v>2334</v>
      </c>
      <c r="L243" t="str">
        <f ca="1">'Unit Mix Helper'!H51</f>
        <v/>
      </c>
      <c r="M243" t="s">
        <v>2335</v>
      </c>
      <c r="N243" t="str">
        <f ca="1">'Unit Mix Helper'!J51</f>
        <v/>
      </c>
      <c r="O243" t="s">
        <v>2336</v>
      </c>
      <c r="P243" s="59" t="str">
        <f ca="1">IF(L243="","",TRIM(TEXT('Unit Mix Helper'!I51,"#0%")))</f>
        <v/>
      </c>
      <c r="Q243" t="s">
        <v>2337</v>
      </c>
      <c r="R243" t="str">
        <f t="shared" ca="1" si="30"/>
        <v/>
      </c>
      <c r="W243" s="69"/>
      <c r="X243" s="232"/>
      <c r="Y243" t="s">
        <v>2332</v>
      </c>
      <c r="Z243" s="64" t="str">
        <f t="shared" si="31"/>
        <v/>
      </c>
      <c r="AA243" t="s">
        <v>2338</v>
      </c>
      <c r="AB243" s="59" t="str">
        <f>IF($Z$2="","",IF(Z243="","",'Unit Mix Helper'!K51))</f>
        <v/>
      </c>
      <c r="AC243" t="s">
        <v>2339</v>
      </c>
      <c r="AD243" s="56" t="str">
        <f t="shared" si="32"/>
        <v/>
      </c>
      <c r="AE243" t="s">
        <v>2340</v>
      </c>
      <c r="AF243" t="str">
        <f t="shared" si="33"/>
        <v/>
      </c>
      <c r="AG243" t="s">
        <v>2341</v>
      </c>
      <c r="AH243" t="str">
        <f t="shared" si="34"/>
        <v/>
      </c>
      <c r="AI243" t="s">
        <v>2342</v>
      </c>
      <c r="AK243" t="s">
        <v>2343</v>
      </c>
      <c r="AL243" s="59" t="str">
        <f t="shared" si="35"/>
        <v/>
      </c>
    </row>
    <row r="244" spans="2:38">
      <c r="B244" t="s">
        <v>2344</v>
      </c>
      <c r="C244" t="str">
        <f ca="1">'Unit Mix Helper'!F52</f>
        <v/>
      </c>
      <c r="D244" t="s">
        <v>2345</v>
      </c>
      <c r="E244">
        <f>UM_Bathrooms_48</f>
        <v>0</v>
      </c>
      <c r="G244" t="s">
        <v>2346</v>
      </c>
      <c r="H244" s="59" t="str">
        <f t="shared" ca="1" si="29"/>
        <v/>
      </c>
      <c r="I244" t="s">
        <v>2347</v>
      </c>
      <c r="J244" t="str">
        <f ca="1">'Unit Mix Helper'!G52</f>
        <v/>
      </c>
      <c r="K244" t="s">
        <v>2348</v>
      </c>
      <c r="L244" t="str">
        <f ca="1">'Unit Mix Helper'!H52</f>
        <v/>
      </c>
      <c r="M244" t="s">
        <v>2349</v>
      </c>
      <c r="N244" t="str">
        <f ca="1">'Unit Mix Helper'!J52</f>
        <v/>
      </c>
      <c r="O244" t="s">
        <v>2350</v>
      </c>
      <c r="P244" s="59" t="str">
        <f ca="1">IF(L244="","",TRIM(TEXT('Unit Mix Helper'!I52,"#0%")))</f>
        <v/>
      </c>
      <c r="Q244" t="s">
        <v>2351</v>
      </c>
      <c r="R244" t="str">
        <f t="shared" ca="1" si="30"/>
        <v/>
      </c>
      <c r="W244" s="69"/>
      <c r="X244" s="232"/>
      <c r="Y244" t="s">
        <v>2346</v>
      </c>
      <c r="Z244" s="64" t="str">
        <f t="shared" si="31"/>
        <v/>
      </c>
      <c r="AA244" t="s">
        <v>2352</v>
      </c>
      <c r="AB244" s="59" t="str">
        <f>IF($Z$2="","",IF(Z244="","",'Unit Mix Helper'!K52))</f>
        <v/>
      </c>
      <c r="AC244" t="s">
        <v>2353</v>
      </c>
      <c r="AD244" s="56" t="str">
        <f t="shared" si="32"/>
        <v/>
      </c>
      <c r="AE244" t="s">
        <v>2354</v>
      </c>
      <c r="AF244" t="str">
        <f t="shared" si="33"/>
        <v/>
      </c>
      <c r="AG244" t="s">
        <v>2355</v>
      </c>
      <c r="AH244" t="str">
        <f t="shared" si="34"/>
        <v/>
      </c>
      <c r="AI244" t="s">
        <v>2356</v>
      </c>
      <c r="AK244" t="s">
        <v>2357</v>
      </c>
      <c r="AL244" s="59" t="str">
        <f t="shared" si="35"/>
        <v/>
      </c>
    </row>
    <row r="245" spans="2:38">
      <c r="B245" t="s">
        <v>2358</v>
      </c>
      <c r="C245" t="str">
        <f ca="1">'Unit Mix Helper'!F53</f>
        <v/>
      </c>
      <c r="D245" t="s">
        <v>2359</v>
      </c>
      <c r="E245">
        <f>UM_Bathrooms_49</f>
        <v>0</v>
      </c>
      <c r="G245" t="s">
        <v>2360</v>
      </c>
      <c r="H245" s="59" t="str">
        <f t="shared" ca="1" si="29"/>
        <v/>
      </c>
      <c r="I245" t="s">
        <v>2361</v>
      </c>
      <c r="J245" t="str">
        <f ca="1">'Unit Mix Helper'!G53</f>
        <v/>
      </c>
      <c r="K245" t="s">
        <v>2362</v>
      </c>
      <c r="L245" t="str">
        <f ca="1">'Unit Mix Helper'!H53</f>
        <v/>
      </c>
      <c r="M245" t="s">
        <v>2363</v>
      </c>
      <c r="N245" t="str">
        <f ca="1">'Unit Mix Helper'!J53</f>
        <v/>
      </c>
      <c r="O245" t="s">
        <v>2364</v>
      </c>
      <c r="P245" s="59" t="str">
        <f ca="1">IF(L245="","",TRIM(TEXT('Unit Mix Helper'!I53,"#0%")))</f>
        <v/>
      </c>
      <c r="Q245" t="s">
        <v>2365</v>
      </c>
      <c r="R245" t="str">
        <f t="shared" ca="1" si="30"/>
        <v/>
      </c>
      <c r="W245" s="69"/>
      <c r="X245" s="232"/>
      <c r="Y245" t="s">
        <v>2360</v>
      </c>
      <c r="Z245" s="64" t="str">
        <f t="shared" si="31"/>
        <v/>
      </c>
      <c r="AA245" t="s">
        <v>2366</v>
      </c>
      <c r="AB245" s="59" t="str">
        <f>IF($Z$2="","",IF(Z245="","",'Unit Mix Helper'!K53))</f>
        <v/>
      </c>
      <c r="AC245" t="s">
        <v>2367</v>
      </c>
      <c r="AD245" s="56" t="str">
        <f t="shared" si="32"/>
        <v/>
      </c>
      <c r="AE245" t="s">
        <v>2368</v>
      </c>
      <c r="AF245" t="str">
        <f t="shared" si="33"/>
        <v/>
      </c>
      <c r="AG245" t="s">
        <v>2369</v>
      </c>
      <c r="AH245" t="str">
        <f t="shared" si="34"/>
        <v/>
      </c>
      <c r="AI245" t="s">
        <v>2370</v>
      </c>
      <c r="AK245" t="s">
        <v>2371</v>
      </c>
      <c r="AL245" s="59" t="str">
        <f t="shared" si="35"/>
        <v/>
      </c>
    </row>
    <row r="246" spans="2:38">
      <c r="B246" t="s">
        <v>2372</v>
      </c>
      <c r="C246" t="str">
        <f ca="1">'Unit Mix Helper'!F54</f>
        <v/>
      </c>
      <c r="D246" t="s">
        <v>2373</v>
      </c>
      <c r="E246">
        <f t="shared" ref="E246" si="36">UM_Bathrooms_50</f>
        <v>0</v>
      </c>
      <c r="G246" t="s">
        <v>2374</v>
      </c>
      <c r="H246" s="59" t="str">
        <f t="shared" ca="1" si="29"/>
        <v/>
      </c>
      <c r="I246" t="s">
        <v>2375</v>
      </c>
      <c r="J246" t="str">
        <f ca="1">'Unit Mix Helper'!G54</f>
        <v/>
      </c>
      <c r="K246" t="s">
        <v>2376</v>
      </c>
      <c r="L246" t="str">
        <f ca="1">'Unit Mix Helper'!H54</f>
        <v/>
      </c>
      <c r="M246" t="s">
        <v>2377</v>
      </c>
      <c r="N246" t="str">
        <f ca="1">'Unit Mix Helper'!J54</f>
        <v/>
      </c>
      <c r="O246" t="s">
        <v>2378</v>
      </c>
      <c r="P246" s="59" t="str">
        <f ca="1">IF(L246="","",TRIM(TEXT('Unit Mix Helper'!I54,"#0%")))</f>
        <v/>
      </c>
      <c r="Q246" t="s">
        <v>2379</v>
      </c>
      <c r="R246" t="str">
        <f t="shared" ca="1" si="30"/>
        <v/>
      </c>
      <c r="W246" s="69"/>
      <c r="X246" s="232"/>
      <c r="Y246" t="s">
        <v>2374</v>
      </c>
      <c r="Z246" s="64" t="str">
        <f t="shared" si="31"/>
        <v/>
      </c>
      <c r="AA246" t="s">
        <v>2380</v>
      </c>
      <c r="AB246" s="59" t="str">
        <f>IF($Z$2="","",IF(Z246="","",'Unit Mix Helper'!K54))</f>
        <v/>
      </c>
      <c r="AC246" t="s">
        <v>2381</v>
      </c>
      <c r="AD246" s="56" t="str">
        <f t="shared" si="32"/>
        <v/>
      </c>
      <c r="AE246" t="s">
        <v>2382</v>
      </c>
      <c r="AF246" t="str">
        <f t="shared" si="33"/>
        <v/>
      </c>
      <c r="AG246" t="s">
        <v>2383</v>
      </c>
      <c r="AH246" t="str">
        <f t="shared" si="34"/>
        <v/>
      </c>
      <c r="AI246" t="s">
        <v>2384</v>
      </c>
      <c r="AK246" t="s">
        <v>2385</v>
      </c>
      <c r="AL246" s="59" t="str">
        <f t="shared" si="35"/>
        <v/>
      </c>
    </row>
    <row r="247" spans="2:38">
      <c r="B247" t="s">
        <v>2386</v>
      </c>
      <c r="C247" t="str">
        <f ca="1">'Unit Mix Helper'!F55</f>
        <v/>
      </c>
      <c r="D247" t="s">
        <v>2387</v>
      </c>
      <c r="E247">
        <f>UM_Bathrooms_54</f>
        <v>0</v>
      </c>
      <c r="G247" t="s">
        <v>2388</v>
      </c>
      <c r="H247" s="59" t="str">
        <f t="shared" ca="1" si="29"/>
        <v/>
      </c>
      <c r="I247" t="s">
        <v>2389</v>
      </c>
      <c r="J247" t="str">
        <f ca="1">'Unit Mix Helper'!G55</f>
        <v/>
      </c>
      <c r="K247" t="s">
        <v>2390</v>
      </c>
      <c r="L247" t="str">
        <f ca="1">'Unit Mix Helper'!H55</f>
        <v/>
      </c>
      <c r="M247" t="s">
        <v>2391</v>
      </c>
      <c r="N247" t="str">
        <f ca="1">'Unit Mix Helper'!J55</f>
        <v/>
      </c>
      <c r="P247" s="59" t="str">
        <f ca="1">IF(L247="","",TRIM(TEXT('Unit Mix Helper'!I55,"#0%")))</f>
        <v/>
      </c>
      <c r="Q247" t="s">
        <v>2392</v>
      </c>
      <c r="R247" t="str">
        <f t="shared" ca="1" si="30"/>
        <v/>
      </c>
      <c r="X247" s="232"/>
      <c r="Y247" t="s">
        <v>2393</v>
      </c>
      <c r="Z247" s="64" t="str">
        <f t="shared" si="31"/>
        <v/>
      </c>
      <c r="AA247" t="s">
        <v>2394</v>
      </c>
      <c r="AB247" t="str">
        <f>IF($Z$2="","",IF(Z247="","",'Unit Mix Helper'!K55))</f>
        <v/>
      </c>
      <c r="AC247" t="s">
        <v>2395</v>
      </c>
      <c r="AD247" s="56" t="str">
        <f t="shared" si="32"/>
        <v/>
      </c>
      <c r="AE247" t="s">
        <v>2396</v>
      </c>
      <c r="AF247" t="str">
        <f t="shared" si="33"/>
        <v/>
      </c>
      <c r="AG247" t="s">
        <v>2397</v>
      </c>
      <c r="AH247" t="str">
        <f t="shared" si="34"/>
        <v/>
      </c>
      <c r="AI247" t="s">
        <v>2398</v>
      </c>
      <c r="AK247" t="s">
        <v>2399</v>
      </c>
      <c r="AL247" s="69" t="str">
        <f t="shared" ref="AL247:AL249" si="37">IF($Z$2="","",W247)</f>
        <v/>
      </c>
    </row>
    <row r="248" spans="2:38">
      <c r="B248" t="s">
        <v>2400</v>
      </c>
      <c r="C248" t="str">
        <f ca="1">'Unit Mix Helper'!F56</f>
        <v/>
      </c>
      <c r="D248" t="s">
        <v>2401</v>
      </c>
      <c r="E248">
        <f>UM_Bathrooms_55</f>
        <v>0</v>
      </c>
      <c r="G248" t="s">
        <v>2402</v>
      </c>
      <c r="H248" s="59" t="str">
        <f t="shared" ca="1" si="29"/>
        <v/>
      </c>
      <c r="I248" t="s">
        <v>2403</v>
      </c>
      <c r="J248" t="str">
        <f ca="1">'Unit Mix Helper'!G56</f>
        <v/>
      </c>
      <c r="K248" t="s">
        <v>2404</v>
      </c>
      <c r="L248" t="str">
        <f ca="1">'Unit Mix Helper'!H56</f>
        <v/>
      </c>
      <c r="M248" t="s">
        <v>2405</v>
      </c>
      <c r="N248" t="str">
        <f ca="1">'Unit Mix Helper'!J56</f>
        <v/>
      </c>
      <c r="P248" s="59" t="str">
        <f ca="1">IF(L248="","",TRIM(TEXT('Unit Mix Helper'!I56,"#0%")))</f>
        <v/>
      </c>
      <c r="Q248" t="s">
        <v>2406</v>
      </c>
      <c r="R248" t="str">
        <f t="shared" ca="1" si="30"/>
        <v/>
      </c>
      <c r="X248" s="232"/>
      <c r="Y248" t="s">
        <v>2407</v>
      </c>
      <c r="Z248" s="64" t="str">
        <f t="shared" si="31"/>
        <v/>
      </c>
      <c r="AA248" t="s">
        <v>2408</v>
      </c>
      <c r="AB248" t="str">
        <f>IF($Z$2="","",IF(Z248="","",'Unit Mix Helper'!K56))</f>
        <v/>
      </c>
      <c r="AC248" t="s">
        <v>2409</v>
      </c>
      <c r="AD248" s="56" t="str">
        <f t="shared" si="32"/>
        <v/>
      </c>
      <c r="AE248" t="s">
        <v>2410</v>
      </c>
      <c r="AF248" t="str">
        <f t="shared" si="33"/>
        <v/>
      </c>
      <c r="AG248" t="s">
        <v>2411</v>
      </c>
      <c r="AH248" t="str">
        <f t="shared" si="34"/>
        <v/>
      </c>
      <c r="AI248" t="s">
        <v>2412</v>
      </c>
      <c r="AK248" t="s">
        <v>2413</v>
      </c>
      <c r="AL248" s="69" t="str">
        <f t="shared" si="37"/>
        <v/>
      </c>
    </row>
    <row r="249" spans="2:38">
      <c r="B249" t="s">
        <v>2414</v>
      </c>
      <c r="C249" t="str">
        <f ca="1">'Unit Mix Helper'!F57</f>
        <v/>
      </c>
      <c r="D249" t="s">
        <v>2415</v>
      </c>
      <c r="E249">
        <f>UM_Bathrooms_56</f>
        <v>0</v>
      </c>
      <c r="G249" t="s">
        <v>2416</v>
      </c>
      <c r="H249" s="59" t="str">
        <f t="shared" ca="1" si="29"/>
        <v/>
      </c>
      <c r="I249" t="s">
        <v>2417</v>
      </c>
      <c r="J249" t="str">
        <f ca="1">'Unit Mix Helper'!G57</f>
        <v/>
      </c>
      <c r="K249" t="s">
        <v>2418</v>
      </c>
      <c r="L249" t="str">
        <f ca="1">'Unit Mix Helper'!H57</f>
        <v/>
      </c>
      <c r="M249" t="s">
        <v>2419</v>
      </c>
      <c r="N249" t="str">
        <f ca="1">'Unit Mix Helper'!J57</f>
        <v/>
      </c>
      <c r="P249" s="59" t="str">
        <f ca="1">IF(L249="","",TRIM(TEXT('Unit Mix Helper'!I57,"#0%")))</f>
        <v/>
      </c>
      <c r="Q249" t="s">
        <v>2420</v>
      </c>
      <c r="R249" t="str">
        <f t="shared" ca="1" si="30"/>
        <v/>
      </c>
      <c r="X249" s="232"/>
      <c r="Y249" t="s">
        <v>2421</v>
      </c>
      <c r="Z249" s="64" t="str">
        <f t="shared" si="31"/>
        <v/>
      </c>
      <c r="AA249" t="s">
        <v>2422</v>
      </c>
      <c r="AB249" t="str">
        <f>IF($Z$2="","",IF(Z249="","",'Unit Mix Helper'!K57))</f>
        <v/>
      </c>
      <c r="AC249" t="s">
        <v>2423</v>
      </c>
      <c r="AD249" s="56" t="str">
        <f t="shared" si="32"/>
        <v/>
      </c>
      <c r="AE249" t="s">
        <v>2424</v>
      </c>
      <c r="AF249" t="str">
        <f t="shared" si="33"/>
        <v/>
      </c>
      <c r="AG249" t="s">
        <v>2425</v>
      </c>
      <c r="AH249" t="str">
        <f t="shared" si="34"/>
        <v/>
      </c>
      <c r="AI249" t="s">
        <v>2426</v>
      </c>
      <c r="AK249" t="s">
        <v>2427</v>
      </c>
      <c r="AL249" s="69" t="str">
        <f t="shared" si="37"/>
        <v/>
      </c>
    </row>
    <row r="250" spans="2:38">
      <c r="B250" t="s">
        <v>2428</v>
      </c>
      <c r="C250" t="str">
        <f ca="1">'Unit Mix Helper'!F58</f>
        <v/>
      </c>
      <c r="D250" t="s">
        <v>2429</v>
      </c>
      <c r="E250">
        <f>UM_Bathrooms_57</f>
        <v>0</v>
      </c>
      <c r="G250" t="s">
        <v>2430</v>
      </c>
      <c r="H250" s="59" t="str">
        <f t="shared" ca="1" si="29"/>
        <v/>
      </c>
      <c r="I250" t="s">
        <v>2431</v>
      </c>
      <c r="J250" t="str">
        <f ca="1">'Unit Mix Helper'!G58</f>
        <v/>
      </c>
      <c r="K250" t="s">
        <v>2432</v>
      </c>
      <c r="L250" t="str">
        <f ca="1">'Unit Mix Helper'!H58</f>
        <v/>
      </c>
      <c r="M250" t="s">
        <v>2433</v>
      </c>
      <c r="N250" t="str">
        <f ca="1">'Unit Mix Helper'!J58</f>
        <v/>
      </c>
      <c r="P250" s="59" t="str">
        <f ca="1">IF(L250="","",TRIM(TEXT('Unit Mix Helper'!I58,"#0%")))</f>
        <v/>
      </c>
      <c r="Q250" t="s">
        <v>2434</v>
      </c>
      <c r="R250" t="str">
        <f t="shared" ca="1" si="30"/>
        <v/>
      </c>
      <c r="X250" s="232"/>
      <c r="Y250" t="s">
        <v>2435</v>
      </c>
      <c r="Z250" s="64" t="str">
        <f t="shared" si="31"/>
        <v/>
      </c>
      <c r="AA250" t="s">
        <v>2436</v>
      </c>
      <c r="AB250" t="str">
        <f>IF($Z$2="","",IF(Z250="","",'Unit Mix Helper'!K58))</f>
        <v/>
      </c>
      <c r="AC250" t="s">
        <v>2437</v>
      </c>
      <c r="AD250" s="56" t="str">
        <f t="shared" si="32"/>
        <v/>
      </c>
      <c r="AE250" t="s">
        <v>2438</v>
      </c>
      <c r="AF250" t="str">
        <f t="shared" si="33"/>
        <v/>
      </c>
      <c r="AG250" t="s">
        <v>2439</v>
      </c>
      <c r="AH250" t="str">
        <f t="shared" si="34"/>
        <v/>
      </c>
      <c r="AI250" t="s">
        <v>2440</v>
      </c>
    </row>
    <row r="251" spans="2:38">
      <c r="B251" t="s">
        <v>2441</v>
      </c>
      <c r="C251" t="str">
        <f ca="1">'Unit Mix Helper'!F59</f>
        <v/>
      </c>
      <c r="D251" t="s">
        <v>2442</v>
      </c>
      <c r="E251">
        <f>UM_Bathrooms_58</f>
        <v>0</v>
      </c>
      <c r="G251" t="s">
        <v>2443</v>
      </c>
      <c r="H251" s="59" t="str">
        <f t="shared" ca="1" si="29"/>
        <v/>
      </c>
      <c r="I251" t="s">
        <v>2444</v>
      </c>
      <c r="J251" t="str">
        <f ca="1">'Unit Mix Helper'!G59</f>
        <v/>
      </c>
      <c r="K251" t="s">
        <v>2445</v>
      </c>
      <c r="L251" t="str">
        <f ca="1">'Unit Mix Helper'!H59</f>
        <v/>
      </c>
      <c r="M251" t="s">
        <v>2446</v>
      </c>
      <c r="N251" t="str">
        <f ca="1">'Unit Mix Helper'!J59</f>
        <v/>
      </c>
      <c r="P251" s="59" t="str">
        <f ca="1">IF(L251="","",TRIM(TEXT('Unit Mix Helper'!I59,"#0%")))</f>
        <v/>
      </c>
      <c r="Q251" t="s">
        <v>2447</v>
      </c>
      <c r="R251" t="str">
        <f t="shared" ca="1" si="30"/>
        <v/>
      </c>
      <c r="X251" s="232"/>
      <c r="Y251" t="s">
        <v>2448</v>
      </c>
      <c r="Z251" s="64" t="str">
        <f t="shared" si="31"/>
        <v/>
      </c>
      <c r="AA251" t="s">
        <v>2449</v>
      </c>
      <c r="AB251" t="str">
        <f>IF($Z$2="","",IF(Z251="","",'Unit Mix Helper'!K59))</f>
        <v/>
      </c>
      <c r="AC251" t="s">
        <v>2450</v>
      </c>
      <c r="AD251" s="56" t="str">
        <f t="shared" si="32"/>
        <v/>
      </c>
      <c r="AE251" t="s">
        <v>2451</v>
      </c>
      <c r="AF251" t="str">
        <f t="shared" si="33"/>
        <v/>
      </c>
      <c r="AG251" t="s">
        <v>2452</v>
      </c>
      <c r="AH251" t="str">
        <f t="shared" si="34"/>
        <v/>
      </c>
      <c r="AI251" t="s">
        <v>2453</v>
      </c>
    </row>
    <row r="252" spans="2:38">
      <c r="B252" t="s">
        <v>2454</v>
      </c>
      <c r="C252" t="str">
        <f ca="1">'Unit Mix Helper'!F60</f>
        <v/>
      </c>
      <c r="D252" t="s">
        <v>2455</v>
      </c>
      <c r="E252">
        <f>UM_Bathrooms_59</f>
        <v>0</v>
      </c>
      <c r="G252" t="s">
        <v>2456</v>
      </c>
      <c r="H252" s="59" t="str">
        <f t="shared" ca="1" si="29"/>
        <v/>
      </c>
      <c r="I252" t="s">
        <v>2457</v>
      </c>
      <c r="J252" t="str">
        <f ca="1">'Unit Mix Helper'!G60</f>
        <v/>
      </c>
      <c r="K252" t="s">
        <v>2458</v>
      </c>
      <c r="L252" t="str">
        <f ca="1">'Unit Mix Helper'!H60</f>
        <v/>
      </c>
      <c r="M252" t="s">
        <v>2459</v>
      </c>
      <c r="N252" t="str">
        <f ca="1">'Unit Mix Helper'!J60</f>
        <v/>
      </c>
      <c r="P252" s="59" t="str">
        <f ca="1">IF(L252="","",TRIM(TEXT('Unit Mix Helper'!I60,"#0%")))</f>
        <v/>
      </c>
      <c r="Q252" t="s">
        <v>2460</v>
      </c>
      <c r="R252" t="str">
        <f t="shared" ca="1" si="30"/>
        <v/>
      </c>
      <c r="X252" s="232"/>
      <c r="Y252" t="s">
        <v>2461</v>
      </c>
      <c r="Z252" s="64" t="str">
        <f t="shared" si="31"/>
        <v/>
      </c>
      <c r="AA252" t="s">
        <v>2462</v>
      </c>
      <c r="AB252" t="str">
        <f>IF($Z$2="","",IF(Z252="","",'Unit Mix Helper'!K60))</f>
        <v/>
      </c>
      <c r="AC252" t="s">
        <v>2463</v>
      </c>
      <c r="AD252" s="56" t="str">
        <f t="shared" si="32"/>
        <v/>
      </c>
      <c r="AE252" t="s">
        <v>2464</v>
      </c>
      <c r="AF252" t="str">
        <f t="shared" si="33"/>
        <v/>
      </c>
      <c r="AG252" t="s">
        <v>2465</v>
      </c>
      <c r="AH252" t="str">
        <f t="shared" si="34"/>
        <v/>
      </c>
      <c r="AI252" t="s">
        <v>2466</v>
      </c>
    </row>
    <row r="253" spans="2:38">
      <c r="B253" t="s">
        <v>2467</v>
      </c>
      <c r="C253" t="str">
        <f ca="1">'Unit Mix Helper'!F61</f>
        <v/>
      </c>
      <c r="D253" t="s">
        <v>2468</v>
      </c>
      <c r="E253">
        <f>UM_Bathrooms_60</f>
        <v>0</v>
      </c>
      <c r="G253" t="s">
        <v>2469</v>
      </c>
      <c r="H253" s="59" t="str">
        <f t="shared" ca="1" si="29"/>
        <v/>
      </c>
      <c r="I253" t="s">
        <v>2470</v>
      </c>
      <c r="J253" t="str">
        <f ca="1">'Unit Mix Helper'!G61</f>
        <v/>
      </c>
      <c r="K253" t="s">
        <v>2471</v>
      </c>
      <c r="L253" t="str">
        <f ca="1">'Unit Mix Helper'!H61</f>
        <v/>
      </c>
      <c r="M253" t="s">
        <v>2472</v>
      </c>
      <c r="N253" t="str">
        <f ca="1">'Unit Mix Helper'!J61</f>
        <v/>
      </c>
      <c r="P253" s="59" t="str">
        <f ca="1">IF(L253="","",TRIM(TEXT('Unit Mix Helper'!I61,"#0%")))</f>
        <v/>
      </c>
      <c r="Q253" t="s">
        <v>2473</v>
      </c>
      <c r="R253" t="str">
        <f t="shared" ca="1" si="30"/>
        <v/>
      </c>
      <c r="X253" s="232"/>
      <c r="Y253" t="s">
        <v>2474</v>
      </c>
      <c r="Z253" s="64" t="str">
        <f t="shared" si="31"/>
        <v/>
      </c>
      <c r="AA253" t="s">
        <v>2475</v>
      </c>
      <c r="AB253" t="str">
        <f>IF($Z$2="","",IF(Z253="","",'Unit Mix Helper'!K61))</f>
        <v/>
      </c>
      <c r="AC253" t="s">
        <v>2476</v>
      </c>
      <c r="AD253" s="56" t="str">
        <f t="shared" si="32"/>
        <v/>
      </c>
      <c r="AE253" t="s">
        <v>2477</v>
      </c>
      <c r="AF253" t="str">
        <f t="shared" si="33"/>
        <v/>
      </c>
      <c r="AG253" t="s">
        <v>2478</v>
      </c>
      <c r="AH253" t="str">
        <f t="shared" si="34"/>
        <v/>
      </c>
      <c r="AI253" t="s">
        <v>2479</v>
      </c>
    </row>
    <row r="254" spans="2:38">
      <c r="B254" t="s">
        <v>2480</v>
      </c>
      <c r="C254" t="str">
        <f ca="1">'Unit Mix Helper'!F62</f>
        <v/>
      </c>
      <c r="D254" t="s">
        <v>2481</v>
      </c>
      <c r="E254">
        <f>UM_Bathrooms_61</f>
        <v>0</v>
      </c>
      <c r="G254" t="s">
        <v>2482</v>
      </c>
      <c r="H254" s="59" t="str">
        <f t="shared" ca="1" si="29"/>
        <v/>
      </c>
      <c r="I254" t="s">
        <v>2483</v>
      </c>
      <c r="J254" t="str">
        <f ca="1">'Unit Mix Helper'!G62</f>
        <v/>
      </c>
      <c r="K254" t="s">
        <v>2484</v>
      </c>
      <c r="L254" t="str">
        <f ca="1">'Unit Mix Helper'!H62</f>
        <v/>
      </c>
      <c r="M254" t="s">
        <v>2485</v>
      </c>
      <c r="N254" t="str">
        <f ca="1">'Unit Mix Helper'!J62</f>
        <v/>
      </c>
      <c r="P254" s="59" t="str">
        <f ca="1">IF(L254="","",TRIM(TEXT('Unit Mix Helper'!I62,"#0%")))</f>
        <v/>
      </c>
      <c r="Q254" t="s">
        <v>2486</v>
      </c>
      <c r="R254" t="str">
        <f t="shared" ca="1" si="30"/>
        <v/>
      </c>
      <c r="X254" s="232"/>
      <c r="Y254" t="s">
        <v>2487</v>
      </c>
      <c r="Z254" s="64" t="str">
        <f t="shared" si="31"/>
        <v/>
      </c>
      <c r="AA254" t="s">
        <v>2488</v>
      </c>
      <c r="AB254" t="str">
        <f>IF($Z$2="","",IF(Z254="","",'Unit Mix Helper'!K62))</f>
        <v/>
      </c>
      <c r="AC254" t="s">
        <v>2489</v>
      </c>
      <c r="AD254" s="56" t="str">
        <f t="shared" si="32"/>
        <v/>
      </c>
      <c r="AE254" t="s">
        <v>2490</v>
      </c>
      <c r="AF254" t="str">
        <f t="shared" si="33"/>
        <v/>
      </c>
      <c r="AG254" t="s">
        <v>2491</v>
      </c>
      <c r="AH254" t="str">
        <f t="shared" si="34"/>
        <v/>
      </c>
      <c r="AI254" t="s">
        <v>2492</v>
      </c>
    </row>
    <row r="255" spans="2:38">
      <c r="B255" t="s">
        <v>2493</v>
      </c>
      <c r="C255" t="str">
        <f ca="1">'Unit Mix Helper'!F63</f>
        <v/>
      </c>
      <c r="D255" t="s">
        <v>2494</v>
      </c>
      <c r="E255">
        <f>UM_Bathrooms_62</f>
        <v>0</v>
      </c>
      <c r="G255" t="s">
        <v>2495</v>
      </c>
      <c r="H255" s="59" t="str">
        <f t="shared" ca="1" si="29"/>
        <v/>
      </c>
      <c r="I255" t="s">
        <v>2496</v>
      </c>
      <c r="J255" t="str">
        <f ca="1">'Unit Mix Helper'!G63</f>
        <v/>
      </c>
      <c r="K255" t="s">
        <v>2497</v>
      </c>
      <c r="L255" t="str">
        <f ca="1">'Unit Mix Helper'!H63</f>
        <v/>
      </c>
      <c r="M255" t="s">
        <v>2498</v>
      </c>
      <c r="N255" t="str">
        <f ca="1">'Unit Mix Helper'!J63</f>
        <v/>
      </c>
      <c r="P255" s="59" t="str">
        <f ca="1">IF(L255="","",TRIM(TEXT('Unit Mix Helper'!I63,"#0%")))</f>
        <v/>
      </c>
      <c r="Q255" t="s">
        <v>2499</v>
      </c>
      <c r="R255" t="str">
        <f t="shared" ca="1" si="30"/>
        <v/>
      </c>
      <c r="X255" s="232"/>
      <c r="Y255" t="s">
        <v>2500</v>
      </c>
      <c r="Z255" s="64" t="str">
        <f t="shared" si="31"/>
        <v/>
      </c>
      <c r="AA255" t="s">
        <v>2501</v>
      </c>
      <c r="AB255" t="str">
        <f>IF($Z$2="","",IF(Z255="","",'Unit Mix Helper'!K63))</f>
        <v/>
      </c>
      <c r="AC255" t="s">
        <v>2502</v>
      </c>
      <c r="AD255" s="56" t="str">
        <f t="shared" si="32"/>
        <v/>
      </c>
      <c r="AE255" t="s">
        <v>2503</v>
      </c>
      <c r="AF255" t="str">
        <f t="shared" si="33"/>
        <v/>
      </c>
      <c r="AG255" t="s">
        <v>2504</v>
      </c>
      <c r="AH255" t="str">
        <f t="shared" si="34"/>
        <v/>
      </c>
      <c r="AI255" t="s">
        <v>2505</v>
      </c>
    </row>
    <row r="256" spans="2:38">
      <c r="B256" t="s">
        <v>2506</v>
      </c>
      <c r="C256" t="str">
        <f ca="1">'Unit Mix Helper'!F64</f>
        <v/>
      </c>
      <c r="D256" t="s">
        <v>2507</v>
      </c>
      <c r="E256">
        <f>UM_Bathrooms_63</f>
        <v>0</v>
      </c>
      <c r="G256" t="s">
        <v>2508</v>
      </c>
      <c r="H256" s="59" t="str">
        <f t="shared" ca="1" si="29"/>
        <v/>
      </c>
      <c r="I256" t="s">
        <v>2509</v>
      </c>
      <c r="J256" t="str">
        <f ca="1">'Unit Mix Helper'!G64</f>
        <v/>
      </c>
      <c r="K256" t="s">
        <v>2510</v>
      </c>
      <c r="L256" t="str">
        <f ca="1">'Unit Mix Helper'!H64</f>
        <v/>
      </c>
      <c r="M256" t="s">
        <v>2511</v>
      </c>
      <c r="N256" t="str">
        <f ca="1">'Unit Mix Helper'!J64</f>
        <v/>
      </c>
      <c r="P256" s="59" t="str">
        <f ca="1">IF(L256="","",TRIM(TEXT('Unit Mix Helper'!I64,"#0%")))</f>
        <v/>
      </c>
      <c r="Q256" t="s">
        <v>2512</v>
      </c>
      <c r="R256" t="str">
        <f t="shared" ca="1" si="30"/>
        <v/>
      </c>
      <c r="X256" s="232"/>
      <c r="Y256" t="s">
        <v>2513</v>
      </c>
      <c r="Z256" s="64" t="str">
        <f t="shared" si="31"/>
        <v/>
      </c>
      <c r="AA256" t="s">
        <v>2514</v>
      </c>
      <c r="AB256" t="str">
        <f>IF($Z$2="","",IF(Z256="","",'Unit Mix Helper'!K64))</f>
        <v/>
      </c>
      <c r="AC256" t="s">
        <v>2515</v>
      </c>
      <c r="AD256" s="56" t="str">
        <f t="shared" si="32"/>
        <v/>
      </c>
      <c r="AE256" t="s">
        <v>2516</v>
      </c>
      <c r="AF256" t="str">
        <f t="shared" si="33"/>
        <v/>
      </c>
      <c r="AG256" t="s">
        <v>2517</v>
      </c>
      <c r="AH256" t="str">
        <f t="shared" si="34"/>
        <v/>
      </c>
      <c r="AI256" t="s">
        <v>2518</v>
      </c>
    </row>
    <row r="257" spans="2:35">
      <c r="B257" t="s">
        <v>2519</v>
      </c>
      <c r="D257" t="s">
        <v>2520</v>
      </c>
      <c r="E257">
        <f>UM_Bathrooms_51</f>
        <v>0</v>
      </c>
      <c r="G257" t="s">
        <v>2521</v>
      </c>
      <c r="H257" s="59" t="str">
        <f t="shared" si="29"/>
        <v/>
      </c>
      <c r="I257" t="s">
        <v>2522</v>
      </c>
      <c r="K257" t="s">
        <v>2523</v>
      </c>
      <c r="M257" t="s">
        <v>2524</v>
      </c>
      <c r="P257" s="59"/>
      <c r="Q257" t="s">
        <v>2525</v>
      </c>
      <c r="X257" s="232"/>
      <c r="Y257" t="s">
        <v>2526</v>
      </c>
      <c r="Z257" s="64" t="str">
        <f t="shared" ref="Z257:Z259" si="38">IF($Z$2="","",IF(H257="","",H257))</f>
        <v/>
      </c>
      <c r="AA257" t="s">
        <v>2527</v>
      </c>
      <c r="AB257" t="str" cm="1">
        <f t="array" ref="AB257">IF($Z$2="","",IF(Apt_Type_61="","",Apt_Type_61))</f>
        <v/>
      </c>
      <c r="AC257" t="s">
        <v>2528</v>
      </c>
      <c r="AD257" s="56" t="str">
        <f t="shared" ref="AD257:AD259" si="39">IF($Z$2="","",IF(N257="","",N257))</f>
        <v/>
      </c>
      <c r="AE257" t="s">
        <v>2529</v>
      </c>
      <c r="AF257" t="str">
        <f t="shared" ref="AF257:AF259" si="40">IF($Z$2="","",IF(J257="","",J257))</f>
        <v/>
      </c>
      <c r="AG257" t="s">
        <v>2530</v>
      </c>
      <c r="AH257" t="str">
        <f t="shared" ref="AH257:AH259" si="41">IF($Z$2="","",IF(L257="","",L257))</f>
        <v/>
      </c>
      <c r="AI257" t="s">
        <v>2531</v>
      </c>
    </row>
    <row r="258" spans="2:35">
      <c r="B258" t="s">
        <v>2532</v>
      </c>
      <c r="D258" t="s">
        <v>2533</v>
      </c>
      <c r="E258">
        <f>UM_Bathrooms_52</f>
        <v>0</v>
      </c>
      <c r="G258" t="s">
        <v>2534</v>
      </c>
      <c r="H258" s="59" t="str">
        <f t="shared" si="29"/>
        <v/>
      </c>
      <c r="I258" t="s">
        <v>2535</v>
      </c>
      <c r="K258" t="s">
        <v>2536</v>
      </c>
      <c r="M258" t="s">
        <v>2537</v>
      </c>
      <c r="P258" s="59"/>
      <c r="Q258" t="s">
        <v>2538</v>
      </c>
      <c r="X258" s="232"/>
      <c r="Y258" t="s">
        <v>2539</v>
      </c>
      <c r="Z258" s="64" t="str">
        <f t="shared" si="38"/>
        <v/>
      </c>
      <c r="AA258" t="s">
        <v>2540</v>
      </c>
      <c r="AB258" t="str" cm="1">
        <f t="array" ref="AB258">IF($Z$2="","",IF(Apt_Type_62="","",Apt_Type_62))</f>
        <v/>
      </c>
      <c r="AC258" t="s">
        <v>2541</v>
      </c>
      <c r="AD258" s="56" t="str">
        <f t="shared" si="39"/>
        <v/>
      </c>
      <c r="AE258" t="s">
        <v>2542</v>
      </c>
      <c r="AF258" t="str">
        <f t="shared" si="40"/>
        <v/>
      </c>
      <c r="AG258" t="s">
        <v>2543</v>
      </c>
      <c r="AH258" t="str">
        <f t="shared" si="41"/>
        <v/>
      </c>
      <c r="AI258" t="s">
        <v>2544</v>
      </c>
    </row>
    <row r="259" spans="2:35">
      <c r="B259" t="s">
        <v>2545</v>
      </c>
      <c r="D259" t="s">
        <v>2546</v>
      </c>
      <c r="E259">
        <f>UM_Bathrooms_53</f>
        <v>0</v>
      </c>
      <c r="G259" t="s">
        <v>2547</v>
      </c>
      <c r="H259" s="59" t="str">
        <f t="shared" si="29"/>
        <v/>
      </c>
      <c r="I259" t="s">
        <v>2548</v>
      </c>
      <c r="K259" t="s">
        <v>2549</v>
      </c>
      <c r="M259" t="s">
        <v>2550</v>
      </c>
      <c r="P259" s="59"/>
      <c r="Q259" t="s">
        <v>2551</v>
      </c>
      <c r="X259" s="232"/>
      <c r="Y259" t="s">
        <v>2552</v>
      </c>
      <c r="Z259" s="64" t="str">
        <f t="shared" si="38"/>
        <v/>
      </c>
      <c r="AA259" t="s">
        <v>2553</v>
      </c>
      <c r="AB259" t="str" cm="1">
        <f t="array" ref="AB259">IF($Z$2="","",IF(Apt_Type_63="","",Apt_Type_63))</f>
        <v/>
      </c>
      <c r="AC259" t="s">
        <v>2554</v>
      </c>
      <c r="AD259" s="56" t="str">
        <f t="shared" si="39"/>
        <v/>
      </c>
      <c r="AE259" t="s">
        <v>2555</v>
      </c>
      <c r="AF259" t="str">
        <f t="shared" si="40"/>
        <v/>
      </c>
      <c r="AG259" t="s">
        <v>2556</v>
      </c>
      <c r="AH259" t="str">
        <f t="shared" si="41"/>
        <v/>
      </c>
      <c r="AI259" t="s">
        <v>2557</v>
      </c>
    </row>
    <row r="260" spans="2:35">
      <c r="X260" s="232"/>
      <c r="AD260" s="56"/>
    </row>
    <row r="261" spans="2:35">
      <c r="B261" t="s">
        <v>2558</v>
      </c>
      <c r="X261" s="232"/>
      <c r="Y261" t="s">
        <v>2559</v>
      </c>
      <c r="Z261" s="57" t="str">
        <f>IF($Z$2="","",SUM(AH250:AH259))</f>
        <v/>
      </c>
    </row>
    <row r="262" spans="2:35">
      <c r="D262" t="s">
        <v>2560</v>
      </c>
      <c r="E262" t="s">
        <v>2561</v>
      </c>
      <c r="F262" t="s">
        <v>2562</v>
      </c>
      <c r="G262" t="s">
        <v>2563</v>
      </c>
      <c r="L262" t="s">
        <v>2564</v>
      </c>
      <c r="X262" s="232"/>
      <c r="Y262" t="s">
        <v>2565</v>
      </c>
      <c r="Z262" s="57" t="str">
        <f>IF($Z$2="","",SUM(AH197:AH246))</f>
        <v/>
      </c>
    </row>
    <row r="263" spans="2:35">
      <c r="B263" t="s">
        <v>2566</v>
      </c>
      <c r="D263" s="59" t="s">
        <v>2567</v>
      </c>
      <c r="E263">
        <f ca="1">SUMIF($C$197:$C$246,0,$L$197:$L$246)-G263</f>
        <v>0</v>
      </c>
      <c r="F263" t="str">
        <f ca="1">IFERROR(((SUMIF($C$197:$C$259,0,$R$197:$R$259)/(SUMIF($C$197:$C$259,0,$L$197:$L$259)))),"")</f>
        <v/>
      </c>
      <c r="G263">
        <f ca="1">SUMIFS($L$197:$L$246,$C$197:$C$246,0,$P$197:$P$246,"")</f>
        <v>0</v>
      </c>
      <c r="H263">
        <v>1</v>
      </c>
      <c r="I263">
        <v>1000</v>
      </c>
      <c r="L263">
        <f ca="1">SUMIF($H$197:$H$259,"0 Bedroom",$L$197:$L$259)</f>
        <v>0</v>
      </c>
      <c r="X263" s="232"/>
      <c r="Y263" t="s">
        <v>2568</v>
      </c>
      <c r="Z263" s="57" t="str">
        <f>IF($Z$2="","",SUM(C197:C246))</f>
        <v/>
      </c>
    </row>
    <row r="264" spans="2:35">
      <c r="B264" t="s">
        <v>2569</v>
      </c>
      <c r="D264" s="59" t="s">
        <v>2569</v>
      </c>
      <c r="E264">
        <f ca="1">SUMIF($C$197:$C$246,1,$L$197:$L$246)-G264</f>
        <v>0</v>
      </c>
      <c r="F264" t="str">
        <f ca="1">IFERROR(((SUMIF($C$197:$C$259,1,$R$197:$R$259)/(SUMIF($C$197:$C$259,1,$L$197:$L$259)))),"")</f>
        <v/>
      </c>
      <c r="G264">
        <f ca="1">SUMIFS($L$197:$L$246,$C$197:$C$246,1,$P$197:$P$246,"")</f>
        <v>0</v>
      </c>
      <c r="H264">
        <v>2</v>
      </c>
      <c r="I264">
        <v>900</v>
      </c>
      <c r="L264">
        <f ca="1">SUMIF($H$197:$H$259,"1 Bedroom",$L$197:$L$259)</f>
        <v>0</v>
      </c>
      <c r="X264" s="232"/>
      <c r="Y264" t="s">
        <v>2570</v>
      </c>
      <c r="Z264" s="57" t="str">
        <f>IF($Z$2="","",SUM(AF197:AF246))</f>
        <v/>
      </c>
    </row>
    <row r="265" spans="2:35">
      <c r="B265" t="s">
        <v>2571</v>
      </c>
      <c r="D265" s="59" t="s">
        <v>2571</v>
      </c>
      <c r="E265">
        <f ca="1">SUMIF($C$197:$C$246,2,$L$197:$L$246)-G265</f>
        <v>0</v>
      </c>
      <c r="F265" t="str">
        <f ca="1">IFERROR(((SUMIF($C$197:$C$259,2,$R$197:$R$259)/(SUMIF($C$197:$C$259,2,$L$197:$L$259)))),"")</f>
        <v/>
      </c>
      <c r="G265">
        <f ca="1">SUMIFS($L$197:$L$246,$C$197:$C$246,2,$P$197:$P$246,"")</f>
        <v>0</v>
      </c>
      <c r="H265">
        <v>3</v>
      </c>
      <c r="I265">
        <v>850</v>
      </c>
      <c r="L265">
        <f ca="1">SUMIF($H$197:$H$259,"2 Bedroom",$L$197:$L$259)</f>
        <v>0</v>
      </c>
      <c r="X265" s="232"/>
      <c r="Y265" t="s">
        <v>2572</v>
      </c>
      <c r="Z265" s="57" t="str">
        <f>IF($Z$2="","",SUM(C179:C246))</f>
        <v/>
      </c>
    </row>
    <row r="266" spans="2:35">
      <c r="B266" t="s">
        <v>2573</v>
      </c>
      <c r="D266" s="59" t="s">
        <v>2573</v>
      </c>
      <c r="E266">
        <f ca="1">SUMIF($C$197:$C$246,3,$L$197:$L$246)-G266</f>
        <v>0</v>
      </c>
      <c r="F266" t="str">
        <f ca="1">IFERROR(((SUMIF($C$197:$C$259,3,$R$197:$R$259)/(SUMIF($C$197:$C$259,3,$L$197:$L$259)))),"")</f>
        <v/>
      </c>
      <c r="G266">
        <f ca="1">SUMIFS($L$197:$L$246,$C$197:$C$246,3,$P$197:$P$246,"")</f>
        <v>0</v>
      </c>
      <c r="H266">
        <v>2</v>
      </c>
      <c r="I266">
        <v>750</v>
      </c>
      <c r="L266">
        <f ca="1">SUMIF($H$197:$H$259,"3 Bedroom",$L$197:$L$259)</f>
        <v>0</v>
      </c>
      <c r="X266" s="232"/>
      <c r="Y266" t="s">
        <v>2574</v>
      </c>
      <c r="Z266" s="57" t="str">
        <f>IF($Z$2="","",SUM(AH197:AH246))</f>
        <v/>
      </c>
    </row>
    <row r="267" spans="2:35">
      <c r="B267" t="s">
        <v>2575</v>
      </c>
      <c r="D267" s="59" t="s">
        <v>2575</v>
      </c>
      <c r="E267">
        <f ca="1">SUMIF($C$197:$C$246,4,$L$197:$L$246)-G267</f>
        <v>0</v>
      </c>
      <c r="F267" t="str">
        <f ca="1">IFERROR(((SUMIF($C$197:$C$259,4,$R$197:$R$259)/(SUMIF($C$197:$C$259,4,$L$197:$L$259)))),"")</f>
        <v/>
      </c>
      <c r="G267">
        <f ca="1">SUMIFS($L$197:$L$246,$C$197:$C$246,4,$P$197:$P$246,"")</f>
        <v>0</v>
      </c>
      <c r="H267">
        <v>4</v>
      </c>
      <c r="I267">
        <v>500</v>
      </c>
      <c r="L267">
        <f ca="1">SUMIF($H$197:$H$259,"4 Bedroom",$L$197:$L$259)</f>
        <v>0</v>
      </c>
      <c r="X267" s="232"/>
      <c r="Y267" t="s">
        <v>2576</v>
      </c>
      <c r="Z267" s="57" t="str">
        <f>Z261</f>
        <v/>
      </c>
    </row>
    <row r="268" spans="2:35">
      <c r="B268" t="s">
        <v>2577</v>
      </c>
      <c r="D268" s="59" t="s">
        <v>2577</v>
      </c>
      <c r="E268">
        <f ca="1">SUMIF($C$197:$C$246,5,$L$197:$L$246)-G268</f>
        <v>0</v>
      </c>
      <c r="F268" t="str">
        <f ca="1">IFERROR(((SUMIF($C$197:$C$259,5,$R$197:$R$259)/(SUMIF($C$197:$C$259,5,$L$197:$L$259)))),"")</f>
        <v/>
      </c>
      <c r="G268">
        <f ca="1">SUMIFS($L$197:$L$246,$C$197:$C$246,5,$P$197:$P$246,"")</f>
        <v>0</v>
      </c>
      <c r="H268">
        <f>AVERAGE(H263:H267)</f>
        <v>2.4</v>
      </c>
      <c r="I268">
        <f>AVERAGE(I263:I267)</f>
        <v>800</v>
      </c>
      <c r="L268">
        <f ca="1">SUMIF($H$197:$H$259,"5 Bedroom",$L$197:$L$259)</f>
        <v>0</v>
      </c>
      <c r="X268" s="232"/>
      <c r="Y268" t="s">
        <v>2578</v>
      </c>
      <c r="Z268" s="57" t="str">
        <f>IF($Z$2="","",F273)</f>
        <v/>
      </c>
    </row>
    <row r="269" spans="2:35">
      <c r="D269" s="59"/>
      <c r="H269">
        <f>SUMPRODUCT(H263:H267,I263:I267)/SUM(H263:H267)</f>
        <v>737.5</v>
      </c>
      <c r="I269">
        <f>I268/H269</f>
        <v>1.0847457627118644</v>
      </c>
      <c r="X269" s="232"/>
    </row>
    <row r="270" spans="2:35">
      <c r="X270" s="232"/>
    </row>
    <row r="271" spans="2:35">
      <c r="B271" t="s">
        <v>2579</v>
      </c>
      <c r="C271">
        <f ca="1">SUM(C197:C259)</f>
        <v>0</v>
      </c>
      <c r="E271" t="s">
        <v>2580</v>
      </c>
      <c r="F271">
        <f ca="1">SUMPRODUCT(J197:J246,L197:L246)</f>
        <v>0</v>
      </c>
      <c r="X271" s="232"/>
    </row>
    <row r="272" spans="2:35">
      <c r="B272" t="s">
        <v>2581</v>
      </c>
      <c r="C272" s="345">
        <f>'11. Unit Mix'!G142</f>
        <v>0</v>
      </c>
      <c r="E272" t="s">
        <v>2582</v>
      </c>
      <c r="F272">
        <f ca="1">SUMPRODUCT(J250:J259, L250:L259)</f>
        <v>0</v>
      </c>
      <c r="X272" s="232"/>
    </row>
    <row r="273" spans="1:44">
      <c r="B273" t="s">
        <v>2574</v>
      </c>
      <c r="C273">
        <f ca="1">SUM(L197:L259)</f>
        <v>0</v>
      </c>
      <c r="E273" t="s">
        <v>2578</v>
      </c>
      <c r="F273">
        <f>SUM(L257:L259)</f>
        <v>0</v>
      </c>
      <c r="X273" s="232"/>
    </row>
    <row r="274" spans="1:44">
      <c r="B274" t="s">
        <v>2583</v>
      </c>
      <c r="C274">
        <f ca="1">SUM(L197:L246)</f>
        <v>0</v>
      </c>
      <c r="E274" t="s">
        <v>2584</v>
      </c>
      <c r="F274">
        <f ca="1">SUMPRODUCT(J197:J246,L197:L246)</f>
        <v>0</v>
      </c>
      <c r="X274" s="232"/>
    </row>
    <row r="275" spans="1:44">
      <c r="B275" t="s">
        <v>2585</v>
      </c>
      <c r="C275">
        <f ca="1">SUM(C197:C246)</f>
        <v>0</v>
      </c>
      <c r="E275" t="s">
        <v>2586</v>
      </c>
      <c r="F275" s="345">
        <f>'11. Unit Mix'!G144</f>
        <v>0</v>
      </c>
      <c r="X275" s="232"/>
    </row>
    <row r="276" spans="1:44">
      <c r="B276" t="s">
        <v>2564</v>
      </c>
      <c r="C276">
        <f ca="1">SUM(L197:L259)</f>
        <v>0</v>
      </c>
      <c r="E276" t="s">
        <v>2587</v>
      </c>
      <c r="F276" s="345">
        <f>'11. Unit Mix'!G145</f>
        <v>0</v>
      </c>
      <c r="X276" s="232"/>
    </row>
    <row r="277" spans="1:44">
      <c r="B277" t="s">
        <v>2588</v>
      </c>
      <c r="C277">
        <f ca="1">SUM(C197:C246)+SUM(C250:C259)</f>
        <v>0</v>
      </c>
      <c r="X277" s="232"/>
    </row>
    <row r="278" spans="1:44">
      <c r="X278" s="232"/>
    </row>
    <row r="279" spans="1:44">
      <c r="A279" s="48" t="s">
        <v>2589</v>
      </c>
      <c r="B279" s="48" t="s">
        <v>2590</v>
      </c>
      <c r="X279" s="232"/>
      <c r="Y279" s="48" t="s">
        <v>2591</v>
      </c>
      <c r="AF279" t="str">
        <f>IF($Z$2="","",IF(C280="","","Funding Source To Be Determined"))</f>
        <v/>
      </c>
    </row>
    <row r="280" spans="1:44">
      <c r="B280" t="str">
        <f>_xlfn.CONCAT("Source 1: ", Source_1)</f>
        <v>Source 1: WHEDA Loan</v>
      </c>
      <c r="C280" t="str">
        <f>Source_1</f>
        <v>WHEDA Loan</v>
      </c>
      <c r="D280" t="s">
        <v>2592</v>
      </c>
      <c r="E280" s="59" t="s">
        <v>2590</v>
      </c>
      <c r="F280" t="s">
        <v>2593</v>
      </c>
      <c r="G280" s="67" t="str">
        <f>IF(Amount_1&gt;0,Amount_1,"")</f>
        <v/>
      </c>
      <c r="H280" t="s">
        <v>2594</v>
      </c>
      <c r="I280" s="70" t="str">
        <f>IF(Amount_1&gt;0,Rate_1,"")</f>
        <v/>
      </c>
      <c r="J280" t="s">
        <v>2595</v>
      </c>
      <c r="K280" t="str">
        <f>IF(Amount_1&gt;0,Term_1,"")</f>
        <v/>
      </c>
      <c r="L280" t="s">
        <v>2596</v>
      </c>
      <c r="M280" s="67" t="str">
        <f>IF(Amount_1&gt;0,Annual_DSC_1,"")</f>
        <v/>
      </c>
      <c r="S280" s="67"/>
      <c r="T280" s="67"/>
      <c r="U280" s="67"/>
      <c r="V280" s="67"/>
      <c r="W280" s="67"/>
      <c r="X280" s="232"/>
      <c r="Y280" t="s">
        <v>2597</v>
      </c>
      <c r="Z280" s="57" t="str" cm="1">
        <f t="array" ref="Z280">IF($Z$2="","",IF(AB280="","",Internal))</f>
        <v/>
      </c>
      <c r="AA280" t="s">
        <v>2598</v>
      </c>
      <c r="AB280" t="str">
        <f>IF($Z$2="","","Funding Source To Be Determined")</f>
        <v/>
      </c>
      <c r="AC280" t="s">
        <v>2599</v>
      </c>
      <c r="AD280" t="str">
        <f>IF($Z$2="","","TRUE")</f>
        <v/>
      </c>
      <c r="AE280" t="s">
        <v>2600</v>
      </c>
      <c r="AF280" t="str">
        <f>IF($Z$2="","","Funding Source To Be Determined")</f>
        <v/>
      </c>
      <c r="AG280" t="s">
        <v>2601</v>
      </c>
      <c r="AH280" s="59" t="str">
        <f>IF($Z$2="","",IF(AF280="","","NONE"))</f>
        <v/>
      </c>
      <c r="AI280" t="s">
        <v>2602</v>
      </c>
      <c r="AJ280" s="59" t="str">
        <f>IF($Z$2="","",IF(AF280="","","Permanent"))</f>
        <v/>
      </c>
      <c r="AK280" t="s">
        <v>2603</v>
      </c>
      <c r="AL280" t="str">
        <f>IF($Z$2 = "","",IF(AF280="","",K280))</f>
        <v/>
      </c>
      <c r="AM280" t="s">
        <v>2604</v>
      </c>
      <c r="AN280" s="67" t="str">
        <f>IF($Z$2="","",IF(AF280="","",G280))</f>
        <v/>
      </c>
      <c r="AO280" t="s">
        <v>2605</v>
      </c>
      <c r="AP280" s="70" t="str">
        <f>IF($Z$2="","",IF(AF280="","",I280))</f>
        <v/>
      </c>
      <c r="AQ280" t="s">
        <v>2606</v>
      </c>
      <c r="AR280" s="67" t="str">
        <f>IF($Z$2="","",IF(AF280="","",M280))</f>
        <v/>
      </c>
    </row>
    <row r="281" spans="1:44">
      <c r="B281" t="str">
        <f>_xlfn.CONCAT("Source 2: ", Source_2)</f>
        <v>Source 2: WHEDA Subordinate Loan 1</v>
      </c>
      <c r="C281" t="str">
        <f>Source_2</f>
        <v>WHEDA Subordinate Loan 1</v>
      </c>
      <c r="D281" t="s">
        <v>2607</v>
      </c>
      <c r="E281" s="59" t="s">
        <v>2590</v>
      </c>
      <c r="F281" t="s">
        <v>2608</v>
      </c>
      <c r="G281" s="67" t="str">
        <f>IF(Amount_2&gt;0,Amount_2,"")</f>
        <v/>
      </c>
      <c r="H281" t="s">
        <v>2609</v>
      </c>
      <c r="I281" s="70" t="str">
        <f>IF(Amount_2&gt;0,Rate_2,"")</f>
        <v/>
      </c>
      <c r="J281" t="s">
        <v>2610</v>
      </c>
      <c r="K281" t="str">
        <f>IF(Amount_2&gt;0,Term_2,"")</f>
        <v/>
      </c>
      <c r="L281" t="s">
        <v>2611</v>
      </c>
      <c r="M281" s="67" t="str">
        <f>IF(Amount_2&gt;0,Annual_DSC_2,"")</f>
        <v/>
      </c>
      <c r="S281" s="67"/>
      <c r="T281" s="67"/>
      <c r="U281" s="67"/>
      <c r="V281" s="67"/>
      <c r="W281" s="67"/>
      <c r="X281" s="232"/>
      <c r="Y281" t="s">
        <v>2597</v>
      </c>
      <c r="Z281" s="57" t="str" cm="1">
        <f t="array" ref="Z281">IF($Z$2="","",IF(AB281="","",Internal))</f>
        <v/>
      </c>
      <c r="AA281" t="s">
        <v>2598</v>
      </c>
      <c r="AB281" t="str">
        <f t="shared" ref="AB281:AB284" si="42">IF($Z$2="","","Funding Source To Be Determined")</f>
        <v/>
      </c>
      <c r="AC281" t="s">
        <v>2599</v>
      </c>
      <c r="AD281" t="str">
        <f t="shared" ref="AD281:AD284" si="43">IF($Z$2="","","TRUE")</f>
        <v/>
      </c>
      <c r="AE281" t="s">
        <v>2600</v>
      </c>
      <c r="AF281" t="str">
        <f t="shared" ref="AF281:AF289" si="44">IF($Z$2="","","Funding Source To Be Determined")</f>
        <v/>
      </c>
      <c r="AG281" t="s">
        <v>2601</v>
      </c>
      <c r="AH281" s="59" t="str">
        <f t="shared" ref="AH281:AH289" si="45">IF($Z$2="","",IF(AF281="","","NONE"))</f>
        <v/>
      </c>
      <c r="AI281" t="s">
        <v>2602</v>
      </c>
      <c r="AJ281" s="59" t="str">
        <f t="shared" ref="AJ281:AJ289" si="46">IF($Z$2="","",IF(AF281="","","Permanent"))</f>
        <v/>
      </c>
      <c r="AK281" t="s">
        <v>2603</v>
      </c>
      <c r="AL281" t="str">
        <f t="shared" ref="AL281:AL284" si="47">IF($Z$2 = "","",IF(AF281="","",K281))</f>
        <v/>
      </c>
      <c r="AM281" t="s">
        <v>2604</v>
      </c>
      <c r="AN281" s="67" t="str">
        <f t="shared" ref="AN281:AN284" si="48">IF($Z$2="","",IF(AF281="","",G281))</f>
        <v/>
      </c>
      <c r="AO281" t="s">
        <v>2605</v>
      </c>
      <c r="AP281" s="70" t="str">
        <f t="shared" ref="AP281:AP284" si="49">IF($Z$2="","",IF(AF281="","",I281))</f>
        <v/>
      </c>
      <c r="AQ281" t="s">
        <v>2606</v>
      </c>
      <c r="AR281" s="67" t="str">
        <f t="shared" ref="AR281:AR284" si="50">IF($Z$2="","",IF(AF281="","",M281))</f>
        <v/>
      </c>
    </row>
    <row r="282" spans="1:44">
      <c r="B282" t="str">
        <f>_xlfn.CONCAT("Source 3: ", Source_3)</f>
        <v>Source 3: WHEDA Subordinate Loan 2</v>
      </c>
      <c r="C282" t="str">
        <f>Source_3</f>
        <v>WHEDA Subordinate Loan 2</v>
      </c>
      <c r="D282" t="s">
        <v>2612</v>
      </c>
      <c r="E282" s="59" t="s">
        <v>2590</v>
      </c>
      <c r="F282" t="s">
        <v>2613</v>
      </c>
      <c r="G282" s="67" t="str">
        <f>IF(Amount_3&gt;0,Amount_3,"")</f>
        <v/>
      </c>
      <c r="H282" t="s">
        <v>2614</v>
      </c>
      <c r="I282" s="70" t="str">
        <f>IF(Amount_3&gt;0,Rate_3,"")</f>
        <v/>
      </c>
      <c r="J282" t="s">
        <v>2615</v>
      </c>
      <c r="K282" t="str">
        <f>IF(Amount_3&gt;0,Term_3,"")</f>
        <v/>
      </c>
      <c r="L282" t="s">
        <v>2616</v>
      </c>
      <c r="M282" s="67" t="str">
        <f>IF(Amount_3&gt;0,Annual_DSC_3,"")</f>
        <v/>
      </c>
      <c r="S282" s="67"/>
      <c r="T282" s="67"/>
      <c r="U282" s="67"/>
      <c r="V282" s="67"/>
      <c r="W282" s="67"/>
      <c r="X282" s="232"/>
      <c r="Y282" t="s">
        <v>2597</v>
      </c>
      <c r="Z282" s="57" t="str" cm="1">
        <f t="array" ref="Z282">IF($Z$2="","",IF(AB282="","",Internal))</f>
        <v/>
      </c>
      <c r="AA282" t="s">
        <v>2598</v>
      </c>
      <c r="AB282" t="str">
        <f t="shared" si="42"/>
        <v/>
      </c>
      <c r="AC282" t="s">
        <v>2599</v>
      </c>
      <c r="AD282" t="str">
        <f t="shared" si="43"/>
        <v/>
      </c>
      <c r="AE282" t="s">
        <v>2600</v>
      </c>
      <c r="AF282" t="str">
        <f t="shared" si="44"/>
        <v/>
      </c>
      <c r="AG282" t="s">
        <v>2601</v>
      </c>
      <c r="AH282" s="59" t="str">
        <f t="shared" si="45"/>
        <v/>
      </c>
      <c r="AI282" t="s">
        <v>2602</v>
      </c>
      <c r="AJ282" s="59" t="str">
        <f t="shared" si="46"/>
        <v/>
      </c>
      <c r="AK282" t="s">
        <v>2603</v>
      </c>
      <c r="AL282" t="str">
        <f>IF($Z$2 = "","",IF(AF282="","",K282))</f>
        <v/>
      </c>
      <c r="AM282" t="s">
        <v>2604</v>
      </c>
      <c r="AN282" s="67" t="str">
        <f>IF($Z$2="","",IF(AF282="","",G282))</f>
        <v/>
      </c>
      <c r="AO282" t="s">
        <v>2605</v>
      </c>
      <c r="AP282" s="70" t="str">
        <f>IF($Z$2="","",IF(AF282="","",I282))</f>
        <v/>
      </c>
      <c r="AQ282" t="s">
        <v>2606</v>
      </c>
      <c r="AR282" s="67" t="str">
        <f>IF($Z$2="","",IF(AF282="","",M282))</f>
        <v/>
      </c>
    </row>
    <row r="283" spans="1:44">
      <c r="B283" t="str">
        <f>_xlfn.CONCAT("Source 3: ", Source_4)</f>
        <v>Source 3: WHEDA Subordinate Loan 3</v>
      </c>
      <c r="C283" t="str">
        <f>Source_4</f>
        <v>WHEDA Subordinate Loan 3</v>
      </c>
      <c r="D283" t="s">
        <v>2617</v>
      </c>
      <c r="E283" s="59" t="s">
        <v>2590</v>
      </c>
      <c r="F283" t="s">
        <v>2618</v>
      </c>
      <c r="G283" s="67" t="str">
        <f>IF(Amount_4&gt;0,Amount_4,"")</f>
        <v/>
      </c>
      <c r="H283" t="s">
        <v>2619</v>
      </c>
      <c r="I283" s="70" t="str">
        <f>IF(Amount_4&gt;0,Rate_4,"")</f>
        <v/>
      </c>
      <c r="J283" t="s">
        <v>2620</v>
      </c>
      <c r="K283" t="str">
        <f>IF(Amount_4&gt;0,Term_4,"")</f>
        <v/>
      </c>
      <c r="L283" t="s">
        <v>2621</v>
      </c>
      <c r="M283" s="67" t="str">
        <f>IF(Amount_4&gt;0,Annual_DSC_4,"")</f>
        <v/>
      </c>
      <c r="S283" s="67"/>
      <c r="T283" s="67"/>
      <c r="U283" s="67"/>
      <c r="V283" s="67"/>
      <c r="W283" s="67"/>
      <c r="X283" s="232"/>
      <c r="Y283" t="s">
        <v>2597</v>
      </c>
      <c r="Z283" s="57" t="str" cm="1">
        <f t="array" ref="Z283">IF($Z$2="","",IF(AB283="","",Internal))</f>
        <v/>
      </c>
      <c r="AA283" t="s">
        <v>2598</v>
      </c>
      <c r="AB283" t="str">
        <f t="shared" si="42"/>
        <v/>
      </c>
      <c r="AC283" t="s">
        <v>2599</v>
      </c>
      <c r="AD283" t="str">
        <f t="shared" si="43"/>
        <v/>
      </c>
      <c r="AE283" t="s">
        <v>2600</v>
      </c>
      <c r="AF283" t="str">
        <f t="shared" si="44"/>
        <v/>
      </c>
      <c r="AG283" t="s">
        <v>2601</v>
      </c>
      <c r="AH283" s="59" t="str">
        <f t="shared" si="45"/>
        <v/>
      </c>
      <c r="AI283" t="s">
        <v>2602</v>
      </c>
      <c r="AJ283" s="59" t="str">
        <f t="shared" si="46"/>
        <v/>
      </c>
      <c r="AK283" t="s">
        <v>2603</v>
      </c>
      <c r="AL283" t="str">
        <f t="shared" si="47"/>
        <v/>
      </c>
      <c r="AM283" t="s">
        <v>2604</v>
      </c>
      <c r="AN283" s="67" t="str">
        <f t="shared" si="48"/>
        <v/>
      </c>
      <c r="AO283" t="s">
        <v>2605</v>
      </c>
      <c r="AP283" s="70" t="str">
        <f t="shared" si="49"/>
        <v/>
      </c>
      <c r="AQ283" t="s">
        <v>2606</v>
      </c>
      <c r="AR283" s="67" t="str">
        <f t="shared" si="50"/>
        <v/>
      </c>
    </row>
    <row r="284" spans="1:44">
      <c r="B284" t="str">
        <f>_xlfn.CONCAT("Source 5: ", Source_5)</f>
        <v>Source 5: WHEDA TIF Loan</v>
      </c>
      <c r="C284" t="str">
        <f>Source_5</f>
        <v>WHEDA TIF Loan</v>
      </c>
      <c r="D284" t="s">
        <v>2622</v>
      </c>
      <c r="E284" s="59" t="s">
        <v>2590</v>
      </c>
      <c r="F284" t="s">
        <v>2623</v>
      </c>
      <c r="G284" s="67" t="str">
        <f>IF(Amount_5&gt;0,Amount_5,"")</f>
        <v/>
      </c>
      <c r="H284" t="s">
        <v>2624</v>
      </c>
      <c r="I284" s="70" t="str">
        <f>IF(Amount_5&gt;0,Rate_5,"")</f>
        <v/>
      </c>
      <c r="J284" t="s">
        <v>2625</v>
      </c>
      <c r="K284" t="str">
        <f>IF(Amount_5&gt;0,Term_5,"")</f>
        <v/>
      </c>
      <c r="L284" t="s">
        <v>2626</v>
      </c>
      <c r="M284" s="67" t="str">
        <f>IF(Amount_5&gt;0,Annual_DSC_5,"")</f>
        <v/>
      </c>
      <c r="S284" s="67"/>
      <c r="T284" s="67"/>
      <c r="U284" s="67"/>
      <c r="V284" s="67"/>
      <c r="W284" s="67"/>
      <c r="X284" s="232"/>
      <c r="Y284" t="s">
        <v>2597</v>
      </c>
      <c r="Z284" s="57" t="str" cm="1">
        <f t="array" ref="Z284">IF($Z$2="","",IF(AB284="","",Internal))</f>
        <v/>
      </c>
      <c r="AA284" t="s">
        <v>2598</v>
      </c>
      <c r="AB284" t="str">
        <f t="shared" si="42"/>
        <v/>
      </c>
      <c r="AC284" t="s">
        <v>2599</v>
      </c>
      <c r="AD284" t="str">
        <f t="shared" si="43"/>
        <v/>
      </c>
      <c r="AE284" t="s">
        <v>2600</v>
      </c>
      <c r="AF284" t="str">
        <f t="shared" si="44"/>
        <v/>
      </c>
      <c r="AG284" t="s">
        <v>2601</v>
      </c>
      <c r="AH284" s="59" t="str">
        <f t="shared" si="45"/>
        <v/>
      </c>
      <c r="AI284" t="s">
        <v>2602</v>
      </c>
      <c r="AJ284" s="59" t="str">
        <f t="shared" si="46"/>
        <v/>
      </c>
      <c r="AK284" t="s">
        <v>2603</v>
      </c>
      <c r="AL284" t="str">
        <f t="shared" si="47"/>
        <v/>
      </c>
      <c r="AM284" t="s">
        <v>2604</v>
      </c>
      <c r="AN284" s="67" t="str">
        <f t="shared" si="48"/>
        <v/>
      </c>
      <c r="AO284" t="s">
        <v>2605</v>
      </c>
      <c r="AP284" s="70" t="str">
        <f t="shared" si="49"/>
        <v/>
      </c>
      <c r="AQ284" t="s">
        <v>2606</v>
      </c>
      <c r="AR284" s="67" t="str">
        <f t="shared" si="50"/>
        <v/>
      </c>
    </row>
    <row r="285" spans="1:44">
      <c r="B285" t="str">
        <f>_xlfn.CONCAT("Source 6: ", Source_6)</f>
        <v>Source 6: AHP Loan</v>
      </c>
      <c r="C285" t="str">
        <f>Source_6</f>
        <v>AHP Loan</v>
      </c>
      <c r="D285" t="s">
        <v>2627</v>
      </c>
      <c r="E285" s="59" t="s">
        <v>2590</v>
      </c>
      <c r="F285" t="s">
        <v>2628</v>
      </c>
      <c r="G285" s="67" t="str">
        <f>IF(Amount_6&gt;0,Amount_6,"")</f>
        <v/>
      </c>
      <c r="H285" t="s">
        <v>2629</v>
      </c>
      <c r="I285" s="70" t="str">
        <f>IF(Amount_6&gt;0,Rate_6,"")</f>
        <v/>
      </c>
      <c r="J285" t="s">
        <v>2630</v>
      </c>
      <c r="K285" t="str">
        <f>IF(Amount_6&gt;0,Term_6,"")</f>
        <v/>
      </c>
      <c r="L285" t="s">
        <v>2631</v>
      </c>
      <c r="M285" s="67" t="str">
        <f>IF(Amount_6&gt;0,Annual_DSC_6,"")</f>
        <v/>
      </c>
      <c r="S285" s="67"/>
      <c r="T285" s="67"/>
      <c r="U285" s="67"/>
      <c r="V285" s="67"/>
      <c r="W285" s="67"/>
      <c r="X285" s="232"/>
      <c r="Y285" t="s">
        <v>2597</v>
      </c>
      <c r="Z285" s="57" t="s">
        <v>2632</v>
      </c>
      <c r="AE285" t="s">
        <v>2600</v>
      </c>
      <c r="AF285" t="str">
        <f t="shared" si="44"/>
        <v/>
      </c>
      <c r="AG285" t="s">
        <v>2601</v>
      </c>
      <c r="AH285" s="59" t="str">
        <f t="shared" si="45"/>
        <v/>
      </c>
      <c r="AI285" t="s">
        <v>2602</v>
      </c>
      <c r="AJ285" s="59" t="str">
        <f t="shared" si="46"/>
        <v/>
      </c>
      <c r="AK285" t="s">
        <v>2603</v>
      </c>
      <c r="AL285" t="str">
        <f>K285</f>
        <v/>
      </c>
      <c r="AM285" t="s">
        <v>2604</v>
      </c>
      <c r="AN285" t="str">
        <f t="shared" ref="AN285:AN289" si="51">G285</f>
        <v/>
      </c>
      <c r="AO285" t="s">
        <v>2605</v>
      </c>
      <c r="AP285" t="str">
        <f t="shared" ref="AP285:AP289" si="52">I285</f>
        <v/>
      </c>
      <c r="AQ285" t="s">
        <v>2606</v>
      </c>
      <c r="AR285" t="str">
        <f t="shared" ref="AR285:AR289" si="53">M285</f>
        <v/>
      </c>
    </row>
    <row r="286" spans="1:44">
      <c r="B286" t="str">
        <f>_xlfn.CONCAT("Source 7: ", Source_7)</f>
        <v>Source 7: HOME Loan</v>
      </c>
      <c r="C286" t="str">
        <f>Source_7</f>
        <v>HOME Loan</v>
      </c>
      <c r="D286" t="s">
        <v>2633</v>
      </c>
      <c r="E286" s="59" t="s">
        <v>2590</v>
      </c>
      <c r="F286" t="s">
        <v>2634</v>
      </c>
      <c r="G286" s="67" t="str">
        <f>IF(Amount_7&gt;0,Amount_7,"")</f>
        <v/>
      </c>
      <c r="H286" t="s">
        <v>2635</v>
      </c>
      <c r="I286" s="70" t="str">
        <f>IF(Amount_7&gt;0,Rate_7,"")</f>
        <v/>
      </c>
      <c r="J286" t="s">
        <v>2636</v>
      </c>
      <c r="K286" t="str">
        <f>IF(Amount_7&gt;0,Term_7,"")</f>
        <v/>
      </c>
      <c r="L286" t="s">
        <v>2637</v>
      </c>
      <c r="M286" s="67" t="str">
        <f>IF(Amount_7&gt;0,Annual_DSC_7,"")</f>
        <v/>
      </c>
      <c r="S286" s="67"/>
      <c r="T286" s="67"/>
      <c r="U286" s="67"/>
      <c r="V286" s="67"/>
      <c r="W286" s="67"/>
      <c r="X286" s="232"/>
      <c r="Y286" t="s">
        <v>2597</v>
      </c>
      <c r="Z286" s="57" t="s">
        <v>2632</v>
      </c>
      <c r="AE286" t="s">
        <v>2600</v>
      </c>
      <c r="AF286" t="str">
        <f t="shared" si="44"/>
        <v/>
      </c>
      <c r="AG286" t="s">
        <v>2601</v>
      </c>
      <c r="AH286" s="59" t="str">
        <f t="shared" si="45"/>
        <v/>
      </c>
      <c r="AI286" t="s">
        <v>2602</v>
      </c>
      <c r="AJ286" s="59" t="str">
        <f t="shared" si="46"/>
        <v/>
      </c>
      <c r="AK286" t="s">
        <v>2603</v>
      </c>
      <c r="AL286" t="str">
        <f t="shared" ref="AL286:AL289" si="54">K286</f>
        <v/>
      </c>
      <c r="AM286" t="s">
        <v>2604</v>
      </c>
      <c r="AN286" t="str">
        <f t="shared" si="51"/>
        <v/>
      </c>
      <c r="AO286" t="s">
        <v>2605</v>
      </c>
      <c r="AP286" t="str">
        <f t="shared" si="52"/>
        <v/>
      </c>
      <c r="AQ286" t="s">
        <v>2606</v>
      </c>
      <c r="AR286" t="str">
        <f t="shared" si="53"/>
        <v/>
      </c>
    </row>
    <row r="287" spans="1:44">
      <c r="B287" t="str">
        <f>_xlfn.CONCAT("Source 8: ", Source_8)</f>
        <v>Source 8: Other</v>
      </c>
      <c r="C287" t="str">
        <f>Source_8</f>
        <v>Other</v>
      </c>
      <c r="D287" t="s">
        <v>2638</v>
      </c>
      <c r="E287" s="59" t="s">
        <v>2590</v>
      </c>
      <c r="F287" t="s">
        <v>2639</v>
      </c>
      <c r="G287" s="67" t="str">
        <f>IF(Amount_8&gt;0,Amount_8,"")</f>
        <v/>
      </c>
      <c r="H287" t="s">
        <v>2640</v>
      </c>
      <c r="I287" s="70" t="str">
        <f>IF(Amount_8&gt;0,Rate_8,"")</f>
        <v/>
      </c>
      <c r="J287" t="s">
        <v>2641</v>
      </c>
      <c r="K287" t="str">
        <f>IF(Amount_8&gt;0,Term_8,"")</f>
        <v/>
      </c>
      <c r="L287" t="s">
        <v>2642</v>
      </c>
      <c r="M287" s="67" t="str">
        <f>IF(Amount_8&gt;0,Annual_DSC_8,"")</f>
        <v/>
      </c>
      <c r="S287" s="67"/>
      <c r="T287" s="67"/>
      <c r="U287" s="67"/>
      <c r="V287" s="67"/>
      <c r="W287" s="67"/>
      <c r="X287" s="232"/>
      <c r="Y287" t="s">
        <v>2597</v>
      </c>
      <c r="Z287" s="57" t="s">
        <v>2632</v>
      </c>
      <c r="AE287" t="s">
        <v>2600</v>
      </c>
      <c r="AF287" t="str">
        <f t="shared" si="44"/>
        <v/>
      </c>
      <c r="AG287" t="s">
        <v>2601</v>
      </c>
      <c r="AH287" s="59" t="str">
        <f t="shared" si="45"/>
        <v/>
      </c>
      <c r="AI287" t="s">
        <v>2602</v>
      </c>
      <c r="AJ287" s="59" t="str">
        <f t="shared" si="46"/>
        <v/>
      </c>
      <c r="AK287" t="s">
        <v>2603</v>
      </c>
      <c r="AL287" t="str">
        <f t="shared" si="54"/>
        <v/>
      </c>
      <c r="AM287" t="s">
        <v>2604</v>
      </c>
      <c r="AN287" t="str">
        <f t="shared" si="51"/>
        <v/>
      </c>
      <c r="AO287" t="s">
        <v>2605</v>
      </c>
      <c r="AP287" t="str">
        <f t="shared" si="52"/>
        <v/>
      </c>
      <c r="AQ287" t="s">
        <v>2606</v>
      </c>
      <c r="AR287" t="str">
        <f t="shared" si="53"/>
        <v/>
      </c>
    </row>
    <row r="288" spans="1:44">
      <c r="B288" t="str">
        <f>_xlfn.CONCAT("Source 9: ", Source_9)</f>
        <v>Source 9: Other</v>
      </c>
      <c r="C288" t="str">
        <f>Source_9</f>
        <v>Other</v>
      </c>
      <c r="D288" t="s">
        <v>2643</v>
      </c>
      <c r="E288" s="59" t="s">
        <v>2590</v>
      </c>
      <c r="F288" t="s">
        <v>2644</v>
      </c>
      <c r="G288" s="67" t="str">
        <f>IF(Amount_9&gt;0,Amount_9,"")</f>
        <v/>
      </c>
      <c r="H288" t="s">
        <v>2645</v>
      </c>
      <c r="I288" s="70" t="str">
        <f>IF(Amount_9&gt;0,Rate_9,"")</f>
        <v/>
      </c>
      <c r="J288" t="s">
        <v>2646</v>
      </c>
      <c r="K288" t="str">
        <f>IF(Amount_9&gt;0,Term_9,"")</f>
        <v/>
      </c>
      <c r="L288" t="s">
        <v>2647</v>
      </c>
      <c r="M288" s="67" t="str">
        <f>IF(Amount_9&gt;0,Annual_DSC_9,"")</f>
        <v/>
      </c>
      <c r="S288" s="67"/>
      <c r="T288" s="67"/>
      <c r="U288" s="67"/>
      <c r="V288" s="67"/>
      <c r="W288" s="67"/>
      <c r="X288" s="232"/>
      <c r="Y288" t="s">
        <v>2597</v>
      </c>
      <c r="Z288" s="57" t="s">
        <v>2632</v>
      </c>
      <c r="AE288" t="s">
        <v>2600</v>
      </c>
      <c r="AF288" t="str">
        <f t="shared" si="44"/>
        <v/>
      </c>
      <c r="AG288" t="s">
        <v>2601</v>
      </c>
      <c r="AH288" s="59" t="str">
        <f t="shared" si="45"/>
        <v/>
      </c>
      <c r="AI288" t="s">
        <v>2602</v>
      </c>
      <c r="AJ288" s="59" t="str">
        <f t="shared" si="46"/>
        <v/>
      </c>
      <c r="AK288" t="s">
        <v>2603</v>
      </c>
      <c r="AL288" t="str">
        <f t="shared" si="54"/>
        <v/>
      </c>
      <c r="AM288" t="s">
        <v>2604</v>
      </c>
      <c r="AN288" t="str">
        <f t="shared" si="51"/>
        <v/>
      </c>
      <c r="AO288" t="s">
        <v>2605</v>
      </c>
      <c r="AP288" t="str">
        <f t="shared" si="52"/>
        <v/>
      </c>
      <c r="AQ288" t="s">
        <v>2606</v>
      </c>
      <c r="AR288" t="str">
        <f t="shared" si="53"/>
        <v/>
      </c>
    </row>
    <row r="289" spans="1:44">
      <c r="B289" t="str">
        <f>_xlfn.CONCAT("Source 10: ", Source_10)</f>
        <v>Source 10: Other</v>
      </c>
      <c r="C289" t="str">
        <f>Source_10</f>
        <v>Other</v>
      </c>
      <c r="D289" t="s">
        <v>2648</v>
      </c>
      <c r="E289" s="59" t="s">
        <v>2590</v>
      </c>
      <c r="F289" t="s">
        <v>2649</v>
      </c>
      <c r="G289" s="67" t="str">
        <f>IF(Amount_10&gt;0,Amount_10,"")</f>
        <v/>
      </c>
      <c r="H289" t="s">
        <v>2650</v>
      </c>
      <c r="I289" s="70" t="str">
        <f>IF(Amount_10&gt;0,Rate_10,"")</f>
        <v/>
      </c>
      <c r="J289" t="s">
        <v>2651</v>
      </c>
      <c r="K289" t="str">
        <f>IF(Amount_10&gt;0,Term_10,"")</f>
        <v/>
      </c>
      <c r="L289" t="s">
        <v>2652</v>
      </c>
      <c r="M289" s="67" t="str">
        <f>IF(Amount_10&gt;0,Annual_DSC_10,"")</f>
        <v/>
      </c>
      <c r="S289" s="67"/>
      <c r="T289" s="67"/>
      <c r="U289" s="67"/>
      <c r="V289" s="67"/>
      <c r="W289" s="67"/>
      <c r="X289" s="232"/>
      <c r="Y289" t="s">
        <v>2597</v>
      </c>
      <c r="Z289" s="57" t="s">
        <v>2632</v>
      </c>
      <c r="AE289" t="s">
        <v>2600</v>
      </c>
      <c r="AF289" t="str">
        <f t="shared" si="44"/>
        <v/>
      </c>
      <c r="AG289" t="s">
        <v>2601</v>
      </c>
      <c r="AH289" s="59" t="str">
        <f t="shared" si="45"/>
        <v/>
      </c>
      <c r="AI289" t="s">
        <v>2602</v>
      </c>
      <c r="AJ289" s="59" t="str">
        <f t="shared" si="46"/>
        <v/>
      </c>
      <c r="AK289" t="s">
        <v>2603</v>
      </c>
      <c r="AL289" t="str">
        <f t="shared" si="54"/>
        <v/>
      </c>
      <c r="AM289" t="s">
        <v>2604</v>
      </c>
      <c r="AN289" t="str">
        <f t="shared" si="51"/>
        <v/>
      </c>
      <c r="AO289" t="s">
        <v>2605</v>
      </c>
      <c r="AP289" t="str">
        <f t="shared" si="52"/>
        <v/>
      </c>
      <c r="AQ289" t="s">
        <v>2606</v>
      </c>
      <c r="AR289" t="str">
        <f t="shared" si="53"/>
        <v/>
      </c>
    </row>
    <row r="290" spans="1:44">
      <c r="A290" s="865" t="s">
        <v>2653</v>
      </c>
      <c r="B290" t="str">
        <f>_xlfn.CONCAT("Source 11: ", Source_11)</f>
        <v>Source 11: Other</v>
      </c>
      <c r="C290" t="str">
        <f>Source_11</f>
        <v>Other</v>
      </c>
      <c r="D290" t="s">
        <v>2654</v>
      </c>
      <c r="E290" s="59" t="s">
        <v>2590</v>
      </c>
      <c r="F290" t="s">
        <v>2655</v>
      </c>
      <c r="G290" s="67" t="str">
        <f>IF(Amount_11&gt;0,Amount_11,"")</f>
        <v/>
      </c>
      <c r="H290" t="s">
        <v>2656</v>
      </c>
      <c r="I290" s="70" t="str">
        <f>IF(Amount_11&gt;0,Rate_11,"")</f>
        <v/>
      </c>
      <c r="J290" t="s">
        <v>2657</v>
      </c>
      <c r="K290" t="str">
        <f>IF(Amount_11&gt;0,Term_11,"")</f>
        <v/>
      </c>
      <c r="L290" t="s">
        <v>2658</v>
      </c>
      <c r="M290" s="67" t="str" cm="1">
        <f t="array" ref="M290">IF(Amount_11&gt;0,Annual_DSC_11,"")</f>
        <v/>
      </c>
      <c r="S290" s="67"/>
      <c r="T290" s="67"/>
      <c r="U290" s="67"/>
      <c r="V290" s="67"/>
      <c r="W290" s="67"/>
      <c r="X290" s="232"/>
      <c r="AH290" s="59"/>
      <c r="AJ290" s="59"/>
    </row>
    <row r="291" spans="1:44">
      <c r="A291" s="865" t="s">
        <v>2653</v>
      </c>
      <c r="B291" t="str">
        <f>_xlfn.CONCAT("Source 12: ", Source_12)</f>
        <v>Source 12: Other</v>
      </c>
      <c r="C291" t="str">
        <f>Source_12</f>
        <v>Other</v>
      </c>
      <c r="D291" t="s">
        <v>2659</v>
      </c>
      <c r="E291" s="59" t="s">
        <v>2590</v>
      </c>
      <c r="F291" t="s">
        <v>2660</v>
      </c>
      <c r="G291" s="67" t="str">
        <f>IF(Amount_12&gt;0,Amount_12,"")</f>
        <v/>
      </c>
      <c r="H291" t="s">
        <v>2661</v>
      </c>
      <c r="I291" s="70" t="str">
        <f>IF(Amount_12&gt;0,Rate_12,"")</f>
        <v/>
      </c>
      <c r="J291" t="s">
        <v>2662</v>
      </c>
      <c r="K291" t="str">
        <f>IF(Amount_12&gt;0,Term_12,"")</f>
        <v/>
      </c>
      <c r="L291" t="s">
        <v>2663</v>
      </c>
      <c r="M291" s="67" t="str" cm="1">
        <f t="array" ref="M291">IF(Amount_12&gt;0,Annual_DSC_12,"")</f>
        <v/>
      </c>
      <c r="S291" s="67"/>
      <c r="T291" s="67"/>
      <c r="U291" s="67"/>
      <c r="V291" s="67"/>
      <c r="W291" s="67"/>
      <c r="X291" s="232"/>
      <c r="AH291" s="59"/>
      <c r="AJ291" s="59"/>
    </row>
    <row r="292" spans="1:44">
      <c r="A292" s="865" t="s">
        <v>2653</v>
      </c>
      <c r="B292" t="str">
        <f>_xlfn.CONCAT("Source 13: ", Source_13)</f>
        <v>Source 13: Other</v>
      </c>
      <c r="C292" t="str">
        <f>Source_13</f>
        <v>Other</v>
      </c>
      <c r="D292" t="s">
        <v>2664</v>
      </c>
      <c r="E292" s="59" t="s">
        <v>2590</v>
      </c>
      <c r="F292" t="s">
        <v>2665</v>
      </c>
      <c r="G292" s="67" t="str">
        <f>IF(Amount_13&gt;0,Amount_13,"")</f>
        <v/>
      </c>
      <c r="H292" t="s">
        <v>2666</v>
      </c>
      <c r="I292" s="70" t="str">
        <f>IF(Amount_13&gt;0,Rate_13,"")</f>
        <v/>
      </c>
      <c r="J292" t="s">
        <v>2667</v>
      </c>
      <c r="K292" t="str">
        <f>IF(Amount_13&gt;0,Term_13,"")</f>
        <v/>
      </c>
      <c r="L292" t="s">
        <v>2668</v>
      </c>
      <c r="M292" s="67" t="str" cm="1">
        <f t="array" ref="M292">IF(Amount_13&gt;0,Annual_DSC_13,"")</f>
        <v/>
      </c>
      <c r="S292" s="67"/>
      <c r="T292" s="67"/>
      <c r="U292" s="67"/>
      <c r="V292" s="67"/>
      <c r="W292" s="67"/>
      <c r="X292" s="232"/>
      <c r="AH292" s="59"/>
      <c r="AJ292" s="59"/>
    </row>
    <row r="293" spans="1:44">
      <c r="X293" s="232"/>
    </row>
    <row r="294" spans="1:44">
      <c r="B294" s="48" t="s">
        <v>2669</v>
      </c>
      <c r="X294" s="232"/>
      <c r="Y294" t="s">
        <v>2670</v>
      </c>
    </row>
    <row r="295" spans="1:44">
      <c r="B295" t="str">
        <f>_xlfn.CONCAT("Grant 1: ", Grant_1)</f>
        <v>Grant 1: HOME Grant</v>
      </c>
      <c r="C295" t="str">
        <f>Grant_1</f>
        <v>HOME Grant</v>
      </c>
      <c r="D295" t="s">
        <v>2592</v>
      </c>
      <c r="E295" s="59" t="s">
        <v>404</v>
      </c>
      <c r="F295" t="s">
        <v>2671</v>
      </c>
      <c r="G295" t="str">
        <f>IF(Grant_Amount_1&gt;0,Grant_Amount_1,"")</f>
        <v/>
      </c>
      <c r="X295" s="232"/>
      <c r="Y295" t="s">
        <v>2600</v>
      </c>
      <c r="Z295" s="57" t="str">
        <f>IF($Z$2="","","Funding Source To Be Determined")</f>
        <v/>
      </c>
      <c r="AA295" t="s">
        <v>2601</v>
      </c>
      <c r="AB295" s="59" t="str">
        <f>IF($Z$2="","",IF(Z295="","","NONE"))</f>
        <v/>
      </c>
      <c r="AC295" t="s">
        <v>2602</v>
      </c>
      <c r="AD295" s="59" t="str">
        <f>IF($Z$2="","",IF(Z295="","","Construction Only"))</f>
        <v/>
      </c>
      <c r="AE295" t="s">
        <v>2603</v>
      </c>
      <c r="AF295" t="str">
        <f>IF($Z$2 = "","",IF(Z295="","",K308))</f>
        <v/>
      </c>
      <c r="AG295" t="s">
        <v>2604</v>
      </c>
      <c r="AH295" t="str">
        <f>IF($Z$2="","",IF(Z295="","",G308))</f>
        <v/>
      </c>
      <c r="AI295" t="s">
        <v>2605</v>
      </c>
      <c r="AJ295" t="str">
        <f>IF($Z$2="","",IF(Z295="","",I308))</f>
        <v/>
      </c>
      <c r="AK295" t="s">
        <v>2606</v>
      </c>
      <c r="AL295" t="str">
        <f>IF($Z$2="","",IF(Z295="","",ROUNDDOWN(-PMT(AJ295/12,AF295*12,AH295)*12,0)))</f>
        <v/>
      </c>
    </row>
    <row r="296" spans="1:44">
      <c r="B296" t="str">
        <f>_xlfn.CONCAT("Grant 2: ", Grant_2)</f>
        <v>Grant 2: CDBG Grant</v>
      </c>
      <c r="C296" t="str">
        <f>Grant_2</f>
        <v>CDBG Grant</v>
      </c>
      <c r="D296" t="s">
        <v>2607</v>
      </c>
      <c r="E296" s="59" t="s">
        <v>404</v>
      </c>
      <c r="F296" t="s">
        <v>2672</v>
      </c>
      <c r="G296" t="str">
        <f>IF(Grant_Amount_2&gt;0,Grant_Amount_2,"")</f>
        <v/>
      </c>
      <c r="X296" s="232"/>
      <c r="Y296" t="s">
        <v>2600</v>
      </c>
      <c r="Z296" s="57" t="str">
        <f>IF($Z$2="","","Funding Source To Be Determined")</f>
        <v/>
      </c>
      <c r="AA296" t="s">
        <v>2601</v>
      </c>
      <c r="AB296" s="59" t="str">
        <f t="shared" ref="AB296:AB299" si="55">IF($Z$2="","",IF(Z296="","","NONE"))</f>
        <v/>
      </c>
      <c r="AC296" t="s">
        <v>2602</v>
      </c>
      <c r="AD296" s="59" t="str">
        <f t="shared" ref="AD296:AD299" si="56">IF($Z$2="","",IF(Z296="","","Construction Only"))</f>
        <v/>
      </c>
      <c r="AE296" t="s">
        <v>2603</v>
      </c>
      <c r="AF296" t="str">
        <f>IF($Z$2 = "","",IF(Z296="","",K309))</f>
        <v/>
      </c>
      <c r="AG296" t="s">
        <v>2604</v>
      </c>
      <c r="AH296" t="str">
        <f>IF($Z$2="","",IF(Z296="","",G309))</f>
        <v/>
      </c>
      <c r="AI296" t="s">
        <v>2605</v>
      </c>
      <c r="AJ296" t="str">
        <f>IF($Z$2="","",IF(Z296="","",I309))</f>
        <v/>
      </c>
      <c r="AK296" t="s">
        <v>2606</v>
      </c>
      <c r="AL296" t="str">
        <f t="shared" ref="AL296:AL299" si="57">IF($Z$2="","",IF(Z296="","",ROUNDDOWN(-PMT(AJ296/12,AF296*12,AH296)*12,0)))</f>
        <v/>
      </c>
    </row>
    <row r="297" spans="1:44">
      <c r="B297" t="str">
        <f>_xlfn.CONCAT("Grant 3: ", Grant_3)</f>
        <v>Grant 3: Other</v>
      </c>
      <c r="C297" t="str">
        <f>Grant_3</f>
        <v>Other</v>
      </c>
      <c r="D297" t="s">
        <v>2612</v>
      </c>
      <c r="E297" s="59" t="s">
        <v>404</v>
      </c>
      <c r="F297" t="s">
        <v>2673</v>
      </c>
      <c r="G297" t="str">
        <f>IF(Grant_Amount_3&gt;0,Grant_Amount_3,"")</f>
        <v/>
      </c>
      <c r="X297" s="232"/>
      <c r="Y297" t="s">
        <v>2600</v>
      </c>
      <c r="Z297" s="57" t="str">
        <f>IF($Z$2="","","Funding Source To Be Determined")</f>
        <v/>
      </c>
      <c r="AA297" t="s">
        <v>2601</v>
      </c>
      <c r="AB297" s="59" t="str">
        <f t="shared" si="55"/>
        <v/>
      </c>
      <c r="AC297" t="s">
        <v>2602</v>
      </c>
      <c r="AD297" s="59" t="str">
        <f t="shared" si="56"/>
        <v/>
      </c>
      <c r="AE297" t="s">
        <v>2603</v>
      </c>
      <c r="AF297" t="str">
        <f>IF($Z$2 = "","",IF(Z297="","",K310))</f>
        <v/>
      </c>
      <c r="AG297" t="s">
        <v>2604</v>
      </c>
      <c r="AH297" t="str">
        <f>IF($Z$2="","",IF(Z297="","",G310))</f>
        <v/>
      </c>
      <c r="AI297" t="s">
        <v>2605</v>
      </c>
      <c r="AJ297" t="str">
        <f>IF($Z$2="","",IF(Z297="","",I310))</f>
        <v/>
      </c>
      <c r="AK297" t="s">
        <v>2606</v>
      </c>
      <c r="AL297" t="str">
        <f t="shared" si="57"/>
        <v/>
      </c>
    </row>
    <row r="298" spans="1:44">
      <c r="B298" t="str">
        <f>_xlfn.CONCAT("Grant 4: ", Grant_4)</f>
        <v>Grant 4: Other</v>
      </c>
      <c r="C298" t="str">
        <f>Grant_4</f>
        <v>Other</v>
      </c>
      <c r="D298" t="s">
        <v>2617</v>
      </c>
      <c r="E298" s="59" t="s">
        <v>404</v>
      </c>
      <c r="F298" t="s">
        <v>2674</v>
      </c>
      <c r="G298" t="str">
        <f>IF(Grant_Amount_4&gt;0,Grant_Amount_4,"")</f>
        <v/>
      </c>
      <c r="X298" s="232"/>
      <c r="Y298" t="s">
        <v>2600</v>
      </c>
      <c r="Z298" s="57" t="str">
        <f>IF($Z$2="","","Funding Source To Be Determined")</f>
        <v/>
      </c>
      <c r="AA298" t="s">
        <v>2601</v>
      </c>
      <c r="AB298" s="59" t="str">
        <f t="shared" si="55"/>
        <v/>
      </c>
      <c r="AC298" t="s">
        <v>2602</v>
      </c>
      <c r="AD298" s="59" t="str">
        <f t="shared" si="56"/>
        <v/>
      </c>
      <c r="AE298" t="s">
        <v>2603</v>
      </c>
      <c r="AF298" t="str">
        <f>IF($Z$2 = "","",IF(Z298="","",K311))</f>
        <v/>
      </c>
      <c r="AG298" t="s">
        <v>2604</v>
      </c>
      <c r="AH298" t="str">
        <f>IF($Z$2="","",IF(Z298="","",G311))</f>
        <v/>
      </c>
      <c r="AI298" t="s">
        <v>2605</v>
      </c>
      <c r="AJ298" t="str">
        <f>IF($Z$2="","",IF(Z298="","",I311))</f>
        <v/>
      </c>
      <c r="AK298" t="s">
        <v>2606</v>
      </c>
      <c r="AL298" t="str">
        <f t="shared" si="57"/>
        <v/>
      </c>
    </row>
    <row r="299" spans="1:44">
      <c r="B299" t="str">
        <f>_xlfn.CONCAT("Grant 5: ", Grant_5)</f>
        <v>Grant 5: Other</v>
      </c>
      <c r="C299" t="str">
        <f>Grant_5</f>
        <v>Other</v>
      </c>
      <c r="D299" t="s">
        <v>2622</v>
      </c>
      <c r="E299" s="59" t="s">
        <v>404</v>
      </c>
      <c r="F299" t="s">
        <v>2675</v>
      </c>
      <c r="G299" t="str">
        <f>IF(Grant_Amount_5&gt;0,Grant_Amount_5,"")</f>
        <v/>
      </c>
      <c r="X299" s="232"/>
      <c r="Y299" t="s">
        <v>2600</v>
      </c>
      <c r="Z299" s="57" t="str">
        <f>IF($Z$2="","","Funding Source To Be Determined")</f>
        <v/>
      </c>
      <c r="AA299" t="s">
        <v>2601</v>
      </c>
      <c r="AB299" s="59" t="str">
        <f t="shared" si="55"/>
        <v/>
      </c>
      <c r="AC299" t="s">
        <v>2602</v>
      </c>
      <c r="AD299" s="59" t="str">
        <f t="shared" si="56"/>
        <v/>
      </c>
      <c r="AE299" t="s">
        <v>2603</v>
      </c>
      <c r="AF299" t="str">
        <f>IF($Z$2 = "","",IF(Z299="","",K312))</f>
        <v/>
      </c>
      <c r="AG299" t="s">
        <v>2604</v>
      </c>
      <c r="AH299" t="str">
        <f>IF($Z$2="","",IF(Z299="","",G312))</f>
        <v/>
      </c>
      <c r="AI299" t="s">
        <v>2605</v>
      </c>
      <c r="AJ299" t="str">
        <f>IF($Z$2="","",IF(Z299="","",I312))</f>
        <v/>
      </c>
      <c r="AK299" t="s">
        <v>2606</v>
      </c>
      <c r="AL299" t="str">
        <f t="shared" si="57"/>
        <v/>
      </c>
    </row>
    <row r="300" spans="1:44">
      <c r="B300" t="str">
        <f>_xlfn.CONCAT("Grant 6: ", Grant_6)</f>
        <v>Grant 6: Other</v>
      </c>
      <c r="C300" t="str">
        <f>Grant_6</f>
        <v>Other</v>
      </c>
      <c r="D300" t="s">
        <v>2627</v>
      </c>
      <c r="E300" s="59" t="s">
        <v>404</v>
      </c>
      <c r="F300" t="s">
        <v>2676</v>
      </c>
      <c r="G300" t="str">
        <f>IF(Grant_Amount_6&gt;0,Grant_Amount_6,"")</f>
        <v/>
      </c>
      <c r="X300" s="232"/>
    </row>
    <row r="301" spans="1:44">
      <c r="B301" t="str">
        <f>_xlfn.CONCAT("Grant 7: ", Grant_7)</f>
        <v>Grant 7: Other</v>
      </c>
      <c r="C301" t="str">
        <f>Grant_7</f>
        <v>Other</v>
      </c>
      <c r="D301" t="s">
        <v>2633</v>
      </c>
      <c r="E301" s="59" t="s">
        <v>404</v>
      </c>
      <c r="F301" t="s">
        <v>2677</v>
      </c>
      <c r="G301" t="str">
        <f>IF(Grant_Amount_7&gt;0,Grant_Amount_7,"")</f>
        <v/>
      </c>
      <c r="X301" s="232"/>
    </row>
    <row r="302" spans="1:44">
      <c r="A302" s="865" t="s">
        <v>2653</v>
      </c>
      <c r="B302" t="str">
        <f>_xlfn.CONCAT("Grant 8: ", Grant_8)</f>
        <v>Grant 8: Other</v>
      </c>
      <c r="C302" t="str">
        <f>Grant_8</f>
        <v>Other</v>
      </c>
      <c r="D302" t="s">
        <v>2638</v>
      </c>
      <c r="E302" s="59" t="s">
        <v>404</v>
      </c>
      <c r="F302" t="s">
        <v>2678</v>
      </c>
      <c r="G302" t="str">
        <f>IF(Grant_Amount_8&gt;0,Grant_Amount_8,"")</f>
        <v/>
      </c>
      <c r="X302" s="232"/>
    </row>
    <row r="303" spans="1:44">
      <c r="A303" s="865" t="s">
        <v>2653</v>
      </c>
      <c r="B303" t="str">
        <f>_xlfn.CONCAT("Grant 9: ", Grant_9)</f>
        <v>Grant 9: Other</v>
      </c>
      <c r="C303" t="str">
        <f>Grant_9</f>
        <v>Other</v>
      </c>
      <c r="D303" t="s">
        <v>2643</v>
      </c>
      <c r="E303" s="59" t="s">
        <v>404</v>
      </c>
      <c r="F303" t="s">
        <v>2679</v>
      </c>
      <c r="G303" t="str">
        <f>IF(Grant_Amount_9&gt;0,Grant_Amount_9,"")</f>
        <v/>
      </c>
      <c r="X303" s="232"/>
    </row>
    <row r="304" spans="1:44">
      <c r="A304" s="865" t="s">
        <v>2653</v>
      </c>
      <c r="B304" t="str">
        <f>_xlfn.CONCAT("Grant 10: ", Grant_10)</f>
        <v>Grant 10: Other</v>
      </c>
      <c r="C304" t="str">
        <f>Grant_10</f>
        <v>Other</v>
      </c>
      <c r="D304" t="s">
        <v>2648</v>
      </c>
      <c r="E304" s="59" t="s">
        <v>404</v>
      </c>
      <c r="F304" t="s">
        <v>2680</v>
      </c>
      <c r="G304" t="str">
        <f>IF(Grant_Amount_10&gt;0,Grant_Amount_10,"")</f>
        <v/>
      </c>
      <c r="X304" s="232"/>
    </row>
    <row r="305" spans="1:31">
      <c r="A305" s="865" t="s">
        <v>2653</v>
      </c>
      <c r="B305" t="str">
        <f>_xlfn.CONCAT("Grant 11: ", Grant_11)</f>
        <v>Grant 11: Other</v>
      </c>
      <c r="C305" t="str">
        <f>Grant_11</f>
        <v>Other</v>
      </c>
      <c r="D305" t="s">
        <v>2654</v>
      </c>
      <c r="E305" s="59" t="s">
        <v>404</v>
      </c>
      <c r="F305" t="s">
        <v>2681</v>
      </c>
      <c r="G305" t="str">
        <f>IF(Grant_Amount_11&gt;0,Grant_Amount_11,"")</f>
        <v/>
      </c>
      <c r="X305" s="232"/>
    </row>
    <row r="306" spans="1:31">
      <c r="X306" s="232"/>
    </row>
    <row r="307" spans="1:31">
      <c r="B307" t="s">
        <v>2682</v>
      </c>
      <c r="X307" s="232"/>
    </row>
    <row r="308" spans="1:31">
      <c r="B308" t="str">
        <f>_xlfn.CONCAT("Source 1: ", Construction_Source_1)</f>
        <v>Source 1: Construction Loan 1</v>
      </c>
      <c r="C308" t="str">
        <f>Construction_Source_1</f>
        <v>Construction Loan 1</v>
      </c>
      <c r="D308" t="s">
        <v>2592</v>
      </c>
      <c r="E308" s="59" t="s">
        <v>2683</v>
      </c>
      <c r="F308" t="s">
        <v>2671</v>
      </c>
      <c r="G308" s="67" t="str">
        <f>IF(Construction_Amount_1&gt;0,Construction_Amount_1,"")</f>
        <v/>
      </c>
      <c r="H308" t="s">
        <v>2594</v>
      </c>
      <c r="I308" t="str">
        <f>IF(Construction_Amount_1&gt;0,Construction_Rate_1,"")</f>
        <v/>
      </c>
      <c r="J308" t="s">
        <v>2595</v>
      </c>
      <c r="K308" t="str">
        <f>IF(Construction_Amount_1&gt;0,Construction_Term_1,"")</f>
        <v/>
      </c>
      <c r="X308" s="232"/>
    </row>
    <row r="309" spans="1:31">
      <c r="B309" t="str">
        <f>_xlfn.CONCAT("Source 2: ", Construction_Source_2)</f>
        <v>Source 2: Construction Loan 2</v>
      </c>
      <c r="C309" t="str">
        <f>Construction_Source_2</f>
        <v>Construction Loan 2</v>
      </c>
      <c r="D309" t="s">
        <v>2607</v>
      </c>
      <c r="E309" s="59" t="s">
        <v>2683</v>
      </c>
      <c r="F309" t="s">
        <v>2672</v>
      </c>
      <c r="G309" s="67" t="str">
        <f>IF(Construction_Amount_2&gt;0,Construction_Amount_2,"")</f>
        <v/>
      </c>
      <c r="H309" t="s">
        <v>2609</v>
      </c>
      <c r="I309" t="str">
        <f>IF(Construction_Amount_2&gt;0,Construction_Rate_2,"")</f>
        <v/>
      </c>
      <c r="J309" t="s">
        <v>2610</v>
      </c>
      <c r="K309" t="str">
        <f>IF(Construction_Amount_2&gt;0,Construction_Term_2,"")</f>
        <v/>
      </c>
      <c r="X309" s="232"/>
    </row>
    <row r="310" spans="1:31">
      <c r="B310" t="str">
        <f>_xlfn.CONCAT("Source 3: ", Construction_Source_3)</f>
        <v>Source 3: Construction Loan 3</v>
      </c>
      <c r="C310" t="str">
        <f>Construction_Source_3</f>
        <v>Construction Loan 3</v>
      </c>
      <c r="D310" t="s">
        <v>2612</v>
      </c>
      <c r="E310" s="59" t="s">
        <v>2683</v>
      </c>
      <c r="F310" t="s">
        <v>2673</v>
      </c>
      <c r="G310" s="67" t="str">
        <f>IF(Construction_Amount_3&gt;0,Construction_Amount_3,"")</f>
        <v/>
      </c>
      <c r="H310" t="s">
        <v>2614</v>
      </c>
      <c r="I310" t="str">
        <f>IF(Construction_Amount_3&gt;0,Construction_Rate_3,"")</f>
        <v/>
      </c>
      <c r="J310" t="s">
        <v>2615</v>
      </c>
      <c r="K310" t="str">
        <f>IF(Construction_Amount_3&gt;0,Construction_Term_3,"")</f>
        <v/>
      </c>
      <c r="X310" s="232"/>
    </row>
    <row r="311" spans="1:31">
      <c r="B311" t="str">
        <f>_xlfn.CONCAT("Source 4: ", Construction_Source_4)</f>
        <v>Source 4: Construction Loan 4</v>
      </c>
      <c r="C311" t="str">
        <f>Construction_Source_4</f>
        <v>Construction Loan 4</v>
      </c>
      <c r="D311" t="s">
        <v>2617</v>
      </c>
      <c r="E311" s="59" t="s">
        <v>2683</v>
      </c>
      <c r="F311" t="s">
        <v>2674</v>
      </c>
      <c r="G311" s="67" t="str">
        <f>IF(Construction_Amount_4&gt;0,Construction_Amount_4,"")</f>
        <v/>
      </c>
      <c r="H311" t="s">
        <v>2619</v>
      </c>
      <c r="I311" t="str">
        <f>IF(Construction_Amount_4&gt;0,Construction_Rate_4,"")</f>
        <v/>
      </c>
      <c r="J311" t="s">
        <v>2620</v>
      </c>
      <c r="K311" t="str">
        <f>IF(Construction_Amount_4&gt;0,Construction_Term_4,"")</f>
        <v/>
      </c>
      <c r="X311" s="232"/>
    </row>
    <row r="312" spans="1:31">
      <c r="B312" t="str">
        <f>_xlfn.CONCAT("Source 5: ", Construction_Source_5)</f>
        <v>Source 5: Construction Loan 5</v>
      </c>
      <c r="C312" t="str">
        <f>Construction_Source_5</f>
        <v>Construction Loan 5</v>
      </c>
      <c r="D312" t="s">
        <v>2622</v>
      </c>
      <c r="E312" s="59" t="s">
        <v>2683</v>
      </c>
      <c r="F312" t="s">
        <v>2675</v>
      </c>
      <c r="G312" s="67" t="str">
        <f>IF(Construction_Amount_5&gt;0,Construction_Amount_5,"")</f>
        <v/>
      </c>
      <c r="H312" t="s">
        <v>2624</v>
      </c>
      <c r="I312" t="str">
        <f>IF(Construction_Amount_5&gt;0,Construction_Rate_5,"")</f>
        <v/>
      </c>
      <c r="J312" t="s">
        <v>2625</v>
      </c>
      <c r="K312" t="str">
        <f>IF(Construction_Amount_5&gt;0,Construction_Term_5,"")</f>
        <v/>
      </c>
      <c r="X312" s="232"/>
    </row>
    <row r="313" spans="1:31">
      <c r="B313" t="str">
        <f>_xlfn.CONCAT("Source 6: ", Construction_Source_6)</f>
        <v>Source 6: Federal Housing Tax Credit Equity</v>
      </c>
      <c r="C313" t="str">
        <f>Construction_Source_6</f>
        <v>Federal Housing Tax Credit Equity</v>
      </c>
      <c r="D313" t="s">
        <v>2627</v>
      </c>
      <c r="E313" s="59" t="s">
        <v>2683</v>
      </c>
      <c r="F313" t="s">
        <v>2676</v>
      </c>
      <c r="G313" s="67" t="str">
        <f>IF(Construction_Amount_6&gt;0,Construction_Amount_6,"")</f>
        <v/>
      </c>
      <c r="H313" t="s">
        <v>2629</v>
      </c>
      <c r="I313" t="str">
        <f>IF(Construction_Amount_6&gt;0,Construction_Rate_6,"")</f>
        <v/>
      </c>
      <c r="J313" t="s">
        <v>2630</v>
      </c>
      <c r="K313" t="str">
        <f>IF(Construction_Amount_6&gt;0,Construction_Term_6,"")</f>
        <v/>
      </c>
      <c r="X313" s="232"/>
    </row>
    <row r="314" spans="1:31">
      <c r="B314" t="str">
        <f>_xlfn.CONCAT("Source 7: ", Construction_Source_7)</f>
        <v>Source 7: State Housing Tax Credit Equity</v>
      </c>
      <c r="C314" t="str">
        <f>Construction_Source_7</f>
        <v>State Housing Tax Credit Equity</v>
      </c>
      <c r="D314" t="s">
        <v>2633</v>
      </c>
      <c r="E314" s="59" t="s">
        <v>2683</v>
      </c>
      <c r="F314" t="s">
        <v>2677</v>
      </c>
      <c r="G314" s="67" t="str">
        <f>IF(Construction_Amount_7&gt;0,Construction_Amount_7,"")</f>
        <v/>
      </c>
      <c r="H314" t="s">
        <v>2635</v>
      </c>
      <c r="I314" t="str">
        <f>IF(Construction_Amount_7&gt;0,Construction_Rate_7,"")</f>
        <v/>
      </c>
      <c r="J314" t="s">
        <v>2636</v>
      </c>
      <c r="K314" t="str">
        <f>IF(Construction_Amount_7&gt;0,Construction_Term_7,"")</f>
        <v/>
      </c>
      <c r="X314" s="232"/>
    </row>
    <row r="315" spans="1:31">
      <c r="B315" t="str">
        <f>_xlfn.CONCAT("Source 8: ", Construction_Source_8)</f>
        <v>Source 8: Federal Historic Tax Credit Equity</v>
      </c>
      <c r="C315" t="str">
        <f>Construction_Source_8</f>
        <v>Federal Historic Tax Credit Equity</v>
      </c>
      <c r="D315" t="s">
        <v>2638</v>
      </c>
      <c r="E315" s="59" t="s">
        <v>2683</v>
      </c>
      <c r="F315" t="s">
        <v>2678</v>
      </c>
      <c r="G315" s="67" t="str">
        <f>IF(Construction_Amount_8&gt;0,Construction_Amount_8,"")</f>
        <v/>
      </c>
      <c r="H315" t="s">
        <v>2640</v>
      </c>
      <c r="I315" t="str">
        <f>IF(Construction_Amount_8&gt;0,Construction_Rate_8,"")</f>
        <v/>
      </c>
      <c r="J315" t="s">
        <v>2641</v>
      </c>
      <c r="K315" t="str">
        <f>IF(Construction_Amount_8&gt;0,Construction_Term_8,"")</f>
        <v/>
      </c>
      <c r="X315" s="232"/>
    </row>
    <row r="316" spans="1:31">
      <c r="B316" t="str">
        <f>_xlfn.CONCAT("Source 9: ", Construction_Source_9)</f>
        <v>Source 9: Other - Specify</v>
      </c>
      <c r="C316" t="str">
        <f>IF(Construction_Source_9="Other - Specify","Other",Construction_Source_9)</f>
        <v>Other</v>
      </c>
      <c r="D316" t="s">
        <v>2643</v>
      </c>
      <c r="E316" s="59" t="s">
        <v>2683</v>
      </c>
      <c r="F316" t="s">
        <v>2679</v>
      </c>
      <c r="G316" s="67" t="str">
        <f>IF(Construction_Amount_9&gt;0,Construction_Amount_9,"")</f>
        <v/>
      </c>
      <c r="H316" t="s">
        <v>2645</v>
      </c>
      <c r="I316" t="str">
        <f>IF(Construction_Amount_9&gt;0,Construction_Rate_9,"")</f>
        <v/>
      </c>
      <c r="J316" t="s">
        <v>2646</v>
      </c>
      <c r="K316" t="str">
        <f>IF(Construction_Amount_9&gt;0,Construction_Term_9,"")</f>
        <v/>
      </c>
      <c r="X316" s="232"/>
    </row>
    <row r="317" spans="1:31">
      <c r="A317" s="48" t="s">
        <v>2684</v>
      </c>
      <c r="B317" t="str">
        <f>_xlfn.CONCAT("Source 10: ", Construction_Source_10)</f>
        <v>Source 10: Other - Specify</v>
      </c>
      <c r="C317" t="str">
        <f>IF(Construction_Source_10="Other - Specify","Other",Construction_Source_10)</f>
        <v>Other</v>
      </c>
      <c r="D317" t="s">
        <v>2648</v>
      </c>
      <c r="E317" s="59" t="s">
        <v>2683</v>
      </c>
      <c r="F317" t="s">
        <v>2680</v>
      </c>
      <c r="G317" s="67" t="str">
        <f>IF(Construction_Amount_10&gt;0,Construction_Amount_10,"")</f>
        <v/>
      </c>
      <c r="H317" t="s">
        <v>2650</v>
      </c>
      <c r="I317" t="str">
        <f>IF(Construction_Amount_10&gt;0,Construction_Rate_10,"")</f>
        <v/>
      </c>
      <c r="J317" t="s">
        <v>2651</v>
      </c>
      <c r="K317" t="str">
        <f>IF(Construction_Amount_10&gt;0,Construction_Term_10,"")</f>
        <v/>
      </c>
      <c r="X317" s="232"/>
    </row>
    <row r="318" spans="1:31">
      <c r="A318" s="48" t="s">
        <v>2684</v>
      </c>
      <c r="B318" t="str">
        <f>_xlfn.CONCAT("Source 11: ", Construction_Source_11)</f>
        <v>Source 11: Other - Specify</v>
      </c>
      <c r="C318" t="str">
        <f>IF(Construction_Source_10="Other - Specify","Other",Construction_Source_10)</f>
        <v>Other</v>
      </c>
      <c r="D318" t="s">
        <v>2654</v>
      </c>
      <c r="E318" s="59" t="s">
        <v>2683</v>
      </c>
      <c r="F318" t="s">
        <v>2681</v>
      </c>
      <c r="G318" s="67" t="str">
        <f>IF(Construction_Amount_11&gt;0,Construction_Amount_11,"")</f>
        <v/>
      </c>
      <c r="H318" t="s">
        <v>2656</v>
      </c>
      <c r="I318" t="str">
        <f>IF(Construction_Amount_11&gt;0,Construction_Rate_11,"")</f>
        <v/>
      </c>
      <c r="J318" t="s">
        <v>2657</v>
      </c>
      <c r="K318" t="str">
        <f>IF(Construction_Amount_11&gt;0,Construction_Term_11,"")</f>
        <v/>
      </c>
      <c r="X318" s="232"/>
    </row>
    <row r="319" spans="1:31">
      <c r="A319" s="48" t="s">
        <v>2684</v>
      </c>
      <c r="B319" t="str">
        <f>_xlfn.CONCAT("Source 12: ", Construction_Source_12)</f>
        <v>Source 12: Other - Specify</v>
      </c>
      <c r="C319" t="str">
        <f>IF(Construction_Source_10="Other - Specify","Other",Construction_Source_10)</f>
        <v>Other</v>
      </c>
      <c r="D319" t="s">
        <v>2659</v>
      </c>
      <c r="E319" s="59" t="s">
        <v>2683</v>
      </c>
      <c r="F319" t="s">
        <v>2685</v>
      </c>
      <c r="G319" s="67" t="str">
        <f>IF(Construction_Amount_12&gt;0,Construction_Amount_12,"")</f>
        <v/>
      </c>
      <c r="H319" t="s">
        <v>2661</v>
      </c>
      <c r="I319" t="str">
        <f>IF(Construction_Amount_12&gt;0,Construction_Rate_12,"")</f>
        <v/>
      </c>
      <c r="J319" t="s">
        <v>2662</v>
      </c>
      <c r="K319" t="str">
        <f>IF(Construction_Amount_12&gt;0,Construction_Term_12,"")</f>
        <v/>
      </c>
      <c r="X319" s="232"/>
      <c r="AC319" s="336" t="s">
        <v>2686</v>
      </c>
      <c r="AE319" s="336" t="s">
        <v>2686</v>
      </c>
    </row>
    <row r="320" spans="1:31">
      <c r="X320" s="232"/>
      <c r="AC320" s="372" t="s">
        <v>2687</v>
      </c>
      <c r="AE320" s="372" t="s">
        <v>2687</v>
      </c>
    </row>
    <row r="321" spans="1:31">
      <c r="X321" s="232"/>
      <c r="Y321" t="s">
        <v>2688</v>
      </c>
      <c r="AC321" s="373" t="s">
        <v>2689</v>
      </c>
      <c r="AE321" s="1713" t="s">
        <v>2690</v>
      </c>
    </row>
    <row r="322" spans="1:31">
      <c r="X322" s="232"/>
      <c r="Y322" s="738" t="s">
        <v>2691</v>
      </c>
      <c r="Z322" s="374" t="s">
        <v>2692</v>
      </c>
      <c r="AA322" s="738" t="s">
        <v>2693</v>
      </c>
      <c r="AB322" s="738"/>
      <c r="AD322" s="738"/>
      <c r="AE322" s="738"/>
    </row>
    <row r="323" spans="1:31">
      <c r="A323" s="48" t="s">
        <v>2694</v>
      </c>
      <c r="H323" s="1743"/>
      <c r="I323" s="1743"/>
      <c r="J323" s="1743"/>
      <c r="K323" s="1743"/>
      <c r="X323" s="232"/>
      <c r="Y323" s="738"/>
      <c r="Z323" s="375" t="s">
        <v>2695</v>
      </c>
      <c r="AA323" s="376" t="s">
        <v>2696</v>
      </c>
      <c r="AB323" s="377" t="s">
        <v>2697</v>
      </c>
      <c r="AC323" s="738" t="s">
        <v>2698</v>
      </c>
      <c r="AD323" s="738" t="s">
        <v>2699</v>
      </c>
      <c r="AE323" s="738" t="s">
        <v>2698</v>
      </c>
    </row>
    <row r="324" spans="1:31">
      <c r="A324" s="48" t="s">
        <v>2700</v>
      </c>
      <c r="B324" s="48" t="s">
        <v>2701</v>
      </c>
      <c r="C324" s="1743" t="s">
        <v>2702</v>
      </c>
      <c r="D324" s="1743" t="s">
        <v>2703</v>
      </c>
      <c r="E324" s="1743" t="s">
        <v>2704</v>
      </c>
      <c r="F324" s="1743" t="s">
        <v>225</v>
      </c>
      <c r="G324" s="795" t="s">
        <v>2705</v>
      </c>
      <c r="H324" s="798" t="s">
        <v>2706</v>
      </c>
      <c r="I324" s="798" t="s">
        <v>2707</v>
      </c>
      <c r="J324" s="1743"/>
      <c r="K324" s="1743"/>
      <c r="X324" s="232"/>
      <c r="Y324" s="738">
        <v>1</v>
      </c>
      <c r="Z324" s="738" t="str">
        <f>'14. Project Costs'!C12</f>
        <v>Land</v>
      </c>
      <c r="AA324" s="378">
        <f>'14. Project Costs'!F12</f>
        <v>0</v>
      </c>
      <c r="AB324" s="738" t="s">
        <v>2708</v>
      </c>
      <c r="AC324" s="372" t="str">
        <f>IF($Z$2="","",AA324)</f>
        <v/>
      </c>
      <c r="AD324" s="738"/>
      <c r="AE324" s="738"/>
    </row>
    <row r="325" spans="1:31">
      <c r="A325" t="s">
        <v>2709</v>
      </c>
      <c r="B325" t="s">
        <v>2710</v>
      </c>
      <c r="C325" s="58">
        <f>PC_ACQ_Land_Acq_Total</f>
        <v>0</v>
      </c>
      <c r="D325" s="356">
        <f>IF(OR(Credit_percentage_applied_for="4%",Credit_percentage_applied_for="State + Fed 4%"),'14. Project Costs'!K12,0)</f>
        <v>0</v>
      </c>
      <c r="E325" s="356">
        <f>IF(Credit_percentage_applied_for="9%",'14. Project Costs'!K12,0)</f>
        <v>0</v>
      </c>
      <c r="F325" s="356"/>
      <c r="G325" s="58" t="s">
        <v>19</v>
      </c>
      <c r="H325" s="720" t="s">
        <v>2711</v>
      </c>
      <c r="I325" s="720" t="s">
        <v>173</v>
      </c>
      <c r="J325" s="58"/>
      <c r="K325" s="58">
        <f>PC_ACQ_ACQ_Subtotal_Total</f>
        <v>0</v>
      </c>
      <c r="X325" s="232"/>
      <c r="Y325" s="738">
        <v>2</v>
      </c>
      <c r="Z325" s="738" t="str">
        <f>'14. Project Costs'!C13</f>
        <v>Purchase of Buildings</v>
      </c>
      <c r="AA325" s="378">
        <f>'14. Project Costs'!F13</f>
        <v>0</v>
      </c>
      <c r="AB325" s="738" t="s">
        <v>2712</v>
      </c>
      <c r="AC325" s="372" t="str">
        <f>IF($Z$2="","",AA325+AA326)</f>
        <v/>
      </c>
      <c r="AD325" s="738"/>
      <c r="AE325" s="738"/>
    </row>
    <row r="326" spans="1:31">
      <c r="A326" t="s">
        <v>2713</v>
      </c>
      <c r="B326" t="s">
        <v>2714</v>
      </c>
      <c r="C326" s="58">
        <f>PC_ACQ_Building_Acq_Total</f>
        <v>0</v>
      </c>
      <c r="D326" s="58">
        <f>IF(OR(Credit_percentage_applied_for="4%",Credit_percentage_applied_for="State + Fed 4%"), PC_ACQ_Building_Acq,0)</f>
        <v>0</v>
      </c>
      <c r="E326" s="58">
        <f>IF(Credit_percentage_applied_for="9%",PC_ACQ_Building_Acq,0)</f>
        <v>0</v>
      </c>
      <c r="F326" s="58">
        <f>PC_ACQ_Building_Acq_State</f>
        <v>0</v>
      </c>
      <c r="G326" s="58"/>
      <c r="H326" s="720" t="s">
        <v>2715</v>
      </c>
      <c r="I326" s="720" t="s">
        <v>2716</v>
      </c>
      <c r="J326" s="58"/>
      <c r="K326" s="58">
        <f>PC_CST_New_Constr_Subtotal_Total</f>
        <v>0</v>
      </c>
      <c r="X326" s="232"/>
      <c r="Y326" s="738">
        <v>2</v>
      </c>
      <c r="Z326" s="738" t="str">
        <f>'14. Project Costs'!C14</f>
        <v>Other Purchase Bldgs &amp; Land</v>
      </c>
      <c r="AA326" s="378">
        <f>'14. Project Costs'!F14</f>
        <v>0</v>
      </c>
      <c r="AB326" s="738" t="s">
        <v>2717</v>
      </c>
      <c r="AC326" s="373"/>
      <c r="AD326" s="738"/>
      <c r="AE326" s="738"/>
    </row>
    <row r="327" spans="1:31">
      <c r="A327" t="s">
        <v>2718</v>
      </c>
      <c r="B327" t="s">
        <v>2719</v>
      </c>
      <c r="C327" s="58">
        <f>PC_ACQ_Other_Purchase_Total</f>
        <v>0</v>
      </c>
      <c r="D327" s="58">
        <f>IF(OR(Credit_percentage_applied_for="4%",Credit_percentage_applied_for="State + Fed 4%"),PC_ACQ_Other_Purchase,0)</f>
        <v>0</v>
      </c>
      <c r="E327" s="58">
        <f>IF(Credit_percentage_applied_for="9%", Other_Purchase_9, 0)</f>
        <v>0</v>
      </c>
      <c r="F327" s="58">
        <f>PC_ACQ_Other_Purchase_State</f>
        <v>0</v>
      </c>
      <c r="G327" s="58"/>
      <c r="H327" s="720" t="s">
        <v>2720</v>
      </c>
      <c r="I327" s="720" t="s">
        <v>2721</v>
      </c>
      <c r="J327" s="58"/>
      <c r="K327" s="58">
        <f>PC_CST_Off_Site_Work_Total</f>
        <v>0</v>
      </c>
      <c r="X327" s="232"/>
      <c r="Y327" s="738"/>
      <c r="Z327" s="738"/>
      <c r="AA327" s="738"/>
      <c r="AB327" s="738"/>
      <c r="AC327" s="738"/>
      <c r="AD327" s="738"/>
      <c r="AE327" s="738"/>
    </row>
    <row r="328" spans="1:31">
      <c r="A328" t="s">
        <v>2722</v>
      </c>
      <c r="C328" s="58"/>
      <c r="D328" s="58"/>
      <c r="E328" s="58"/>
      <c r="F328" s="58"/>
      <c r="G328" s="58"/>
      <c r="H328" s="720"/>
      <c r="I328" s="720"/>
      <c r="J328" s="58"/>
      <c r="K328" s="58">
        <f>PC_CST_Site_Subtotal_Total</f>
        <v>0</v>
      </c>
      <c r="X328" s="232"/>
      <c r="Y328" s="738">
        <v>3</v>
      </c>
      <c r="Z328" s="738" t="str">
        <f>'14. Project Costs'!C19</f>
        <v>Hard/Construction Costs</v>
      </c>
      <c r="AA328" s="378">
        <f>'14. Project Costs'!F19</f>
        <v>0</v>
      </c>
      <c r="AB328" s="738" t="s">
        <v>2723</v>
      </c>
      <c r="AC328" s="372" t="str">
        <f>IF($Z$2="","",AA328+AA329)</f>
        <v/>
      </c>
      <c r="AD328" s="738"/>
      <c r="AE328" s="738"/>
    </row>
    <row r="329" spans="1:31">
      <c r="A329" t="s">
        <v>2724</v>
      </c>
      <c r="C329" s="58"/>
      <c r="D329" s="58"/>
      <c r="E329" s="58"/>
      <c r="F329" s="58"/>
      <c r="G329" s="58"/>
      <c r="H329" s="720"/>
      <c r="I329" s="720"/>
      <c r="J329" s="58"/>
      <c r="K329" s="58">
        <f>PC_CST_General_Requirements_Total</f>
        <v>0</v>
      </c>
      <c r="X329" s="232"/>
      <c r="Y329" s="738">
        <v>3</v>
      </c>
      <c r="Z329" s="738" t="s">
        <v>2725</v>
      </c>
      <c r="AA329" s="738" t="s">
        <v>2725</v>
      </c>
      <c r="AB329" s="738" t="s">
        <v>2726</v>
      </c>
      <c r="AC329" s="373"/>
      <c r="AD329" s="738"/>
      <c r="AE329" s="738"/>
    </row>
    <row r="330" spans="1:31">
      <c r="A330" t="s">
        <v>2727</v>
      </c>
      <c r="C330" s="58"/>
      <c r="D330" s="58"/>
      <c r="E330" s="58"/>
      <c r="F330" s="58"/>
      <c r="G330" s="58"/>
      <c r="H330" s="720"/>
      <c r="I330" s="720"/>
      <c r="J330" s="58"/>
      <c r="K330" s="58">
        <f>PC_CST_Builders_Overhead_Total</f>
        <v>0</v>
      </c>
      <c r="X330" s="232"/>
      <c r="Y330" s="738">
        <v>4</v>
      </c>
      <c r="Z330" s="738" t="str">
        <f>'14. Project Costs'!C28</f>
        <v>Accessory Buildings (Garage, storage, etc.)</v>
      </c>
      <c r="AA330" s="378">
        <f>'14. Project Costs'!F28</f>
        <v>0</v>
      </c>
      <c r="AB330" s="738" t="s">
        <v>2728</v>
      </c>
      <c r="AC330" s="372" t="str">
        <f>IF($Z$2="","",AA330)</f>
        <v/>
      </c>
      <c r="AD330" s="738"/>
      <c r="AE330" s="738"/>
    </row>
    <row r="331" spans="1:31">
      <c r="A331" t="s">
        <v>2729</v>
      </c>
      <c r="B331" s="48" t="s">
        <v>2701</v>
      </c>
      <c r="C331" s="1743" t="s">
        <v>2702</v>
      </c>
      <c r="D331" s="1743" t="s">
        <v>2703</v>
      </c>
      <c r="E331" s="1743" t="s">
        <v>2704</v>
      </c>
      <c r="F331" s="1743" t="s">
        <v>225</v>
      </c>
      <c r="H331" s="720"/>
      <c r="I331" s="720"/>
      <c r="J331" s="58"/>
      <c r="K331" s="58">
        <f>PC_CST_Builders_Profit_Total</f>
        <v>0</v>
      </c>
      <c r="X331" s="232"/>
      <c r="Y331" s="738">
        <v>5</v>
      </c>
      <c r="Z331" s="738" t="str">
        <f>'14. Project Costs'!C29</f>
        <v>Personal Property / Furniture, Fixtures, &amp; Equipment</v>
      </c>
      <c r="AA331" s="378">
        <f>'14. Project Costs'!F29</f>
        <v>0</v>
      </c>
      <c r="AB331" s="738" t="s">
        <v>2730</v>
      </c>
      <c r="AC331" s="372" t="str">
        <f>IF($Z$2="","",AA331)</f>
        <v/>
      </c>
      <c r="AD331" s="738" t="s">
        <v>2731</v>
      </c>
      <c r="AE331" s="372" t="str">
        <f>Z331</f>
        <v>Personal Property / Furniture, Fixtures, &amp; Equipment</v>
      </c>
    </row>
    <row r="332" spans="1:31">
      <c r="A332" t="s">
        <v>2732</v>
      </c>
      <c r="B332" t="s">
        <v>2733</v>
      </c>
      <c r="C332" s="58">
        <f>PC_CST_Building_Total</f>
        <v>0</v>
      </c>
      <c r="D332" s="58">
        <f>IF(OR(Credit_percentage_applied_for="4%",Credit_percentage_applied_for="State + Fed 4%"),PC_CST_Building,0)</f>
        <v>0</v>
      </c>
      <c r="E332" s="58">
        <f>IF(Credit_percentage_applied_for="9%",PC_CST_Building, 0)</f>
        <v>0</v>
      </c>
      <c r="F332" s="58">
        <f>PC_CST_Building_State</f>
        <v>0</v>
      </c>
      <c r="G332" s="58" t="s">
        <v>19</v>
      </c>
      <c r="H332" s="720" t="s">
        <v>2734</v>
      </c>
      <c r="I332" s="720" t="s">
        <v>2735</v>
      </c>
      <c r="J332" s="58"/>
      <c r="K332" s="58">
        <f>PC_CST_Constr_Mgmt_Fee_Total</f>
        <v>0</v>
      </c>
      <c r="X332" s="232"/>
      <c r="Y332" s="738">
        <v>6</v>
      </c>
      <c r="Z332" s="738" t="str">
        <f>'14. Project Costs'!C30</f>
        <v>Other New Construction/Rehabilitation</v>
      </c>
      <c r="AA332" s="378">
        <f>'14. Project Costs'!F30</f>
        <v>0</v>
      </c>
      <c r="AB332" s="738" t="s">
        <v>2736</v>
      </c>
      <c r="AC332" s="372" t="str">
        <f>IF($Z$2="","",AA332)</f>
        <v/>
      </c>
      <c r="AD332" s="738" t="s">
        <v>2737</v>
      </c>
      <c r="AE332" s="372" t="str">
        <f>Z332</f>
        <v>Other New Construction/Rehabilitation</v>
      </c>
    </row>
    <row r="333" spans="1:31">
      <c r="A333" t="s">
        <v>2738</v>
      </c>
      <c r="B333" t="s">
        <v>2739</v>
      </c>
      <c r="C333" s="58"/>
      <c r="D333" s="58"/>
      <c r="E333" s="58"/>
      <c r="F333" s="58"/>
      <c r="G333" s="58"/>
      <c r="I333" s="720"/>
      <c r="J333" s="58"/>
      <c r="K333" s="58">
        <f>PC_CST_Builders_Risk_Ins_Total</f>
        <v>0</v>
      </c>
      <c r="X333" s="232"/>
      <c r="Y333" s="738"/>
      <c r="Z333" s="738"/>
      <c r="AA333" s="738"/>
      <c r="AB333" s="738"/>
      <c r="AC333" s="738"/>
      <c r="AD333" s="738"/>
      <c r="AE333" s="738"/>
    </row>
    <row r="334" spans="1:31">
      <c r="A334" t="s">
        <v>2740</v>
      </c>
      <c r="B334" t="s">
        <v>2741</v>
      </c>
      <c r="C334" s="58">
        <f>PC_CST_Accessory_Building_Total</f>
        <v>0</v>
      </c>
      <c r="D334" s="58">
        <f>IF(OR(Credit_percentage_applied_for="4%",Credit_percentage_applied_for="State + Fed 4%"),PC_CST_Accessory_Building,0)</f>
        <v>0</v>
      </c>
      <c r="E334" s="58">
        <f>IF(Credit_percentage_applied_for="9%", PC_CST_Accessory_Building, 0)</f>
        <v>0</v>
      </c>
      <c r="F334" s="58">
        <f>PC_CST_Accessory_Building_State</f>
        <v>0</v>
      </c>
      <c r="G334" s="58"/>
      <c r="H334" s="720" t="s">
        <v>2742</v>
      </c>
      <c r="I334" s="720" t="s">
        <v>2743</v>
      </c>
      <c r="J334" s="58"/>
      <c r="K334" s="58">
        <f>PC_CST_Other_Contractor_Fee_Total</f>
        <v>0</v>
      </c>
      <c r="X334" s="232"/>
      <c r="Y334" s="738">
        <v>7</v>
      </c>
      <c r="Z334" s="738" t="str">
        <f>'14. Project Costs'!C33</f>
        <v>Off Site Work</v>
      </c>
      <c r="AA334" s="378">
        <f>'14. Project Costs'!F33</f>
        <v>0</v>
      </c>
      <c r="AB334" s="738" t="s">
        <v>2744</v>
      </c>
      <c r="AC334" s="372" t="str">
        <f>IF($Z$2="","",AA334)</f>
        <v/>
      </c>
      <c r="AD334" s="738"/>
      <c r="AE334" s="738"/>
    </row>
    <row r="335" spans="1:31">
      <c r="A335" t="s">
        <v>2745</v>
      </c>
      <c r="B335" t="s">
        <v>2746</v>
      </c>
      <c r="C335" s="58">
        <f>PC_CST_Personal_Property_Total+C352</f>
        <v>0</v>
      </c>
      <c r="D335" s="58">
        <f>IF(OR(Credit_percentage_applied_for="4%",Credit_percentage_applied_for="State + Fed 4%"),PC_CST_Personal_Property,0)</f>
        <v>0</v>
      </c>
      <c r="E335" s="58">
        <f>IF(Credit_percentage_applied_for="9%", PC_CST_Personal_Property, 0)</f>
        <v>0</v>
      </c>
      <c r="F335" s="58">
        <f>PC_CST_Personal_Property_State</f>
        <v>0</v>
      </c>
      <c r="G335" s="58"/>
      <c r="H335" s="720" t="s">
        <v>2747</v>
      </c>
      <c r="I335" s="720" t="s">
        <v>2748</v>
      </c>
      <c r="J335" s="58"/>
      <c r="K335" s="58">
        <f>PC_CNT_Contingency_Subtotal_Total</f>
        <v>0</v>
      </c>
      <c r="X335" s="232"/>
      <c r="Y335" s="738"/>
      <c r="Z335" s="738"/>
      <c r="AA335" s="738"/>
      <c r="AB335" s="738"/>
      <c r="AC335" s="738"/>
      <c r="AD335" s="738"/>
      <c r="AE335" s="738"/>
    </row>
    <row r="336" spans="1:31">
      <c r="A336" t="s">
        <v>2749</v>
      </c>
      <c r="B336" t="s">
        <v>2750</v>
      </c>
      <c r="C336" s="58">
        <f>PC_CST_Other_New_Construction_Total</f>
        <v>0</v>
      </c>
      <c r="D336" s="58">
        <f>IF(OR(Credit_percentage_applied_for="4%",Credit_percentage_applied_for="State + Fed 4%"),PC_CST_Other_New_Construction,0)</f>
        <v>0</v>
      </c>
      <c r="E336" s="58">
        <f>IF(Credit_percentage_applied_for="9%", PC_CST_Other_New_Construction, 0)</f>
        <v>0</v>
      </c>
      <c r="F336" s="58">
        <f>PC_CST_Other_New_Construction_State</f>
        <v>0</v>
      </c>
      <c r="G336" s="794" t="s">
        <v>2751</v>
      </c>
      <c r="H336" s="720" t="s">
        <v>2752</v>
      </c>
      <c r="I336" s="720" t="s">
        <v>2753</v>
      </c>
      <c r="J336" s="58"/>
      <c r="K336" s="58">
        <f>PC_CSP_WHEDA_Fees_Subtotal_Total</f>
        <v>0</v>
      </c>
      <c r="X336" s="232"/>
      <c r="Y336" s="738">
        <v>8</v>
      </c>
      <c r="Z336" s="738" t="str">
        <f>'14. Project Costs'!C41</f>
        <v>Off-Site - Site Work</v>
      </c>
      <c r="AA336" s="378">
        <f>'14. Project Costs'!F41</f>
        <v>0</v>
      </c>
      <c r="AB336" s="738" t="s">
        <v>2754</v>
      </c>
      <c r="AC336" s="372" t="str">
        <f>IF($Z$2="","",AA336)</f>
        <v/>
      </c>
      <c r="AD336" s="738"/>
      <c r="AE336" s="738"/>
    </row>
    <row r="337" spans="1:31">
      <c r="A337" t="s">
        <v>2755</v>
      </c>
      <c r="C337" s="58"/>
      <c r="D337" s="58"/>
      <c r="E337" s="58"/>
      <c r="F337" s="58"/>
      <c r="G337" s="58"/>
      <c r="H337" s="58"/>
      <c r="I337" s="58"/>
      <c r="J337" s="58"/>
      <c r="K337" s="58">
        <f>PC_CSP_Bonding_Fee_Subtotal_Total</f>
        <v>0</v>
      </c>
      <c r="X337" s="232"/>
      <c r="Y337" s="738">
        <v>9</v>
      </c>
      <c r="Z337" s="738" t="str">
        <f>'14. Project Costs'!C42</f>
        <v>On-Site - Site Work</v>
      </c>
      <c r="AA337" s="378">
        <f>'14. Project Costs'!F42</f>
        <v>0</v>
      </c>
      <c r="AB337" s="738" t="s">
        <v>2756</v>
      </c>
      <c r="AC337" s="372" t="str">
        <f>IF($Z$2="","",AA337)</f>
        <v/>
      </c>
      <c r="AD337" s="738"/>
      <c r="AE337" s="738"/>
    </row>
    <row r="338" spans="1:31">
      <c r="A338" t="s">
        <v>2757</v>
      </c>
      <c r="C338" s="58"/>
      <c r="D338" s="58"/>
      <c r="E338" s="58"/>
      <c r="F338" s="58"/>
      <c r="G338" s="58"/>
      <c r="H338" s="58"/>
      <c r="I338" s="58"/>
      <c r="J338" s="58"/>
      <c r="K338" s="58">
        <f>PC_CSP_Other_Lender_Subtotal_Total</f>
        <v>0</v>
      </c>
      <c r="X338" s="232"/>
      <c r="Y338" s="738">
        <v>10</v>
      </c>
      <c r="Z338" s="738" t="str">
        <f>'14. Project Costs'!C45</f>
        <v>Landscaping</v>
      </c>
      <c r="AA338" s="378">
        <f>'14. Project Costs'!F45</f>
        <v>0</v>
      </c>
      <c r="AB338" s="738" t="s">
        <v>2758</v>
      </c>
      <c r="AC338" s="372" t="str">
        <f>IF($Z$2="","",AA338)</f>
        <v/>
      </c>
      <c r="AD338" s="738"/>
      <c r="AE338" s="738"/>
    </row>
    <row r="339" spans="1:31">
      <c r="A339" s="842" t="s">
        <v>2759</v>
      </c>
      <c r="C339" s="58">
        <f>PC_CST_Demolition</f>
        <v>0</v>
      </c>
      <c r="D339" s="58">
        <f>'14. Project Costs'!F41</f>
        <v>0</v>
      </c>
      <c r="E339" s="58">
        <f>'14. Project Costs'!G41</f>
        <v>0</v>
      </c>
      <c r="F339" s="58">
        <f>PC_CST_Demolition_State</f>
        <v>0</v>
      </c>
      <c r="G339" s="58"/>
      <c r="H339" s="58"/>
      <c r="I339" s="58"/>
      <c r="J339" s="58"/>
      <c r="K339" s="58">
        <f>PC_CSP_Contractor_Related_Fees_Subtotal_Total</f>
        <v>0</v>
      </c>
      <c r="X339" s="232"/>
      <c r="Y339" s="738">
        <v>11</v>
      </c>
      <c r="Z339" s="738" t="str">
        <f>'14. Project Costs'!C46</f>
        <v>Furnishing and Equipment</v>
      </c>
      <c r="AA339" s="378">
        <f>'14. Project Costs'!F46</f>
        <v>0</v>
      </c>
      <c r="AB339" s="738" t="s">
        <v>2760</v>
      </c>
      <c r="AC339" s="372" t="str">
        <f>IF($Z$2="","",AA339)</f>
        <v/>
      </c>
      <c r="AD339" s="738"/>
      <c r="AE339" s="738"/>
    </row>
    <row r="340" spans="1:31">
      <c r="A340" t="s">
        <v>2761</v>
      </c>
      <c r="C340" s="58"/>
      <c r="D340" s="58"/>
      <c r="E340" s="58"/>
      <c r="F340" s="58"/>
      <c r="G340" s="58"/>
      <c r="H340" s="58"/>
      <c r="I340" s="58"/>
      <c r="J340" s="58"/>
      <c r="K340" s="58">
        <f>PC_FIN_Permanent_Loan_Fees_Subtotal_Total</f>
        <v>0</v>
      </c>
      <c r="X340" s="232"/>
      <c r="Y340" s="738">
        <v>12</v>
      </c>
      <c r="Z340" s="738" t="str">
        <f>'14. Project Costs'!C48</f>
        <v>Other Site Work</v>
      </c>
      <c r="AA340" s="378">
        <f>'14. Project Costs'!F48</f>
        <v>0</v>
      </c>
      <c r="AB340" s="738" t="s">
        <v>2762</v>
      </c>
      <c r="AC340" s="372" t="str">
        <f>IF($Z$2="","",AA340)</f>
        <v/>
      </c>
      <c r="AD340" s="738"/>
      <c r="AE340" s="738"/>
    </row>
    <row r="341" spans="1:31">
      <c r="A341" t="s">
        <v>2763</v>
      </c>
      <c r="C341" s="58"/>
      <c r="D341" s="58"/>
      <c r="E341" s="58"/>
      <c r="F341" s="58"/>
      <c r="G341" s="58"/>
      <c r="H341" s="58"/>
      <c r="I341" s="58"/>
      <c r="J341" s="58"/>
      <c r="K341" s="58">
        <f>PC_ARC_Arch_Design_Total</f>
        <v>0</v>
      </c>
      <c r="X341" s="232"/>
      <c r="Y341" s="738"/>
      <c r="Z341" s="738"/>
      <c r="AA341" s="738"/>
      <c r="AB341" s="738"/>
      <c r="AC341" s="738"/>
      <c r="AD341" s="738"/>
      <c r="AE341" s="738"/>
    </row>
    <row r="342" spans="1:31">
      <c r="A342" t="s">
        <v>2764</v>
      </c>
      <c r="C342" s="58"/>
      <c r="D342" s="58"/>
      <c r="E342" s="58"/>
      <c r="F342" s="58"/>
      <c r="G342" s="58"/>
      <c r="H342" s="58"/>
      <c r="I342" s="58"/>
      <c r="J342" s="58"/>
      <c r="K342" s="58">
        <f>PC_ARC_Arch_Super_Total</f>
        <v>0</v>
      </c>
      <c r="X342" s="232"/>
      <c r="Y342" s="738">
        <v>13</v>
      </c>
      <c r="Z342" s="738" t="str">
        <f>'14. Project Costs'!C51</f>
        <v>General Requirements</v>
      </c>
      <c r="AA342" s="378">
        <f>'14. Project Costs'!F51</f>
        <v>0</v>
      </c>
      <c r="AB342" s="738" t="s">
        <v>2765</v>
      </c>
      <c r="AC342" s="372" t="str">
        <f>IF($Z$2="","",AA342)</f>
        <v/>
      </c>
      <c r="AD342" s="738"/>
      <c r="AE342" s="738"/>
    </row>
    <row r="343" spans="1:31">
      <c r="A343" t="s">
        <v>2766</v>
      </c>
      <c r="C343" s="58"/>
      <c r="D343" s="58"/>
      <c r="E343" s="58"/>
      <c r="F343" s="58"/>
      <c r="G343" s="58"/>
      <c r="H343" s="58"/>
      <c r="I343" s="58"/>
      <c r="J343" s="58"/>
      <c r="K343" s="58">
        <f>PC_ARC_Engineer_Fee_Total</f>
        <v>0</v>
      </c>
      <c r="X343" s="232"/>
      <c r="Y343" s="738">
        <v>14</v>
      </c>
      <c r="Z343" s="738" t="str">
        <f>'14. Project Costs'!C52</f>
        <v>Contractor Overhead</v>
      </c>
      <c r="AA343" s="378">
        <f>'14. Project Costs'!F52</f>
        <v>0</v>
      </c>
      <c r="AB343" s="738" t="s">
        <v>2767</v>
      </c>
      <c r="AC343" s="372" t="str">
        <f>IF($Z$2="","",AA343)</f>
        <v/>
      </c>
      <c r="AD343" s="738"/>
      <c r="AE343" s="738"/>
    </row>
    <row r="344" spans="1:31">
      <c r="A344" t="s">
        <v>2768</v>
      </c>
      <c r="B344" s="48" t="s">
        <v>2701</v>
      </c>
      <c r="C344" s="1743" t="s">
        <v>2702</v>
      </c>
      <c r="D344" s="1743" t="s">
        <v>2703</v>
      </c>
      <c r="E344" s="1743" t="s">
        <v>2704</v>
      </c>
      <c r="F344" s="1743" t="s">
        <v>225</v>
      </c>
      <c r="G344" s="58" t="s">
        <v>19</v>
      </c>
      <c r="H344" s="720"/>
      <c r="I344" s="58"/>
      <c r="J344" s="58"/>
      <c r="K344" s="58">
        <f>PC_ARC_ALTA_Total</f>
        <v>0</v>
      </c>
      <c r="X344" s="232"/>
      <c r="Y344" s="738">
        <v>15</v>
      </c>
      <c r="Z344" s="738" t="str">
        <f>'14. Project Costs'!C53</f>
        <v>Contractor Profit</v>
      </c>
      <c r="AA344" s="378">
        <f>'14. Project Costs'!F53</f>
        <v>0</v>
      </c>
      <c r="AB344" s="738" t="s">
        <v>2769</v>
      </c>
      <c r="AC344" s="372" t="str">
        <f>IF($Z$2="","",AA344)</f>
        <v/>
      </c>
      <c r="AD344" s="738"/>
      <c r="AE344" s="738"/>
    </row>
    <row r="345" spans="1:31">
      <c r="A345" t="s">
        <v>2770</v>
      </c>
      <c r="B345" t="s">
        <v>2771</v>
      </c>
      <c r="C345" s="58">
        <f>PC_CST_OffSite_Subtotal_Total</f>
        <v>0</v>
      </c>
      <c r="D345" s="58">
        <f>IF(OR(Credit_percentage_applied_for="4%",Credit_percentage_applied_for="State + Fed 4%"), PC_CST_OffSite_Subtotal, 0)</f>
        <v>0</v>
      </c>
      <c r="E345" s="58">
        <f>IF(Credit_percentage_applied_for="9%", PC_CST_OffSite_Subtotal, 0)</f>
        <v>0</v>
      </c>
      <c r="F345" s="58">
        <f>PC_CST_OffSite_Subtotal_State</f>
        <v>0</v>
      </c>
      <c r="G345" s="58"/>
      <c r="H345" s="720" t="s">
        <v>2772</v>
      </c>
      <c r="I345" s="720" t="s">
        <v>2773</v>
      </c>
      <c r="J345" s="58"/>
      <c r="K345" s="58">
        <f>PC_ARC_Other_Arch_Total</f>
        <v>0</v>
      </c>
      <c r="X345" s="232"/>
      <c r="Y345" s="738">
        <v>16</v>
      </c>
      <c r="Z345" s="738" t="str">
        <f>'14. Project Costs'!C54</f>
        <v>Construction Supervision</v>
      </c>
      <c r="AA345" s="378">
        <f>'14. Project Costs'!F54</f>
        <v>0</v>
      </c>
      <c r="AB345" s="1713" t="s">
        <v>2774</v>
      </c>
      <c r="AC345" s="372" t="str">
        <f>IF($Z$2="","",AA345)</f>
        <v/>
      </c>
      <c r="AD345" s="1713" t="s">
        <v>2775</v>
      </c>
      <c r="AE345" s="372" t="str">
        <f>Z345</f>
        <v>Construction Supervision</v>
      </c>
    </row>
    <row r="346" spans="1:31">
      <c r="A346" t="s">
        <v>2776</v>
      </c>
      <c r="C346" s="58"/>
      <c r="D346" s="58"/>
      <c r="E346" s="58"/>
      <c r="F346" s="58"/>
      <c r="G346" s="58"/>
      <c r="H346" s="720"/>
      <c r="I346" s="720"/>
      <c r="J346" s="58"/>
      <c r="K346" s="58">
        <f>PC_SYN_Syndication_Fee_Subtotal_Total</f>
        <v>0</v>
      </c>
      <c r="X346" s="232"/>
      <c r="Y346" s="738"/>
      <c r="Z346" s="738"/>
      <c r="AA346" s="738"/>
      <c r="AB346" s="738"/>
      <c r="AC346" s="738"/>
      <c r="AD346" s="738"/>
      <c r="AE346" s="738"/>
    </row>
    <row r="347" spans="1:31">
      <c r="A347" t="s">
        <v>1359</v>
      </c>
      <c r="B347" t="s">
        <v>1359</v>
      </c>
      <c r="C347" s="58">
        <f>'14. Project Costs'!F25</f>
        <v>0</v>
      </c>
      <c r="D347" s="58">
        <f>IF(OR(Credit_percentage_applied_for="4%",Credit_percentage_applied_for="State + Fed 4%"), '14. Project Costs'!K25, 0)</f>
        <v>0</v>
      </c>
      <c r="E347" s="58">
        <f>IF(Credit_percentage_applied_for="9%",PC_CST_Demolition,0)</f>
        <v>0</v>
      </c>
      <c r="F347" s="58">
        <f>PC_CST_Demolition_State</f>
        <v>0</v>
      </c>
      <c r="G347" s="58"/>
      <c r="H347" s="720" t="s">
        <v>2777</v>
      </c>
      <c r="I347" s="720" t="s">
        <v>2778</v>
      </c>
      <c r="J347" s="58"/>
      <c r="K347" s="58">
        <f>PC_CAP_Capitalized_Reserv_Subtotal_Total</f>
        <v>0</v>
      </c>
      <c r="X347" s="232"/>
      <c r="Y347" s="738">
        <v>17</v>
      </c>
      <c r="Z347" s="738" t="str">
        <f>'14. Project Costs'!C60</f>
        <v>Construction Contingency</v>
      </c>
      <c r="AA347" s="378">
        <f>'14. Project Costs'!F60</f>
        <v>0</v>
      </c>
      <c r="AB347" s="738" t="s">
        <v>2779</v>
      </c>
      <c r="AC347" s="372" t="str">
        <f>IF($Z$2="","",AA347)</f>
        <v/>
      </c>
      <c r="AD347" s="738"/>
      <c r="AE347" s="738"/>
    </row>
    <row r="348" spans="1:31">
      <c r="A348" t="s">
        <v>2780</v>
      </c>
      <c r="B348" t="s">
        <v>2780</v>
      </c>
      <c r="C348" s="58">
        <f>PC_CST_Earthwork_Total</f>
        <v>0</v>
      </c>
      <c r="D348" s="58">
        <f>IF(OR(Credit_percentage_applied_for="4%",Credit_percentage_applied_for="State + Fed 4%"), PC_CST_Earthwork, 0)</f>
        <v>0</v>
      </c>
      <c r="E348" s="58">
        <f>IF(Credit_percentage_applied_for="9%", PC_CST_Earthwork, 0)</f>
        <v>0</v>
      </c>
      <c r="F348" s="58">
        <f>PC_CST_Earthwork_State</f>
        <v>0</v>
      </c>
      <c r="G348" s="58"/>
      <c r="H348" s="720" t="s">
        <v>2781</v>
      </c>
      <c r="I348" s="720" t="s">
        <v>2782</v>
      </c>
      <c r="J348" s="58"/>
      <c r="K348" s="58">
        <f>PC_RPT_Appraisals_Total</f>
        <v>0</v>
      </c>
      <c r="X348" s="232"/>
      <c r="Y348" s="738">
        <v>18</v>
      </c>
      <c r="Z348" s="738" t="str">
        <f>'14. Project Costs'!C61</f>
        <v>Other Contingency</v>
      </c>
      <c r="AA348" s="378">
        <f>'14. Project Costs'!F61</f>
        <v>0</v>
      </c>
      <c r="AB348" s="738" t="s">
        <v>2783</v>
      </c>
      <c r="AC348" s="372" t="str">
        <f>IF($Z$2="","",AA348)</f>
        <v/>
      </c>
      <c r="AD348" s="738"/>
      <c r="AE348" s="738"/>
    </row>
    <row r="349" spans="1:31">
      <c r="A349" t="s">
        <v>2784</v>
      </c>
      <c r="C349" s="58"/>
      <c r="D349" s="58"/>
      <c r="E349" s="58"/>
      <c r="F349" s="58"/>
      <c r="G349" s="58"/>
      <c r="H349" s="720"/>
      <c r="I349" s="720"/>
      <c r="J349" s="58"/>
      <c r="K349" s="58">
        <f>PC_RPT_Market_Study_Total</f>
        <v>0</v>
      </c>
      <c r="X349" s="232"/>
      <c r="Y349" s="738"/>
      <c r="Z349" s="738"/>
      <c r="AA349" s="738"/>
      <c r="AB349" s="738"/>
      <c r="AC349" s="738"/>
      <c r="AD349" s="738"/>
      <c r="AE349" s="738"/>
    </row>
    <row r="350" spans="1:31">
      <c r="A350" t="s">
        <v>2785</v>
      </c>
      <c r="C350" s="58"/>
      <c r="D350" s="58"/>
      <c r="E350" s="58"/>
      <c r="F350" s="58"/>
      <c r="G350" s="58"/>
      <c r="H350" s="720"/>
      <c r="I350" s="720"/>
      <c r="J350" s="58"/>
      <c r="K350" s="58">
        <f>PC_RPT_Physical_Capital_Total</f>
        <v>0</v>
      </c>
      <c r="X350" s="232"/>
      <c r="Y350" s="738">
        <v>19</v>
      </c>
      <c r="Z350" s="738" t="str">
        <f>'14. Project Costs'!C67</f>
        <v>Construction Loan Origination Fee - WHEDA</v>
      </c>
      <c r="AA350" s="378">
        <f>'14. Project Costs'!F67</f>
        <v>0</v>
      </c>
      <c r="AB350" s="738" t="s">
        <v>2786</v>
      </c>
      <c r="AC350" s="372" t="str">
        <f>IF($Z$2="","",AA350+AA353+AA369)</f>
        <v/>
      </c>
      <c r="AD350" s="738"/>
      <c r="AE350" s="738"/>
    </row>
    <row r="351" spans="1:31">
      <c r="A351" t="s">
        <v>2787</v>
      </c>
      <c r="B351" t="s">
        <v>2788</v>
      </c>
      <c r="C351" s="58">
        <f>PC_CST_Lawn_Planting_Total</f>
        <v>0</v>
      </c>
      <c r="D351" s="58">
        <f>IF(OR(Credit_percentage_applied_for="4%",Credit_percentage_applied_for="State + Fed 4%"), PC_CST_Lawn_Planting, 0)</f>
        <v>0</v>
      </c>
      <c r="E351" s="58">
        <f>IF(Credit_percentage_applied_for="9%", PC_CST_Lawn_Planting, 0)</f>
        <v>0</v>
      </c>
      <c r="F351" s="58">
        <f>PC_CST_Lawn_Planting_State</f>
        <v>0</v>
      </c>
      <c r="G351" s="58"/>
      <c r="H351" s="720" t="s">
        <v>2789</v>
      </c>
      <c r="I351" s="720" t="s">
        <v>2790</v>
      </c>
      <c r="J351" s="58"/>
      <c r="K351" s="58">
        <f>PC_RPT_Environmental_Study_Total</f>
        <v>0</v>
      </c>
      <c r="X351" s="232"/>
      <c r="Y351" s="738">
        <v>20</v>
      </c>
      <c r="Z351" s="738" t="str">
        <f>'14. Project Costs'!C68</f>
        <v>Construction Loan Origination Fee - Non WHEDA</v>
      </c>
      <c r="AA351" s="378">
        <f>'14. Project Costs'!F68</f>
        <v>0</v>
      </c>
      <c r="AB351" s="738" t="s">
        <v>2791</v>
      </c>
      <c r="AC351" s="372" t="str">
        <f>IF($Z$2="","",AA351)</f>
        <v/>
      </c>
      <c r="AD351" s="738" t="s">
        <v>2792</v>
      </c>
      <c r="AE351" s="372" t="str">
        <f>Z351</f>
        <v>Construction Loan Origination Fee - Non WHEDA</v>
      </c>
    </row>
    <row r="352" spans="1:31">
      <c r="A352" t="s">
        <v>2793</v>
      </c>
      <c r="C352" s="58">
        <f>'14. Project Costs'!F24</f>
        <v>0</v>
      </c>
      <c r="D352" s="58">
        <f>IF(OR(Credit_percentage_applied_for="4%",Credit_percentage_applied_for="State + Fed 4%"), '14. Project Costs'!K24, 0)</f>
        <v>0</v>
      </c>
      <c r="E352" s="58">
        <f>IF(Credit_percentage_applied_for="9%", PC_CST_Fixtures_Furn, 0)</f>
        <v>0</v>
      </c>
      <c r="F352" s="58">
        <f>PC_CST_Fixtures_Furn_State</f>
        <v>0</v>
      </c>
      <c r="G352" s="58"/>
      <c r="H352" s="720" t="s">
        <v>2794</v>
      </c>
      <c r="I352" s="720" t="s">
        <v>2795</v>
      </c>
      <c r="J352" s="58"/>
      <c r="K352" s="58"/>
      <c r="X352" s="232"/>
      <c r="Y352" s="738"/>
      <c r="Z352" s="738"/>
      <c r="AA352" s="738"/>
      <c r="AB352" s="738"/>
      <c r="AC352" s="738"/>
      <c r="AD352" s="738"/>
      <c r="AE352" s="738"/>
    </row>
    <row r="353" spans="1:31">
      <c r="A353" t="s">
        <v>2764</v>
      </c>
      <c r="C353" s="58"/>
      <c r="D353" s="58"/>
      <c r="E353" s="58"/>
      <c r="F353" s="58"/>
      <c r="G353" s="58"/>
      <c r="H353" s="720"/>
      <c r="I353" s="720"/>
      <c r="J353" s="58"/>
      <c r="K353" s="58">
        <f>PC_SFT_Other_SC_Subtotal_Total</f>
        <v>0</v>
      </c>
      <c r="X353" s="232"/>
      <c r="Y353" s="738">
        <v>19</v>
      </c>
      <c r="Z353" s="738" t="str">
        <f>'14. Project Costs'!C74</f>
        <v>Cost of Bond Issuance</v>
      </c>
      <c r="AA353" s="378">
        <f>'14. Project Costs'!F74</f>
        <v>0</v>
      </c>
      <c r="AB353" s="738" t="s">
        <v>2796</v>
      </c>
      <c r="AC353" s="373"/>
      <c r="AD353" s="738"/>
      <c r="AE353" s="738"/>
    </row>
    <row r="354" spans="1:31">
      <c r="A354" t="s">
        <v>2797</v>
      </c>
      <c r="B354" t="s">
        <v>2797</v>
      </c>
      <c r="C354" s="58">
        <f>PC_CST_Other_Site_Work_Total</f>
        <v>0</v>
      </c>
      <c r="D354" s="58">
        <f>IF(OR(Credit_percentage_applied_for="4%",Credit_percentage_applied_for="State + Fed 4%"), PC_CST_Other_Site_Work, 0)</f>
        <v>0</v>
      </c>
      <c r="E354" s="58">
        <f>IF(Credit_percentage_applied_for="9%",PC_CST_Other_Site_Work,0)</f>
        <v>0</v>
      </c>
      <c r="F354" s="58">
        <f>PC_CST_Other_Site_Work_State</f>
        <v>0</v>
      </c>
      <c r="G354" s="58"/>
      <c r="H354" s="720" t="s">
        <v>2798</v>
      </c>
      <c r="I354" s="720" t="s">
        <v>2799</v>
      </c>
      <c r="J354" s="58"/>
      <c r="K354" s="58">
        <f>PC_DEV_Developer_Costs_Subtotal_Total</f>
        <v>0</v>
      </c>
      <c r="X354" s="232"/>
      <c r="Y354" s="738"/>
      <c r="Z354" s="738"/>
      <c r="AA354" s="738"/>
      <c r="AB354" s="738"/>
      <c r="AC354" s="738"/>
      <c r="AD354" s="738"/>
      <c r="AE354" s="738"/>
    </row>
    <row r="355" spans="1:31">
      <c r="A355" t="s">
        <v>2800</v>
      </c>
      <c r="C355" s="58"/>
      <c r="D355" s="71"/>
      <c r="E355" s="71"/>
      <c r="F355" s="71"/>
      <c r="G355" s="71"/>
      <c r="H355" s="57"/>
      <c r="I355" s="57"/>
      <c r="J355" s="71"/>
      <c r="K355" s="71">
        <f>PC_DEV_Dev_Fee_Deferred_Total</f>
        <v>0</v>
      </c>
      <c r="X355" s="232"/>
      <c r="Y355" s="738">
        <v>21</v>
      </c>
      <c r="Z355" s="738" t="str">
        <f>'14. Project Costs'!C77</f>
        <v>Bridge Loan Fees and Expenses</v>
      </c>
      <c r="AA355" s="378">
        <f>'14. Project Costs'!F77</f>
        <v>0</v>
      </c>
      <c r="AB355" s="738" t="s">
        <v>2801</v>
      </c>
      <c r="AC355" s="372" t="str">
        <f>IF($Z$2="","",AA355)</f>
        <v/>
      </c>
      <c r="AD355" s="738" t="s">
        <v>2802</v>
      </c>
      <c r="AE355" s="372" t="str">
        <f>Z355</f>
        <v>Bridge Loan Fees and Expenses</v>
      </c>
    </row>
    <row r="356" spans="1:31">
      <c r="A356" t="s">
        <v>2803</v>
      </c>
      <c r="C356" s="72"/>
      <c r="H356" s="57"/>
      <c r="I356" s="57"/>
      <c r="X356" s="232"/>
      <c r="Y356" s="738">
        <v>22</v>
      </c>
      <c r="Z356" s="738" t="str">
        <f>'14. Project Costs'!C80</f>
        <v>WHEDA Construction Loan Interest</v>
      </c>
      <c r="AA356" s="378">
        <f>'14. Project Costs'!F80</f>
        <v>0</v>
      </c>
      <c r="AB356" s="738" t="s">
        <v>2804</v>
      </c>
      <c r="AC356" s="372" t="str">
        <f>IF($Z$2="","",AA356+AA357)</f>
        <v/>
      </c>
      <c r="AD356" s="738"/>
      <c r="AE356" s="738"/>
    </row>
    <row r="357" spans="1:31">
      <c r="A357" t="s">
        <v>2805</v>
      </c>
      <c r="B357" s="72" t="s">
        <v>2805</v>
      </c>
      <c r="C357" s="73">
        <f>PC_CST_General_Requirements_Total</f>
        <v>0</v>
      </c>
      <c r="D357" s="71">
        <f>IF(OR(Credit_percentage_applied_for="4%",Credit_percentage_applied_for="State + Fed 4%"), PC_CST_General_Requirements, 0)</f>
        <v>0</v>
      </c>
      <c r="E357" s="71">
        <f>IF(Credit_percentage_applied_for="9%", PC_CST_General_Requirements, 0)</f>
        <v>0</v>
      </c>
      <c r="F357">
        <f>PC_CST_General_Requirements_State</f>
        <v>0</v>
      </c>
      <c r="H357" s="57" t="s">
        <v>2806</v>
      </c>
      <c r="I357" s="57" t="s">
        <v>2807</v>
      </c>
      <c r="X357" s="232"/>
      <c r="Y357" s="738">
        <v>22</v>
      </c>
      <c r="Z357" s="738" t="str">
        <f>'14. Project Costs'!C81</f>
        <v>Other Construction Loan Interest</v>
      </c>
      <c r="AA357" s="378">
        <f>'14. Project Costs'!F81</f>
        <v>0</v>
      </c>
      <c r="AB357" s="738" t="s">
        <v>2808</v>
      </c>
      <c r="AC357" s="373"/>
      <c r="AD357" s="738"/>
      <c r="AE357" s="738"/>
    </row>
    <row r="358" spans="1:31">
      <c r="A358" t="s">
        <v>2809</v>
      </c>
      <c r="B358" s="46" t="s">
        <v>2810</v>
      </c>
      <c r="C358">
        <f>PC_CST_Builders_Overhead_Total</f>
        <v>0</v>
      </c>
      <c r="D358">
        <f>IF(OR(Credit_percentage_applied_for="4%",Credit_percentage_applied_for="State + Fed 4%"), PC_CST_Builders_Overhead, 0)</f>
        <v>0</v>
      </c>
      <c r="E358">
        <f>IF(Credit_percentage_applied_for="9%", PC_CST_Builders_Overhead, 0)</f>
        <v>0</v>
      </c>
      <c r="F358">
        <f>PC_CST_Builders_Overhead_State</f>
        <v>0</v>
      </c>
      <c r="H358" s="57" t="s">
        <v>2811</v>
      </c>
      <c r="I358" s="57" t="s">
        <v>2812</v>
      </c>
      <c r="X358" s="232"/>
      <c r="Y358" s="738">
        <v>23</v>
      </c>
      <c r="Z358" s="738" t="str">
        <f>'14. Project Costs'!C84</f>
        <v>Legal Fees - Miscellaneous</v>
      </c>
      <c r="AA358" s="378">
        <f>'14. Project Costs'!F84</f>
        <v>0</v>
      </c>
      <c r="AB358" s="738" t="s">
        <v>2813</v>
      </c>
      <c r="AC358" s="372" t="str">
        <f>IF($Z$2="","",AA358)</f>
        <v/>
      </c>
      <c r="AD358" s="738" t="s">
        <v>2814</v>
      </c>
      <c r="AE358" s="372" t="str">
        <f>Z358</f>
        <v>Legal Fees - Miscellaneous</v>
      </c>
    </row>
    <row r="359" spans="1:31">
      <c r="A359" t="s">
        <v>2815</v>
      </c>
      <c r="B359" s="46" t="s">
        <v>2816</v>
      </c>
      <c r="C359">
        <f>PC_CST_Builders_Profit_Total</f>
        <v>0</v>
      </c>
      <c r="D359">
        <f>IF(OR(Credit_percentage_applied_for="4%",Credit_percentage_applied_for="State + Fed 4%"), PC_CST_Builders_Profit, 0)</f>
        <v>0</v>
      </c>
      <c r="E359">
        <f>IF(Credit_percentage_applied_for="9%", PC_CST_Builders_Profit, 0)</f>
        <v>0</v>
      </c>
      <c r="F359">
        <f>PC_CST_Builders_Profit_State</f>
        <v>0</v>
      </c>
      <c r="H359" s="57" t="s">
        <v>2817</v>
      </c>
      <c r="I359" s="57" t="s">
        <v>2818</v>
      </c>
      <c r="X359" s="232"/>
      <c r="Y359" s="738"/>
      <c r="Z359" s="738"/>
      <c r="AA359" s="738"/>
      <c r="AB359" s="738"/>
      <c r="AC359" s="738"/>
      <c r="AD359" s="738"/>
      <c r="AE359" s="738"/>
    </row>
    <row r="360" spans="1:31">
      <c r="A360" t="s">
        <v>2819</v>
      </c>
      <c r="B360" s="46" t="s">
        <v>2820</v>
      </c>
      <c r="C360">
        <f>PC_CST_Constr_Mgmt_Fee_Total</f>
        <v>0</v>
      </c>
      <c r="D360">
        <f>IF(OR(Credit_percentage_applied_for="4%",Credit_percentage_applied_for="State + Fed 4%"), PC_CST_Constr_Mgmt_Fee, 0)</f>
        <v>0</v>
      </c>
      <c r="E360">
        <f>IF(Credit_percentage_applied_for="9%", PC_CST_Constr_Mgmt_Fee, 0)</f>
        <v>0</v>
      </c>
      <c r="F360">
        <f>PC_CST_Constr_Mgmt_Fee_State</f>
        <v>0</v>
      </c>
      <c r="H360" s="57" t="s">
        <v>2821</v>
      </c>
      <c r="I360" s="57" t="s">
        <v>2822</v>
      </c>
      <c r="X360" s="232"/>
      <c r="Y360" s="738">
        <v>24</v>
      </c>
      <c r="Z360" s="738" t="str">
        <f>'14. Project Costs'!C87</f>
        <v>Construction Loan Credit Enhancement/LOC</v>
      </c>
      <c r="AA360" s="378">
        <f>'14. Project Costs'!F87</f>
        <v>0</v>
      </c>
      <c r="AB360" s="738" t="s">
        <v>2823</v>
      </c>
      <c r="AC360" s="372" t="str">
        <f>IF($Z$2="","",AA360)</f>
        <v/>
      </c>
      <c r="AD360" s="738"/>
      <c r="AE360" s="738"/>
    </row>
    <row r="361" spans="1:31">
      <c r="A361" t="s">
        <v>2824</v>
      </c>
      <c r="B361" s="46"/>
      <c r="X361" s="232"/>
      <c r="Y361" s="738">
        <v>25</v>
      </c>
      <c r="Z361" s="738" t="str">
        <f>'14. Project Costs'!C88</f>
        <v>Construction Period Real Estate Taxes</v>
      </c>
      <c r="AA361" s="378">
        <f>'14. Project Costs'!F88</f>
        <v>0</v>
      </c>
      <c r="AB361" s="738" t="s">
        <v>2825</v>
      </c>
      <c r="AC361" s="372" t="str">
        <f>IF($Z$2="","",AA361)</f>
        <v/>
      </c>
      <c r="AD361" s="738"/>
      <c r="AE361" s="738"/>
    </row>
    <row r="362" spans="1:31">
      <c r="A362" t="s">
        <v>2826</v>
      </c>
      <c r="B362" s="46"/>
      <c r="X362" s="232"/>
      <c r="Y362" s="738">
        <v>26</v>
      </c>
      <c r="Z362" s="738" t="str">
        <f>'14. Project Costs'!C89</f>
        <v>Title and Recording</v>
      </c>
      <c r="AA362" s="378">
        <f>'14. Project Costs'!F89</f>
        <v>0</v>
      </c>
      <c r="AB362" s="738" t="s">
        <v>2827</v>
      </c>
      <c r="AC362" s="372" t="str">
        <f>IF($Z$2="","",AA362)</f>
        <v/>
      </c>
      <c r="AD362" s="738"/>
      <c r="AE362" s="738"/>
    </row>
    <row r="363" spans="1:31">
      <c r="A363" t="s">
        <v>2828</v>
      </c>
      <c r="B363" s="46"/>
      <c r="X363" s="232"/>
      <c r="Y363" s="738">
        <v>27</v>
      </c>
      <c r="Z363" s="738" t="str">
        <f>'14. Project Costs'!C91</f>
        <v>Construction Insurance</v>
      </c>
      <c r="AA363" s="378">
        <f>'14. Project Costs'!F91</f>
        <v>0</v>
      </c>
      <c r="AB363" s="738" t="s">
        <v>2829</v>
      </c>
      <c r="AC363" s="372" t="str">
        <f>IF($Z$2="","",AA363)</f>
        <v/>
      </c>
      <c r="AD363" s="738"/>
      <c r="AE363" s="738"/>
    </row>
    <row r="364" spans="1:31">
      <c r="A364" t="s">
        <v>2830</v>
      </c>
      <c r="B364" s="46"/>
      <c r="X364" s="232"/>
      <c r="Y364" s="738">
        <v>28</v>
      </c>
      <c r="Z364" s="738" t="str">
        <f>'14. Project Costs'!C94</f>
        <v>Temporary Relocation Expenses</v>
      </c>
      <c r="AA364" s="378">
        <f>'14. Project Costs'!F94</f>
        <v>0</v>
      </c>
      <c r="AB364" s="738" t="s">
        <v>2831</v>
      </c>
      <c r="AC364" s="372" t="str">
        <f>IF($Z$2="","",AA364+AA365)</f>
        <v/>
      </c>
      <c r="AD364" s="738"/>
      <c r="AE364" s="738"/>
    </row>
    <row r="365" spans="1:31">
      <c r="A365" t="s">
        <v>2832</v>
      </c>
      <c r="B365" s="48" t="s">
        <v>2701</v>
      </c>
      <c r="C365" s="1743" t="s">
        <v>2702</v>
      </c>
      <c r="D365" s="1743" t="s">
        <v>2703</v>
      </c>
      <c r="E365" s="1743" t="s">
        <v>2704</v>
      </c>
      <c r="F365" s="1743" t="s">
        <v>225</v>
      </c>
      <c r="X365" s="232"/>
      <c r="Y365" s="738">
        <v>28</v>
      </c>
      <c r="Z365" s="738" t="str">
        <f>'14. Project Costs'!C95</f>
        <v>Permanent Relocation Expenses</v>
      </c>
      <c r="AA365" s="378">
        <f>'14. Project Costs'!F95</f>
        <v>0</v>
      </c>
      <c r="AB365" s="738" t="s">
        <v>2833</v>
      </c>
      <c r="AC365" s="373"/>
      <c r="AD365" s="738"/>
      <c r="AE365" s="738"/>
    </row>
    <row r="366" spans="1:31">
      <c r="A366" t="s">
        <v>2834</v>
      </c>
      <c r="B366" s="46" t="s">
        <v>2835</v>
      </c>
      <c r="C366">
        <f>PC_CNT_Res_HC_Contingency_Total</f>
        <v>0</v>
      </c>
      <c r="D366" s="358">
        <f>IF(OR(Credit_percentage_applied_for="4%",Credit_percentage_applied_for="State + Fed 4%"), PC_CNT_Res_HC_Contingency, 0)</f>
        <v>0</v>
      </c>
      <c r="E366">
        <f>IF(Credit_percentage_applied_for="9%", PC_CNT_Res_HC_Contingency, 0)</f>
        <v>0</v>
      </c>
      <c r="F366">
        <f>PC_CNT_Res_HC_Contingency_State</f>
        <v>0</v>
      </c>
      <c r="G366" t="s">
        <v>19</v>
      </c>
      <c r="H366" t="s">
        <v>2836</v>
      </c>
      <c r="I366" t="s">
        <v>2837</v>
      </c>
      <c r="X366" s="232"/>
      <c r="Y366" s="738">
        <v>29</v>
      </c>
      <c r="Z366" s="738" t="str">
        <f>'14. Project Costs'!C96</f>
        <v>Other Interim/Construction Costs</v>
      </c>
      <c r="AA366" s="378">
        <f>'14. Project Costs'!F96</f>
        <v>0</v>
      </c>
      <c r="AB366" s="738" t="s">
        <v>2838</v>
      </c>
      <c r="AC366" s="372" t="str">
        <f>IF($Z$2="","",AA366)</f>
        <v/>
      </c>
      <c r="AD366" s="738" t="s">
        <v>2839</v>
      </c>
      <c r="AE366" s="372" t="str">
        <f>Z366</f>
        <v>Other Interim/Construction Costs</v>
      </c>
    </row>
    <row r="367" spans="1:31">
      <c r="A367" t="s">
        <v>2840</v>
      </c>
      <c r="B367" s="46" t="s">
        <v>2841</v>
      </c>
      <c r="C367">
        <f>PC_CNT_Res_SC_Contingency_Total</f>
        <v>0</v>
      </c>
      <c r="D367">
        <f>IF(OR(Credit_percentage_applied_for="4%",Credit_percentage_applied_for="State + Fed 4%"), PC_CNT_Res_SC_Contingency, 0)</f>
        <v>0</v>
      </c>
      <c r="E367">
        <f>IF(Credit_percentage_applied_for="9%", PC_CNT_Res_SC_Contingency, 0)</f>
        <v>0</v>
      </c>
      <c r="F367">
        <f>PC_CNT_Res_SC_Contingency_State</f>
        <v>0</v>
      </c>
      <c r="H367" t="s">
        <v>2842</v>
      </c>
      <c r="I367" t="s">
        <v>2843</v>
      </c>
      <c r="X367" s="232"/>
      <c r="Y367" s="738"/>
      <c r="Z367" s="738"/>
      <c r="AA367" s="738"/>
      <c r="AB367" s="738"/>
      <c r="AC367" s="738"/>
      <c r="AD367" s="738"/>
      <c r="AE367" s="738"/>
    </row>
    <row r="368" spans="1:31">
      <c r="A368" t="s">
        <v>2844</v>
      </c>
      <c r="B368" s="46"/>
      <c r="X368" s="232"/>
      <c r="Y368" s="738">
        <v>30</v>
      </c>
      <c r="Z368" s="738" t="str">
        <f>'14. Project Costs'!C101</f>
        <v>Permanent Loan Origination Fee - Non WHEDA</v>
      </c>
      <c r="AA368" s="378">
        <f>'14. Project Costs'!F101</f>
        <v>0</v>
      </c>
      <c r="AB368" s="738" t="s">
        <v>2845</v>
      </c>
      <c r="AC368" s="372" t="str">
        <f>IF($Z$2="","",AA368)</f>
        <v/>
      </c>
      <c r="AD368" s="738" t="s">
        <v>2846</v>
      </c>
      <c r="AE368" s="372" t="str">
        <f>Z368</f>
        <v>Permanent Loan Origination Fee - Non WHEDA</v>
      </c>
    </row>
    <row r="369" spans="1:31">
      <c r="A369" t="s">
        <v>2847</v>
      </c>
      <c r="B369" s="46"/>
      <c r="X369" s="232"/>
      <c r="Y369" s="738">
        <v>19</v>
      </c>
      <c r="Z369" s="738" t="str">
        <f>'14. Project Costs'!C102</f>
        <v>Permanent Loan Origination Fee - WHEDA</v>
      </c>
      <c r="AA369" s="378">
        <f>'14. Project Costs'!F102</f>
        <v>0</v>
      </c>
      <c r="AB369" s="738" t="s">
        <v>2796</v>
      </c>
      <c r="AC369" s="373"/>
      <c r="AD369" s="738"/>
      <c r="AE369" s="738"/>
    </row>
    <row r="370" spans="1:31">
      <c r="A370" t="s">
        <v>2848</v>
      </c>
      <c r="B370" s="46"/>
      <c r="X370" s="232"/>
      <c r="Y370" s="738">
        <v>31</v>
      </c>
      <c r="Z370" s="738" t="str">
        <f>'14. Project Costs'!C105</f>
        <v>Permanent Loan Credit Enhancement</v>
      </c>
      <c r="AA370" s="378">
        <f>'14. Project Costs'!F105</f>
        <v>0</v>
      </c>
      <c r="AB370" s="738" t="s">
        <v>2849</v>
      </c>
      <c r="AC370" s="372" t="str">
        <f>IF($Z$2="","",AA370)</f>
        <v/>
      </c>
      <c r="AD370" s="738"/>
      <c r="AE370" s="738"/>
    </row>
    <row r="371" spans="1:31">
      <c r="A371" t="s">
        <v>2850</v>
      </c>
      <c r="B371" s="46"/>
      <c r="X371" s="232"/>
      <c r="Y371" s="738">
        <v>32</v>
      </c>
      <c r="Z371" s="738" t="str">
        <f>'14. Project Costs'!C108</f>
        <v>Legal Fees - Real Estate</v>
      </c>
      <c r="AA371" s="378">
        <f>'14. Project Costs'!F108</f>
        <v>0</v>
      </c>
      <c r="AB371" s="738" t="s">
        <v>2851</v>
      </c>
      <c r="AC371" s="372" t="str">
        <f>IF($Z$2="","",AA371)</f>
        <v/>
      </c>
      <c r="AD371" s="738"/>
      <c r="AE371" s="738"/>
    </row>
    <row r="372" spans="1:31">
      <c r="A372" t="s">
        <v>2852</v>
      </c>
      <c r="B372" s="46"/>
      <c r="X372" s="232"/>
      <c r="Y372" s="738">
        <v>33</v>
      </c>
      <c r="Z372" s="738" t="str">
        <f>'14. Project Costs'!C109</f>
        <v>Other Financing Fees and Expenses</v>
      </c>
      <c r="AA372" s="378">
        <f>'14. Project Costs'!F109</f>
        <v>0</v>
      </c>
      <c r="AB372" s="738" t="s">
        <v>2853</v>
      </c>
      <c r="AC372" s="372" t="str">
        <f>IF($Z$2="","",AA372)</f>
        <v/>
      </c>
      <c r="AD372" s="738" t="s">
        <v>2854</v>
      </c>
      <c r="AE372" s="372" t="str">
        <f>Z372</f>
        <v>Other Financing Fees and Expenses</v>
      </c>
    </row>
    <row r="373" spans="1:31">
      <c r="A373" t="s">
        <v>2855</v>
      </c>
      <c r="B373" s="46" t="s">
        <v>2856</v>
      </c>
      <c r="C373" s="67">
        <f>PC_CSP_WHEDA_Constr_Loan_Total</f>
        <v>0</v>
      </c>
      <c r="D373" s="233">
        <f>IF(OR(Credit_percentage_applied_for="4%",Credit_percentage_applied_for="State + Fed 4%"), PC_CSP_WHEDA_Constr_Loan, 0)</f>
        <v>0</v>
      </c>
      <c r="E373" s="233">
        <f>IF(Credit_percentage_applied_for="9%", PC_CSP_WHEDA_Constr_Loan, 0)</f>
        <v>0</v>
      </c>
      <c r="F373" s="233">
        <f>PC_CSP_WHEDA_Constr_Loan_State</f>
        <v>0</v>
      </c>
      <c r="H373" t="s">
        <v>2857</v>
      </c>
      <c r="I373" t="s">
        <v>2858</v>
      </c>
      <c r="X373" s="232"/>
      <c r="Y373" s="738"/>
      <c r="Z373" s="738"/>
      <c r="AA373" s="738"/>
      <c r="AB373" s="738"/>
      <c r="AC373" s="738"/>
      <c r="AD373" s="738"/>
      <c r="AE373" s="738"/>
    </row>
    <row r="374" spans="1:31">
      <c r="A374" t="s">
        <v>2859</v>
      </c>
      <c r="B374" s="46" t="s">
        <v>2860</v>
      </c>
      <c r="C374" s="67">
        <f>PC_CSP_WHEDA_Other_Finan_Total</f>
        <v>0</v>
      </c>
      <c r="D374" s="233">
        <f>IF(OR(Credit_percentage_applied_for="4%",Credit_percentage_applied_for="State + Fed 4%"), PC_CSP_WHEDA_Other_Finan, 0)</f>
        <v>0</v>
      </c>
      <c r="E374" s="233">
        <f>IF(Credit_percentage_applied_for="9%", PC_CSP_WHEDA_Other_Finan, 0)</f>
        <v>0</v>
      </c>
      <c r="F374" s="233">
        <f>PC_CSP_WHEDA_Other_Finan_State</f>
        <v>0</v>
      </c>
      <c r="H374" t="s">
        <v>2861</v>
      </c>
      <c r="I374" t="s">
        <v>2862</v>
      </c>
      <c r="X374" s="232"/>
      <c r="Y374" s="738">
        <v>34</v>
      </c>
      <c r="Z374" s="738" t="str">
        <f>'14. Project Costs'!C112</f>
        <v>Architect's Fee - Design</v>
      </c>
      <c r="AA374" s="378">
        <f>'14. Project Costs'!F112</f>
        <v>0</v>
      </c>
      <c r="AB374" s="738" t="s">
        <v>2863</v>
      </c>
      <c r="AC374" s="372" t="str">
        <f>IF($Z$2="","",AA374)</f>
        <v/>
      </c>
      <c r="AD374" s="738"/>
      <c r="AE374" s="738"/>
    </row>
    <row r="375" spans="1:31">
      <c r="A375" t="s">
        <v>2864</v>
      </c>
      <c r="B375" s="46"/>
      <c r="X375" s="232"/>
      <c r="Y375" s="738">
        <v>35</v>
      </c>
      <c r="Z375" s="738" t="str">
        <f>'14. Project Costs'!C113</f>
        <v>Architect's Fee - Inspection/Supervision</v>
      </c>
      <c r="AA375" s="378">
        <f>'14. Project Costs'!F113</f>
        <v>0</v>
      </c>
      <c r="AB375" s="738" t="s">
        <v>2865</v>
      </c>
      <c r="AC375" s="372" t="str">
        <f>IF($Z$2="","",AA375)</f>
        <v/>
      </c>
      <c r="AD375" s="738"/>
      <c r="AE375" s="738"/>
    </row>
    <row r="376" spans="1:31">
      <c r="A376" t="s">
        <v>2866</v>
      </c>
      <c r="B376" s="46"/>
      <c r="X376" s="232"/>
      <c r="Y376" s="738">
        <v>36</v>
      </c>
      <c r="Z376" s="738" t="str">
        <f>'14. Project Costs'!C114</f>
        <v>Engineering Costs</v>
      </c>
      <c r="AA376" s="378">
        <f>'14. Project Costs'!F114</f>
        <v>0</v>
      </c>
      <c r="AB376" s="738" t="s">
        <v>2867</v>
      </c>
      <c r="AC376" s="372" t="str">
        <f>IF($Z$2="","",AA376)</f>
        <v/>
      </c>
      <c r="AD376" s="738"/>
      <c r="AE376" s="738"/>
    </row>
    <row r="377" spans="1:31" ht="16">
      <c r="A377" t="s">
        <v>2868</v>
      </c>
      <c r="B377" s="47" t="s">
        <v>2869</v>
      </c>
      <c r="X377" s="232"/>
      <c r="Y377" s="738">
        <v>37</v>
      </c>
      <c r="Z377" s="738" t="str">
        <f>'14. Project Costs'!C115</f>
        <v xml:space="preserve">Survey </v>
      </c>
      <c r="AA377" s="378">
        <f>'14. Project Costs'!F115</f>
        <v>0</v>
      </c>
      <c r="AB377" s="738" t="s">
        <v>2870</v>
      </c>
      <c r="AC377" s="372" t="str">
        <f>IF($Z$2="","",AA377)</f>
        <v/>
      </c>
      <c r="AD377" s="738"/>
      <c r="AE377" s="738"/>
    </row>
    <row r="378" spans="1:31">
      <c r="A378" t="s">
        <v>2871</v>
      </c>
      <c r="X378" s="232"/>
      <c r="Y378" s="738">
        <v>38</v>
      </c>
      <c r="Z378" s="738" t="str">
        <f>'14. Project Costs'!C116</f>
        <v>Other Architect and Engineering</v>
      </c>
      <c r="AA378" s="378">
        <f>'14. Project Costs'!F116</f>
        <v>0</v>
      </c>
      <c r="AB378" s="738" t="s">
        <v>2872</v>
      </c>
      <c r="AC378" s="372" t="str">
        <f>IF($Z$2="","",AA378)</f>
        <v/>
      </c>
      <c r="AD378" s="738" t="s">
        <v>2873</v>
      </c>
      <c r="AE378" s="372" t="str">
        <f>Z378</f>
        <v>Other Architect and Engineering</v>
      </c>
    </row>
    <row r="379" spans="1:31">
      <c r="A379" t="s">
        <v>2874</v>
      </c>
      <c r="B379" s="48" t="s">
        <v>2701</v>
      </c>
      <c r="C379" s="1743" t="s">
        <v>2702</v>
      </c>
      <c r="D379" s="1743" t="s">
        <v>2703</v>
      </c>
      <c r="E379" s="1743" t="s">
        <v>2704</v>
      </c>
      <c r="F379" s="1743" t="s">
        <v>225</v>
      </c>
      <c r="X379" s="232"/>
      <c r="Y379" s="738"/>
      <c r="Z379" s="738"/>
      <c r="AA379" s="738"/>
      <c r="AB379" s="738"/>
      <c r="AC379" s="738"/>
      <c r="AD379" s="738"/>
      <c r="AE379" s="738"/>
    </row>
    <row r="380" spans="1:31">
      <c r="A380" t="s">
        <v>2875</v>
      </c>
      <c r="B380" t="s">
        <v>2876</v>
      </c>
      <c r="C380">
        <f>PC_CSP_Bond_Issuance_Fee_Total</f>
        <v>0</v>
      </c>
      <c r="D380" s="359"/>
      <c r="E380" s="360"/>
      <c r="F380" s="360"/>
      <c r="X380" s="232"/>
      <c r="Y380" s="738">
        <v>39</v>
      </c>
      <c r="Z380" s="738" t="str">
        <f>'14. Project Costs'!C119</f>
        <v>Organizational (Partnership)</v>
      </c>
      <c r="AA380" s="378">
        <f>'14. Project Costs'!F119</f>
        <v>0</v>
      </c>
      <c r="AB380" s="738" t="s">
        <v>2877</v>
      </c>
      <c r="AC380" s="372" t="str">
        <f>IF($Z$2="","",AA380)</f>
        <v/>
      </c>
      <c r="AD380" s="738"/>
      <c r="AE380" s="738"/>
    </row>
    <row r="381" spans="1:31">
      <c r="A381" t="s">
        <v>2878</v>
      </c>
      <c r="X381" s="232"/>
      <c r="Y381" s="738">
        <v>40</v>
      </c>
      <c r="Z381" s="738" t="str">
        <f>'14. Project Costs'!C121</f>
        <v>Tax Opinion</v>
      </c>
      <c r="AA381" s="378">
        <f>'14. Project Costs'!F121</f>
        <v>0</v>
      </c>
      <c r="AB381" s="738" t="s">
        <v>2879</v>
      </c>
      <c r="AC381" s="372" t="str">
        <f>IF($Z$2="","",AA381+AA382)</f>
        <v/>
      </c>
      <c r="AD381" s="738"/>
      <c r="AE381" s="738"/>
    </row>
    <row r="382" spans="1:31">
      <c r="A382" t="s">
        <v>2880</v>
      </c>
      <c r="X382" s="232"/>
      <c r="Y382" s="738">
        <v>40</v>
      </c>
      <c r="Z382" s="738" t="str">
        <f>'14. Project Costs'!C122</f>
        <v>Other Syndication Costs</v>
      </c>
      <c r="AA382" s="378">
        <f>'14. Project Costs'!F122</f>
        <v>0</v>
      </c>
      <c r="AB382" s="738" t="s">
        <v>2881</v>
      </c>
      <c r="AC382" s="373"/>
      <c r="AD382" s="738"/>
      <c r="AE382" s="738"/>
    </row>
    <row r="383" spans="1:31">
      <c r="A383" t="s">
        <v>2882</v>
      </c>
      <c r="B383" t="s">
        <v>2883</v>
      </c>
      <c r="C383">
        <f>PC_CSP_Predev_Bridge_Loan_Int_Total</f>
        <v>0</v>
      </c>
      <c r="D383" s="358">
        <f>IF(OR(Credit_percentage_applied_for="4%",Credit_percentage_applied_for="State + Fed 4%"), '14. Project Costs'!K77, 0)</f>
        <v>0</v>
      </c>
      <c r="E383" s="358">
        <f>IF(Credit_percentage_applied_for="9%", '14. Project Costs'!K77, 0)</f>
        <v>0</v>
      </c>
      <c r="F383" s="358">
        <f>'14. Project Costs'!L77</f>
        <v>0</v>
      </c>
      <c r="H383" s="57" t="s">
        <v>2884</v>
      </c>
      <c r="X383" s="232"/>
      <c r="Y383" s="738"/>
      <c r="Z383" s="738"/>
      <c r="AA383" s="738"/>
      <c r="AB383" s="738"/>
      <c r="AC383" s="738"/>
      <c r="AD383" s="738"/>
      <c r="AE383" s="738"/>
    </row>
    <row r="384" spans="1:31">
      <c r="A384" t="s">
        <v>2885</v>
      </c>
      <c r="H384" s="57"/>
      <c r="X384" s="232"/>
      <c r="Y384" s="738">
        <v>41</v>
      </c>
      <c r="Z384" s="738" t="str">
        <f>'14. Project Costs'!C125</f>
        <v>Operating Reserve</v>
      </c>
      <c r="AA384" s="378">
        <f>'14. Project Costs'!F125</f>
        <v>0</v>
      </c>
      <c r="AB384" s="738" t="s">
        <v>2886</v>
      </c>
      <c r="AC384" s="372" t="str">
        <f>IF($Z$2="","",AA384+AA387+AA388+AA390+AA389)</f>
        <v/>
      </c>
      <c r="AD384" s="738"/>
      <c r="AE384" s="738"/>
    </row>
    <row r="385" spans="1:31">
      <c r="A385" t="s">
        <v>2887</v>
      </c>
      <c r="H385" s="57"/>
      <c r="I385" s="57"/>
      <c r="X385" s="232"/>
      <c r="Y385" s="738">
        <v>42</v>
      </c>
      <c r="Z385" s="738" t="str">
        <f>'14. Project Costs'!C126</f>
        <v>Replacement Reserve</v>
      </c>
      <c r="AA385" s="378">
        <f>'14. Project Costs'!F126</f>
        <v>0</v>
      </c>
      <c r="AB385" s="738" t="s">
        <v>2888</v>
      </c>
      <c r="AC385" s="372" t="str">
        <f>IF($Z$2="","",AA385)</f>
        <v/>
      </c>
      <c r="AD385" s="738"/>
      <c r="AE385" s="738"/>
    </row>
    <row r="386" spans="1:31">
      <c r="A386" t="s">
        <v>2889</v>
      </c>
      <c r="C386">
        <f>PC_CSP_Constr_Period_Int_Total</f>
        <v>0</v>
      </c>
      <c r="D386">
        <f>IF(OR(Credit_percentage_applied_for="4%",Credit_percentage_applied_for="State + Fed 4%"), PC_CSP_Constr_Period_Int_4, 0)</f>
        <v>0</v>
      </c>
      <c r="E386">
        <f>IF(Credit_percentage_applied_for="9%", PC_CSP_Constr_Period_Int_4, 0)</f>
        <v>0</v>
      </c>
      <c r="F386">
        <f>PC_CSP_Constr_Period_Int_State</f>
        <v>0</v>
      </c>
      <c r="H386" s="57" t="s">
        <v>17</v>
      </c>
      <c r="I386" s="57"/>
      <c r="X386" s="232"/>
      <c r="Y386" s="738">
        <v>43</v>
      </c>
      <c r="Z386" s="738" t="str">
        <f>'14. Project Costs'!C127</f>
        <v>Lease-up Operating Deficit</v>
      </c>
      <c r="AA386" s="378">
        <f>'14. Project Costs'!F127</f>
        <v>0</v>
      </c>
      <c r="AB386" s="738" t="s">
        <v>2890</v>
      </c>
      <c r="AC386" s="372" t="str">
        <f>IF($Z$2="","",AA386)</f>
        <v/>
      </c>
      <c r="AD386" s="738"/>
      <c r="AE386" s="738"/>
    </row>
    <row r="387" spans="1:31">
      <c r="A387" t="s">
        <v>2891</v>
      </c>
      <c r="B387" t="s">
        <v>2892</v>
      </c>
      <c r="C387">
        <f>PC_CSP_LU_Period_Constr_Total+C386</f>
        <v>0</v>
      </c>
      <c r="D387">
        <f>IF(OR(Credit_percentage_applied_for="4%",Credit_percentage_applied_for="State + Fed 4%"), PC_CSP_LU_Period_Constr_4+D386, 0)</f>
        <v>0</v>
      </c>
      <c r="E387">
        <f>IF(Credit_percentage_applied_for="9%", PC_CSP_LU_Period_Constr_4 + E386, 0)</f>
        <v>0</v>
      </c>
      <c r="F387">
        <f>PC_CSP_LU_Period_Constr_State+F386</f>
        <v>0</v>
      </c>
      <c r="H387" s="57" t="s">
        <v>2893</v>
      </c>
      <c r="I387" s="57" t="s">
        <v>2894</v>
      </c>
      <c r="X387" s="232"/>
      <c r="Y387" s="738">
        <v>41</v>
      </c>
      <c r="Z387" s="738" t="str">
        <f>'14. Project Costs'!C128</f>
        <v>Debt Service Reserve</v>
      </c>
      <c r="AA387" s="378">
        <f>'14. Project Costs'!F128</f>
        <v>0</v>
      </c>
      <c r="AB387" s="738" t="s">
        <v>2895</v>
      </c>
      <c r="AC387" s="373"/>
      <c r="AD387" s="738"/>
      <c r="AE387" s="738"/>
    </row>
    <row r="388" spans="1:31">
      <c r="A388" t="s">
        <v>2896</v>
      </c>
      <c r="H388" s="57"/>
      <c r="I388" s="57"/>
      <c r="X388" s="232"/>
      <c r="Y388" s="738">
        <v>41</v>
      </c>
      <c r="Z388" s="738" t="str">
        <f>'14. Project Costs'!C129</f>
        <v>Capital Needs Reserve</v>
      </c>
      <c r="AA388" s="378">
        <f>'14. Project Costs'!F129</f>
        <v>0</v>
      </c>
      <c r="AB388" s="738" t="s">
        <v>2895</v>
      </c>
      <c r="AC388" s="373"/>
      <c r="AD388" s="738"/>
      <c r="AE388" s="738"/>
    </row>
    <row r="389" spans="1:31">
      <c r="A389" t="s">
        <v>2897</v>
      </c>
      <c r="H389" s="57"/>
      <c r="I389" s="57"/>
      <c r="X389" s="232"/>
      <c r="Y389" s="738">
        <v>41</v>
      </c>
      <c r="Z389" s="738" t="str">
        <f>'14. Project Costs'!C130</f>
        <v>Other Reserves</v>
      </c>
      <c r="AA389" s="378">
        <f>'14. Project Costs'!F130</f>
        <v>0</v>
      </c>
      <c r="AB389" s="738" t="s">
        <v>2895</v>
      </c>
      <c r="AC389" s="373"/>
      <c r="AD389" s="738"/>
      <c r="AE389" s="738"/>
    </row>
    <row r="390" spans="1:31">
      <c r="A390" t="s">
        <v>2898</v>
      </c>
      <c r="B390" t="s">
        <v>2899</v>
      </c>
      <c r="C390">
        <f>PC_CSP_Other_Lender_Fees_Total</f>
        <v>0</v>
      </c>
      <c r="D390">
        <f>IF(OR(Credit_percentage_applied_for="4%",Credit_percentage_applied_for="State + Fed 4%"), PC_CSP_Other_Lender_Fees_4, 0)</f>
        <v>0</v>
      </c>
      <c r="E390">
        <f>IF(Credit_percentage_applied_for="9%", PC_CSP_Other_Lender_Fees_4, 0)</f>
        <v>0</v>
      </c>
      <c r="F390">
        <f>PC_CSP_Other_Lender_Fees_State</f>
        <v>0</v>
      </c>
      <c r="H390" s="57" t="s">
        <v>2900</v>
      </c>
      <c r="I390" s="57" t="s">
        <v>2901</v>
      </c>
      <c r="X390" s="232"/>
      <c r="Y390" s="738">
        <v>41</v>
      </c>
      <c r="Z390" s="738" t="str">
        <f>'14. Project Costs'!C131</f>
        <v>Escrows</v>
      </c>
      <c r="AA390" s="378">
        <f>'14. Project Costs'!F131</f>
        <v>0</v>
      </c>
      <c r="AB390" s="738" t="s">
        <v>2895</v>
      </c>
      <c r="AC390" s="373"/>
      <c r="AD390" s="738"/>
      <c r="AE390" s="738"/>
    </row>
    <row r="391" spans="1:31">
      <c r="A391" t="s">
        <v>2902</v>
      </c>
      <c r="C391" s="58"/>
      <c r="D391" s="58"/>
      <c r="E391" s="58"/>
      <c r="F391" s="58"/>
      <c r="G391" s="58"/>
      <c r="H391" s="720"/>
      <c r="I391" s="720"/>
      <c r="J391" s="58"/>
      <c r="K391" s="58"/>
      <c r="X391" s="232"/>
      <c r="Y391" s="738"/>
      <c r="Z391" s="738"/>
      <c r="AA391" s="738"/>
      <c r="AB391" s="738"/>
      <c r="AC391" s="738"/>
      <c r="AD391" s="738"/>
      <c r="AE391" s="738"/>
    </row>
    <row r="392" spans="1:31">
      <c r="A392" t="s">
        <v>2903</v>
      </c>
      <c r="C392" s="58"/>
      <c r="D392" s="58"/>
      <c r="E392" s="58"/>
      <c r="F392" s="58"/>
      <c r="G392" s="58"/>
      <c r="H392" s="720"/>
      <c r="I392" s="720"/>
      <c r="J392" s="58"/>
      <c r="K392" s="58"/>
      <c r="X392" s="232"/>
      <c r="Y392" s="738">
        <v>44</v>
      </c>
      <c r="Z392" s="738" t="str">
        <f>'14. Project Costs'!C136</f>
        <v>Appraisal(s)</v>
      </c>
      <c r="AA392" s="378">
        <f>'14. Project Costs'!F136</f>
        <v>0</v>
      </c>
      <c r="AB392" s="738" t="s">
        <v>2904</v>
      </c>
      <c r="AC392" s="372" t="str">
        <f>IF($Z$2="","",AA392)</f>
        <v/>
      </c>
      <c r="AD392" s="738"/>
      <c r="AE392" s="738"/>
    </row>
    <row r="393" spans="1:31">
      <c r="A393" t="s">
        <v>2905</v>
      </c>
      <c r="B393" t="s">
        <v>2906</v>
      </c>
      <c r="C393" s="58">
        <f>PC_CSP_Credit_Enhance_Fee_Total</f>
        <v>0</v>
      </c>
      <c r="D393" s="58">
        <f>IF(OR(Credit_percentage_applied_for="4%",Credit_percentage_applied_for="State + Fed 4%"),PC_CSP_Credit_Enhance_Fee_4,0)</f>
        <v>0</v>
      </c>
      <c r="E393" s="58">
        <f>IF(Credit_percentage_applied_for="9%", PC_CSP_Credit_Enhance_Fee_4, 0)</f>
        <v>0</v>
      </c>
      <c r="F393" s="58">
        <f>PC_CSP_Credit_Enhance_Fee_State</f>
        <v>0</v>
      </c>
      <c r="G393" s="58"/>
      <c r="H393" s="720" t="s">
        <v>2907</v>
      </c>
      <c r="I393" s="720" t="s">
        <v>2908</v>
      </c>
      <c r="J393" s="58"/>
      <c r="K393" s="58"/>
      <c r="X393" s="232"/>
      <c r="Y393" s="738">
        <v>45</v>
      </c>
      <c r="Z393" s="738" t="str">
        <f>'14. Project Costs'!C137</f>
        <v>Market Study</v>
      </c>
      <c r="AA393" s="378">
        <f>'14. Project Costs'!F137</f>
        <v>0</v>
      </c>
      <c r="AB393" s="738" t="s">
        <v>2909</v>
      </c>
      <c r="AC393" s="372" t="str">
        <f>IF($Z$2="","",AA393)</f>
        <v/>
      </c>
      <c r="AD393" s="738"/>
      <c r="AE393" s="738"/>
    </row>
    <row r="394" spans="1:31">
      <c r="A394" t="s">
        <v>2910</v>
      </c>
      <c r="B394" t="s">
        <v>2911</v>
      </c>
      <c r="C394" s="58">
        <f>PC_CSP_Taxes_During_Constr_Total</f>
        <v>0</v>
      </c>
      <c r="D394" s="58">
        <f>IF(OR(Credit_percentage_applied_for="4%",Credit_percentage_applied_for="State + Fed 4%"), PC_CSP_Taxes_During_Constr_4, 0)</f>
        <v>0</v>
      </c>
      <c r="E394" s="58">
        <f>IF(Credit_percentage_applied_for="9%", PC_CSP_Taxes_During_Constr_4, 0)</f>
        <v>0</v>
      </c>
      <c r="F394" s="58">
        <f>PC_CSP_Taxes_During_Constr_State</f>
        <v>0</v>
      </c>
      <c r="G394" s="58"/>
      <c r="H394" s="720" t="s">
        <v>2912</v>
      </c>
      <c r="I394" s="720" t="s">
        <v>2913</v>
      </c>
      <c r="J394" s="58"/>
      <c r="K394" s="58"/>
      <c r="X394" s="232"/>
      <c r="Y394" s="738">
        <v>46</v>
      </c>
      <c r="Z394" s="738" t="str">
        <f>'14. Project Costs'!C138</f>
        <v>Capital Needs Assessment Report</v>
      </c>
      <c r="AA394" s="378">
        <f>'14. Project Costs'!F138</f>
        <v>0</v>
      </c>
      <c r="AB394" s="738" t="s">
        <v>2914</v>
      </c>
      <c r="AC394" s="372" t="str">
        <f>IF($Z$2="","",AA394)</f>
        <v/>
      </c>
      <c r="AD394" s="738"/>
      <c r="AE394" s="738"/>
    </row>
    <row r="395" spans="1:31">
      <c r="A395" t="s">
        <v>2915</v>
      </c>
      <c r="B395" t="s">
        <v>2916</v>
      </c>
      <c r="C395" s="58">
        <f>PC_CSP_Title_Recording_Total</f>
        <v>0</v>
      </c>
      <c r="D395" s="58">
        <f>IF(OR(Credit_percentage_applied_for="4%",Credit_percentage_applied_for="State + Fed 4%"), PC_CSP_Title_Recording_4, 0)</f>
        <v>0</v>
      </c>
      <c r="E395" s="58">
        <f>IF(Credit_percentage_applied_for="9%", PC_CSP_Title_Recording_4, 0)</f>
        <v>0</v>
      </c>
      <c r="F395" s="58">
        <f>PC_CSP_Title_Recording_State</f>
        <v>0</v>
      </c>
      <c r="G395" s="58"/>
      <c r="H395" s="720" t="s">
        <v>2917</v>
      </c>
      <c r="I395" s="720" t="s">
        <v>2918</v>
      </c>
      <c r="J395" s="58"/>
      <c r="K395" s="58"/>
      <c r="X395" s="232"/>
      <c r="Y395" s="738">
        <v>47</v>
      </c>
      <c r="Z395" s="738" t="str">
        <f>'14. Project Costs'!C139</f>
        <v>Environmental Report</v>
      </c>
      <c r="AA395" s="378">
        <f>'14. Project Costs'!F139</f>
        <v>0</v>
      </c>
      <c r="AB395" s="738" t="s">
        <v>2919</v>
      </c>
      <c r="AC395" s="372" t="str">
        <f>IF($Z$2="","",AA395)</f>
        <v/>
      </c>
      <c r="AD395" s="738"/>
      <c r="AE395" s="738"/>
    </row>
    <row r="396" spans="1:31">
      <c r="A396" t="s">
        <v>2920</v>
      </c>
      <c r="C396" s="58"/>
      <c r="D396" s="58"/>
      <c r="E396" s="58"/>
      <c r="F396" s="58"/>
      <c r="G396" s="58"/>
      <c r="H396" s="720"/>
      <c r="I396" s="720"/>
      <c r="J396" s="58"/>
      <c r="K396" s="58"/>
      <c r="X396" s="232"/>
      <c r="Y396" s="738"/>
      <c r="Z396" s="738"/>
      <c r="AA396" s="738"/>
      <c r="AB396" s="738"/>
      <c r="AC396" s="738"/>
      <c r="AD396" s="738"/>
      <c r="AE396" s="738"/>
    </row>
    <row r="397" spans="1:31">
      <c r="A397" t="s">
        <v>2921</v>
      </c>
      <c r="B397" t="s">
        <v>2922</v>
      </c>
      <c r="C397" s="841">
        <f>PC_CSP_Constr_Hazard_insur_Total + PC_CSP_Constr_Liability_Total</f>
        <v>0</v>
      </c>
      <c r="D397" s="841">
        <f>IF(OR(Credit_percentage_applied_for="4%",Credit_percentage_applied_for="State + Fed 4%"), PC_CSP_Constr_Hazard_insur_4+PC_CSP_Constr_Liability_4, 0)</f>
        <v>0</v>
      </c>
      <c r="E397" s="841">
        <f>IF(Credit_percentage_applied_for="9%", PC_CSP_Constr_Hazard_insur_4+PC_CSP_Constr_Liability_4, 0)</f>
        <v>0</v>
      </c>
      <c r="F397" s="841">
        <f>PC_CSP_Constr_Hazard_insur_State</f>
        <v>0</v>
      </c>
      <c r="G397" s="794" t="s">
        <v>2923</v>
      </c>
      <c r="H397" s="720" t="s">
        <v>2924</v>
      </c>
      <c r="I397" s="720" t="s">
        <v>2925</v>
      </c>
      <c r="J397" s="58"/>
      <c r="K397" s="58"/>
      <c r="X397" s="232"/>
      <c r="Y397" s="738">
        <v>48</v>
      </c>
      <c r="Z397" s="738" t="str">
        <f>'14. Project Costs'!C152</f>
        <v xml:space="preserve">Tax Credit Application Fee </v>
      </c>
      <c r="AA397" s="378">
        <f>'14. Project Costs'!F152</f>
        <v>0</v>
      </c>
      <c r="AB397" s="738" t="s">
        <v>2926</v>
      </c>
      <c r="AC397" s="372" t="str">
        <f>IF($Z$2="","",AA397+AA398+AA399)</f>
        <v/>
      </c>
      <c r="AD397" s="738"/>
      <c r="AE397" s="738"/>
    </row>
    <row r="398" spans="1:31">
      <c r="A398" t="s">
        <v>2927</v>
      </c>
      <c r="C398" s="58"/>
      <c r="D398" s="58"/>
      <c r="E398" s="58"/>
      <c r="F398" s="58"/>
      <c r="G398" s="58"/>
      <c r="H398" s="720"/>
      <c r="I398" s="720"/>
      <c r="J398" s="58"/>
      <c r="K398" s="58"/>
      <c r="X398" s="232"/>
      <c r="Y398" s="738">
        <v>48</v>
      </c>
      <c r="Z398" s="738" t="str">
        <f>'14. Project Costs'!C153</f>
        <v xml:space="preserve">Tax Credit Allocation Fee </v>
      </c>
      <c r="AA398" s="378">
        <f>'14. Project Costs'!F153</f>
        <v>0</v>
      </c>
      <c r="AB398" s="738" t="s">
        <v>2928</v>
      </c>
      <c r="AC398" s="373"/>
      <c r="AD398" s="738"/>
      <c r="AE398" s="738"/>
    </row>
    <row r="399" spans="1:31">
      <c r="A399" t="s">
        <v>2929</v>
      </c>
      <c r="C399" s="58"/>
      <c r="D399" s="58"/>
      <c r="E399" s="58"/>
      <c r="F399" s="58"/>
      <c r="G399" s="58"/>
      <c r="H399" s="720"/>
      <c r="I399" s="58"/>
      <c r="J399" s="58"/>
      <c r="K399" s="58"/>
      <c r="X399" s="232"/>
      <c r="Y399" s="738">
        <v>48</v>
      </c>
      <c r="Z399" s="738" t="str">
        <f>'14. Project Costs'!C154</f>
        <v>Tax Credit Compliance Fee</v>
      </c>
      <c r="AA399" s="378">
        <f>'14. Project Costs'!F154</f>
        <v>0</v>
      </c>
      <c r="AB399" s="738" t="s">
        <v>2928</v>
      </c>
      <c r="AC399" s="373"/>
      <c r="AD399" s="738"/>
      <c r="AE399" s="738"/>
    </row>
    <row r="400" spans="1:31">
      <c r="A400" t="s">
        <v>2930</v>
      </c>
      <c r="B400" t="s">
        <v>2931</v>
      </c>
      <c r="C400" s="58">
        <f>PC_CSP_Temp_Reloocation_Total</f>
        <v>0</v>
      </c>
      <c r="D400" s="58">
        <f>IF(OR(Credit_percentage_applied_for="4%",Credit_percentage_applied_for="State + Fed 4%"), PC_CSP_Temp_Reloocation_4, 0)</f>
        <v>0</v>
      </c>
      <c r="E400" s="58">
        <f>IF(Credit_percentage_applied_for="9%", PC_CSP_Temp_Reloocation_4, 0)</f>
        <v>0</v>
      </c>
      <c r="F400" s="58">
        <f>PC_CSP_Temp_Relocation_State</f>
        <v>0</v>
      </c>
      <c r="G400" s="58"/>
      <c r="H400" s="57" t="s">
        <v>2932</v>
      </c>
      <c r="I400" s="720" t="s">
        <v>2933</v>
      </c>
      <c r="J400" s="58"/>
      <c r="K400" s="58"/>
      <c r="X400" s="232"/>
      <c r="Y400" s="738">
        <v>49</v>
      </c>
      <c r="Z400" s="738" t="str">
        <f>'14. Project Costs'!C156</f>
        <v>Water, Sewer, and Impact Fees</v>
      </c>
      <c r="AA400" s="378">
        <f>'14. Project Costs'!F156</f>
        <v>0</v>
      </c>
      <c r="AB400" s="738" t="s">
        <v>2934</v>
      </c>
      <c r="AC400" s="372" t="str">
        <f>IF($Z$2="","",AA400)</f>
        <v/>
      </c>
      <c r="AD400" s="738"/>
      <c r="AE400" s="738"/>
    </row>
    <row r="401" spans="1:31">
      <c r="A401" t="s">
        <v>2935</v>
      </c>
      <c r="B401" t="s">
        <v>2936</v>
      </c>
      <c r="C401" s="58">
        <f>PC_CSP_Perm_Relocation_Total</f>
        <v>0</v>
      </c>
      <c r="D401" s="356"/>
      <c r="E401" s="356"/>
      <c r="F401" s="356"/>
      <c r="G401" s="58"/>
      <c r="H401" s="57"/>
      <c r="I401" s="58"/>
      <c r="J401" s="58"/>
      <c r="K401" s="58"/>
      <c r="X401" s="232"/>
      <c r="Y401" s="738">
        <v>50</v>
      </c>
      <c r="Z401" s="738" t="str">
        <f>'14. Project Costs'!C159</f>
        <v>Cost Certification/Accounting Fees</v>
      </c>
      <c r="AA401" s="378">
        <f>'14. Project Costs'!F159</f>
        <v>0</v>
      </c>
      <c r="AB401" s="738" t="s">
        <v>2937</v>
      </c>
      <c r="AC401" s="372" t="str">
        <f>IF($Z$2="","",AA401)</f>
        <v/>
      </c>
      <c r="AD401" s="738"/>
      <c r="AE401" s="738"/>
    </row>
    <row r="402" spans="1:31">
      <c r="A402" t="s">
        <v>2938</v>
      </c>
      <c r="B402" t="s">
        <v>2939</v>
      </c>
      <c r="C402" s="58">
        <f>PC_CSP_Other_Constr_Costs_Total+C462</f>
        <v>0</v>
      </c>
      <c r="D402" s="58">
        <f>IF(OR(Credit_percentage_applied_for="4%",Credit_percentage_applied_for="State + Fed 4%"), PC_CSP_Other_Constr_Costs_4, 0)</f>
        <v>0</v>
      </c>
      <c r="E402" s="58">
        <f>IF(Credit_percentage_applied_for="9%", PC_CSP_Other_Constr_Costs_9, 0)</f>
        <v>0</v>
      </c>
      <c r="F402" s="58">
        <f>PC_CSP_Other_Constr_Costs_State</f>
        <v>0</v>
      </c>
      <c r="H402" s="57" t="s">
        <v>2940</v>
      </c>
      <c r="I402" s="58"/>
      <c r="J402" s="58"/>
      <c r="K402" s="58"/>
      <c r="X402" s="232"/>
      <c r="Y402" s="738">
        <v>51</v>
      </c>
      <c r="Z402" s="738" t="str">
        <f>'14. Project Costs'!C160</f>
        <v>Rent-Up Marketing Expense</v>
      </c>
      <c r="AA402" s="378">
        <f>'14. Project Costs'!F160</f>
        <v>0</v>
      </c>
      <c r="AB402" s="738" t="s">
        <v>2941</v>
      </c>
      <c r="AC402" s="372" t="str">
        <f>IF($Z$2="","",AA402)</f>
        <v/>
      </c>
      <c r="AD402" s="738"/>
      <c r="AE402" s="738"/>
    </row>
    <row r="403" spans="1:31">
      <c r="A403" t="s">
        <v>2942</v>
      </c>
      <c r="C403" s="58"/>
      <c r="D403" s="58"/>
      <c r="E403" s="58"/>
      <c r="F403" s="58"/>
      <c r="G403" s="58"/>
      <c r="I403" s="58"/>
      <c r="J403" s="58"/>
      <c r="K403" s="58"/>
      <c r="X403" s="232"/>
      <c r="Y403" s="738">
        <v>52</v>
      </c>
      <c r="Z403" s="738" t="str">
        <f>'14. Project Costs'!C162</f>
        <v>Mortgage Payoff - N/A for Tax Credit Application</v>
      </c>
      <c r="AA403" s="378">
        <f>'14. Project Costs'!F162</f>
        <v>0</v>
      </c>
      <c r="AB403" s="738" t="s">
        <v>2943</v>
      </c>
      <c r="AC403" s="372" t="str">
        <f>IF($Z$2="","",AA403)</f>
        <v/>
      </c>
      <c r="AD403" s="738" t="s">
        <v>2944</v>
      </c>
      <c r="AE403" s="372" t="str">
        <f>Z403</f>
        <v>Mortgage Payoff - N/A for Tax Credit Application</v>
      </c>
    </row>
    <row r="404" spans="1:31">
      <c r="A404" t="s">
        <v>2945</v>
      </c>
      <c r="C404" s="58"/>
      <c r="D404" s="58"/>
      <c r="E404" s="58"/>
      <c r="F404" s="58"/>
      <c r="G404" s="58"/>
      <c r="I404" s="58"/>
      <c r="J404" s="58"/>
      <c r="K404" s="58"/>
      <c r="X404" s="232"/>
      <c r="Y404" s="738">
        <v>53</v>
      </c>
      <c r="Z404" s="738" t="str">
        <f>'14. Project Costs'!C163</f>
        <v>Other Miscellaneous Costs</v>
      </c>
      <c r="AA404" s="378">
        <f>'14. Project Costs'!F163</f>
        <v>0</v>
      </c>
      <c r="AB404" s="738" t="s">
        <v>2946</v>
      </c>
      <c r="AC404" s="372" t="str">
        <f>IF($Z$2="","",AA404)</f>
        <v/>
      </c>
      <c r="AD404" s="738"/>
      <c r="AE404" s="738"/>
    </row>
    <row r="405" spans="1:31">
      <c r="A405" t="s">
        <v>2947</v>
      </c>
      <c r="B405" s="48" t="s">
        <v>2701</v>
      </c>
      <c r="C405" s="1743" t="s">
        <v>2702</v>
      </c>
      <c r="D405" s="1743" t="s">
        <v>2703</v>
      </c>
      <c r="E405" s="1743" t="s">
        <v>2704</v>
      </c>
      <c r="F405" s="1743" t="s">
        <v>225</v>
      </c>
      <c r="G405" s="58"/>
      <c r="H405" s="720"/>
      <c r="I405" s="58"/>
      <c r="J405" s="58"/>
      <c r="K405" s="58"/>
      <c r="X405" s="232"/>
      <c r="Y405" s="738"/>
      <c r="Z405" s="1110"/>
      <c r="AA405" s="738"/>
      <c r="AB405" s="738"/>
      <c r="AC405" s="738"/>
      <c r="AD405" s="738"/>
      <c r="AE405" s="738"/>
    </row>
    <row r="406" spans="1:31">
      <c r="A406" t="s">
        <v>2948</v>
      </c>
      <c r="C406" s="58"/>
      <c r="D406" s="58"/>
      <c r="E406" s="58"/>
      <c r="F406" s="58"/>
      <c r="G406" s="58"/>
      <c r="H406" s="58"/>
      <c r="I406" s="58"/>
      <c r="J406" s="58"/>
      <c r="K406" s="58"/>
      <c r="X406" s="232"/>
      <c r="Y406" s="738">
        <v>54</v>
      </c>
      <c r="Z406" s="738" t="str">
        <f>'14. Project Costs'!C167</f>
        <v>Developer's Fee Received</v>
      </c>
      <c r="AA406" s="378">
        <f>'14. Project Costs'!F167</f>
        <v>0</v>
      </c>
      <c r="AB406" s="738" t="s">
        <v>2949</v>
      </c>
      <c r="AC406" s="372" t="str">
        <f>IF($Z$2="","",AA406+AA408+AA410)</f>
        <v/>
      </c>
      <c r="AD406" s="738"/>
      <c r="AE406" s="738"/>
    </row>
    <row r="407" spans="1:31">
      <c r="A407" t="s">
        <v>2950</v>
      </c>
      <c r="B407" t="s">
        <v>2951</v>
      </c>
      <c r="C407" s="58">
        <f>PC_FIN_Perm_Lender_Finan_Total</f>
        <v>0</v>
      </c>
      <c r="D407" s="58"/>
      <c r="E407" s="58"/>
      <c r="F407" s="58"/>
      <c r="G407" s="58"/>
      <c r="H407" s="58"/>
      <c r="I407" s="58"/>
      <c r="J407" s="58"/>
      <c r="K407" s="58"/>
      <c r="X407" s="232"/>
      <c r="Y407" s="738">
        <v>55</v>
      </c>
      <c r="Z407" s="738" t="str">
        <f>'14. Project Costs'!C168</f>
        <v>Developer's Fee - Deferred</v>
      </c>
      <c r="AA407" s="378">
        <f>'14. Project Costs'!F168</f>
        <v>0</v>
      </c>
      <c r="AB407" s="738" t="s">
        <v>2952</v>
      </c>
      <c r="AC407" s="372" t="str">
        <f>IF($Z$2="","",AA407)</f>
        <v/>
      </c>
      <c r="AD407" s="738" t="s">
        <v>2953</v>
      </c>
      <c r="AE407" s="372" t="str">
        <f>Z407</f>
        <v>Developer's Fee - Deferred</v>
      </c>
    </row>
    <row r="408" spans="1:31">
      <c r="A408" t="s">
        <v>2954</v>
      </c>
      <c r="B408" t="s">
        <v>2955</v>
      </c>
      <c r="C408" s="58">
        <f>PC_FIN_WHEDA_Perm_Loan_Total</f>
        <v>0</v>
      </c>
      <c r="D408" s="58"/>
      <c r="E408" s="58"/>
      <c r="F408" s="58"/>
      <c r="G408" s="58"/>
      <c r="H408" s="58"/>
      <c r="I408" s="58"/>
      <c r="J408" s="58"/>
      <c r="K408" s="58"/>
      <c r="X408" s="232"/>
      <c r="Y408" s="738">
        <v>54</v>
      </c>
      <c r="Z408" s="738" t="str">
        <f>'14. Project Costs'!C169</f>
        <v>Developer Overhead</v>
      </c>
      <c r="AA408" s="378">
        <f>'14. Project Costs'!F169</f>
        <v>0</v>
      </c>
      <c r="AB408" s="738" t="s">
        <v>2956</v>
      </c>
      <c r="AC408" s="373"/>
      <c r="AD408" s="738"/>
      <c r="AE408" s="738"/>
    </row>
    <row r="409" spans="1:31">
      <c r="A409" t="s">
        <v>2957</v>
      </c>
      <c r="C409" s="357"/>
      <c r="D409" s="58"/>
      <c r="E409" s="58"/>
      <c r="F409" s="58"/>
      <c r="G409" s="58"/>
      <c r="H409" s="58"/>
      <c r="I409" s="58"/>
      <c r="J409" s="58"/>
      <c r="K409" s="58"/>
      <c r="X409" s="232"/>
      <c r="Y409" s="738">
        <v>56</v>
      </c>
      <c r="Z409" s="738" t="str">
        <f>'14. Project Costs'!C170</f>
        <v>Consultants</v>
      </c>
      <c r="AA409" s="378">
        <f>'14. Project Costs'!F170</f>
        <v>0</v>
      </c>
      <c r="AB409" s="738" t="s">
        <v>2958</v>
      </c>
      <c r="AC409" s="372" t="str">
        <f>IF($Z$2="","",AA409)</f>
        <v/>
      </c>
      <c r="AD409" s="738"/>
      <c r="AE409" s="738"/>
    </row>
    <row r="410" spans="1:31">
      <c r="A410" t="s">
        <v>2959</v>
      </c>
      <c r="C410" s="357"/>
      <c r="D410" s="58"/>
      <c r="E410" s="58"/>
      <c r="F410" s="58"/>
      <c r="G410" s="58"/>
      <c r="H410" s="58"/>
      <c r="I410" s="58"/>
      <c r="J410" s="58"/>
      <c r="K410" s="58"/>
      <c r="X410" s="232"/>
      <c r="Y410" s="738">
        <v>54</v>
      </c>
      <c r="Z410" s="738" t="str">
        <f>'14. Project Costs'!C171</f>
        <v>Other Developer's Fees</v>
      </c>
      <c r="AA410" s="378">
        <f>'14. Project Costs'!F171</f>
        <v>0</v>
      </c>
      <c r="AB410" s="738" t="s">
        <v>2956</v>
      </c>
      <c r="AC410" s="373"/>
      <c r="AD410" s="738"/>
      <c r="AE410" s="738"/>
    </row>
    <row r="411" spans="1:31">
      <c r="A411" t="s">
        <v>2960</v>
      </c>
      <c r="B411" t="s">
        <v>2961</v>
      </c>
      <c r="C411" s="58">
        <f>PC_FIN_Credit_Enhance_Perm_Loan_Total</f>
        <v>0</v>
      </c>
      <c r="D411" s="356"/>
      <c r="E411" s="356"/>
      <c r="F411" s="356"/>
      <c r="G411" s="58"/>
      <c r="H411" s="58"/>
      <c r="I411" s="58"/>
      <c r="J411" s="58"/>
      <c r="K411" s="58"/>
      <c r="X411" s="232"/>
      <c r="Z411"/>
    </row>
    <row r="412" spans="1:31">
      <c r="A412" t="s">
        <v>2962</v>
      </c>
      <c r="C412" s="58"/>
      <c r="D412" s="356"/>
      <c r="E412" s="356"/>
      <c r="F412" s="356"/>
      <c r="G412" s="58"/>
      <c r="H412" s="58"/>
      <c r="I412" s="58"/>
      <c r="J412" s="58"/>
      <c r="K412" s="58"/>
      <c r="X412" s="232"/>
      <c r="Z412"/>
    </row>
    <row r="413" spans="1:31">
      <c r="A413" t="s">
        <v>2963</v>
      </c>
      <c r="C413" s="58"/>
      <c r="D413" s="356"/>
      <c r="E413" s="356"/>
      <c r="F413" s="356"/>
      <c r="G413" s="58"/>
      <c r="H413" s="58"/>
      <c r="I413" s="58"/>
      <c r="J413" s="58"/>
      <c r="K413" s="58"/>
      <c r="X413" s="232"/>
      <c r="Z413"/>
    </row>
    <row r="414" spans="1:31">
      <c r="A414" t="s">
        <v>2964</v>
      </c>
      <c r="B414" t="s">
        <v>2965</v>
      </c>
      <c r="C414" s="58">
        <f>PC_FIN_Legal_Fees_RE_Total</f>
        <v>0</v>
      </c>
      <c r="D414" s="58">
        <f>IF(OR(Credit_percentage_applied_for="4%",Credit_percentage_applied_for="State + Fed 4%"), '14. Project Costs'!K108, 0)</f>
        <v>0</v>
      </c>
      <c r="E414" s="58">
        <f>IF(Credit_percentage_applied_for="9%",  '14. Project Costs'!K108, 0)</f>
        <v>0</v>
      </c>
      <c r="F414" s="58">
        <f>'14. Project Costs'!L108</f>
        <v>0</v>
      </c>
      <c r="G414" s="58"/>
      <c r="H414" s="58"/>
      <c r="I414" s="58"/>
      <c r="J414" s="58"/>
      <c r="K414" s="58"/>
      <c r="X414" s="232"/>
      <c r="Z414"/>
    </row>
    <row r="415" spans="1:31">
      <c r="A415" t="s">
        <v>2966</v>
      </c>
      <c r="B415" t="s">
        <v>2967</v>
      </c>
      <c r="C415" s="58">
        <f>PC_FIN_Other_Perm_Finan_Total</f>
        <v>0</v>
      </c>
      <c r="D415" s="58">
        <f>IF(OR(Credit_percentage_applied_for="4%",Credit_percentage_applied_for="State + Fed 4%"), '14. Project Costs'!K109, 0)</f>
        <v>0</v>
      </c>
      <c r="E415" s="58">
        <f>IF(Credit_percentage_applied_for="9%", '14. Project Costs'!K109, 0)</f>
        <v>0</v>
      </c>
      <c r="F415" s="58">
        <f>'14. Project Costs'!L109</f>
        <v>0</v>
      </c>
      <c r="G415" s="58"/>
      <c r="H415" s="58"/>
      <c r="I415" s="58"/>
      <c r="J415" s="58"/>
      <c r="K415" s="58"/>
      <c r="X415" s="232"/>
      <c r="Z415"/>
    </row>
    <row r="416" spans="1:31">
      <c r="A416" t="s">
        <v>2968</v>
      </c>
      <c r="C416" s="58"/>
      <c r="D416" s="58"/>
      <c r="E416" s="58"/>
      <c r="F416" s="58"/>
      <c r="G416" s="58"/>
      <c r="H416" s="58"/>
      <c r="I416" s="58"/>
      <c r="J416" s="58"/>
      <c r="K416" s="58"/>
      <c r="X416" s="232"/>
      <c r="Z416"/>
    </row>
    <row r="417" spans="1:26">
      <c r="A417" t="s">
        <v>2969</v>
      </c>
      <c r="C417" s="58"/>
      <c r="D417" s="58"/>
      <c r="E417" s="58"/>
      <c r="F417" s="58"/>
      <c r="G417" s="58"/>
      <c r="H417" s="58"/>
      <c r="I417" s="58"/>
      <c r="J417" s="58"/>
      <c r="K417" s="58"/>
      <c r="X417" s="232"/>
      <c r="Z417"/>
    </row>
    <row r="418" spans="1:26">
      <c r="A418" t="s">
        <v>2970</v>
      </c>
      <c r="B418" t="s">
        <v>2971</v>
      </c>
      <c r="C418" s="58">
        <f>PC_ARC_Arch_Design_Total</f>
        <v>0</v>
      </c>
      <c r="D418" s="58">
        <f>IF(OR(Credit_percentage_applied_for="4%",Credit_percentage_applied_for="State + Fed 4%"), PC_ARC_Arch_Design_4, 0)</f>
        <v>0</v>
      </c>
      <c r="E418" s="58">
        <f>IF(Credit_percentage_applied_for="9%", PC_ARC_Arch_Design_4, 0)</f>
        <v>0</v>
      </c>
      <c r="F418" s="58">
        <f>PC_ARC_Arch_Design_State</f>
        <v>0</v>
      </c>
      <c r="G418" s="58"/>
      <c r="H418" s="58"/>
      <c r="I418" s="58"/>
      <c r="J418" s="58"/>
      <c r="K418" s="58"/>
      <c r="X418" s="232"/>
      <c r="Z418"/>
    </row>
    <row r="419" spans="1:26">
      <c r="A419" t="s">
        <v>2972</v>
      </c>
      <c r="B419" t="s">
        <v>2973</v>
      </c>
      <c r="C419" s="58">
        <f>PC_ARC_Arch_Super_Total</f>
        <v>0</v>
      </c>
      <c r="D419" s="58">
        <f>IF(OR(Credit_percentage_applied_for="4%",Credit_percentage_applied_for="State + Fed 4%"), PC_ARC_Arch_Super_4, 0)</f>
        <v>0</v>
      </c>
      <c r="E419" s="58">
        <f>IF(Credit_percentage_applied_for="9%", PC_ARC_Arch_Super_4, 0)</f>
        <v>0</v>
      </c>
      <c r="F419" s="58">
        <f>PC_ARC_Arch_Super_State</f>
        <v>0</v>
      </c>
      <c r="G419" s="58"/>
      <c r="H419" s="58"/>
      <c r="I419" s="58"/>
      <c r="J419" s="58"/>
      <c r="K419" s="58"/>
      <c r="X419" s="232"/>
      <c r="Z419"/>
    </row>
    <row r="420" spans="1:26">
      <c r="A420" t="s">
        <v>2974</v>
      </c>
      <c r="B420" t="s">
        <v>2975</v>
      </c>
      <c r="C420" s="58">
        <f>PC_ARC_Engineer_Fee_Total</f>
        <v>0</v>
      </c>
      <c r="D420" s="58">
        <f>IF(OR(Credit_percentage_applied_for="4%",Credit_percentage_applied_for="State + Fed 4%"), PC_ARC_Engineer_Fee_4, 0)</f>
        <v>0</v>
      </c>
      <c r="E420" s="58">
        <f>IF(Credit_percentage_applied_for="9%", PC_ARC_Engineer_Fee_4, 0)</f>
        <v>0</v>
      </c>
      <c r="F420" s="58">
        <f>PC_ARC_Engineer_Fee_State</f>
        <v>0</v>
      </c>
      <c r="G420" s="58"/>
      <c r="H420" s="58"/>
      <c r="I420" s="58"/>
      <c r="J420" s="58"/>
      <c r="K420" s="58"/>
      <c r="X420" s="232"/>
      <c r="Z420"/>
    </row>
    <row r="421" spans="1:26">
      <c r="A421" t="s">
        <v>2976</v>
      </c>
      <c r="B421" t="s">
        <v>2977</v>
      </c>
      <c r="C421" s="58">
        <f>PC_ARC_ALTA_Total</f>
        <v>0</v>
      </c>
      <c r="D421" s="71">
        <f>IF(OR(Credit_percentage_applied_for="4%",Credit_percentage_applied_for="State + Fed 4%"), PC_ARC_ALTA_4, 0)</f>
        <v>0</v>
      </c>
      <c r="E421" s="71">
        <f>IF(Credit_percentage_applied_for="9%", PC_ARC_ALTA_4, 0)</f>
        <v>0</v>
      </c>
      <c r="F421" s="71">
        <f>PC_ARC_ALTA_State</f>
        <v>0</v>
      </c>
      <c r="G421" s="71"/>
      <c r="H421" s="71"/>
      <c r="I421" s="71"/>
      <c r="J421" s="71"/>
      <c r="K421" s="71"/>
      <c r="X421" s="232"/>
      <c r="Z421"/>
    </row>
    <row r="422" spans="1:26">
      <c r="A422" t="s">
        <v>2978</v>
      </c>
      <c r="C422" s="72">
        <f>PC_ARC_Other_Arch_Total</f>
        <v>0</v>
      </c>
      <c r="D422" s="358">
        <f>IF(OR(Credit_percentage_applied_for="4%",Credit_percentage_applied_for="State + Fed 4%"), '14. Project Costs'!K109, 0)</f>
        <v>0</v>
      </c>
      <c r="E422" s="358">
        <f>IF(Credit_percentage_applied_for="9%", '14. Project Costs'!K109, 0)</f>
        <v>0</v>
      </c>
      <c r="F422">
        <f>PC_ARC_Other_Arch_State</f>
        <v>0</v>
      </c>
      <c r="X422" s="232"/>
      <c r="Z422"/>
    </row>
    <row r="423" spans="1:26">
      <c r="A423" t="s">
        <v>2979</v>
      </c>
      <c r="B423" s="72"/>
      <c r="C423" s="73"/>
      <c r="D423" s="71"/>
      <c r="E423" s="71"/>
      <c r="X423" s="232"/>
    </row>
    <row r="424" spans="1:26">
      <c r="A424" t="s">
        <v>2980</v>
      </c>
      <c r="B424" s="46"/>
      <c r="X424" s="232"/>
    </row>
    <row r="425" spans="1:26">
      <c r="A425" t="s">
        <v>2981</v>
      </c>
      <c r="B425" s="46"/>
      <c r="X425" s="232"/>
    </row>
    <row r="426" spans="1:26">
      <c r="A426" t="s">
        <v>2982</v>
      </c>
      <c r="B426" s="46"/>
      <c r="X426" s="232"/>
    </row>
    <row r="427" spans="1:26">
      <c r="A427" t="s">
        <v>2983</v>
      </c>
      <c r="B427" s="46"/>
      <c r="X427" s="232"/>
    </row>
    <row r="428" spans="1:26">
      <c r="A428" t="s">
        <v>2982</v>
      </c>
      <c r="B428" s="46"/>
      <c r="X428" s="232"/>
    </row>
    <row r="429" spans="1:26">
      <c r="A429" t="s">
        <v>2984</v>
      </c>
      <c r="B429" s="49" t="s">
        <v>2985</v>
      </c>
      <c r="C429" s="233">
        <f>PC_SYN_Syndication_Fee_Subtotal_Total</f>
        <v>0</v>
      </c>
      <c r="X429" s="232"/>
    </row>
    <row r="430" spans="1:26">
      <c r="A430" t="s">
        <v>2986</v>
      </c>
      <c r="B430" s="48" t="s">
        <v>2701</v>
      </c>
      <c r="C430" s="1743" t="s">
        <v>2702</v>
      </c>
      <c r="D430" s="1743" t="s">
        <v>2703</v>
      </c>
      <c r="E430" s="1743" t="s">
        <v>2704</v>
      </c>
      <c r="F430" s="1743" t="s">
        <v>225</v>
      </c>
      <c r="X430" s="232"/>
    </row>
    <row r="431" spans="1:26">
      <c r="A431" t="s">
        <v>2987</v>
      </c>
      <c r="B431" s="46" t="s">
        <v>2988</v>
      </c>
      <c r="C431">
        <f>PC_CAP_Operating_Expen_Res_Total</f>
        <v>0</v>
      </c>
      <c r="D431" s="359"/>
      <c r="E431" s="359"/>
      <c r="F431" s="359"/>
      <c r="X431" s="232"/>
    </row>
    <row r="432" spans="1:26">
      <c r="A432" t="s">
        <v>2989</v>
      </c>
      <c r="B432" s="46" t="s">
        <v>2990</v>
      </c>
      <c r="C432">
        <f>PC_CAP_Replacement_Reserves_Total</f>
        <v>0</v>
      </c>
      <c r="D432" s="359"/>
      <c r="E432" s="359"/>
      <c r="F432" s="359"/>
      <c r="X432" s="232"/>
    </row>
    <row r="433" spans="1:24">
      <c r="A433" s="844" t="s">
        <v>2991</v>
      </c>
      <c r="B433" s="843" t="s">
        <v>2992</v>
      </c>
      <c r="C433">
        <f>SUM(PC_CAP_Stab_RentUp_Res_Total,PC_CAP_Debt_Serv_Reserve_Total,PC_CAP_Capital_Needs_Res_Total,PC_CAP_Other_Reserve_Total,PC_CAP_Other_Cap_Reserves_Total, PC_CAP_Escrow_Total)</f>
        <v>0</v>
      </c>
      <c r="D433" s="359"/>
      <c r="E433" s="359"/>
      <c r="F433" s="359"/>
      <c r="X433" s="232"/>
    </row>
    <row r="434" spans="1:24">
      <c r="A434" s="844" t="s">
        <v>2993</v>
      </c>
      <c r="B434" s="46"/>
      <c r="C434">
        <f>PC_CAP_Debt_Serv_Reserve_Total</f>
        <v>0</v>
      </c>
      <c r="X434" s="232"/>
    </row>
    <row r="435" spans="1:24">
      <c r="A435" s="844" t="s">
        <v>2994</v>
      </c>
      <c r="B435" s="46"/>
      <c r="C435">
        <f>PC_CAP_Capital_Needs_Res_Total</f>
        <v>0</v>
      </c>
      <c r="X435" s="232"/>
    </row>
    <row r="436" spans="1:24">
      <c r="A436" s="844" t="s">
        <v>2995</v>
      </c>
      <c r="B436" s="46"/>
      <c r="C436">
        <f>PC_CAP_Other_Reserve_Total</f>
        <v>0</v>
      </c>
      <c r="X436" s="232"/>
    </row>
    <row r="437" spans="1:24">
      <c r="A437" s="844" t="s">
        <v>2996</v>
      </c>
      <c r="B437" s="46"/>
      <c r="C437">
        <f>PC_CAP_Escrow_Total</f>
        <v>0</v>
      </c>
      <c r="X437" s="232"/>
    </row>
    <row r="438" spans="1:24">
      <c r="A438" s="844" t="s">
        <v>2997</v>
      </c>
      <c r="B438" s="46"/>
      <c r="C438">
        <f>PC_CAP_Other_Cap_Reserves_Total</f>
        <v>0</v>
      </c>
      <c r="X438" s="232"/>
    </row>
    <row r="439" spans="1:24">
      <c r="A439" t="s">
        <v>2998</v>
      </c>
      <c r="B439" s="46"/>
      <c r="X439" s="232"/>
    </row>
    <row r="440" spans="1:24">
      <c r="A440" t="s">
        <v>2999</v>
      </c>
      <c r="B440" s="46"/>
      <c r="X440" s="232"/>
    </row>
    <row r="441" spans="1:24">
      <c r="A441" t="s">
        <v>3000</v>
      </c>
      <c r="B441" s="48" t="s">
        <v>2701</v>
      </c>
      <c r="C441" s="1743" t="s">
        <v>2702</v>
      </c>
      <c r="D441" s="1743" t="s">
        <v>2703</v>
      </c>
      <c r="E441" s="1743" t="s">
        <v>2704</v>
      </c>
      <c r="F441" s="1743" t="s">
        <v>225</v>
      </c>
      <c r="X441" s="232"/>
    </row>
    <row r="442" spans="1:24">
      <c r="A442" t="s">
        <v>3001</v>
      </c>
      <c r="B442" s="46" t="s">
        <v>3002</v>
      </c>
      <c r="C442">
        <f>PC_RPT_Appraisals_Total</f>
        <v>0</v>
      </c>
      <c r="D442">
        <f>IF(OR(Credit_percentage_applied_for="4%",Credit_percentage_applied_for="State + Fed 4%"), PC_RPT_Appraisals_4, 0)</f>
        <v>0</v>
      </c>
      <c r="E442">
        <f>IF(Credit_percentage_applied_for="9%", PC_RPT_Appraisals_4, 0)</f>
        <v>0</v>
      </c>
      <c r="F442">
        <f>PC_RPT_Appraisals_State</f>
        <v>0</v>
      </c>
      <c r="X442" s="232"/>
    </row>
    <row r="443" spans="1:24" ht="16">
      <c r="A443" t="s">
        <v>3003</v>
      </c>
      <c r="B443" s="355" t="s">
        <v>3003</v>
      </c>
      <c r="C443">
        <f>PC_RPT_Market_Study_Total</f>
        <v>0</v>
      </c>
      <c r="D443">
        <f>IF(OR(Credit_percentage_applied_for="4%",Credit_percentage_applied_for="State + Fed 4%"), PC_RPT_Market_Study_4, 0)</f>
        <v>0</v>
      </c>
      <c r="E443">
        <f>IF(Credit_percentage_applied_for="9%", PC_RPT_Market_Study_4, 0)</f>
        <v>0</v>
      </c>
      <c r="F443">
        <f>PC_RPT_Market_Study_State</f>
        <v>0</v>
      </c>
      <c r="X443" s="232"/>
    </row>
    <row r="444" spans="1:24">
      <c r="A444" t="s">
        <v>3004</v>
      </c>
      <c r="B444" t="s">
        <v>3005</v>
      </c>
      <c r="C444">
        <f>PC_RPT_Physical_Capital_Total</f>
        <v>0</v>
      </c>
      <c r="D444">
        <f>IF(OR(Credit_percentage_applied_for="4%",Credit_percentage_applied_for="State + Fed 4%"), PC_RPT_Physical_Capital_4, 0)</f>
        <v>0</v>
      </c>
      <c r="E444">
        <f>IF(Credit_percentage_applied_for="9%",PC_RPT_Physical_Capital_4, 0)</f>
        <v>0</v>
      </c>
      <c r="F444">
        <f>PC_RPT_Physical_Capital_State</f>
        <v>0</v>
      </c>
      <c r="X444" s="232"/>
    </row>
    <row r="445" spans="1:24">
      <c r="A445" t="s">
        <v>3006</v>
      </c>
      <c r="B445" t="s">
        <v>3007</v>
      </c>
      <c r="C445">
        <f>PC_RPT_Environmental_Study_Total</f>
        <v>0</v>
      </c>
      <c r="D445">
        <f>IF(OR(Credit_percentage_applied_for="4%",Credit_percentage_applied_for="State + Fed 4%"), PC_RPT_Environmental_Study_4, 0)</f>
        <v>0</v>
      </c>
      <c r="E445">
        <f>IF(Credit_percentage_applied_for="9%", PC_RPT_Environmental_Study_4, 0)</f>
        <v>0</v>
      </c>
      <c r="F445">
        <f>PC_RPT_Environmental_Study_State</f>
        <v>0</v>
      </c>
      <c r="G445" t="s">
        <v>3008</v>
      </c>
      <c r="X445" s="232"/>
    </row>
    <row r="446" spans="1:24">
      <c r="A446" t="s">
        <v>3009</v>
      </c>
      <c r="X446" s="232"/>
    </row>
    <row r="447" spans="1:24">
      <c r="A447" t="s">
        <v>3010</v>
      </c>
      <c r="X447" s="232"/>
    </row>
    <row r="448" spans="1:24">
      <c r="A448" t="s">
        <v>3011</v>
      </c>
      <c r="X448" s="232"/>
    </row>
    <row r="449" spans="1:26">
      <c r="A449" t="s">
        <v>3012</v>
      </c>
      <c r="X449" s="232"/>
    </row>
    <row r="450" spans="1:26">
      <c r="A450" t="s">
        <v>3013</v>
      </c>
      <c r="X450" s="232"/>
    </row>
    <row r="451" spans="1:26">
      <c r="A451" t="s">
        <v>3014</v>
      </c>
      <c r="X451" s="232"/>
    </row>
    <row r="452" spans="1:26">
      <c r="A452" t="s">
        <v>3015</v>
      </c>
      <c r="X452" s="232"/>
    </row>
    <row r="453" spans="1:26">
      <c r="A453" t="s">
        <v>3016</v>
      </c>
      <c r="X453" s="232"/>
    </row>
    <row r="454" spans="1:26">
      <c r="A454" t="s">
        <v>3017</v>
      </c>
      <c r="X454" s="232"/>
    </row>
    <row r="455" spans="1:26">
      <c r="A455" t="s">
        <v>3018</v>
      </c>
      <c r="X455" s="232"/>
    </row>
    <row r="456" spans="1:26">
      <c r="A456" t="s">
        <v>3019</v>
      </c>
      <c r="X456" s="232"/>
    </row>
    <row r="457" spans="1:26">
      <c r="A457" t="s">
        <v>3020</v>
      </c>
      <c r="B457" s="48" t="s">
        <v>2701</v>
      </c>
      <c r="C457" s="1743" t="s">
        <v>2702</v>
      </c>
      <c r="D457" s="1743" t="s">
        <v>2703</v>
      </c>
      <c r="E457" s="1743" t="s">
        <v>2704</v>
      </c>
      <c r="F457" s="1743" t="s">
        <v>225</v>
      </c>
      <c r="X457" s="232"/>
    </row>
    <row r="458" spans="1:26">
      <c r="A458" t="s">
        <v>3021</v>
      </c>
      <c r="B458" t="s">
        <v>3022</v>
      </c>
      <c r="C458" s="58">
        <f>PC_SFT_LIHTC_App_Fees_Total+C459+C460</f>
        <v>0</v>
      </c>
      <c r="D458" s="356"/>
      <c r="E458" s="356"/>
      <c r="F458" s="356"/>
      <c r="G458" s="58"/>
      <c r="H458" s="58"/>
      <c r="I458" s="58"/>
      <c r="J458" s="58"/>
      <c r="K458" s="58">
        <f>PC_ACQ_ACQ_Subtotal_Total</f>
        <v>0</v>
      </c>
      <c r="X458" s="232"/>
    </row>
    <row r="459" spans="1:26">
      <c r="A459" t="s">
        <v>3023</v>
      </c>
      <c r="C459" s="58">
        <f>PC_SFT_LIHTC_Reserv_Fees_Total</f>
        <v>0</v>
      </c>
      <c r="D459" s="356"/>
      <c r="E459" s="356"/>
      <c r="F459" s="356"/>
      <c r="G459" s="58"/>
      <c r="H459" s="58"/>
      <c r="I459" s="58"/>
      <c r="J459" s="58"/>
      <c r="K459" s="58">
        <f>PC_CST_New_Constr_Subtotal_Total</f>
        <v>0</v>
      </c>
      <c r="X459" s="232"/>
      <c r="Z459"/>
    </row>
    <row r="460" spans="1:26">
      <c r="A460" t="s">
        <v>3024</v>
      </c>
      <c r="C460" s="58">
        <f>PC_SFT_LIHTC_Monitoring_Fees_Total</f>
        <v>0</v>
      </c>
      <c r="D460" s="356"/>
      <c r="E460" s="356"/>
      <c r="F460" s="356"/>
      <c r="G460" s="58"/>
      <c r="H460" s="58"/>
      <c r="I460" s="58"/>
      <c r="J460" s="58"/>
      <c r="K460" s="58">
        <f>PC_CST_Off_Site_Work_Total</f>
        <v>0</v>
      </c>
      <c r="X460" s="232"/>
      <c r="Z460"/>
    </row>
    <row r="461" spans="1:26">
      <c r="A461" t="s">
        <v>3025</v>
      </c>
      <c r="C461" s="58"/>
      <c r="D461" s="58"/>
      <c r="E461" s="58"/>
      <c r="F461" s="58"/>
      <c r="G461" s="58"/>
      <c r="H461" s="58"/>
      <c r="I461" s="58"/>
      <c r="J461" s="58"/>
      <c r="K461" s="58">
        <f>PC_CST_Site_Subtotal_Total</f>
        <v>0</v>
      </c>
      <c r="X461" s="232"/>
      <c r="Z461"/>
    </row>
    <row r="462" spans="1:26">
      <c r="A462" t="s">
        <v>3026</v>
      </c>
      <c r="C462" s="58">
        <f>PC_SFT_Water_Sewer_Total</f>
        <v>0</v>
      </c>
      <c r="D462" s="58">
        <f>IF(OR(Credit_percentage_applied_for="4%",Credit_percentage_applied_for="State + Fed 4%"), PC_SFT_Water_Sewer_4, 0)</f>
        <v>0</v>
      </c>
      <c r="E462" s="58">
        <f>IF(Credit_percentage_applied_for="9%", PC_SFT_Water_Sewer_4, 0)</f>
        <v>0</v>
      </c>
      <c r="F462" s="58">
        <f>PC_SFT_Water_Sewer_State</f>
        <v>0</v>
      </c>
      <c r="G462" s="58"/>
      <c r="H462" s="58"/>
      <c r="I462" s="58"/>
      <c r="J462" s="58"/>
      <c r="K462" s="58">
        <f>PC_CST_General_Requirements_Total</f>
        <v>0</v>
      </c>
      <c r="X462" s="232"/>
      <c r="Z462"/>
    </row>
    <row r="463" spans="1:26">
      <c r="A463" t="s">
        <v>3027</v>
      </c>
      <c r="C463" s="58"/>
      <c r="D463" s="58"/>
      <c r="E463" s="58"/>
      <c r="F463" s="58"/>
      <c r="G463" s="58"/>
      <c r="H463" s="58"/>
      <c r="I463" s="58"/>
      <c r="J463" s="58"/>
      <c r="K463" s="58">
        <f>PC_CST_Builders_Overhead_Total</f>
        <v>0</v>
      </c>
      <c r="X463" s="232"/>
      <c r="Z463"/>
    </row>
    <row r="464" spans="1:26">
      <c r="A464" t="s">
        <v>3028</v>
      </c>
      <c r="C464" s="58"/>
      <c r="D464" s="58"/>
      <c r="E464" s="58"/>
      <c r="F464" s="58"/>
      <c r="G464" s="58"/>
      <c r="H464" s="58"/>
      <c r="I464" s="58"/>
      <c r="J464" s="58"/>
      <c r="K464" s="58">
        <f>PC_CST_Builders_Profit_Total</f>
        <v>0</v>
      </c>
      <c r="X464" s="232"/>
      <c r="Z464"/>
    </row>
    <row r="465" spans="1:26">
      <c r="A465" t="s">
        <v>3029</v>
      </c>
      <c r="B465" t="s">
        <v>3030</v>
      </c>
      <c r="C465" s="58">
        <f>PC_SFT_Accting_Fees_Total</f>
        <v>0</v>
      </c>
      <c r="D465" s="58">
        <f>IF(OR(Credit_percentage_applied_for="4%",Credit_percentage_applied_for="State + Fed 4%"), PC_SFT_Accting_Fees_4, 0)</f>
        <v>0</v>
      </c>
      <c r="E465" s="58">
        <f>IF(Credit_percentage_applied_for="9%",PC_SFT_Accting_Fees_4,0)</f>
        <v>0</v>
      </c>
      <c r="F465" s="58">
        <f>PC_SFT_Accting_Fees_State</f>
        <v>0</v>
      </c>
      <c r="G465" s="58"/>
      <c r="H465" s="58"/>
      <c r="I465" s="58"/>
      <c r="J465" s="58"/>
      <c r="K465" s="58">
        <f>PC_CST_Constr_Mgmt_Fee_Total</f>
        <v>0</v>
      </c>
      <c r="X465" s="232"/>
      <c r="Z465"/>
    </row>
    <row r="466" spans="1:26">
      <c r="A466" t="s">
        <v>3031</v>
      </c>
      <c r="B466" t="s">
        <v>3032</v>
      </c>
      <c r="C466" s="58">
        <f>'14. Project Costs'!F160</f>
        <v>0</v>
      </c>
      <c r="D466" s="356"/>
      <c r="E466" s="356"/>
      <c r="F466" s="356"/>
      <c r="G466" s="58"/>
      <c r="H466" s="58"/>
      <c r="I466" s="58"/>
      <c r="J466" s="58"/>
      <c r="K466" s="58">
        <f>PC_CST_Builders_Risk_Ins_Total</f>
        <v>0</v>
      </c>
      <c r="X466" s="232"/>
      <c r="Z466"/>
    </row>
    <row r="467" spans="1:26">
      <c r="A467" t="s">
        <v>3033</v>
      </c>
      <c r="C467" s="58"/>
      <c r="D467" s="58"/>
      <c r="E467" s="58"/>
      <c r="F467" s="58"/>
      <c r="G467" s="58"/>
      <c r="H467" s="58"/>
      <c r="I467" s="58"/>
      <c r="J467" s="58"/>
      <c r="K467" s="58">
        <f>PC_CST_Other_Contractor_Fee_Total</f>
        <v>0</v>
      </c>
      <c r="X467" s="232"/>
      <c r="Z467"/>
    </row>
    <row r="468" spans="1:26">
      <c r="A468" t="s">
        <v>3034</v>
      </c>
      <c r="C468" s="58"/>
      <c r="D468" s="58"/>
      <c r="E468" s="58"/>
      <c r="F468" s="58"/>
      <c r="G468" s="58"/>
      <c r="H468" s="58"/>
      <c r="I468" s="58"/>
      <c r="J468" s="58"/>
      <c r="K468" s="58">
        <f>PC_CNT_Contingency_Subtotal_Total</f>
        <v>0</v>
      </c>
      <c r="X468" s="232"/>
      <c r="Z468"/>
    </row>
    <row r="469" spans="1:26">
      <c r="A469" t="s">
        <v>3035</v>
      </c>
      <c r="B469" t="s">
        <v>3036</v>
      </c>
      <c r="C469" s="58">
        <f>PC_SFT_Other_Misc_Costs_Total</f>
        <v>0</v>
      </c>
      <c r="D469" s="58">
        <f>IF(OR(Credit_percentage_applied_for="4%",Credit_percentage_applied_for="State + Fed 4%"), PC_SFT_Other_Misc_Costs_4, 0)</f>
        <v>0</v>
      </c>
      <c r="E469" s="58">
        <f>IF(Credit_percentage_applied_for="9%", PC_SFT_Other_Misc_Costs_4, 0)</f>
        <v>0</v>
      </c>
      <c r="F469" s="58">
        <f>PC_SFT_Other_Misc_Costs_State</f>
        <v>0</v>
      </c>
      <c r="G469" s="58"/>
      <c r="H469" s="58"/>
      <c r="I469" s="58"/>
      <c r="J469" s="58"/>
      <c r="K469" s="58">
        <f>PC_CSP_WHEDA_Fees_Subtotal_Total</f>
        <v>0</v>
      </c>
      <c r="X469" s="232"/>
      <c r="Z469"/>
    </row>
    <row r="470" spans="1:26">
      <c r="A470" t="s">
        <v>3037</v>
      </c>
      <c r="C470" s="58"/>
      <c r="D470" s="58"/>
      <c r="E470" s="58"/>
      <c r="F470" s="58"/>
      <c r="G470" s="58"/>
      <c r="H470" s="58"/>
      <c r="I470" s="58"/>
      <c r="J470" s="58"/>
      <c r="K470" s="58">
        <f>PC_CSP_Bonding_Fee_Subtotal_Total</f>
        <v>0</v>
      </c>
      <c r="X470" s="232"/>
      <c r="Z470"/>
    </row>
    <row r="471" spans="1:26">
      <c r="A471" t="s">
        <v>3038</v>
      </c>
      <c r="C471" s="58"/>
      <c r="D471" s="58"/>
      <c r="E471" s="58"/>
      <c r="F471" s="58"/>
      <c r="G471" s="58"/>
      <c r="H471" s="58"/>
      <c r="I471" s="58"/>
      <c r="J471" s="58"/>
      <c r="K471" s="58">
        <f>PC_CSP_Other_Lender_Subtotal_Total</f>
        <v>0</v>
      </c>
      <c r="X471" s="232"/>
      <c r="Z471"/>
    </row>
    <row r="472" spans="1:26">
      <c r="A472" t="s">
        <v>3039</v>
      </c>
      <c r="B472" s="48" t="s">
        <v>2701</v>
      </c>
      <c r="C472" s="1743" t="s">
        <v>2702</v>
      </c>
      <c r="D472" s="1743" t="s">
        <v>2703</v>
      </c>
      <c r="E472" s="1743" t="s">
        <v>2704</v>
      </c>
      <c r="F472" s="1743" t="s">
        <v>225</v>
      </c>
      <c r="G472" s="58"/>
      <c r="H472" s="58"/>
      <c r="I472" s="58"/>
      <c r="J472" s="58"/>
      <c r="K472" s="58">
        <f>PC_CSP_Contractor_Related_Fees_Subtotal_Total</f>
        <v>0</v>
      </c>
      <c r="X472" s="232"/>
      <c r="Z472"/>
    </row>
    <row r="473" spans="1:26">
      <c r="A473" t="s">
        <v>3040</v>
      </c>
      <c r="B473" t="s">
        <v>3041</v>
      </c>
      <c r="C473" s="58">
        <f>PC_DEV_Dev_Fee_Received_Total+C475+C478</f>
        <v>0</v>
      </c>
      <c r="D473" s="58">
        <f>IF(OR(Credit_percentage_applied_for="4%",Credit_percentage_applied_for="State + Fed 4%"), PC_DEV_Dev_Fee_Received_4 +D475 +D478, 0)</f>
        <v>0</v>
      </c>
      <c r="E473" s="58">
        <f>IF(Credit_percentage_applied_for="9%", PC_DEV_Dev_Fee_Received_4 +E475 +E478, 0)</f>
        <v>0</v>
      </c>
      <c r="F473" s="58">
        <f>PC_DEV_Dev_Fee_Received_State+F475+F478</f>
        <v>0</v>
      </c>
      <c r="G473" s="58"/>
      <c r="H473" s="58"/>
      <c r="I473" s="58"/>
      <c r="J473" s="58"/>
      <c r="K473" s="58">
        <f>PC_FIN_Permanent_Loan_Fees_Subtotal_Total</f>
        <v>0</v>
      </c>
      <c r="X473" s="232"/>
      <c r="Z473"/>
    </row>
    <row r="474" spans="1:26">
      <c r="A474" t="s">
        <v>3042</v>
      </c>
      <c r="B474" t="s">
        <v>3043</v>
      </c>
      <c r="C474" s="58">
        <f>PC_DEV_Dev_Fee_Deferred_Total</f>
        <v>0</v>
      </c>
      <c r="D474" s="58">
        <f>IF(OR(Credit_percentage_applied_for="4%",Credit_percentage_applied_for="State + Fed 4%"), PC_DEV_Dev_Fee_Deferred_4, 0)</f>
        <v>0</v>
      </c>
      <c r="E474" s="58">
        <f>IF(Credit_percentage_applied_for="9%", PC_DEV_Dev_Fee_Deferred_4, 0)</f>
        <v>0</v>
      </c>
      <c r="F474" s="58">
        <f>PC_DEV_Dev_Fee_Deferred_State</f>
        <v>0</v>
      </c>
      <c r="G474" s="58"/>
      <c r="H474" s="58"/>
      <c r="I474" s="58"/>
      <c r="J474" s="58"/>
      <c r="K474" s="58">
        <f>PC_ARC_Arch_Design_Total</f>
        <v>0</v>
      </c>
      <c r="X474" s="232"/>
      <c r="Z474"/>
    </row>
    <row r="475" spans="1:26">
      <c r="A475" t="s">
        <v>3044</v>
      </c>
      <c r="C475" s="58">
        <f>PC_DEV_Dev_Overhead_Total</f>
        <v>0</v>
      </c>
      <c r="D475" s="58">
        <f>IF(OR(Credit_percentage_applied_for="4%",Credit_percentage_applied_for="State + Fed 4%"), PC_DEV_Dev_Overhead_4, 0)</f>
        <v>0</v>
      </c>
      <c r="E475" s="58">
        <f>IF(Credit_percentage_applied_for="9%", PC_DEV_Dev_Overhead_4, 0)</f>
        <v>0</v>
      </c>
      <c r="F475" s="58">
        <f>PC_DEV_Dev_Overhead_State</f>
        <v>0</v>
      </c>
      <c r="G475" s="58"/>
      <c r="H475" s="58"/>
      <c r="I475" s="58"/>
      <c r="J475" s="58"/>
      <c r="K475" s="58">
        <f>PC_ARC_Arch_Super_Total</f>
        <v>0</v>
      </c>
      <c r="X475" s="232"/>
      <c r="Z475"/>
    </row>
    <row r="476" spans="1:26">
      <c r="A476" t="s">
        <v>3045</v>
      </c>
      <c r="B476" t="s">
        <v>3046</v>
      </c>
      <c r="C476" s="58">
        <f>PC_DEV_Consult_Agent_Total</f>
        <v>0</v>
      </c>
      <c r="D476" s="58">
        <f>IF(OR(Credit_percentage_applied_for="4%",Credit_percentage_applied_for="State + Fed 4%"), PC_DEV_Consult_Agent_4, 0)</f>
        <v>0</v>
      </c>
      <c r="E476" s="58">
        <f>IF(Credit_percentage_applied_for="9%", PC_DEV_Consult_Agent_4, 0)</f>
        <v>0</v>
      </c>
      <c r="F476" s="58">
        <f>PC_DEV_Consult_Agent_State</f>
        <v>0</v>
      </c>
      <c r="G476" s="58"/>
      <c r="H476" s="58"/>
      <c r="I476" s="58"/>
      <c r="J476" s="58"/>
      <c r="K476" s="58">
        <f>PC_ARC_Engineer_Fee_Total</f>
        <v>0</v>
      </c>
      <c r="X476" s="232"/>
      <c r="Z476"/>
    </row>
    <row r="477" spans="1:26">
      <c r="A477" t="s">
        <v>3047</v>
      </c>
      <c r="C477" s="58"/>
      <c r="D477" s="58"/>
      <c r="E477" s="58"/>
      <c r="F477" s="58"/>
      <c r="G477" s="58"/>
      <c r="H477" s="58"/>
      <c r="I477" s="58"/>
      <c r="J477" s="58"/>
      <c r="K477" s="58">
        <f>PC_ARC_ALTA_Total</f>
        <v>0</v>
      </c>
      <c r="X477" s="232"/>
      <c r="Z477"/>
    </row>
    <row r="478" spans="1:26">
      <c r="A478" t="s">
        <v>3048</v>
      </c>
      <c r="C478" s="58">
        <f>PC_DEV_Other_Dev_Fees_Total</f>
        <v>0</v>
      </c>
      <c r="D478" s="58">
        <f>IF(OR(Credit_percentage_applied_for="4%",Credit_percentage_applied_for="State + Fed 4%"), PC_DEV_Other_Dev_Fees_4, 0)</f>
        <v>0</v>
      </c>
      <c r="E478" s="58">
        <f>IF(Credit_percentage_applied_for="9%", PC_DEV_Other_Dev_Fees_4, 0)</f>
        <v>0</v>
      </c>
      <c r="F478" s="58">
        <f>PC_DEV_Other_Dev_Fees_State</f>
        <v>0</v>
      </c>
      <c r="G478" s="58"/>
      <c r="H478" s="58"/>
      <c r="I478" s="58"/>
      <c r="J478" s="58"/>
      <c r="K478" s="58">
        <f>PC_ARC_Other_Arch_Total</f>
        <v>0</v>
      </c>
      <c r="X478" s="232"/>
      <c r="Z478"/>
    </row>
    <row r="479" spans="1:26">
      <c r="A479" t="s">
        <v>3049</v>
      </c>
      <c r="C479" s="58"/>
      <c r="D479" s="58"/>
      <c r="E479" s="58"/>
      <c r="F479" s="58"/>
      <c r="G479" s="58"/>
      <c r="H479" s="58"/>
      <c r="I479" s="58"/>
      <c r="J479" s="58"/>
      <c r="K479" s="58">
        <f>PC_SYN_Syndication_Fee_Subtotal_Total</f>
        <v>0</v>
      </c>
      <c r="X479" s="232"/>
      <c r="Z479"/>
    </row>
    <row r="480" spans="1:26">
      <c r="A480" t="s">
        <v>3050</v>
      </c>
      <c r="C480" s="58"/>
      <c r="D480" s="58"/>
      <c r="E480" s="58"/>
      <c r="F480" s="58"/>
      <c r="G480" s="58"/>
      <c r="H480" s="58"/>
      <c r="I480" s="58"/>
      <c r="J480" s="58"/>
      <c r="K480" s="58">
        <f>PC_CAP_Capitalized_Reserv_Subtotal_Total</f>
        <v>0</v>
      </c>
      <c r="X480" s="232"/>
      <c r="Z480"/>
    </row>
    <row r="481" spans="1:26">
      <c r="A481"/>
      <c r="C481" s="58"/>
      <c r="D481" s="58"/>
      <c r="E481" s="58"/>
      <c r="F481" s="58"/>
      <c r="G481" s="58"/>
      <c r="H481" s="58"/>
      <c r="I481" s="58"/>
      <c r="J481" s="58"/>
      <c r="K481" s="58">
        <f>PC_RPT_Appraisals_Total</f>
        <v>0</v>
      </c>
      <c r="X481" s="232"/>
      <c r="Z481"/>
    </row>
    <row r="482" spans="1:26">
      <c r="A482"/>
      <c r="C482" s="58"/>
      <c r="D482" s="58"/>
      <c r="E482" s="58"/>
      <c r="F482" s="58"/>
      <c r="G482" s="58"/>
      <c r="H482" s="58"/>
      <c r="I482" s="58"/>
      <c r="J482" s="58"/>
      <c r="K482" s="58">
        <f>PC_RPT_Market_Study_Total</f>
        <v>0</v>
      </c>
      <c r="X482" s="232"/>
      <c r="Z482"/>
    </row>
    <row r="483" spans="1:26">
      <c r="A483" t="s">
        <v>811</v>
      </c>
      <c r="B483" s="48" t="s">
        <v>2701</v>
      </c>
      <c r="C483" s="1743" t="s">
        <v>2702</v>
      </c>
      <c r="D483" s="1743" t="s">
        <v>2703</v>
      </c>
      <c r="E483" s="1743" t="s">
        <v>2704</v>
      </c>
      <c r="F483" s="1743" t="s">
        <v>225</v>
      </c>
      <c r="G483" s="58"/>
      <c r="H483" s="58"/>
      <c r="I483" s="58"/>
      <c r="J483" s="58"/>
      <c r="K483" s="58">
        <f>PC_RPT_Physical_Capital_Total</f>
        <v>0</v>
      </c>
      <c r="X483" s="232"/>
      <c r="Z483"/>
    </row>
    <row r="484" spans="1:26">
      <c r="A484" t="s">
        <v>3051</v>
      </c>
      <c r="C484" s="58"/>
      <c r="D484" s="58"/>
      <c r="E484" s="58"/>
      <c r="F484" s="58"/>
      <c r="G484" s="58"/>
      <c r="H484" s="58"/>
      <c r="I484" s="58"/>
      <c r="J484" s="58"/>
      <c r="K484" s="58">
        <f>PC_RPT_Environmental_Study_Total</f>
        <v>0</v>
      </c>
      <c r="X484" s="232"/>
      <c r="Z484"/>
    </row>
    <row r="485" spans="1:26">
      <c r="A485" t="s">
        <v>3052</v>
      </c>
      <c r="C485" s="58"/>
      <c r="D485" s="58"/>
      <c r="E485" s="58"/>
      <c r="F485" s="58"/>
      <c r="G485" s="58"/>
      <c r="H485" s="58"/>
      <c r="I485" s="58"/>
      <c r="J485" s="58"/>
      <c r="K485" s="58"/>
      <c r="X485" s="232"/>
      <c r="Z485"/>
    </row>
    <row r="486" spans="1:26">
      <c r="A486" t="s">
        <v>3053</v>
      </c>
      <c r="C486" s="58"/>
      <c r="D486" s="58"/>
      <c r="E486" s="58"/>
      <c r="F486" s="58"/>
      <c r="G486" s="58"/>
      <c r="H486" s="58"/>
      <c r="I486" s="58"/>
      <c r="J486" s="58"/>
      <c r="K486" s="58">
        <f>PC_SFT_Other_SC_Subtotal_Total</f>
        <v>0</v>
      </c>
      <c r="X486" s="232"/>
      <c r="Z486"/>
    </row>
    <row r="487" spans="1:26">
      <c r="A487" t="s">
        <v>3054</v>
      </c>
      <c r="C487" s="58"/>
      <c r="D487" s="58"/>
      <c r="E487" s="58"/>
      <c r="F487" s="58"/>
      <c r="G487" s="58"/>
      <c r="H487" s="58"/>
      <c r="I487" s="58"/>
      <c r="J487" s="58"/>
      <c r="K487" s="58">
        <f>PC_DEV_Developer_Costs_Subtotal_Total</f>
        <v>0</v>
      </c>
      <c r="X487" s="232"/>
      <c r="Z487"/>
    </row>
    <row r="488" spans="1:26">
      <c r="A488" t="s">
        <v>3055</v>
      </c>
      <c r="C488" s="58"/>
      <c r="D488" s="71"/>
      <c r="E488" s="71"/>
      <c r="F488" s="71"/>
      <c r="G488" s="71"/>
      <c r="H488" s="71"/>
      <c r="I488" s="71"/>
      <c r="J488" s="71"/>
      <c r="K488" s="71">
        <f>PC_DEV_Dev_Fee_Deferred_Total</f>
        <v>0</v>
      </c>
      <c r="X488" s="232"/>
      <c r="Z488"/>
    </row>
    <row r="489" spans="1:26">
      <c r="A489" t="s">
        <v>3056</v>
      </c>
      <c r="C489" s="72"/>
      <c r="X489" s="232"/>
      <c r="Z489"/>
    </row>
    <row r="490" spans="1:26">
      <c r="A490" t="s">
        <v>3057</v>
      </c>
      <c r="B490" s="72"/>
      <c r="C490" s="73"/>
      <c r="D490" s="71"/>
      <c r="E490" s="71"/>
      <c r="X490" s="232"/>
    </row>
    <row r="491" spans="1:26">
      <c r="A491" t="s">
        <v>3058</v>
      </c>
      <c r="B491" s="46"/>
      <c r="X491" s="232"/>
    </row>
    <row r="492" spans="1:26">
      <c r="A492" t="s">
        <v>3059</v>
      </c>
      <c r="B492" s="46"/>
      <c r="X492" s="232"/>
    </row>
    <row r="493" spans="1:26">
      <c r="A493" t="s">
        <v>3060</v>
      </c>
      <c r="B493" s="46"/>
      <c r="X493" s="232"/>
    </row>
    <row r="494" spans="1:26">
      <c r="A494" t="s">
        <v>3061</v>
      </c>
      <c r="B494" s="46" t="s">
        <v>3061</v>
      </c>
      <c r="C494" s="653">
        <f>'15. Credit Calculation'!H9</f>
        <v>0</v>
      </c>
      <c r="D494" s="70">
        <f>'15. Credit Calculation'!H9</f>
        <v>0</v>
      </c>
      <c r="E494" s="70">
        <f>'15. Credit Calculation'!H24</f>
        <v>0</v>
      </c>
      <c r="F494" s="70">
        <f>'15. Credit Calculation'!P24</f>
        <v>0</v>
      </c>
      <c r="X494" s="232"/>
    </row>
    <row r="495" spans="1:26">
      <c r="A495" t="s">
        <v>3062</v>
      </c>
      <c r="B495" s="46"/>
      <c r="X495" s="232"/>
    </row>
    <row r="496" spans="1:26">
      <c r="A496" t="s">
        <v>3063</v>
      </c>
      <c r="B496" s="46" t="s">
        <v>3064</v>
      </c>
      <c r="C496" s="233"/>
      <c r="D496" s="70">
        <f>'15. Credit Calculation'!P11</f>
        <v>0.04</v>
      </c>
      <c r="E496" s="70">
        <f>VALUE('15. Credit Calculation'!H26)</f>
        <v>0</v>
      </c>
      <c r="F496" s="70">
        <f>'15. Credit Calculation'!P26</f>
        <v>0</v>
      </c>
      <c r="X496" s="232"/>
    </row>
    <row r="497" spans="1:24">
      <c r="A497" t="s">
        <v>3065</v>
      </c>
      <c r="B497" s="46"/>
      <c r="X497" s="232"/>
    </row>
    <row r="498" spans="1:24">
      <c r="A498" t="s">
        <v>3066</v>
      </c>
      <c r="B498" s="46"/>
      <c r="X498" s="232"/>
    </row>
    <row r="499" spans="1:24">
      <c r="A499" t="s">
        <v>3067</v>
      </c>
      <c r="B499" s="46"/>
      <c r="X499" s="232"/>
    </row>
    <row r="500" spans="1:24">
      <c r="A500" t="s">
        <v>3068</v>
      </c>
      <c r="B500" s="46"/>
      <c r="X500" s="232"/>
    </row>
    <row r="501" spans="1:24">
      <c r="A501" t="s">
        <v>3069</v>
      </c>
      <c r="B501" s="46"/>
      <c r="X501" s="232"/>
    </row>
    <row r="502" spans="1:24">
      <c r="A502" t="s">
        <v>2869</v>
      </c>
      <c r="B502" s="46"/>
      <c r="X502" s="232"/>
    </row>
    <row r="503" spans="1:24">
      <c r="A503" t="s">
        <v>3070</v>
      </c>
      <c r="B503" s="46"/>
      <c r="X503" s="232"/>
    </row>
    <row r="504" spans="1:24">
      <c r="A504" t="s">
        <v>3071</v>
      </c>
      <c r="B504" s="46" t="s">
        <v>3072</v>
      </c>
      <c r="C504" s="233"/>
      <c r="D504" t="str">
        <f>'14. Project Costs'!G196</f>
        <v/>
      </c>
      <c r="E504" t="str">
        <f>'14. Project Costs'!F196</f>
        <v/>
      </c>
      <c r="F504" t="str">
        <f>'14. Project Costs'!I196</f>
        <v/>
      </c>
      <c r="X504" s="232"/>
    </row>
    <row r="505" spans="1:24">
      <c r="A505" t="s">
        <v>3073</v>
      </c>
      <c r="B505" s="46" t="s">
        <v>3074</v>
      </c>
      <c r="C505" s="233"/>
      <c r="D505" t="str">
        <f>'14. Project Costs'!G197</f>
        <v/>
      </c>
      <c r="E505" t="str">
        <f>'14. Project Costs'!F197</f>
        <v/>
      </c>
      <c r="F505" t="str">
        <f>'14. Project Costs'!I197</f>
        <v/>
      </c>
      <c r="X505" s="232"/>
    </row>
    <row r="506" spans="1:24">
      <c r="A506" t="s">
        <v>3075</v>
      </c>
      <c r="B506" s="46" t="s">
        <v>3076</v>
      </c>
      <c r="C506" s="233"/>
      <c r="D506" t="str">
        <f>'14. Project Costs'!G198</f>
        <v/>
      </c>
      <c r="E506" t="str">
        <f>'14. Project Costs'!F198</f>
        <v/>
      </c>
      <c r="F506" t="str">
        <f>'14. Project Costs'!I198</f>
        <v/>
      </c>
      <c r="X506" s="232"/>
    </row>
    <row r="507" spans="1:24">
      <c r="A507" t="s">
        <v>3077</v>
      </c>
      <c r="B507" s="46" t="s">
        <v>3078</v>
      </c>
      <c r="C507" s="233"/>
      <c r="D507" t="str">
        <f>'14. Project Costs'!G199</f>
        <v/>
      </c>
      <c r="E507" t="str">
        <f>'14. Project Costs'!F199</f>
        <v/>
      </c>
      <c r="F507" t="str">
        <f>'14. Project Costs'!I199</f>
        <v/>
      </c>
      <c r="X507" s="232"/>
    </row>
    <row r="508" spans="1:24">
      <c r="A508" t="s">
        <v>3079</v>
      </c>
      <c r="B508" s="46"/>
      <c r="X508" s="232"/>
    </row>
    <row r="509" spans="1:24">
      <c r="A509" t="s">
        <v>3080</v>
      </c>
      <c r="B509" s="369">
        <f>SUM('14. Project Costs'!F211:G211)</f>
        <v>0</v>
      </c>
      <c r="E509" t="str">
        <f>'14. Project Costs'!I201</f>
        <v/>
      </c>
      <c r="X509" s="232"/>
    </row>
    <row r="510" spans="1:24" ht="16">
      <c r="A510" t="s">
        <v>3081</v>
      </c>
      <c r="B510" s="47" t="s">
        <v>2869</v>
      </c>
      <c r="E510" t="str">
        <f>'14. Project Costs'!I202</f>
        <v/>
      </c>
      <c r="X510" s="232"/>
    </row>
    <row r="511" spans="1:24">
      <c r="A511" t="s">
        <v>3082</v>
      </c>
      <c r="E511" t="str">
        <f>'14. Project Costs'!I203</f>
        <v/>
      </c>
      <c r="X511" s="232"/>
    </row>
    <row r="512" spans="1:24">
      <c r="A512" t="s">
        <v>3083</v>
      </c>
      <c r="E512" t="str">
        <f>'14. Project Costs'!I204</f>
        <v/>
      </c>
      <c r="X512" s="232"/>
    </row>
    <row r="513" spans="1:24">
      <c r="A513" t="s">
        <v>3084</v>
      </c>
      <c r="X513" s="232"/>
    </row>
    <row r="514" spans="1:24">
      <c r="A514" t="s">
        <v>3085</v>
      </c>
      <c r="X514" s="232"/>
    </row>
    <row r="515" spans="1:24">
      <c r="A515" t="s">
        <v>3086</v>
      </c>
      <c r="X515" s="232"/>
    </row>
    <row r="516" spans="1:24">
      <c r="A516" t="s">
        <v>3087</v>
      </c>
      <c r="B516" t="s">
        <v>3088</v>
      </c>
      <c r="C516">
        <f>SUM('14. Project Costs'!F214:I214)</f>
        <v>0</v>
      </c>
      <c r="X516" s="232"/>
    </row>
    <row r="517" spans="1:24">
      <c r="X517" s="232"/>
    </row>
    <row r="518" spans="1:24">
      <c r="X518" s="232"/>
    </row>
    <row r="519" spans="1:24">
      <c r="X519" s="232"/>
    </row>
    <row r="520" spans="1:24">
      <c r="X520" s="232"/>
    </row>
    <row r="521" spans="1:24">
      <c r="B521" s="48"/>
      <c r="X521" s="232"/>
    </row>
    <row r="522" spans="1:24">
      <c r="A522" s="48" t="s">
        <v>3089</v>
      </c>
      <c r="X522" s="232"/>
    </row>
    <row r="523" spans="1:24">
      <c r="B523" s="49" t="s">
        <v>3090</v>
      </c>
      <c r="X523" s="232"/>
    </row>
    <row r="524" spans="1:24">
      <c r="B524" s="46" t="s">
        <v>3091</v>
      </c>
      <c r="C524">
        <f>Convention_and_Meetings</f>
        <v>0</v>
      </c>
      <c r="F524" t="s">
        <v>3092</v>
      </c>
      <c r="G524" s="67">
        <f>Subtotal__Rent_Expense</f>
        <v>0</v>
      </c>
      <c r="X524" s="232"/>
    </row>
    <row r="525" spans="1:24">
      <c r="B525" s="46" t="s">
        <v>3093</v>
      </c>
      <c r="C525">
        <f>Management_Consultants</f>
        <v>0</v>
      </c>
      <c r="F525" t="s">
        <v>3094</v>
      </c>
      <c r="G525" s="67">
        <f>Subtotal__Administrative_Expenses</f>
        <v>0</v>
      </c>
      <c r="X525" s="232"/>
    </row>
    <row r="526" spans="1:24">
      <c r="B526" s="46" t="s">
        <v>3095</v>
      </c>
      <c r="C526">
        <f>Advertising___Marketing_Expense</f>
        <v>0</v>
      </c>
      <c r="D526">
        <f>C524+C525+C526</f>
        <v>0</v>
      </c>
      <c r="F526" t="s">
        <v>3096</v>
      </c>
      <c r="G526" s="67">
        <f>Subtotal__Utilities_Expenses</f>
        <v>0</v>
      </c>
      <c r="X526" s="232"/>
    </row>
    <row r="527" spans="1:24">
      <c r="B527" s="46" t="s">
        <v>3097</v>
      </c>
      <c r="C527">
        <f>Expenses_Other</f>
        <v>0</v>
      </c>
      <c r="F527" t="s">
        <v>3098</v>
      </c>
      <c r="G527" s="67">
        <f>Subtotal__Operating___Maintenance_Expenses</f>
        <v>0</v>
      </c>
      <c r="X527" s="232"/>
    </row>
    <row r="528" spans="1:24">
      <c r="B528" s="46"/>
      <c r="F528" t="s">
        <v>3099</v>
      </c>
      <c r="G528" s="67">
        <f>Subtotal__Taxes_and_Insurance</f>
        <v>0</v>
      </c>
      <c r="X528" s="232"/>
    </row>
    <row r="529" spans="2:24">
      <c r="B529" s="49" t="s">
        <v>3100</v>
      </c>
      <c r="F529" t="s">
        <v>3101</v>
      </c>
      <c r="G529" s="67">
        <f>Subtotal__Service_Expense</f>
        <v>0</v>
      </c>
      <c r="X529" s="232"/>
    </row>
    <row r="530" spans="2:24">
      <c r="B530" s="46" t="s">
        <v>3102</v>
      </c>
      <c r="C530">
        <f>Office_Salaries</f>
        <v>0</v>
      </c>
      <c r="F530" t="s">
        <v>3103</v>
      </c>
      <c r="G530" s="67">
        <f>Total_Operating_Expenses</f>
        <v>0</v>
      </c>
      <c r="X530" s="232"/>
    </row>
    <row r="531" spans="2:24">
      <c r="B531" s="46" t="s">
        <v>3104</v>
      </c>
      <c r="C531">
        <f>Office_Expenses</f>
        <v>0</v>
      </c>
      <c r="F531" t="s">
        <v>3105</v>
      </c>
      <c r="G531" s="67">
        <f>Per_Unit_Per_Month</f>
        <v>0</v>
      </c>
      <c r="X531" s="232"/>
    </row>
    <row r="532" spans="2:24">
      <c r="B532" s="46" t="s">
        <v>3106</v>
      </c>
      <c r="C532">
        <f>Office_or_Model_Apartment_Rent</f>
        <v>0</v>
      </c>
      <c r="X532" s="232"/>
    </row>
    <row r="533" spans="2:24">
      <c r="B533" s="46" t="s">
        <v>3107</v>
      </c>
      <c r="C533">
        <f>Management_Fee___Residential_Rents</f>
        <v>0</v>
      </c>
      <c r="X533" s="232"/>
    </row>
    <row r="534" spans="2:24">
      <c r="B534" s="46" t="s">
        <v>3108</v>
      </c>
      <c r="C534">
        <f>Management_Fee___Commercial_Rents</f>
        <v>0</v>
      </c>
      <c r="X534" s="232"/>
    </row>
    <row r="535" spans="2:24">
      <c r="B535" s="46" t="s">
        <v>3109</v>
      </c>
      <c r="C535">
        <f>Management_Fee___Misc._Income</f>
        <v>0</v>
      </c>
      <c r="D535">
        <f>C533+C534+C535</f>
        <v>0</v>
      </c>
      <c r="X535" s="232"/>
    </row>
    <row r="536" spans="2:24">
      <c r="B536" s="46" t="s">
        <v>3110</v>
      </c>
      <c r="C536">
        <f>Manager_Superintendent_Salaries</f>
        <v>0</v>
      </c>
      <c r="X536" s="232"/>
    </row>
    <row r="537" spans="2:24">
      <c r="B537" s="46" t="s">
        <v>3111</v>
      </c>
      <c r="C537">
        <f>Administrative_Rent___Free_Unit</f>
        <v>0</v>
      </c>
      <c r="X537" s="232"/>
    </row>
    <row r="538" spans="2:24">
      <c r="B538" s="46" t="s">
        <v>3112</v>
      </c>
      <c r="C538">
        <f>Legal_Expenses___Project_Only</f>
        <v>0</v>
      </c>
      <c r="X538" s="232"/>
    </row>
    <row r="539" spans="2:24">
      <c r="B539" s="46" t="s">
        <v>3113</v>
      </c>
      <c r="C539">
        <f>Auditing_Expenses___Project_Only</f>
        <v>0</v>
      </c>
      <c r="X539" s="232"/>
    </row>
    <row r="540" spans="2:24">
      <c r="B540" s="46" t="s">
        <v>3114</v>
      </c>
      <c r="C540">
        <f>Bookkeeping_Fees_Accounting_Services</f>
        <v>0</v>
      </c>
      <c r="X540" s="232"/>
    </row>
    <row r="541" spans="2:24">
      <c r="B541" s="46" t="s">
        <v>3115</v>
      </c>
      <c r="C541">
        <f>Tax_Credit_Monitoring_Fees</f>
        <v>0</v>
      </c>
      <c r="X541" s="232"/>
    </row>
    <row r="542" spans="2:24">
      <c r="B542" s="46" t="s">
        <v>3116</v>
      </c>
      <c r="C542">
        <f>Bad_Debt_Expense</f>
        <v>0</v>
      </c>
      <c r="X542" s="232"/>
    </row>
    <row r="543" spans="2:24">
      <c r="B543" s="46" t="s">
        <v>3117</v>
      </c>
      <c r="C543">
        <f>Other_Administrative_Expenses</f>
        <v>0</v>
      </c>
      <c r="D543">
        <f>C542+C543</f>
        <v>0</v>
      </c>
      <c r="X543" s="232"/>
    </row>
    <row r="544" spans="2:24">
      <c r="B544" s="50"/>
      <c r="X544" s="232"/>
    </row>
    <row r="545" spans="2:24">
      <c r="B545" s="49" t="s">
        <v>3118</v>
      </c>
      <c r="X545" s="232"/>
    </row>
    <row r="546" spans="2:24">
      <c r="B546" s="46" t="s">
        <v>3119</v>
      </c>
      <c r="C546">
        <f>Fuel_Oil</f>
        <v>0</v>
      </c>
      <c r="X546" s="232"/>
    </row>
    <row r="547" spans="2:24">
      <c r="B547" s="46" t="s">
        <v>3120</v>
      </c>
      <c r="C547">
        <f>Electricity</f>
        <v>0</v>
      </c>
      <c r="X547" s="232"/>
    </row>
    <row r="548" spans="2:24">
      <c r="B548" s="46" t="s">
        <v>3121</v>
      </c>
      <c r="C548">
        <f>Water</f>
        <v>0</v>
      </c>
      <c r="X548" s="232"/>
    </row>
    <row r="549" spans="2:24">
      <c r="B549" s="46" t="s">
        <v>255</v>
      </c>
      <c r="C549">
        <f>Gas</f>
        <v>0</v>
      </c>
      <c r="X549" s="232"/>
    </row>
    <row r="550" spans="2:24">
      <c r="B550" s="46" t="s">
        <v>3122</v>
      </c>
      <c r="C550">
        <f>Sewer</f>
        <v>0</v>
      </c>
      <c r="X550" s="232"/>
    </row>
    <row r="551" spans="2:24">
      <c r="B551" s="46" t="s">
        <v>3123</v>
      </c>
      <c r="C551">
        <f>+Owner___Paid_Amenities</f>
        <v>0</v>
      </c>
      <c r="X551" s="232"/>
    </row>
    <row r="552" spans="2:24">
      <c r="B552" s="51"/>
      <c r="X552" s="232"/>
    </row>
    <row r="553" spans="2:24">
      <c r="B553" s="49" t="s">
        <v>3124</v>
      </c>
      <c r="X553" s="232"/>
    </row>
    <row r="554" spans="2:24">
      <c r="B554" s="46" t="s">
        <v>3125</v>
      </c>
      <c r="C554">
        <f>Payroll</f>
        <v>0</v>
      </c>
      <c r="X554" s="232"/>
    </row>
    <row r="555" spans="2:24">
      <c r="B555" s="46" t="s">
        <v>3126</v>
      </c>
      <c r="C555">
        <f>Supplies</f>
        <v>0</v>
      </c>
      <c r="X555" s="232"/>
    </row>
    <row r="556" spans="2:24">
      <c r="B556" s="46" t="s">
        <v>3127</v>
      </c>
      <c r="C556">
        <f>Contracts</f>
        <v>0</v>
      </c>
      <c r="X556" s="232"/>
    </row>
    <row r="557" spans="2:24">
      <c r="B557" s="46" t="s">
        <v>3128</v>
      </c>
      <c r="C557">
        <f>Operating_and_Maintenance_Rent_Fee_Unit</f>
        <v>0</v>
      </c>
      <c r="X557" s="232"/>
    </row>
    <row r="558" spans="2:24">
      <c r="B558" s="46" t="s">
        <v>3129</v>
      </c>
      <c r="C558">
        <f>Garbage_and_Trash_Removal</f>
        <v>0</v>
      </c>
      <c r="X558" s="232"/>
    </row>
    <row r="559" spans="2:24" ht="32">
      <c r="B559" s="54" t="s">
        <v>3130</v>
      </c>
      <c r="C559">
        <f>Security_Payroll___Contract__incl_taxes_and_benefits</f>
        <v>0</v>
      </c>
      <c r="X559" s="232"/>
    </row>
    <row r="560" spans="2:24">
      <c r="B560" s="46" t="s">
        <v>3131</v>
      </c>
      <c r="C560">
        <f>Security_Rent_Free_Unit</f>
        <v>0</v>
      </c>
      <c r="X560" s="232"/>
    </row>
    <row r="561" spans="2:24">
      <c r="B561" s="46" t="s">
        <v>3132</v>
      </c>
      <c r="C561">
        <f>Heating___Cooling_Repairs_Maintenance</f>
        <v>0</v>
      </c>
      <c r="X561" s="232"/>
    </row>
    <row r="562" spans="2:24">
      <c r="B562" s="46" t="s">
        <v>3133</v>
      </c>
      <c r="C562">
        <f>Snow_Removal</f>
        <v>0</v>
      </c>
      <c r="X562" s="232"/>
    </row>
    <row r="563" spans="2:24" ht="32">
      <c r="B563" s="55" t="s">
        <v>3134</v>
      </c>
      <c r="C563">
        <f>Vehicle___Maintenace_Equipment_Operation___Repairs</f>
        <v>0</v>
      </c>
      <c r="X563" s="232"/>
    </row>
    <row r="564" spans="2:24">
      <c r="B564" s="46" t="s">
        <v>3135</v>
      </c>
      <c r="C564">
        <f>Misc._Operating___Maintenance_Expenses</f>
        <v>0</v>
      </c>
      <c r="X564" s="232"/>
    </row>
    <row r="565" spans="2:24">
      <c r="B565" s="51"/>
      <c r="X565" s="232"/>
    </row>
    <row r="566" spans="2:24">
      <c r="B566" s="49" t="s">
        <v>3136</v>
      </c>
      <c r="X566" s="232"/>
    </row>
    <row r="567" spans="2:24">
      <c r="B567" s="46" t="s">
        <v>3137</v>
      </c>
      <c r="C567">
        <f>Real_Estate___Personal_Property__Taxes</f>
        <v>0</v>
      </c>
      <c r="X567" s="232"/>
    </row>
    <row r="568" spans="2:24">
      <c r="B568" s="46" t="s">
        <v>3138</v>
      </c>
      <c r="C568">
        <f>Property_and_Liability_Insurance__Hazard</f>
        <v>0</v>
      </c>
      <c r="X568" s="232"/>
    </row>
    <row r="569" spans="2:24">
      <c r="B569" s="46" t="s">
        <v>3139</v>
      </c>
      <c r="C569">
        <f>Miscellaneous_Taxes__Licenses_and_Permits</f>
        <v>0</v>
      </c>
      <c r="X569" s="232"/>
    </row>
    <row r="570" spans="2:24">
      <c r="B570" s="46" t="s">
        <v>3140</v>
      </c>
      <c r="C570">
        <f>Payroll_Taxes___Project_Share</f>
        <v>0</v>
      </c>
      <c r="X570" s="232"/>
    </row>
    <row r="571" spans="2:24">
      <c r="B571" s="46" t="s">
        <v>3141</v>
      </c>
      <c r="C571">
        <f>Fidelity_Bond_Issuance</f>
        <v>0</v>
      </c>
      <c r="X571" s="232"/>
    </row>
    <row r="572" spans="2:24">
      <c r="B572" s="46" t="s">
        <v>3142</v>
      </c>
      <c r="C572">
        <f>Workmen_s_Compensation</f>
        <v>0</v>
      </c>
      <c r="X572" s="232"/>
    </row>
    <row r="573" spans="2:24">
      <c r="B573" s="46" t="s">
        <v>3143</v>
      </c>
      <c r="C573">
        <f>Health_Insurance_and_Other_Employee_Benefits</f>
        <v>0</v>
      </c>
      <c r="X573" s="232"/>
    </row>
    <row r="574" spans="2:24">
      <c r="B574" s="46" t="s">
        <v>3144</v>
      </c>
      <c r="C574">
        <f>Misc._Taxes__Licenses__Permits__and_Insuaance</f>
        <v>0</v>
      </c>
      <c r="X574" s="232"/>
    </row>
    <row r="575" spans="2:24">
      <c r="B575" s="52"/>
      <c r="X575" s="232"/>
    </row>
    <row r="576" spans="2:24">
      <c r="B576" s="53" t="s">
        <v>3145</v>
      </c>
      <c r="X576" s="232"/>
    </row>
    <row r="577" spans="2:24">
      <c r="B577" s="46" t="s">
        <v>3146</v>
      </c>
      <c r="X577" s="232"/>
    </row>
    <row r="578" spans="2:24">
      <c r="B578" s="46" t="s">
        <v>3147</v>
      </c>
      <c r="X578" s="232"/>
    </row>
    <row r="579" spans="2:24">
      <c r="B579" s="46" t="s">
        <v>3148</v>
      </c>
      <c r="X579" s="232"/>
    </row>
    <row r="580" spans="2:24">
      <c r="B580" s="46" t="s">
        <v>3149</v>
      </c>
      <c r="X580" s="232"/>
    </row>
    <row r="581" spans="2:24">
      <c r="B581" s="46" t="s">
        <v>3150</v>
      </c>
      <c r="X581" s="232"/>
    </row>
    <row r="582" spans="2:24">
      <c r="B582" s="46" t="s">
        <v>3151</v>
      </c>
      <c r="X582" s="232"/>
    </row>
    <row r="583" spans="2:24">
      <c r="B583" s="46" t="s">
        <v>3152</v>
      </c>
      <c r="X583" s="232"/>
    </row>
    <row r="584" spans="2:24">
      <c r="B584" s="46" t="s">
        <v>3153</v>
      </c>
      <c r="X584" s="232"/>
    </row>
    <row r="585" spans="2:24">
      <c r="B585" s="46" t="s">
        <v>3154</v>
      </c>
      <c r="X585" s="232"/>
    </row>
    <row r="586" spans="2:24">
      <c r="B586" s="46" t="s">
        <v>3155</v>
      </c>
      <c r="X586" s="232"/>
    </row>
    <row r="587" spans="2:24">
      <c r="B587" s="46" t="s">
        <v>3156</v>
      </c>
      <c r="X587" s="232"/>
    </row>
    <row r="588" spans="2:24">
      <c r="B588" s="46" t="s">
        <v>3157</v>
      </c>
      <c r="X588" s="232"/>
    </row>
    <row r="589" spans="2:24">
      <c r="B589" s="46" t="s">
        <v>3158</v>
      </c>
      <c r="X589" s="232"/>
    </row>
    <row r="590" spans="2:24">
      <c r="B590" s="46" t="s">
        <v>3159</v>
      </c>
      <c r="X590" s="232"/>
    </row>
    <row r="591" spans="2:24">
      <c r="B591" s="46" t="s">
        <v>3160</v>
      </c>
      <c r="X591" s="232"/>
    </row>
    <row r="592" spans="2:24">
      <c r="B592" s="46" t="s">
        <v>3161</v>
      </c>
      <c r="X592" s="232"/>
    </row>
    <row r="593" spans="1:24">
      <c r="B593" s="46" t="s">
        <v>3162</v>
      </c>
      <c r="X593" s="232"/>
    </row>
    <row r="594" spans="1:24">
      <c r="B594" s="46" t="s">
        <v>3163</v>
      </c>
      <c r="X594" s="232"/>
    </row>
    <row r="595" spans="1:24">
      <c r="B595" s="46" t="s">
        <v>3164</v>
      </c>
      <c r="X595" s="232"/>
    </row>
    <row r="596" spans="1:24">
      <c r="B596" s="46" t="s">
        <v>3165</v>
      </c>
      <c r="X596" s="232"/>
    </row>
    <row r="597" spans="1:24">
      <c r="B597" s="46" t="s">
        <v>3166</v>
      </c>
      <c r="X597" s="232"/>
    </row>
    <row r="598" spans="1:24">
      <c r="B598" s="46" t="s">
        <v>3167</v>
      </c>
      <c r="X598" s="232"/>
    </row>
    <row r="599" spans="1:24">
      <c r="B599" s="46" t="s">
        <v>3168</v>
      </c>
      <c r="X599" s="232"/>
    </row>
    <row r="600" spans="1:24">
      <c r="B600" s="46" t="s">
        <v>3169</v>
      </c>
      <c r="X600" s="232"/>
    </row>
    <row r="601" spans="1:24">
      <c r="B601" s="843" t="s">
        <v>3170</v>
      </c>
      <c r="C601" t="s">
        <v>3171</v>
      </c>
      <c r="X601" s="232"/>
    </row>
    <row r="602" spans="1:24">
      <c r="B602" s="46" t="s">
        <v>3172</v>
      </c>
      <c r="C602">
        <f>Subtotal__Service_Expense</f>
        <v>0</v>
      </c>
      <c r="D602">
        <f>C551+C557+C560+C563+C564+C602</f>
        <v>0</v>
      </c>
      <c r="X602" s="232"/>
    </row>
    <row r="603" spans="1:24">
      <c r="X603" s="232"/>
    </row>
    <row r="604" spans="1:24">
      <c r="X604" s="232"/>
    </row>
    <row r="605" spans="1:24">
      <c r="A605" s="48" t="s">
        <v>3173</v>
      </c>
      <c r="B605" s="46" t="s">
        <v>3174</v>
      </c>
      <c r="C605">
        <f>Lower_Income_Area_Points</f>
        <v>0</v>
      </c>
      <c r="X605" s="232"/>
    </row>
    <row r="606" spans="1:24">
      <c r="B606" s="46" t="s">
        <v>3175</v>
      </c>
      <c r="C606">
        <f>Energy_Points</f>
        <v>0</v>
      </c>
      <c r="X606" s="232"/>
    </row>
    <row r="607" spans="1:24">
      <c r="B607" s="46" t="s">
        <v>3176</v>
      </c>
      <c r="C607">
        <f>Mixed_Income_Points</f>
        <v>0</v>
      </c>
      <c r="X607" s="232"/>
    </row>
    <row r="608" spans="1:24">
      <c r="B608" s="46" t="s">
        <v>3177</v>
      </c>
      <c r="C608">
        <f>Serves_Large_Family_Points</f>
        <v>0</v>
      </c>
      <c r="X608" s="232"/>
    </row>
    <row r="609" spans="2:24">
      <c r="B609" s="46" t="s">
        <v>3178</v>
      </c>
      <c r="C609">
        <f>Serve_Low_Income_Ponts</f>
        <v>0</v>
      </c>
      <c r="X609" s="232"/>
    </row>
    <row r="610" spans="2:24">
      <c r="B610" s="46" t="s">
        <v>3179</v>
      </c>
      <c r="C610">
        <f>Supportive_Housing_Points</f>
        <v>0</v>
      </c>
      <c r="X610" s="232"/>
    </row>
    <row r="611" spans="2:24">
      <c r="B611" s="46" t="s">
        <v>3180</v>
      </c>
      <c r="C611" s="606">
        <f>Veterans_Housing_Points</f>
        <v>0</v>
      </c>
      <c r="X611" s="232"/>
    </row>
    <row r="612" spans="2:24">
      <c r="B612" s="46" t="s">
        <v>3181</v>
      </c>
      <c r="C612">
        <f>Universal_Design_Points</f>
        <v>0</v>
      </c>
      <c r="X612" s="232"/>
    </row>
    <row r="613" spans="2:24">
      <c r="B613" s="46" t="s">
        <v>3182</v>
      </c>
      <c r="C613">
        <f>Financial_Leverage_Points</f>
        <v>0</v>
      </c>
      <c r="X613" s="232"/>
    </row>
    <row r="614" spans="2:24">
      <c r="B614" s="46" t="s">
        <v>3183</v>
      </c>
      <c r="C614">
        <f>Eventual_Tenant_Own_Points</f>
        <v>0</v>
      </c>
      <c r="X614" s="232"/>
    </row>
    <row r="615" spans="2:24">
      <c r="B615" s="46" t="s">
        <v>3184</v>
      </c>
      <c r="C615">
        <f>Development_Team_Points</f>
        <v>0</v>
      </c>
      <c r="X615" s="232"/>
    </row>
    <row r="616" spans="2:24">
      <c r="B616" s="990" t="s">
        <v>3185</v>
      </c>
      <c r="C616" s="606">
        <f>Rehab_Neighborhood_Points</f>
        <v>0</v>
      </c>
      <c r="X616" s="232"/>
    </row>
    <row r="617" spans="2:24">
      <c r="B617" s="46" t="s">
        <v>3186</v>
      </c>
      <c r="C617">
        <f>Areas_Economic_Opp_Points</f>
        <v>0</v>
      </c>
      <c r="X617" s="232"/>
    </row>
    <row r="618" spans="2:24">
      <c r="B618" s="46" t="s">
        <v>3187</v>
      </c>
      <c r="C618">
        <f>Rural_Areas_Points</f>
        <v>0</v>
      </c>
      <c r="X618" s="232"/>
    </row>
    <row r="619" spans="2:24">
      <c r="B619" s="46" t="s">
        <v>1294</v>
      </c>
      <c r="C619">
        <f>Workforce_Housing_Points</f>
        <v>0</v>
      </c>
      <c r="X619" s="232"/>
    </row>
    <row r="620" spans="2:24">
      <c r="B620" s="46" t="s">
        <v>3188</v>
      </c>
      <c r="C620">
        <f>Community_Service_Facilities_Points</f>
        <v>0</v>
      </c>
      <c r="X620" s="232"/>
    </row>
    <row r="621" spans="2:24">
      <c r="B621" s="46" t="s">
        <v>3189</v>
      </c>
      <c r="C621">
        <f>SUM(C605:C620)</f>
        <v>0</v>
      </c>
      <c r="X621" s="232"/>
    </row>
    <row r="622" spans="2:24">
      <c r="X622" s="232"/>
    </row>
    <row r="623" spans="2:24">
      <c r="X623" s="232"/>
    </row>
    <row r="642" spans="1:3">
      <c r="A642" s="48" t="s">
        <v>3190</v>
      </c>
      <c r="B642" t="s">
        <v>3191</v>
      </c>
      <c r="C642" s="59" t="s">
        <v>3192</v>
      </c>
    </row>
    <row r="643" spans="1:3">
      <c r="B643" t="s">
        <v>3193</v>
      </c>
    </row>
  </sheetData>
  <sheetProtection algorithmName="SHA-512" hashValue="A4Agr7A7HIdQP7+QTGTBDQs6rcqEzEt72M8H/eqHaEzqMAQWpTSqWfrSsBvXQRhZvuNvkC1W58FLwcaisQJUbw==" saltValue="7HpyvKp7PEkUCyv56Ns31g==" spinCount="100000" sheet="1" objects="1" scenarios="1" selectLockedCells="1"/>
  <mergeCells count="2">
    <mergeCell ref="A1:R1"/>
    <mergeCell ref="Y1:AM1"/>
  </mergeCells>
  <phoneticPr fontId="12" type="noConversion"/>
  <dataValidations count="34">
    <dataValidation errorStyle="warning" showInputMessage="1" showErrorMessage="1" errorTitle="SmartDox" error="The value you entered for the dropdown is not valid." sqref="W250:W259" xr:uid="{A0F2E79D-EB63-49F3-9E65-471548316258}"/>
    <dataValidation type="list" errorStyle="warning" showInputMessage="1" showErrorMessage="1" errorTitle="SmartDox" error="The value you entered for the dropdown is not valid." sqref="Z295:Z299 AF280:AF292" xr:uid="{819A2558-774C-4D4A-A412-D61735F63265}">
      <formula1>SD_D_Blank</formula1>
    </dataValidation>
    <dataValidation type="list" errorStyle="warning" showInputMessage="1" showErrorMessage="1" errorTitle="SmartDox" error="The value you entered for the dropdown is not valid." sqref="AB295:AB299 AH280:AH292" xr:uid="{73682C79-565E-4FCE-A184-E6925F298320}">
      <formula1>SD_D_PL_ProgramType_Name</formula1>
    </dataValidation>
    <dataValidation type="list" errorStyle="warning" showInputMessage="1" showErrorMessage="1" errorTitle="SmartDox" error="The value you entered for the dropdown is not valid." sqref="AD295:AD299 AJ280:AJ292" xr:uid="{45DB97FC-B7ED-49B7-A1A7-99C6FC7D36C1}">
      <formula1>SD_D_PL_LoanProductType_Name</formula1>
    </dataValidation>
    <dataValidation type="list" errorStyle="warning" showInputMessage="1" showErrorMessage="1" errorTitle="SmartDox" error="The value you entered for the dropdown is not valid." sqref="C642" xr:uid="{82014E02-50FE-432B-AD20-93F10F20F310}">
      <formula1>SD_D_PL_ExtendedUseAgreement_Name</formula1>
    </dataValidation>
    <dataValidation type="list" errorStyle="warning" showInputMessage="1" showErrorMessage="1" errorTitle="SmartDox" error="The value you entered for the dropdown is not valid." sqref="D263:D268" xr:uid="{14BA8D90-0B3D-413B-A71A-A16F6D13908B}">
      <formula1>SD_D_PL_TCUnitType_Name</formula1>
    </dataValidation>
    <dataValidation type="list" errorStyle="warning" showInputMessage="1" showErrorMessage="1" errorTitle="SmartDox" error="The value you entered for the dropdown is not valid." sqref="C55" xr:uid="{12566144-BC5E-4AEB-865A-7544068961CF}">
      <formula1>SD_D_PL_UDF_140_Name</formula1>
    </dataValidation>
    <dataValidation type="list" errorStyle="warning" showInputMessage="1" showErrorMessage="1" errorTitle="SmartDox" error="The value you entered for the dropdown is not valid." sqref="C59" xr:uid="{12E3A089-242B-4E62-9242-29B7494EF6F5}">
      <formula1>SD_D_PL_UDF_141_Name</formula1>
    </dataValidation>
    <dataValidation type="list" errorStyle="warning" showInputMessage="1" showErrorMessage="1" errorTitle="SmartDox" error="The value you entered for the dropdown is not valid." sqref="C56" xr:uid="{603174F3-277F-4508-BFC0-DF1652633AA1}">
      <formula1>SD_D_PL_UDF_142_Name</formula1>
    </dataValidation>
    <dataValidation type="list" errorStyle="warning" showInputMessage="1" showErrorMessage="1" errorTitle="SmartDox" error="The value you entered for the dropdown is not valid." sqref="C57" xr:uid="{E227A045-BE07-4853-84B3-39D4FB8C5086}">
      <formula1>SD_D_PL_UDF_143_Name</formula1>
    </dataValidation>
    <dataValidation type="list" errorStyle="warning" showInputMessage="1" showErrorMessage="1" errorTitle="SmartDox" error="The value you entered for the dropdown is not valid." sqref="C58" xr:uid="{408C97CF-D6F3-4E10-A208-CED5CF07DCC3}">
      <formula1>SD_D_PL_UDF_144_Name</formula1>
    </dataValidation>
    <dataValidation type="list" errorStyle="warning" showInputMessage="1" showErrorMessage="1" errorTitle="SmartDox" error="The value you entered for the dropdown is not valid." sqref="C109 U133:U162 AI133:AI162 Z6 H64:H97" xr:uid="{9F816421-BB31-4A18-8392-1E1A85E1D1F2}">
      <formula1>SD_D_PL_State_Name</formula1>
    </dataValidation>
    <dataValidation type="list" errorStyle="warning" showInputMessage="1" showErrorMessage="1" errorTitle="SmartDox" error="The value you entered for the dropdown is not valid." sqref="E308:E319 E280:E292 E295:E305" xr:uid="{B4F1D432-9915-4C0E-BAEA-ED07CFA19B7F}">
      <formula1>SD_D_PL_FinancingType_Name</formula1>
    </dataValidation>
    <dataValidation type="list" errorStyle="warning" showInputMessage="1" showErrorMessage="1" errorTitle="SmartDox" error="The value you entered for the dropdown is not valid." sqref="C190" xr:uid="{AFC8EDA6-5959-43C6-9689-36A4524815E5}">
      <formula1>SD_D_PL_HeatingType_Name</formula1>
    </dataValidation>
    <dataValidation type="list" errorStyle="warning" showInputMessage="1" showErrorMessage="1" errorTitle="SmartDox" error="The value you entered for the dropdown is not valid." sqref="C191" xr:uid="{C6BE865E-7A59-49D6-8288-C97C6A6A0122}">
      <formula1>SD_D_PL_AirConditioningType_Name</formula1>
    </dataValidation>
    <dataValidation type="list" errorStyle="warning" showInputMessage="1" showErrorMessage="1" errorTitle="SmartDox" error="The value you entered for the dropdown is not valid." sqref="E191" xr:uid="{01034B18-6912-4BE2-B8B7-6B1E4C5D4921}">
      <formula1>SD_D_PL_HotWaterType_Name</formula1>
    </dataValidation>
    <dataValidation type="list" errorStyle="warning" showInputMessage="1" showErrorMessage="1" errorTitle="SmartDox" error="The value you entered for the dropdown is not valid." sqref="E190" xr:uid="{B9B8FF67-A5CA-4CCD-8E1F-C5883FE7257E}">
      <formula1>SD_D_PL_CookingType_Name</formula1>
    </dataValidation>
    <dataValidation type="list" errorStyle="warning" showInputMessage="1" showErrorMessage="1" errorTitle="SmartDox" error="The value you entered for the dropdown is not valid." sqref="P197:P259" xr:uid="{BE085630-3C90-49BE-AFE0-7032773BEF1E}">
      <formula1>SD_D_PL_IncomeTarget_Name</formula1>
    </dataValidation>
    <dataValidation type="list" errorStyle="warning" showInputMessage="1" showErrorMessage="1" errorTitle="SmartDox" error="The value you entered for the dropdown is not valid." sqref="H197:H259" xr:uid="{2F6219E8-1356-4520-BC97-2C80143199F5}">
      <formula1>SD_D_PL_TCUnitMixType_Name</formula1>
    </dataValidation>
    <dataValidation type="list" errorStyle="warning" showInputMessage="1" showErrorMessage="1" errorTitle="SmartDox" error="The value you entered for the dropdown is not valid." sqref="Z5" xr:uid="{8715272F-E445-40DD-BD32-5FBE1D4F2DF1}">
      <formula1>SD_D_PL_Jurisdiction_Name</formula1>
    </dataValidation>
    <dataValidation type="list" errorStyle="warning" showInputMessage="1" showErrorMessage="1" errorTitle="SmartDox" error="The value you entered for the dropdown is not valid." sqref="Z197:Z246" xr:uid="{FF2B3596-DA72-481E-99E2-0EC8B112F79C}">
      <formula1>SD_D_PL_UnitType_Name</formula1>
    </dataValidation>
    <dataValidation type="list" errorStyle="warning" showInputMessage="1" showErrorMessage="1" errorTitle="SmartDox" error="The value you entered for the dropdown is not valid." sqref="AB197:AB246" xr:uid="{E45FD057-A703-4F0D-A92A-0AC86E9CE765}">
      <formula1>SD_D_PL_ResidentialApartmentType_Name</formula1>
    </dataValidation>
    <dataValidation type="list" errorStyle="warning" showInputMessage="1" showErrorMessage="1" errorTitle="SmartDox" error="The value you entered for the dropdown is not valid." sqref="AL197:AL246" xr:uid="{C9C304BC-74DA-4EFF-A61E-0A5BB7245CA3}">
      <formula1>SD_D_PL_UnitMixAmiPercent_Name</formula1>
    </dataValidation>
    <dataValidation type="list" errorStyle="warning" showInputMessage="1" showErrorMessage="1" errorTitle="SmartDox" error="The value you entered for the dropdown is not valid." sqref="M133:M162 AB133:AB162" xr:uid="{0219433B-D242-4F46-BC28-DF5F64C40661}">
      <formula1>SD_D_PL_EntityCompanyOrIndividual_Name</formula1>
    </dataValidation>
    <dataValidation type="list" errorStyle="warning" showInputMessage="1" showErrorMessage="1" errorTitle="SmartDox" error="The value you entered for the dropdown is not valid." sqref="N133:N162 AC133:AC162" xr:uid="{95B6C88C-409C-4469-84A3-2DBFB5A791EA}">
      <formula1>SD_D_PL_DealEntityRole_Name</formula1>
    </dataValidation>
    <dataValidation type="list" errorStyle="warning" showInputMessage="1" showErrorMessage="1" errorTitle="SmartDox" error="The value you entered for the dropdown is not valid." sqref="C100" xr:uid="{C3E2EB52-45BE-46AE-8A3E-1E61F94F57DD}">
      <formula1>SD_D_PL_UDF_128_Name</formula1>
    </dataValidation>
    <dataValidation type="list" errorStyle="warning" showInputMessage="1" showErrorMessage="1" errorTitle="SmartDox" error="The value you entered for the dropdown is not valid." sqref="C165" xr:uid="{1DB174BA-ED45-4369-89FC-D6A46CF9729A}">
      <formula1>SD_D_PL_UDF_131_Name</formula1>
    </dataValidation>
    <dataValidation type="list" errorStyle="warning" showInputMessage="1" showErrorMessage="1" errorTitle="SmartDox" error="The value you entered for the dropdown is not valid." sqref="C166" xr:uid="{3A0833CC-693F-4B18-8752-0016DB259F46}">
      <formula1>SD_D_PL_UDF_132_Name</formula1>
    </dataValidation>
    <dataValidation type="list" errorStyle="warning" showInputMessage="1" showErrorMessage="1" errorTitle="SmartDox" error="The value you entered for the dropdown is not valid." sqref="C167" xr:uid="{5ABC8295-9242-4535-98D1-3E0C43A28F38}">
      <formula1>SD_D_PL_UDF_133_Name</formula1>
    </dataValidation>
    <dataValidation type="list" errorStyle="warning" showInputMessage="1" showErrorMessage="1" errorTitle="SmartDox" error="The value you entered for the dropdown is not valid." sqref="C168" xr:uid="{A6FCC278-7110-4315-8050-00D31EAF4DFF}">
      <formula1>SD_D_PL_UDF_134_Name</formula1>
    </dataValidation>
    <dataValidation type="list" errorStyle="warning" showInputMessage="1" showErrorMessage="1" errorTitle="SmartDox" error="The value you entered for the dropdown is not valid." sqref="C169" xr:uid="{4701624A-48F7-4706-BBB6-3B1CC30F266C}">
      <formula1>SD_D_PL_UDF_135_Name</formula1>
    </dataValidation>
    <dataValidation type="list" errorStyle="warning" showInputMessage="1" showErrorMessage="1" errorTitle="SmartDox" error="The value you entered for the dropdown is not valid." sqref="C170" xr:uid="{6B5DB699-7154-49A8-BAAF-E766D4C5096C}">
      <formula1>SD_D_PL_UDF_136_Name</formula1>
    </dataValidation>
    <dataValidation type="list" errorStyle="warning" showInputMessage="1" showErrorMessage="1" errorTitle="SmartDox" error="The value you entered for the dropdown is not valid." sqref="C171" xr:uid="{62B345F5-1A13-4DB1-A4B5-78FB79E2A507}">
      <formula1>SD_D_PL_UDF_137_Name</formula1>
    </dataValidation>
    <dataValidation type="list" errorStyle="warning" showInputMessage="1" showErrorMessage="1" errorTitle="SmartDox" error="The value you entered for the dropdown is not valid." sqref="C172" xr:uid="{07004436-DED7-4765-9997-FCB41DD31FDE}">
      <formula1>SD_D_PL_UDF_138_Name</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1410-FD79-4F4C-99C6-B45604E27655}">
  <sheetPr>
    <pageSetUpPr fitToPage="1"/>
  </sheetPr>
  <dimension ref="A1:BT273"/>
  <sheetViews>
    <sheetView tabSelected="1" zoomScaleNormal="100" workbookViewId="0">
      <selection activeCell="J11" sqref="J11:O11"/>
    </sheetView>
  </sheetViews>
  <sheetFormatPr baseColWidth="10" defaultColWidth="8.83203125" defaultRowHeight="15"/>
  <cols>
    <col min="1" max="1" width="5.33203125" style="3" customWidth="1"/>
    <col min="2" max="2" width="9.5" style="3" customWidth="1"/>
    <col min="3" max="4" width="9.5" customWidth="1"/>
    <col min="5" max="5" width="6.6640625" customWidth="1"/>
    <col min="6" max="7" width="9.5" customWidth="1"/>
    <col min="8" max="8" width="11.83203125" customWidth="1"/>
    <col min="9" max="9" width="5.1640625" style="71" bestFit="1" customWidth="1"/>
    <col min="10" max="12" width="9.5" customWidth="1"/>
    <col min="13" max="15" width="9.5" style="3" customWidth="1"/>
    <col min="16" max="17" width="10.83203125" style="3" customWidth="1"/>
    <col min="18" max="18" width="9.5" style="3" customWidth="1"/>
    <col min="19" max="19" width="9.1640625" style="3"/>
    <col min="20" max="21" width="9.1640625" style="9"/>
    <col min="22" max="72" width="9.1640625" style="3"/>
  </cols>
  <sheetData>
    <row r="1" spans="2:35" s="3" customFormat="1" ht="29">
      <c r="B1" s="4" t="str">
        <f>CONCATENATE("WHEDA ",Tax_Credit_Year," Multifamily Application")</f>
        <v>WHEDA 2025 Multifamily Application</v>
      </c>
      <c r="C1" s="4"/>
      <c r="I1" s="1711"/>
      <c r="L1" s="149" t="s">
        <v>3194</v>
      </c>
      <c r="T1" s="9"/>
      <c r="U1" s="9"/>
    </row>
    <row r="2" spans="2:35" s="3" customFormat="1" ht="19.5" customHeight="1">
      <c r="B2" s="1013" t="str">
        <f>_xlfn.CONCAT(IF(ISBLANK(WHEDA_Project_Number),"",_xlfn.CONCAT(WHEDA_Project_Number,"-")), Project_Name, IF(ISBLANK(Credit_percentage_applied_for),"",_xlfn.CONCAT(" - ", Credit_percentage_applied_for," HTC")))</f>
        <v/>
      </c>
      <c r="C2" s="934"/>
      <c r="D2" s="936"/>
      <c r="E2" s="74"/>
      <c r="F2" s="541"/>
      <c r="G2" s="937"/>
      <c r="H2" s="74"/>
      <c r="I2" s="74"/>
      <c r="J2" s="74"/>
      <c r="K2" s="734"/>
      <c r="L2" s="734"/>
      <c r="M2" s="734"/>
      <c r="N2" s="734"/>
      <c r="O2" s="734"/>
      <c r="P2" s="734"/>
      <c r="Q2" s="734"/>
      <c r="R2" s="734"/>
      <c r="S2" s="131"/>
      <c r="T2" s="9"/>
      <c r="U2" s="9"/>
      <c r="V2" s="131"/>
      <c r="W2" s="131"/>
      <c r="X2" s="131"/>
      <c r="Y2" s="131"/>
      <c r="Z2" s="131"/>
      <c r="AA2" s="131"/>
      <c r="AB2" s="131"/>
      <c r="AC2" s="131"/>
      <c r="AD2" s="131"/>
      <c r="AE2" s="131"/>
      <c r="AF2" s="131"/>
      <c r="AG2" s="131"/>
      <c r="AH2" s="131"/>
      <c r="AI2" s="131"/>
    </row>
    <row r="3" spans="2:35" s="3" customFormat="1" ht="19.5" customHeight="1">
      <c r="B3" s="1015"/>
      <c r="C3" s="935"/>
      <c r="D3" s="4"/>
      <c r="F3" s="149"/>
      <c r="G3" s="908"/>
      <c r="K3" s="131"/>
      <c r="L3" s="131"/>
      <c r="M3" s="131"/>
      <c r="N3" s="131"/>
      <c r="O3" s="131"/>
      <c r="P3" s="131"/>
      <c r="Q3" s="131"/>
      <c r="S3" s="131"/>
      <c r="T3" s="9"/>
      <c r="U3" s="9"/>
      <c r="V3" s="131"/>
      <c r="W3" s="131"/>
      <c r="X3" s="131"/>
      <c r="Y3" s="131"/>
      <c r="Z3" s="131"/>
      <c r="AA3" s="131"/>
      <c r="AB3" s="131"/>
      <c r="AC3" s="131"/>
      <c r="AD3" s="131"/>
      <c r="AE3" s="131"/>
      <c r="AF3" s="131"/>
      <c r="AG3" s="131"/>
      <c r="AH3" s="131"/>
      <c r="AI3" s="131"/>
    </row>
    <row r="4" spans="2:35" s="3" customFormat="1" ht="29">
      <c r="B4" s="4" t="s">
        <v>3195</v>
      </c>
      <c r="C4" s="935"/>
      <c r="D4" s="4"/>
      <c r="F4" s="149"/>
      <c r="G4" s="908"/>
      <c r="K4" s="131"/>
      <c r="L4" s="131"/>
      <c r="M4" s="131"/>
      <c r="N4" s="131"/>
      <c r="O4" s="131"/>
      <c r="P4" s="131"/>
      <c r="Q4" s="131"/>
      <c r="R4" s="131"/>
      <c r="S4" s="131"/>
      <c r="T4" s="9"/>
      <c r="U4" s="9"/>
      <c r="V4" s="131"/>
      <c r="W4" s="131"/>
      <c r="X4" s="131"/>
      <c r="Y4" s="131"/>
      <c r="Z4" s="131"/>
      <c r="AA4" s="131"/>
      <c r="AB4" s="131"/>
      <c r="AC4" s="131"/>
      <c r="AD4" s="131"/>
      <c r="AE4" s="131"/>
      <c r="AF4" s="131"/>
      <c r="AG4" s="131"/>
      <c r="AH4" s="131"/>
      <c r="AI4" s="131"/>
    </row>
    <row r="5" spans="2:35" s="3" customFormat="1" ht="19">
      <c r="B5" s="1166"/>
      <c r="C5" s="1167"/>
      <c r="D5" s="1167"/>
      <c r="E5" s="1167"/>
      <c r="F5" s="1167"/>
      <c r="G5" s="1167"/>
      <c r="H5" s="1167"/>
      <c r="I5" s="1167" t="s">
        <v>3196</v>
      </c>
      <c r="J5" s="1167"/>
      <c r="K5" s="1167"/>
      <c r="L5" s="1167"/>
      <c r="M5" s="1167"/>
      <c r="N5" s="1167"/>
      <c r="O5" s="1167"/>
      <c r="P5" s="1167"/>
      <c r="Q5" s="1167"/>
      <c r="R5" s="1167"/>
      <c r="T5" s="9"/>
      <c r="U5" s="9"/>
      <c r="V5" s="131"/>
      <c r="W5" s="131"/>
      <c r="X5" s="131"/>
    </row>
    <row r="6" spans="2:35" s="3" customFormat="1">
      <c r="B6" s="1168"/>
      <c r="C6" s="1167"/>
      <c r="D6" s="1167"/>
      <c r="E6" s="1167"/>
      <c r="F6" s="1167"/>
      <c r="G6" s="1167"/>
      <c r="H6" s="1167"/>
      <c r="I6" s="1167" t="s">
        <v>3197</v>
      </c>
      <c r="J6" s="1167"/>
      <c r="K6" s="1167"/>
      <c r="L6" s="1167"/>
      <c r="M6" s="1167"/>
      <c r="N6" s="1167"/>
      <c r="O6" s="1167"/>
      <c r="P6" s="1167"/>
      <c r="Q6" s="1167"/>
      <c r="R6" s="1167"/>
      <c r="T6" s="1083" t="s">
        <v>3198</v>
      </c>
      <c r="U6" s="9"/>
      <c r="V6" s="131"/>
      <c r="W6" s="131"/>
      <c r="X6" s="131"/>
    </row>
    <row r="7" spans="2:35" s="3" customFormat="1">
      <c r="B7" s="1169"/>
      <c r="C7" s="1167"/>
      <c r="D7" s="1167"/>
      <c r="E7" s="1167"/>
      <c r="F7" s="1167"/>
      <c r="G7" s="1167"/>
      <c r="H7" s="1167"/>
      <c r="I7" s="1167" t="s">
        <v>3199</v>
      </c>
      <c r="J7" s="1167"/>
      <c r="K7" s="1167"/>
      <c r="L7" s="1167"/>
      <c r="M7" s="1167"/>
      <c r="N7" s="1167"/>
      <c r="O7" s="1167"/>
      <c r="P7" s="1167"/>
      <c r="Q7" s="1167"/>
      <c r="R7" s="1167"/>
      <c r="T7" s="675" t="s">
        <v>3200</v>
      </c>
      <c r="U7" s="9"/>
      <c r="V7" s="131"/>
      <c r="W7" s="131"/>
      <c r="X7" s="131"/>
    </row>
    <row r="8" spans="2:35">
      <c r="B8" s="1170"/>
      <c r="C8" s="1171"/>
      <c r="D8" s="1170"/>
      <c r="E8" s="1170"/>
      <c r="F8" s="1170"/>
      <c r="G8" s="1170"/>
      <c r="H8" s="1170"/>
      <c r="I8" s="1478"/>
      <c r="J8" s="1170"/>
      <c r="K8" s="1170"/>
      <c r="L8" s="1170"/>
      <c r="M8" s="1170"/>
      <c r="N8" s="1170"/>
      <c r="O8" s="1170"/>
      <c r="P8" s="1170"/>
      <c r="Q8" s="1170"/>
      <c r="R8" s="1170"/>
      <c r="T8" s="9" t="s">
        <v>3201</v>
      </c>
      <c r="V8" s="131"/>
      <c r="W8" s="131"/>
      <c r="X8" s="131"/>
    </row>
    <row r="9" spans="2:35" ht="16">
      <c r="B9" s="1170"/>
      <c r="C9" s="1170"/>
      <c r="D9" s="1170"/>
      <c r="E9" s="1172"/>
      <c r="F9" s="1170"/>
      <c r="G9" s="1170"/>
      <c r="H9" s="1170"/>
      <c r="I9" s="1478"/>
      <c r="J9" s="1170"/>
      <c r="K9" s="1170"/>
      <c r="L9" s="1170"/>
      <c r="M9" s="1170"/>
      <c r="N9" s="1170"/>
      <c r="O9" s="1170"/>
      <c r="P9" s="1770" t="s">
        <v>3202</v>
      </c>
      <c r="Q9" s="1771"/>
      <c r="R9" s="1170"/>
      <c r="T9" s="9" t="s">
        <v>3203</v>
      </c>
      <c r="V9" s="131"/>
      <c r="W9" s="131"/>
      <c r="X9" s="131"/>
    </row>
    <row r="10" spans="2:35" ht="16">
      <c r="B10" s="1170"/>
      <c r="C10" s="1170"/>
      <c r="D10" s="1170"/>
      <c r="E10" s="1172"/>
      <c r="F10" s="1170"/>
      <c r="G10" s="1170"/>
      <c r="H10" s="1170"/>
      <c r="I10" s="1722" t="s">
        <v>6</v>
      </c>
      <c r="J10" s="854" t="s">
        <v>1583</v>
      </c>
      <c r="K10" s="855"/>
      <c r="L10" s="855"/>
      <c r="M10" s="855"/>
      <c r="N10" s="855"/>
      <c r="O10" s="855"/>
      <c r="P10" s="1699" t="s">
        <v>3204</v>
      </c>
      <c r="Q10" s="856" t="s">
        <v>3205</v>
      </c>
      <c r="R10" s="1170"/>
      <c r="T10" s="9" t="s">
        <v>3206</v>
      </c>
      <c r="V10" s="131"/>
      <c r="W10" s="131"/>
      <c r="X10" s="131"/>
    </row>
    <row r="11" spans="2:35" ht="18">
      <c r="B11" s="1170"/>
      <c r="C11" s="1170"/>
      <c r="D11" s="1170"/>
      <c r="E11" s="1172"/>
      <c r="F11" s="1170"/>
      <c r="G11" s="1170"/>
      <c r="H11" s="1170"/>
      <c r="I11" s="853">
        <v>1</v>
      </c>
      <c r="J11" s="1772" t="str">
        <f>HYPERLINK("#Table_of_Contents", Table_of_Contents)</f>
        <v>Table of Contents</v>
      </c>
      <c r="K11" s="1773"/>
      <c r="L11" s="1773"/>
      <c r="M11" s="1773"/>
      <c r="N11" s="1773"/>
      <c r="O11" s="1774"/>
      <c r="P11" s="745" t="s">
        <v>3207</v>
      </c>
      <c r="Q11" s="744" t="s">
        <v>3207</v>
      </c>
      <c r="R11" s="1170"/>
      <c r="V11" s="131"/>
      <c r="W11" s="131"/>
      <c r="X11" s="131"/>
    </row>
    <row r="12" spans="2:35" ht="18">
      <c r="B12" s="1170"/>
      <c r="C12" s="1170"/>
      <c r="D12" s="1170"/>
      <c r="E12" s="1170"/>
      <c r="F12" s="1170"/>
      <c r="G12" s="1170"/>
      <c r="H12" s="1170"/>
      <c r="I12" s="747">
        <v>2</v>
      </c>
      <c r="J12" s="1768" t="str">
        <f>HYPERLINK("#Project_Summary_Tab", Project_Summary_Tab)</f>
        <v>Project Summary</v>
      </c>
      <c r="K12" s="1761"/>
      <c r="L12" s="1761"/>
      <c r="M12" s="1761"/>
      <c r="N12" s="1761"/>
      <c r="O12" s="1762"/>
      <c r="P12" s="745" t="s">
        <v>3207</v>
      </c>
      <c r="Q12" s="744" t="s">
        <v>3207</v>
      </c>
      <c r="R12" s="1170"/>
      <c r="V12" s="131"/>
    </row>
    <row r="13" spans="2:35" ht="18">
      <c r="B13" s="1170"/>
      <c r="C13" s="1170"/>
      <c r="D13" s="1170"/>
      <c r="E13" s="1170"/>
      <c r="F13" s="1170"/>
      <c r="G13" s="1170"/>
      <c r="H13" s="1170"/>
      <c r="I13" s="747">
        <v>3</v>
      </c>
      <c r="J13" s="1760" t="str">
        <f>HYPERLINK("#Project_Name_and_Location", Project_Name_and_Location)</f>
        <v>Project Location</v>
      </c>
      <c r="K13" s="1761"/>
      <c r="L13" s="1761"/>
      <c r="M13" s="1761"/>
      <c r="N13" s="1761"/>
      <c r="O13" s="1762"/>
      <c r="P13" s="745" t="s">
        <v>3207</v>
      </c>
      <c r="Q13" s="744" t="s">
        <v>3207</v>
      </c>
      <c r="R13" s="1170"/>
    </row>
    <row r="14" spans="2:35" ht="18">
      <c r="B14" s="1170"/>
      <c r="C14" s="1170"/>
      <c r="D14" s="1170"/>
      <c r="E14" s="1170"/>
      <c r="F14" s="1170"/>
      <c r="G14" s="1170"/>
      <c r="H14" s="1170"/>
      <c r="I14" s="747">
        <v>4</v>
      </c>
      <c r="J14" s="1760" t="str">
        <f>HYPERLINK("#Project_Description", Project_Description)</f>
        <v>Project Description</v>
      </c>
      <c r="K14" s="1761"/>
      <c r="L14" s="1761"/>
      <c r="M14" s="1761"/>
      <c r="N14" s="1761"/>
      <c r="O14" s="1762"/>
      <c r="P14" s="745" t="s">
        <v>3207</v>
      </c>
      <c r="Q14" s="744" t="s">
        <v>3207</v>
      </c>
      <c r="R14" s="1170"/>
    </row>
    <row r="15" spans="2:35" ht="18">
      <c r="B15" s="1170"/>
      <c r="C15" s="1170"/>
      <c r="D15" s="1170"/>
      <c r="E15" s="1170"/>
      <c r="F15" s="1170"/>
      <c r="G15" s="1170"/>
      <c r="H15" s="1170"/>
      <c r="I15" s="747">
        <v>5</v>
      </c>
      <c r="J15" s="1760" t="str">
        <f>HYPERLINK("#Applicant_Information", Applicant_Information)</f>
        <v>Applicant Information</v>
      </c>
      <c r="K15" s="1761"/>
      <c r="L15" s="1761"/>
      <c r="M15" s="1761"/>
      <c r="N15" s="1761"/>
      <c r="O15" s="1762"/>
      <c r="P15" s="745" t="s">
        <v>3207</v>
      </c>
      <c r="Q15" s="744" t="s">
        <v>3207</v>
      </c>
      <c r="R15" s="1170"/>
    </row>
    <row r="16" spans="2:35" ht="18">
      <c r="B16" s="1170"/>
      <c r="C16" s="1170"/>
      <c r="D16" s="1170"/>
      <c r="E16" s="1170"/>
      <c r="F16" s="1170"/>
      <c r="G16" s="1170"/>
      <c r="H16" s="1170"/>
      <c r="I16" s="747">
        <v>6</v>
      </c>
      <c r="J16" s="1760" t="str">
        <f>HYPERLINK("#Site_Description", Site_Description)</f>
        <v>Site Description</v>
      </c>
      <c r="K16" s="1761"/>
      <c r="L16" s="1761"/>
      <c r="M16" s="1761"/>
      <c r="N16" s="1761"/>
      <c r="O16" s="1762"/>
      <c r="P16" s="745" t="s">
        <v>3207</v>
      </c>
      <c r="Q16" s="744" t="s">
        <v>3207</v>
      </c>
      <c r="R16" s="1170"/>
    </row>
    <row r="17" spans="2:18" ht="18">
      <c r="B17" s="1170"/>
      <c r="C17" s="1170"/>
      <c r="D17" s="1170"/>
      <c r="E17" s="1170"/>
      <c r="F17" s="1170"/>
      <c r="G17" s="1170"/>
      <c r="H17" s="1170"/>
      <c r="I17" s="747">
        <v>7</v>
      </c>
      <c r="J17" s="1760" t="str">
        <f>HYPERLINK("#Site_Contol", Site_Contol)</f>
        <v>Site Control</v>
      </c>
      <c r="K17" s="1761"/>
      <c r="L17" s="1761"/>
      <c r="M17" s="1761"/>
      <c r="N17" s="1761"/>
      <c r="O17" s="1762"/>
      <c r="P17" s="745" t="s">
        <v>3207</v>
      </c>
      <c r="Q17" s="744" t="s">
        <v>3207</v>
      </c>
      <c r="R17" s="1170"/>
    </row>
    <row r="18" spans="2:18" ht="18">
      <c r="B18" s="1170"/>
      <c r="C18" s="1170"/>
      <c r="D18" s="1170"/>
      <c r="E18" s="1170"/>
      <c r="F18" s="1170"/>
      <c r="G18" s="1170"/>
      <c r="H18" s="1170"/>
      <c r="I18" s="747">
        <v>8</v>
      </c>
      <c r="J18" s="1760" t="str">
        <f>HYPERLINK("#Zoning", Zoning)</f>
        <v>Zoning</v>
      </c>
      <c r="K18" s="1761"/>
      <c r="L18" s="1761"/>
      <c r="M18" s="1761"/>
      <c r="N18" s="1761"/>
      <c r="O18" s="1762"/>
      <c r="P18" s="745" t="s">
        <v>3207</v>
      </c>
      <c r="Q18" s="744" t="s">
        <v>3207</v>
      </c>
      <c r="R18" s="1170"/>
    </row>
    <row r="19" spans="2:18" ht="18">
      <c r="B19" s="1170"/>
      <c r="C19" s="1170"/>
      <c r="D19" s="1170"/>
      <c r="E19" s="1170"/>
      <c r="F19" s="1170"/>
      <c r="G19" s="1170"/>
      <c r="H19" s="1170"/>
      <c r="I19" s="747">
        <v>9</v>
      </c>
      <c r="J19" s="1760" t="str">
        <f>HYPERLINK("#Ownership_Entity", Ownership_Entity)</f>
        <v>Project Ownership Entity and Development Team</v>
      </c>
      <c r="K19" s="1761"/>
      <c r="L19" s="1761"/>
      <c r="M19" s="1761"/>
      <c r="N19" s="1761"/>
      <c r="O19" s="1762"/>
      <c r="P19" s="745" t="s">
        <v>3207</v>
      </c>
      <c r="Q19" s="744" t="s">
        <v>3207</v>
      </c>
      <c r="R19" s="1170"/>
    </row>
    <row r="20" spans="2:18" ht="18">
      <c r="B20" s="1170"/>
      <c r="C20" s="1170"/>
      <c r="D20" s="1170"/>
      <c r="E20" s="1478" t="s">
        <v>3208</v>
      </c>
      <c r="F20" s="1170"/>
      <c r="G20" s="1170"/>
      <c r="H20" s="1170"/>
      <c r="I20" s="747">
        <v>10</v>
      </c>
      <c r="J20" s="1760" t="str">
        <f>HYPERLINK("#Project_and_Unit_Amenities", Project_and_Unit_Amenities)</f>
        <v>Project and Unit Amenities</v>
      </c>
      <c r="K20" s="1761"/>
      <c r="L20" s="1761"/>
      <c r="M20" s="1761"/>
      <c r="N20" s="1761"/>
      <c r="O20" s="1762"/>
      <c r="P20" s="745" t="s">
        <v>3207</v>
      </c>
      <c r="Q20" s="744" t="s">
        <v>3207</v>
      </c>
      <c r="R20" s="1170"/>
    </row>
    <row r="21" spans="2:18" ht="18">
      <c r="B21" s="1170"/>
      <c r="C21" s="1170"/>
      <c r="D21" s="1170"/>
      <c r="E21" s="1478" t="s">
        <v>3209</v>
      </c>
      <c r="F21" s="1170"/>
      <c r="G21" s="1170"/>
      <c r="H21" s="1170"/>
      <c r="I21" s="747">
        <v>11</v>
      </c>
      <c r="J21" s="1760" t="str">
        <f>HYPERLINK("#Unit_Mix", Unit_Mix)</f>
        <v>Unit Mix</v>
      </c>
      <c r="K21" s="1761"/>
      <c r="L21" s="1761"/>
      <c r="M21" s="1761"/>
      <c r="N21" s="1761"/>
      <c r="O21" s="1762"/>
      <c r="P21" s="745" t="s">
        <v>3207</v>
      </c>
      <c r="Q21" s="744" t="s">
        <v>3207</v>
      </c>
      <c r="R21" s="1170"/>
    </row>
    <row r="22" spans="2:18" ht="18">
      <c r="B22" s="1170"/>
      <c r="C22" s="1170"/>
      <c r="D22" s="1170"/>
      <c r="E22" s="1478" t="s">
        <v>3210</v>
      </c>
      <c r="F22" s="1170"/>
      <c r="G22" s="1170"/>
      <c r="H22" s="1170"/>
      <c r="I22" s="747">
        <v>12</v>
      </c>
      <c r="J22" s="1760" t="str">
        <f>HYPERLINK("#Funding_Sources", Funding_Sources)</f>
        <v>Funding Sources</v>
      </c>
      <c r="K22" s="1761"/>
      <c r="L22" s="1761"/>
      <c r="M22" s="1761"/>
      <c r="N22" s="1761"/>
      <c r="O22" s="1762"/>
      <c r="P22" s="745" t="s">
        <v>3207</v>
      </c>
      <c r="Q22" s="744" t="s">
        <v>3207</v>
      </c>
      <c r="R22" s="1170"/>
    </row>
    <row r="23" spans="2:18" ht="18">
      <c r="B23" s="1170"/>
      <c r="C23" s="1170"/>
      <c r="D23" s="1170"/>
      <c r="E23" s="1478" t="s">
        <v>3211</v>
      </c>
      <c r="F23" s="1170"/>
      <c r="G23" s="1170"/>
      <c r="H23" s="1170"/>
      <c r="I23" s="747">
        <v>13</v>
      </c>
      <c r="J23" s="1760" t="str">
        <f>HYPERLINK("#Project_SOV",Project_SOV)</f>
        <v>Construction Cost Schedule of Values (SOV)</v>
      </c>
      <c r="K23" s="1761"/>
      <c r="L23" s="1761"/>
      <c r="M23" s="1761"/>
      <c r="N23" s="1761"/>
      <c r="O23" s="1762"/>
      <c r="P23" s="745" t="s">
        <v>3207</v>
      </c>
      <c r="Q23" s="744" t="s">
        <v>3207</v>
      </c>
      <c r="R23" s="1170"/>
    </row>
    <row r="24" spans="2:18" ht="18">
      <c r="B24" s="1170"/>
      <c r="C24" s="1170"/>
      <c r="D24" s="1170"/>
      <c r="E24" s="1478"/>
      <c r="F24" s="1170"/>
      <c r="G24" s="1170"/>
      <c r="H24" s="1170"/>
      <c r="I24" s="747">
        <v>14</v>
      </c>
      <c r="J24" s="1760" t="str">
        <f>HYPERLINK("#Project_Costs_and_Credit_Calculation", Project_Costs_and_Credit_Calculation)</f>
        <v>Project Costs</v>
      </c>
      <c r="K24" s="1761"/>
      <c r="L24" s="1761"/>
      <c r="M24" s="1761"/>
      <c r="N24" s="1761"/>
      <c r="O24" s="1762"/>
      <c r="P24" s="745" t="s">
        <v>3207</v>
      </c>
      <c r="Q24" s="744" t="s">
        <v>3207</v>
      </c>
      <c r="R24" s="1170"/>
    </row>
    <row r="25" spans="2:18" ht="18">
      <c r="B25" s="1170"/>
      <c r="C25" s="1170"/>
      <c r="D25" s="1478"/>
      <c r="E25" s="1478" t="s">
        <v>3212</v>
      </c>
      <c r="F25" s="1170"/>
      <c r="G25" s="1170"/>
      <c r="H25" s="1170"/>
      <c r="I25" s="747">
        <v>15</v>
      </c>
      <c r="J25" s="1760" t="str">
        <f>HYPERLINK("#Credit_Calc", Credit_Calc)</f>
        <v>Credit Calculation</v>
      </c>
      <c r="K25" s="1761"/>
      <c r="L25" s="1761"/>
      <c r="M25" s="1761"/>
      <c r="N25" s="1761"/>
      <c r="O25" s="1762"/>
      <c r="P25" s="745" t="s">
        <v>3207</v>
      </c>
      <c r="Q25" s="741"/>
      <c r="R25" s="1170"/>
    </row>
    <row r="26" spans="2:18" ht="18">
      <c r="B26" s="1170"/>
      <c r="C26" s="1170"/>
      <c r="D26" s="1478"/>
      <c r="E26" s="1478" t="s">
        <v>3213</v>
      </c>
      <c r="F26" s="1170"/>
      <c r="G26" s="1170"/>
      <c r="H26" s="1170"/>
      <c r="I26" s="747">
        <v>16</v>
      </c>
      <c r="J26" s="1760" t="str">
        <f>HYPERLINK("#Projected_Operating_Costs", Projected_Operating_Costs)</f>
        <v>Projected Operating Costs</v>
      </c>
      <c r="K26" s="1761"/>
      <c r="L26" s="1761"/>
      <c r="M26" s="1761"/>
      <c r="N26" s="1761"/>
      <c r="O26" s="1762"/>
      <c r="P26" s="745" t="s">
        <v>3207</v>
      </c>
      <c r="Q26" s="744" t="s">
        <v>3207</v>
      </c>
      <c r="R26" s="1170"/>
    </row>
    <row r="27" spans="2:18" ht="18">
      <c r="B27" s="1170"/>
      <c r="C27" s="1170"/>
      <c r="D27" s="1478"/>
      <c r="E27" s="1478" t="s">
        <v>3214</v>
      </c>
      <c r="F27" s="1170"/>
      <c r="G27" s="1170"/>
      <c r="H27" s="1170"/>
      <c r="I27" s="747">
        <v>17</v>
      </c>
      <c r="J27" s="1768" t="str">
        <f>HYPERLINK("#Project_Cash_Flow", Project_Cash_Flow)</f>
        <v>Cash Flow &amp; Replacement Reserves</v>
      </c>
      <c r="K27" s="1761"/>
      <c r="L27" s="1761"/>
      <c r="M27" s="1761"/>
      <c r="N27" s="1761"/>
      <c r="O27" s="1762"/>
      <c r="P27" s="745" t="s">
        <v>3207</v>
      </c>
      <c r="Q27" s="744" t="s">
        <v>3207</v>
      </c>
      <c r="R27" s="1170"/>
    </row>
    <row r="28" spans="2:18" ht="18">
      <c r="B28" s="1170"/>
      <c r="C28" s="1170"/>
      <c r="D28" s="1478"/>
      <c r="E28" s="1170"/>
      <c r="F28" s="1170"/>
      <c r="G28" s="1170"/>
      <c r="H28" s="1170"/>
      <c r="I28" s="747">
        <v>18</v>
      </c>
      <c r="J28" s="1768" t="str">
        <f>HYPERLINK("#Max_Cost_Model", Max_Cost_Model)</f>
        <v>Max Cost Model</v>
      </c>
      <c r="K28" s="1761"/>
      <c r="L28" s="1761"/>
      <c r="M28" s="1761"/>
      <c r="N28" s="1761"/>
      <c r="O28" s="1762"/>
      <c r="P28" s="745" t="s">
        <v>3207</v>
      </c>
      <c r="Q28" s="744" t="s">
        <v>3207</v>
      </c>
      <c r="R28" s="1170"/>
    </row>
    <row r="29" spans="2:18" ht="18">
      <c r="B29" s="1170"/>
      <c r="C29" s="1170"/>
      <c r="D29" s="1478"/>
      <c r="E29" s="1170"/>
      <c r="F29" s="1170"/>
      <c r="G29" s="1170"/>
      <c r="H29" s="1170"/>
      <c r="I29" s="747">
        <v>19</v>
      </c>
      <c r="J29" s="1760" t="str">
        <f>HYPERLINK("#Construction_Draw_Schedule", Construction_Draw_Schedule)</f>
        <v>Construction Draw Schedule</v>
      </c>
      <c r="K29" s="1761"/>
      <c r="L29" s="1761"/>
      <c r="M29" s="1761"/>
      <c r="N29" s="1761"/>
      <c r="O29" s="1762"/>
      <c r="P29" s="745"/>
      <c r="Q29" s="744" t="s">
        <v>3207</v>
      </c>
      <c r="R29" s="1170"/>
    </row>
    <row r="30" spans="2:18" ht="19">
      <c r="B30" s="1170"/>
      <c r="C30" s="1170"/>
      <c r="D30" s="1478"/>
      <c r="E30" s="1170"/>
      <c r="F30" s="1170"/>
      <c r="G30" s="1170"/>
      <c r="H30" s="1170"/>
      <c r="I30" s="747">
        <v>20</v>
      </c>
      <c r="J30" s="1760" t="str">
        <f>HYPERLINK("#Instructions_Scoring_Summary", Instructions_Scoring_Summary)</f>
        <v>Instructions / Scoring Summary</v>
      </c>
      <c r="K30" s="1761"/>
      <c r="L30" s="1761"/>
      <c r="M30" s="1761"/>
      <c r="N30" s="1761"/>
      <c r="O30" s="1762"/>
      <c r="P30" s="745" t="s">
        <v>3207</v>
      </c>
      <c r="Q30" s="742"/>
      <c r="R30" s="1170"/>
    </row>
    <row r="31" spans="2:18" ht="19">
      <c r="B31" s="1170"/>
      <c r="C31" s="1170"/>
      <c r="D31" s="1170"/>
      <c r="E31" s="1170"/>
      <c r="F31" s="1170"/>
      <c r="G31" s="1170"/>
      <c r="H31" s="1170"/>
      <c r="I31" s="747">
        <v>21</v>
      </c>
      <c r="J31" s="1768" t="str">
        <f>HYPERLINK("#Location_Score", Location_Score)</f>
        <v>Location Score</v>
      </c>
      <c r="K31" s="1761"/>
      <c r="L31" s="1761"/>
      <c r="M31" s="1761"/>
      <c r="N31" s="1761"/>
      <c r="O31" s="1762"/>
      <c r="P31" s="745" t="s">
        <v>3207</v>
      </c>
      <c r="Q31" s="742"/>
      <c r="R31" s="1170"/>
    </row>
    <row r="32" spans="2:18" ht="19">
      <c r="B32" s="1170"/>
      <c r="C32" s="1170"/>
      <c r="D32" s="1170"/>
      <c r="E32" s="1170"/>
      <c r="F32" s="1170"/>
      <c r="G32" s="1170"/>
      <c r="H32" s="1170"/>
      <c r="I32" s="747">
        <v>22</v>
      </c>
      <c r="J32" s="1768" t="str">
        <f>HYPERLINK("#Demand_Score", Demand_Score)</f>
        <v>Tenants Served Score</v>
      </c>
      <c r="K32" s="1761"/>
      <c r="L32" s="1761"/>
      <c r="M32" s="1761"/>
      <c r="N32" s="1761"/>
      <c r="O32" s="1762"/>
      <c r="P32" s="745" t="s">
        <v>3207</v>
      </c>
      <c r="Q32" s="742"/>
      <c r="R32" s="1170"/>
    </row>
    <row r="33" spans="2:21" ht="19">
      <c r="B33" s="1170"/>
      <c r="C33" s="1170"/>
      <c r="D33" s="1170"/>
      <c r="E33" s="1170"/>
      <c r="F33" s="1170"/>
      <c r="G33" s="1170"/>
      <c r="H33" s="1170"/>
      <c r="I33" s="747">
        <v>23</v>
      </c>
      <c r="J33" s="1768" t="str">
        <f>HYPERLINK("#Property_Score", Property_Score)</f>
        <v>Building Design Score</v>
      </c>
      <c r="K33" s="1761"/>
      <c r="L33" s="1761"/>
      <c r="M33" s="1761"/>
      <c r="N33" s="1761"/>
      <c r="O33" s="1762"/>
      <c r="P33" s="745" t="s">
        <v>3207</v>
      </c>
      <c r="Q33" s="742"/>
      <c r="R33" s="1170"/>
    </row>
    <row r="34" spans="2:21" ht="19">
      <c r="B34" s="1170"/>
      <c r="C34" s="1170"/>
      <c r="D34" s="1170"/>
      <c r="E34" s="1170"/>
      <c r="F34" s="1170"/>
      <c r="G34" s="1170"/>
      <c r="H34" s="1170"/>
      <c r="I34" s="747">
        <v>24</v>
      </c>
      <c r="J34" s="1768" t="str">
        <f>HYPERLINK("#Developer_Score", Developer_Score)</f>
        <v>Developent Process Score</v>
      </c>
      <c r="K34" s="1761"/>
      <c r="L34" s="1761"/>
      <c r="M34" s="1761"/>
      <c r="N34" s="1761"/>
      <c r="O34" s="1762"/>
      <c r="P34" s="745" t="s">
        <v>3207</v>
      </c>
      <c r="Q34" s="742"/>
      <c r="R34" s="1170"/>
    </row>
    <row r="35" spans="2:21" ht="19">
      <c r="B35" s="1170"/>
      <c r="C35" s="1170"/>
      <c r="D35" s="1170"/>
      <c r="E35" s="1170"/>
      <c r="F35" s="1170"/>
      <c r="G35" s="1170"/>
      <c r="H35" s="1170"/>
      <c r="I35" s="747">
        <v>25</v>
      </c>
      <c r="J35" s="1760" t="s">
        <v>3215</v>
      </c>
      <c r="K35" s="1763"/>
      <c r="L35" s="1763"/>
      <c r="M35" s="1763"/>
      <c r="N35" s="1763"/>
      <c r="O35" s="1769"/>
      <c r="P35" s="745" t="s">
        <v>3207</v>
      </c>
      <c r="Q35" s="742"/>
      <c r="R35" s="1170"/>
    </row>
    <row r="36" spans="2:21" ht="19">
      <c r="B36" s="1170"/>
      <c r="C36" s="1170"/>
      <c r="D36" s="1170"/>
      <c r="E36" s="1170"/>
      <c r="F36" s="1170"/>
      <c r="G36" s="1170"/>
      <c r="H36" s="1170"/>
      <c r="I36" s="747">
        <v>26</v>
      </c>
      <c r="J36" s="1760" t="s">
        <v>3216</v>
      </c>
      <c r="K36" s="1761"/>
      <c r="L36" s="1761"/>
      <c r="M36" s="1761"/>
      <c r="N36" s="1761"/>
      <c r="O36" s="1762"/>
      <c r="P36" s="745" t="s">
        <v>3207</v>
      </c>
      <c r="Q36" s="742"/>
      <c r="R36" s="1170"/>
    </row>
    <row r="37" spans="2:21" ht="18">
      <c r="B37" s="1170"/>
      <c r="C37" s="1170"/>
      <c r="D37" s="1170"/>
      <c r="E37" s="1170"/>
      <c r="F37" s="1170"/>
      <c r="G37" s="1170"/>
      <c r="H37" s="1170"/>
      <c r="I37" s="747">
        <v>27</v>
      </c>
      <c r="J37" s="1760" t="str">
        <f>HYPERLINK("#WHEDA_Loan_Signature_Page", WHEDA_Loan_Signature_Page)</f>
        <v>WHEDA Loan Signature Page</v>
      </c>
      <c r="K37" s="1763"/>
      <c r="L37" s="1763"/>
      <c r="M37" s="1763"/>
      <c r="N37" s="1763"/>
      <c r="O37" s="1764"/>
      <c r="P37" s="933"/>
      <c r="Q37" s="745" t="s">
        <v>3207</v>
      </c>
      <c r="R37" s="1170"/>
    </row>
    <row r="38" spans="2:21" ht="19">
      <c r="B38" s="1170"/>
      <c r="C38" s="1170"/>
      <c r="D38" s="1170"/>
      <c r="E38" s="1170"/>
      <c r="F38" s="1170"/>
      <c r="G38" s="1170"/>
      <c r="H38" s="1170"/>
      <c r="I38" s="748">
        <v>28</v>
      </c>
      <c r="J38" s="1765" t="str">
        <f>HYPERLINK("#Tax_Credit_Signature_Page", Tax_Credit_Signature_Page)</f>
        <v>Housing Tax Credit Signature Page</v>
      </c>
      <c r="K38" s="1766"/>
      <c r="L38" s="1766"/>
      <c r="M38" s="1766"/>
      <c r="N38" s="1766"/>
      <c r="O38" s="1767"/>
      <c r="P38" s="746" t="s">
        <v>3207</v>
      </c>
      <c r="Q38" s="743"/>
      <c r="R38" s="1170"/>
    </row>
    <row r="39" spans="2:21">
      <c r="B39" s="1170"/>
      <c r="C39" s="1170"/>
      <c r="D39" s="1170"/>
      <c r="E39" s="1170"/>
      <c r="F39" s="1170"/>
      <c r="G39" s="1170"/>
      <c r="H39" s="1170"/>
      <c r="I39" s="1478"/>
      <c r="J39" s="1170"/>
      <c r="K39" s="1170"/>
      <c r="L39" s="1170"/>
      <c r="M39" s="1170"/>
      <c r="N39" s="1170"/>
      <c r="O39" s="1170"/>
      <c r="P39" s="1170"/>
      <c r="Q39" s="1170"/>
      <c r="R39" s="1170"/>
    </row>
    <row r="40" spans="2:21">
      <c r="B40" s="1170"/>
      <c r="C40" s="1170"/>
      <c r="D40" s="1170"/>
      <c r="E40" s="1170"/>
      <c r="F40" s="1170"/>
      <c r="G40" s="1170"/>
      <c r="H40" s="1170"/>
      <c r="I40" s="1478"/>
      <c r="J40" s="1167"/>
      <c r="K40" s="1167"/>
      <c r="L40" s="1167"/>
      <c r="M40" s="1167"/>
      <c r="N40" s="1167"/>
      <c r="O40" s="1167"/>
      <c r="P40" s="1167"/>
      <c r="Q40" s="1167"/>
      <c r="R40" s="1170"/>
    </row>
    <row r="41" spans="2:21" s="3" customFormat="1">
      <c r="I41" s="1711"/>
      <c r="T41" s="9"/>
      <c r="U41" s="9"/>
    </row>
    <row r="42" spans="2:21" s="3" customFormat="1">
      <c r="I42" s="1711"/>
      <c r="T42" s="9"/>
      <c r="U42" s="9"/>
    </row>
    <row r="43" spans="2:21" s="3" customFormat="1">
      <c r="I43" s="1711"/>
      <c r="T43" s="9"/>
      <c r="U43" s="9"/>
    </row>
    <row r="44" spans="2:21" s="3" customFormat="1">
      <c r="I44" s="1711"/>
      <c r="T44" s="9"/>
      <c r="U44" s="9"/>
    </row>
    <row r="45" spans="2:21" s="3" customFormat="1">
      <c r="I45" s="1711"/>
      <c r="T45" s="9"/>
      <c r="U45" s="9"/>
    </row>
    <row r="46" spans="2:21" s="3" customFormat="1">
      <c r="I46" s="1711"/>
      <c r="T46" s="9"/>
      <c r="U46" s="9"/>
    </row>
    <row r="47" spans="2:21" s="3" customFormat="1">
      <c r="I47" s="1711"/>
      <c r="T47" s="9"/>
      <c r="U47" s="9"/>
    </row>
    <row r="48" spans="2:21" s="3" customFormat="1">
      <c r="I48" s="1711"/>
      <c r="T48" s="9"/>
      <c r="U48" s="9"/>
    </row>
    <row r="49" spans="9:21" s="3" customFormat="1">
      <c r="I49" s="1711"/>
      <c r="T49" s="9"/>
      <c r="U49" s="9"/>
    </row>
    <row r="50" spans="9:21" s="3" customFormat="1">
      <c r="I50" s="1711"/>
      <c r="T50" s="9"/>
      <c r="U50" s="9"/>
    </row>
    <row r="51" spans="9:21" s="3" customFormat="1">
      <c r="I51" s="1711"/>
      <c r="T51" s="9"/>
      <c r="U51" s="9"/>
    </row>
    <row r="52" spans="9:21" s="3" customFormat="1">
      <c r="I52" s="1711"/>
      <c r="T52" s="9"/>
      <c r="U52" s="9"/>
    </row>
    <row r="53" spans="9:21" s="3" customFormat="1">
      <c r="I53" s="1711"/>
      <c r="T53" s="9"/>
      <c r="U53" s="9"/>
    </row>
    <row r="54" spans="9:21" s="3" customFormat="1">
      <c r="I54" s="1711"/>
      <c r="T54" s="9"/>
      <c r="U54" s="9"/>
    </row>
    <row r="55" spans="9:21" s="3" customFormat="1">
      <c r="I55" s="1711"/>
      <c r="T55" s="9"/>
      <c r="U55" s="9"/>
    </row>
    <row r="56" spans="9:21" s="3" customFormat="1">
      <c r="I56" s="1711"/>
      <c r="T56" s="9"/>
      <c r="U56" s="9"/>
    </row>
    <row r="57" spans="9:21" s="3" customFormat="1">
      <c r="I57" s="1711"/>
      <c r="T57" s="9"/>
      <c r="U57" s="9"/>
    </row>
    <row r="58" spans="9:21" s="3" customFormat="1">
      <c r="I58" s="1711"/>
      <c r="T58" s="9"/>
      <c r="U58" s="9"/>
    </row>
    <row r="59" spans="9:21" s="3" customFormat="1">
      <c r="I59" s="1711"/>
      <c r="T59" s="9"/>
      <c r="U59" s="9"/>
    </row>
    <row r="60" spans="9:21" s="3" customFormat="1">
      <c r="I60" s="1711"/>
      <c r="T60" s="9"/>
      <c r="U60" s="9"/>
    </row>
    <row r="61" spans="9:21" s="3" customFormat="1">
      <c r="I61" s="1711"/>
      <c r="T61" s="9"/>
      <c r="U61" s="9"/>
    </row>
    <row r="62" spans="9:21" s="3" customFormat="1">
      <c r="I62" s="1711"/>
      <c r="T62" s="9"/>
      <c r="U62" s="9"/>
    </row>
    <row r="63" spans="9:21" s="3" customFormat="1">
      <c r="I63" s="1711"/>
      <c r="T63" s="9"/>
      <c r="U63" s="9"/>
    </row>
    <row r="64" spans="9:21" s="3" customFormat="1">
      <c r="I64" s="1711"/>
      <c r="T64" s="9"/>
      <c r="U64" s="9"/>
    </row>
    <row r="65" spans="9:21" s="3" customFormat="1">
      <c r="I65" s="1711"/>
      <c r="T65" s="9"/>
      <c r="U65" s="9"/>
    </row>
    <row r="66" spans="9:21" s="3" customFormat="1">
      <c r="I66" s="1711"/>
      <c r="T66" s="9"/>
      <c r="U66" s="9"/>
    </row>
    <row r="67" spans="9:21" s="3" customFormat="1">
      <c r="I67" s="1711"/>
      <c r="T67" s="9"/>
      <c r="U67" s="9"/>
    </row>
    <row r="68" spans="9:21" s="3" customFormat="1">
      <c r="I68" s="1711"/>
      <c r="T68" s="9"/>
      <c r="U68" s="9"/>
    </row>
    <row r="69" spans="9:21" s="3" customFormat="1">
      <c r="I69" s="1711"/>
      <c r="T69" s="9"/>
      <c r="U69" s="9"/>
    </row>
    <row r="70" spans="9:21" s="3" customFormat="1">
      <c r="I70" s="1711"/>
      <c r="T70" s="9"/>
      <c r="U70" s="9"/>
    </row>
    <row r="71" spans="9:21" s="3" customFormat="1">
      <c r="I71" s="1711"/>
      <c r="T71" s="9"/>
      <c r="U71" s="9"/>
    </row>
    <row r="72" spans="9:21" s="3" customFormat="1">
      <c r="I72" s="1711"/>
      <c r="T72" s="9"/>
      <c r="U72" s="9"/>
    </row>
    <row r="73" spans="9:21" s="3" customFormat="1">
      <c r="I73" s="1711"/>
      <c r="T73" s="9"/>
      <c r="U73" s="9"/>
    </row>
    <row r="74" spans="9:21" s="3" customFormat="1">
      <c r="I74" s="1711"/>
      <c r="T74" s="9"/>
      <c r="U74" s="9"/>
    </row>
    <row r="75" spans="9:21" s="3" customFormat="1">
      <c r="I75" s="1711"/>
      <c r="T75" s="9"/>
      <c r="U75" s="9"/>
    </row>
    <row r="76" spans="9:21" s="3" customFormat="1">
      <c r="I76" s="1711"/>
      <c r="T76" s="9"/>
      <c r="U76" s="9"/>
    </row>
    <row r="77" spans="9:21" s="3" customFormat="1">
      <c r="I77" s="1711"/>
      <c r="T77" s="9"/>
      <c r="U77" s="9"/>
    </row>
    <row r="78" spans="9:21" s="3" customFormat="1">
      <c r="I78" s="1711"/>
      <c r="T78" s="9"/>
      <c r="U78" s="9"/>
    </row>
    <row r="79" spans="9:21" s="3" customFormat="1">
      <c r="I79" s="1711"/>
      <c r="T79" s="9"/>
      <c r="U79" s="9"/>
    </row>
    <row r="80" spans="9:21" s="3" customFormat="1">
      <c r="I80" s="1711"/>
      <c r="T80" s="9"/>
      <c r="U80" s="9"/>
    </row>
    <row r="81" spans="9:21" s="3" customFormat="1">
      <c r="I81" s="1711"/>
      <c r="T81" s="9"/>
      <c r="U81" s="9"/>
    </row>
    <row r="82" spans="9:21" s="3" customFormat="1">
      <c r="I82" s="1711"/>
      <c r="T82" s="9"/>
      <c r="U82" s="9"/>
    </row>
    <row r="83" spans="9:21" s="3" customFormat="1">
      <c r="I83" s="1711"/>
      <c r="T83" s="9"/>
      <c r="U83" s="9"/>
    </row>
    <row r="84" spans="9:21" s="3" customFormat="1">
      <c r="I84" s="1711"/>
      <c r="T84" s="9"/>
      <c r="U84" s="9"/>
    </row>
    <row r="85" spans="9:21" s="3" customFormat="1">
      <c r="I85" s="1711"/>
      <c r="T85" s="9"/>
      <c r="U85" s="9"/>
    </row>
    <row r="86" spans="9:21" s="3" customFormat="1">
      <c r="I86" s="1711"/>
      <c r="T86" s="9"/>
      <c r="U86" s="9"/>
    </row>
    <row r="87" spans="9:21" s="3" customFormat="1">
      <c r="I87" s="1711"/>
      <c r="T87" s="9"/>
      <c r="U87" s="9"/>
    </row>
    <row r="88" spans="9:21" s="3" customFormat="1">
      <c r="I88" s="1711"/>
      <c r="T88" s="9"/>
      <c r="U88" s="9"/>
    </row>
    <row r="89" spans="9:21" s="3" customFormat="1">
      <c r="I89" s="1711"/>
      <c r="T89" s="9"/>
      <c r="U89" s="9"/>
    </row>
    <row r="90" spans="9:21" s="3" customFormat="1">
      <c r="I90" s="1711"/>
      <c r="T90" s="9"/>
      <c r="U90" s="9"/>
    </row>
    <row r="91" spans="9:21" s="3" customFormat="1">
      <c r="I91" s="1711"/>
      <c r="T91" s="9"/>
      <c r="U91" s="9"/>
    </row>
    <row r="92" spans="9:21" s="3" customFormat="1">
      <c r="I92" s="1711"/>
      <c r="T92" s="9"/>
      <c r="U92" s="9"/>
    </row>
    <row r="93" spans="9:21" s="3" customFormat="1">
      <c r="I93" s="1711"/>
      <c r="T93" s="9"/>
      <c r="U93" s="9"/>
    </row>
    <row r="94" spans="9:21" s="3" customFormat="1">
      <c r="I94" s="1711"/>
      <c r="T94" s="9"/>
      <c r="U94" s="9"/>
    </row>
    <row r="95" spans="9:21" s="3" customFormat="1">
      <c r="I95" s="1711"/>
      <c r="T95" s="9"/>
      <c r="U95" s="9"/>
    </row>
    <row r="96" spans="9:21" s="3" customFormat="1">
      <c r="I96" s="1711"/>
      <c r="T96" s="9"/>
      <c r="U96" s="9"/>
    </row>
    <row r="97" spans="9:21" s="3" customFormat="1">
      <c r="I97" s="1711"/>
      <c r="T97" s="9"/>
      <c r="U97" s="9"/>
    </row>
    <row r="98" spans="9:21" s="3" customFormat="1">
      <c r="I98" s="1711"/>
      <c r="T98" s="9"/>
      <c r="U98" s="9"/>
    </row>
    <row r="99" spans="9:21" s="3" customFormat="1">
      <c r="I99" s="1711"/>
      <c r="T99" s="9"/>
      <c r="U99" s="9"/>
    </row>
    <row r="100" spans="9:21" s="3" customFormat="1">
      <c r="I100" s="1711"/>
      <c r="T100" s="9"/>
      <c r="U100" s="9"/>
    </row>
    <row r="101" spans="9:21" s="3" customFormat="1">
      <c r="I101" s="1711"/>
      <c r="T101" s="9"/>
      <c r="U101" s="9"/>
    </row>
    <row r="102" spans="9:21" s="3" customFormat="1">
      <c r="I102" s="1711"/>
      <c r="T102" s="9"/>
      <c r="U102" s="9"/>
    </row>
    <row r="103" spans="9:21" s="3" customFormat="1">
      <c r="I103" s="1711"/>
      <c r="T103" s="9"/>
      <c r="U103" s="9"/>
    </row>
    <row r="104" spans="9:21" s="3" customFormat="1">
      <c r="I104" s="1711"/>
      <c r="T104" s="9"/>
      <c r="U104" s="9"/>
    </row>
    <row r="105" spans="9:21" s="3" customFormat="1">
      <c r="I105" s="1711"/>
      <c r="T105" s="9"/>
      <c r="U105" s="9"/>
    </row>
    <row r="106" spans="9:21" s="3" customFormat="1">
      <c r="I106" s="1711"/>
      <c r="T106" s="9"/>
      <c r="U106" s="9"/>
    </row>
    <row r="107" spans="9:21" s="3" customFormat="1">
      <c r="I107" s="1711"/>
      <c r="T107" s="9"/>
      <c r="U107" s="9"/>
    </row>
    <row r="108" spans="9:21" s="3" customFormat="1">
      <c r="I108" s="1711"/>
      <c r="T108" s="9"/>
      <c r="U108" s="9"/>
    </row>
    <row r="109" spans="9:21" s="3" customFormat="1">
      <c r="I109" s="1711"/>
      <c r="T109" s="9"/>
      <c r="U109" s="9"/>
    </row>
    <row r="110" spans="9:21" s="3" customFormat="1">
      <c r="I110" s="1711"/>
      <c r="T110" s="9"/>
      <c r="U110" s="9"/>
    </row>
    <row r="111" spans="9:21" s="3" customFormat="1">
      <c r="I111" s="1711"/>
      <c r="T111" s="9"/>
      <c r="U111" s="9"/>
    </row>
    <row r="112" spans="9:21" s="3" customFormat="1">
      <c r="I112" s="1711"/>
      <c r="T112" s="9"/>
      <c r="U112" s="9"/>
    </row>
    <row r="113" spans="9:21" s="3" customFormat="1">
      <c r="I113" s="1711"/>
      <c r="T113" s="9"/>
      <c r="U113" s="9"/>
    </row>
    <row r="114" spans="9:21" s="3" customFormat="1">
      <c r="I114" s="1711"/>
      <c r="T114" s="9"/>
      <c r="U114" s="9"/>
    </row>
    <row r="115" spans="9:21" s="3" customFormat="1">
      <c r="I115" s="1711"/>
      <c r="T115" s="9"/>
      <c r="U115" s="9"/>
    </row>
    <row r="116" spans="9:21" s="3" customFormat="1">
      <c r="I116" s="1711"/>
      <c r="T116" s="9"/>
      <c r="U116" s="9"/>
    </row>
    <row r="117" spans="9:21" s="3" customFormat="1">
      <c r="I117" s="1711"/>
      <c r="T117" s="9"/>
      <c r="U117" s="9"/>
    </row>
    <row r="118" spans="9:21" s="3" customFormat="1">
      <c r="I118" s="1711"/>
      <c r="T118" s="9"/>
      <c r="U118" s="9"/>
    </row>
    <row r="119" spans="9:21" s="3" customFormat="1">
      <c r="I119" s="1711"/>
      <c r="T119" s="9"/>
      <c r="U119" s="9"/>
    </row>
    <row r="120" spans="9:21" s="3" customFormat="1">
      <c r="I120" s="1711"/>
      <c r="T120" s="9"/>
      <c r="U120" s="9"/>
    </row>
    <row r="121" spans="9:21" s="3" customFormat="1">
      <c r="I121" s="1711"/>
      <c r="T121" s="9"/>
      <c r="U121" s="9"/>
    </row>
    <row r="122" spans="9:21" s="3" customFormat="1">
      <c r="I122" s="1711"/>
      <c r="T122" s="9"/>
      <c r="U122" s="9"/>
    </row>
    <row r="123" spans="9:21" s="3" customFormat="1">
      <c r="I123" s="1711"/>
      <c r="T123" s="9"/>
      <c r="U123" s="9"/>
    </row>
    <row r="124" spans="9:21" s="3" customFormat="1">
      <c r="I124" s="1711"/>
      <c r="T124" s="9"/>
      <c r="U124" s="9"/>
    </row>
    <row r="125" spans="9:21" s="3" customFormat="1">
      <c r="I125" s="1711"/>
      <c r="T125" s="9"/>
      <c r="U125" s="9"/>
    </row>
    <row r="126" spans="9:21" s="3" customFormat="1">
      <c r="I126" s="1711"/>
      <c r="T126" s="9"/>
      <c r="U126" s="9"/>
    </row>
    <row r="127" spans="9:21" s="3" customFormat="1">
      <c r="I127" s="1711"/>
      <c r="T127" s="9"/>
      <c r="U127" s="9"/>
    </row>
    <row r="128" spans="9:21" s="3" customFormat="1">
      <c r="I128" s="1711"/>
      <c r="T128" s="9"/>
      <c r="U128" s="9"/>
    </row>
    <row r="129" spans="9:21" s="3" customFormat="1">
      <c r="I129" s="1711"/>
      <c r="T129" s="9"/>
      <c r="U129" s="9"/>
    </row>
    <row r="130" spans="9:21" s="3" customFormat="1">
      <c r="I130" s="1711"/>
      <c r="T130" s="9"/>
      <c r="U130" s="9"/>
    </row>
    <row r="131" spans="9:21" s="3" customFormat="1">
      <c r="I131" s="1711"/>
      <c r="T131" s="9"/>
      <c r="U131" s="9"/>
    </row>
    <row r="132" spans="9:21" s="3" customFormat="1">
      <c r="I132" s="1711"/>
      <c r="T132" s="9"/>
      <c r="U132" s="9"/>
    </row>
    <row r="133" spans="9:21" s="3" customFormat="1">
      <c r="I133" s="1711"/>
      <c r="T133" s="9"/>
      <c r="U133" s="9"/>
    </row>
    <row r="134" spans="9:21" s="3" customFormat="1">
      <c r="I134" s="1711"/>
      <c r="T134" s="9"/>
      <c r="U134" s="9"/>
    </row>
    <row r="135" spans="9:21" s="3" customFormat="1">
      <c r="I135" s="1711"/>
      <c r="T135" s="9"/>
      <c r="U135" s="9"/>
    </row>
    <row r="136" spans="9:21" s="3" customFormat="1">
      <c r="I136" s="1711"/>
      <c r="T136" s="9"/>
      <c r="U136" s="9"/>
    </row>
    <row r="137" spans="9:21" s="3" customFormat="1">
      <c r="I137" s="1711"/>
      <c r="T137" s="9"/>
      <c r="U137" s="9"/>
    </row>
    <row r="138" spans="9:21" s="3" customFormat="1">
      <c r="I138" s="1711"/>
      <c r="T138" s="9"/>
      <c r="U138" s="9"/>
    </row>
    <row r="139" spans="9:21" s="3" customFormat="1">
      <c r="I139" s="1711"/>
      <c r="T139" s="9"/>
      <c r="U139" s="9"/>
    </row>
    <row r="140" spans="9:21" s="3" customFormat="1">
      <c r="I140" s="1711"/>
      <c r="T140" s="9"/>
      <c r="U140" s="9"/>
    </row>
    <row r="141" spans="9:21" s="3" customFormat="1">
      <c r="I141" s="1711"/>
      <c r="T141" s="9"/>
      <c r="U141" s="9"/>
    </row>
    <row r="142" spans="9:21" s="3" customFormat="1">
      <c r="I142" s="1711"/>
      <c r="T142" s="9"/>
      <c r="U142" s="9"/>
    </row>
    <row r="143" spans="9:21" s="3" customFormat="1">
      <c r="I143" s="1711"/>
      <c r="T143" s="9"/>
      <c r="U143" s="9"/>
    </row>
    <row r="144" spans="9:21" s="3" customFormat="1">
      <c r="I144" s="1711"/>
      <c r="T144" s="9"/>
      <c r="U144" s="9"/>
    </row>
    <row r="145" spans="9:21" s="3" customFormat="1">
      <c r="I145" s="1711"/>
      <c r="T145" s="9"/>
      <c r="U145" s="9"/>
    </row>
    <row r="146" spans="9:21" s="3" customFormat="1">
      <c r="I146" s="1711"/>
      <c r="T146" s="9"/>
      <c r="U146" s="9"/>
    </row>
    <row r="147" spans="9:21" s="3" customFormat="1">
      <c r="I147" s="1711"/>
      <c r="T147" s="9"/>
      <c r="U147" s="9"/>
    </row>
    <row r="148" spans="9:21" s="3" customFormat="1">
      <c r="I148" s="1711"/>
      <c r="T148" s="9"/>
      <c r="U148" s="9"/>
    </row>
    <row r="149" spans="9:21" s="3" customFormat="1">
      <c r="I149" s="1711"/>
      <c r="T149" s="9"/>
      <c r="U149" s="9"/>
    </row>
    <row r="150" spans="9:21" s="3" customFormat="1">
      <c r="I150" s="1711"/>
      <c r="T150" s="9"/>
      <c r="U150" s="9"/>
    </row>
    <row r="151" spans="9:21" s="3" customFormat="1">
      <c r="I151" s="1711"/>
      <c r="T151" s="9"/>
      <c r="U151" s="9"/>
    </row>
    <row r="152" spans="9:21" s="3" customFormat="1">
      <c r="I152" s="1711"/>
      <c r="T152" s="9"/>
      <c r="U152" s="9"/>
    </row>
    <row r="153" spans="9:21" s="3" customFormat="1">
      <c r="I153" s="1711"/>
      <c r="T153" s="9"/>
      <c r="U153" s="9"/>
    </row>
    <row r="154" spans="9:21" s="3" customFormat="1">
      <c r="I154" s="1711"/>
      <c r="T154" s="9"/>
      <c r="U154" s="9"/>
    </row>
    <row r="155" spans="9:21" s="3" customFormat="1">
      <c r="I155" s="1711"/>
      <c r="T155" s="9"/>
      <c r="U155" s="9"/>
    </row>
    <row r="156" spans="9:21" s="3" customFormat="1">
      <c r="I156" s="1711"/>
      <c r="T156" s="9"/>
      <c r="U156" s="9"/>
    </row>
    <row r="157" spans="9:21" s="3" customFormat="1">
      <c r="I157" s="1711"/>
      <c r="T157" s="9"/>
      <c r="U157" s="9"/>
    </row>
    <row r="158" spans="9:21" s="3" customFormat="1">
      <c r="I158" s="1711"/>
      <c r="T158" s="9"/>
      <c r="U158" s="9"/>
    </row>
    <row r="159" spans="9:21" s="3" customFormat="1">
      <c r="I159" s="1711"/>
      <c r="T159" s="9"/>
      <c r="U159" s="9"/>
    </row>
    <row r="160" spans="9:21" s="3" customFormat="1">
      <c r="I160" s="1711"/>
      <c r="T160" s="9"/>
      <c r="U160" s="9"/>
    </row>
    <row r="161" spans="9:21" s="3" customFormat="1">
      <c r="I161" s="1711"/>
      <c r="T161" s="9"/>
      <c r="U161" s="9"/>
    </row>
    <row r="162" spans="9:21" s="3" customFormat="1">
      <c r="I162" s="1711"/>
      <c r="T162" s="9"/>
      <c r="U162" s="9"/>
    </row>
    <row r="163" spans="9:21" s="3" customFormat="1">
      <c r="I163" s="1711"/>
      <c r="T163" s="9"/>
      <c r="U163" s="9"/>
    </row>
    <row r="164" spans="9:21" s="3" customFormat="1">
      <c r="I164" s="1711"/>
      <c r="T164" s="9"/>
      <c r="U164" s="9"/>
    </row>
    <row r="165" spans="9:21" s="3" customFormat="1">
      <c r="I165" s="1711"/>
      <c r="T165" s="9"/>
      <c r="U165" s="9"/>
    </row>
    <row r="166" spans="9:21" s="3" customFormat="1">
      <c r="I166" s="1711"/>
      <c r="T166" s="9"/>
      <c r="U166" s="9"/>
    </row>
    <row r="167" spans="9:21" s="3" customFormat="1">
      <c r="I167" s="1711"/>
      <c r="T167" s="9"/>
      <c r="U167" s="9"/>
    </row>
    <row r="168" spans="9:21" s="3" customFormat="1">
      <c r="I168" s="1711"/>
      <c r="T168" s="9"/>
      <c r="U168" s="9"/>
    </row>
    <row r="169" spans="9:21" s="3" customFormat="1">
      <c r="I169" s="1711"/>
      <c r="T169" s="9"/>
      <c r="U169" s="9"/>
    </row>
    <row r="170" spans="9:21" s="3" customFormat="1">
      <c r="I170" s="1711"/>
      <c r="T170" s="9"/>
      <c r="U170" s="9"/>
    </row>
    <row r="171" spans="9:21" s="3" customFormat="1">
      <c r="I171" s="1711"/>
      <c r="T171" s="9"/>
      <c r="U171" s="9"/>
    </row>
    <row r="172" spans="9:21" s="3" customFormat="1">
      <c r="I172" s="1711"/>
      <c r="T172" s="9"/>
      <c r="U172" s="9"/>
    </row>
    <row r="173" spans="9:21" s="3" customFormat="1">
      <c r="I173" s="1711"/>
      <c r="T173" s="9"/>
      <c r="U173" s="9"/>
    </row>
    <row r="174" spans="9:21" s="3" customFormat="1">
      <c r="I174" s="1711"/>
      <c r="T174" s="9"/>
      <c r="U174" s="9"/>
    </row>
    <row r="175" spans="9:21" s="3" customFormat="1">
      <c r="I175" s="1711"/>
      <c r="T175" s="9"/>
      <c r="U175" s="9"/>
    </row>
    <row r="176" spans="9:21" s="3" customFormat="1">
      <c r="I176" s="1711"/>
      <c r="T176" s="9"/>
      <c r="U176" s="9"/>
    </row>
    <row r="177" spans="9:21" s="3" customFormat="1">
      <c r="I177" s="1711"/>
      <c r="T177" s="9"/>
      <c r="U177" s="9"/>
    </row>
    <row r="178" spans="9:21" s="3" customFormat="1">
      <c r="I178" s="1711"/>
      <c r="T178" s="9"/>
      <c r="U178" s="9"/>
    </row>
    <row r="179" spans="9:21" s="3" customFormat="1">
      <c r="I179" s="1711"/>
      <c r="T179" s="9"/>
      <c r="U179" s="9"/>
    </row>
    <row r="180" spans="9:21" s="3" customFormat="1">
      <c r="I180" s="1711"/>
      <c r="T180" s="9"/>
      <c r="U180" s="9"/>
    </row>
    <row r="181" spans="9:21" s="3" customFormat="1">
      <c r="I181" s="1711"/>
      <c r="T181" s="9"/>
      <c r="U181" s="9"/>
    </row>
    <row r="182" spans="9:21" s="3" customFormat="1">
      <c r="I182" s="1711"/>
      <c r="T182" s="9"/>
      <c r="U182" s="9"/>
    </row>
    <row r="183" spans="9:21" s="3" customFormat="1">
      <c r="I183" s="1711"/>
      <c r="T183" s="9"/>
      <c r="U183" s="9"/>
    </row>
    <row r="184" spans="9:21" s="3" customFormat="1">
      <c r="I184" s="1711"/>
      <c r="T184" s="9"/>
      <c r="U184" s="9"/>
    </row>
    <row r="185" spans="9:21" s="3" customFormat="1">
      <c r="I185" s="1711"/>
      <c r="T185" s="9"/>
      <c r="U185" s="9"/>
    </row>
    <row r="186" spans="9:21" s="3" customFormat="1">
      <c r="I186" s="1711"/>
      <c r="T186" s="9"/>
      <c r="U186" s="9"/>
    </row>
    <row r="187" spans="9:21" s="3" customFormat="1">
      <c r="I187" s="1711"/>
      <c r="T187" s="9"/>
      <c r="U187" s="9"/>
    </row>
    <row r="188" spans="9:21" s="3" customFormat="1">
      <c r="I188" s="1711"/>
      <c r="T188" s="9"/>
      <c r="U188" s="9"/>
    </row>
    <row r="189" spans="9:21" s="3" customFormat="1">
      <c r="I189" s="1711"/>
      <c r="T189" s="9"/>
      <c r="U189" s="9"/>
    </row>
    <row r="190" spans="9:21" s="3" customFormat="1">
      <c r="I190" s="1711"/>
      <c r="T190" s="9"/>
      <c r="U190" s="9"/>
    </row>
    <row r="191" spans="9:21" s="3" customFormat="1">
      <c r="I191" s="1711"/>
      <c r="T191" s="9"/>
      <c r="U191" s="9"/>
    </row>
    <row r="192" spans="9:21" s="3" customFormat="1">
      <c r="I192" s="1711"/>
      <c r="T192" s="9"/>
      <c r="U192" s="9"/>
    </row>
    <row r="193" spans="9:21" s="3" customFormat="1">
      <c r="I193" s="1711"/>
      <c r="T193" s="9"/>
      <c r="U193" s="9"/>
    </row>
    <row r="194" spans="9:21" s="3" customFormat="1">
      <c r="I194" s="1711"/>
      <c r="T194" s="9"/>
      <c r="U194" s="9"/>
    </row>
    <row r="195" spans="9:21" s="3" customFormat="1">
      <c r="I195" s="1711"/>
      <c r="T195" s="9"/>
      <c r="U195" s="9"/>
    </row>
    <row r="196" spans="9:21" s="3" customFormat="1">
      <c r="I196" s="1711"/>
      <c r="T196" s="9"/>
      <c r="U196" s="9"/>
    </row>
    <row r="197" spans="9:21" s="3" customFormat="1">
      <c r="I197" s="1711"/>
      <c r="T197" s="9"/>
      <c r="U197" s="9"/>
    </row>
    <row r="198" spans="9:21" s="3" customFormat="1">
      <c r="I198" s="1711"/>
      <c r="T198" s="9"/>
      <c r="U198" s="9"/>
    </row>
    <row r="199" spans="9:21" s="3" customFormat="1">
      <c r="I199" s="1711"/>
      <c r="T199" s="9"/>
      <c r="U199" s="9"/>
    </row>
    <row r="200" spans="9:21" s="3" customFormat="1">
      <c r="I200" s="1711"/>
      <c r="T200" s="9"/>
      <c r="U200" s="9"/>
    </row>
    <row r="201" spans="9:21" s="3" customFormat="1">
      <c r="I201" s="1711"/>
      <c r="T201" s="9"/>
      <c r="U201" s="9"/>
    </row>
    <row r="202" spans="9:21" s="3" customFormat="1">
      <c r="I202" s="1711"/>
      <c r="T202" s="9"/>
      <c r="U202" s="9"/>
    </row>
    <row r="203" spans="9:21" s="3" customFormat="1">
      <c r="I203" s="1711"/>
      <c r="T203" s="9"/>
      <c r="U203" s="9"/>
    </row>
    <row r="204" spans="9:21" s="3" customFormat="1">
      <c r="I204" s="1711"/>
      <c r="T204" s="9"/>
      <c r="U204" s="9"/>
    </row>
    <row r="205" spans="9:21" s="3" customFormat="1">
      <c r="I205" s="1711"/>
      <c r="T205" s="9"/>
      <c r="U205" s="9"/>
    </row>
    <row r="206" spans="9:21" s="3" customFormat="1">
      <c r="I206" s="1711"/>
      <c r="T206" s="9"/>
      <c r="U206" s="9"/>
    </row>
    <row r="207" spans="9:21" s="3" customFormat="1">
      <c r="I207" s="1711"/>
      <c r="T207" s="9"/>
      <c r="U207" s="9"/>
    </row>
    <row r="208" spans="9:21" s="3" customFormat="1">
      <c r="I208" s="1711"/>
      <c r="T208" s="9"/>
      <c r="U208" s="9"/>
    </row>
    <row r="209" spans="9:21" s="3" customFormat="1">
      <c r="I209" s="1711"/>
      <c r="T209" s="9"/>
      <c r="U209" s="9"/>
    </row>
    <row r="210" spans="9:21" s="3" customFormat="1">
      <c r="I210" s="1711"/>
      <c r="T210" s="9"/>
      <c r="U210" s="9"/>
    </row>
    <row r="211" spans="9:21" s="3" customFormat="1">
      <c r="I211" s="1711"/>
      <c r="T211" s="9"/>
      <c r="U211" s="9"/>
    </row>
    <row r="212" spans="9:21" s="3" customFormat="1">
      <c r="I212" s="1711"/>
      <c r="T212" s="9"/>
      <c r="U212" s="9"/>
    </row>
    <row r="213" spans="9:21" s="3" customFormat="1">
      <c r="I213" s="1711"/>
      <c r="T213" s="9"/>
      <c r="U213" s="9"/>
    </row>
    <row r="214" spans="9:21" s="3" customFormat="1">
      <c r="I214" s="1711"/>
      <c r="T214" s="9"/>
      <c r="U214" s="9"/>
    </row>
    <row r="215" spans="9:21" s="3" customFormat="1">
      <c r="I215" s="1711"/>
      <c r="T215" s="9"/>
      <c r="U215" s="9"/>
    </row>
    <row r="216" spans="9:21" s="3" customFormat="1">
      <c r="I216" s="1711"/>
      <c r="T216" s="9"/>
      <c r="U216" s="9"/>
    </row>
    <row r="217" spans="9:21" s="3" customFormat="1">
      <c r="I217" s="1711"/>
      <c r="T217" s="9"/>
      <c r="U217" s="9"/>
    </row>
    <row r="218" spans="9:21" s="3" customFormat="1">
      <c r="I218" s="1711"/>
      <c r="T218" s="9"/>
      <c r="U218" s="9"/>
    </row>
    <row r="219" spans="9:21" s="3" customFormat="1">
      <c r="I219" s="1711"/>
      <c r="T219" s="9"/>
      <c r="U219" s="9"/>
    </row>
    <row r="220" spans="9:21" s="3" customFormat="1">
      <c r="I220" s="1711"/>
      <c r="T220" s="9"/>
      <c r="U220" s="9"/>
    </row>
    <row r="221" spans="9:21" s="3" customFormat="1">
      <c r="I221" s="1711"/>
      <c r="T221" s="9"/>
      <c r="U221" s="9"/>
    </row>
    <row r="222" spans="9:21" s="3" customFormat="1">
      <c r="I222" s="1711"/>
      <c r="T222" s="9"/>
      <c r="U222" s="9"/>
    </row>
    <row r="223" spans="9:21" s="3" customFormat="1">
      <c r="I223" s="1711"/>
      <c r="T223" s="9"/>
      <c r="U223" s="9"/>
    </row>
    <row r="224" spans="9:21" s="3" customFormat="1">
      <c r="I224" s="1711"/>
      <c r="T224" s="9"/>
      <c r="U224" s="9"/>
    </row>
    <row r="225" spans="9:21" s="3" customFormat="1">
      <c r="I225" s="1711"/>
      <c r="T225" s="9"/>
      <c r="U225" s="9"/>
    </row>
    <row r="226" spans="9:21" s="3" customFormat="1">
      <c r="I226" s="1711"/>
      <c r="T226" s="9"/>
      <c r="U226" s="9"/>
    </row>
    <row r="227" spans="9:21" s="3" customFormat="1">
      <c r="I227" s="1711"/>
      <c r="T227" s="9"/>
      <c r="U227" s="9"/>
    </row>
    <row r="228" spans="9:21" s="3" customFormat="1">
      <c r="I228" s="1711"/>
      <c r="T228" s="9"/>
      <c r="U228" s="9"/>
    </row>
    <row r="229" spans="9:21" s="3" customFormat="1">
      <c r="I229" s="1711"/>
      <c r="T229" s="9"/>
      <c r="U229" s="9"/>
    </row>
    <row r="230" spans="9:21" s="3" customFormat="1">
      <c r="I230" s="1711"/>
      <c r="T230" s="9"/>
      <c r="U230" s="9"/>
    </row>
    <row r="231" spans="9:21" s="3" customFormat="1">
      <c r="I231" s="1711"/>
      <c r="T231" s="9"/>
      <c r="U231" s="9"/>
    </row>
    <row r="232" spans="9:21" s="3" customFormat="1">
      <c r="I232" s="1711"/>
      <c r="T232" s="9"/>
      <c r="U232" s="9"/>
    </row>
    <row r="233" spans="9:21" s="3" customFormat="1">
      <c r="I233" s="1711"/>
      <c r="T233" s="9"/>
      <c r="U233" s="9"/>
    </row>
    <row r="234" spans="9:21" s="3" customFormat="1">
      <c r="I234" s="1711"/>
      <c r="T234" s="9"/>
      <c r="U234" s="9"/>
    </row>
    <row r="235" spans="9:21" s="3" customFormat="1">
      <c r="I235" s="1711"/>
      <c r="T235" s="9"/>
      <c r="U235" s="9"/>
    </row>
    <row r="236" spans="9:21" s="3" customFormat="1">
      <c r="I236" s="1711"/>
      <c r="T236" s="9"/>
      <c r="U236" s="9"/>
    </row>
    <row r="237" spans="9:21" s="3" customFormat="1">
      <c r="I237" s="1711"/>
      <c r="T237" s="9"/>
      <c r="U237" s="9"/>
    </row>
    <row r="238" spans="9:21" s="3" customFormat="1">
      <c r="I238" s="1711"/>
      <c r="T238" s="9"/>
      <c r="U238" s="9"/>
    </row>
    <row r="239" spans="9:21" s="3" customFormat="1">
      <c r="I239" s="1711"/>
      <c r="T239" s="9"/>
      <c r="U239" s="9"/>
    </row>
    <row r="240" spans="9:21" s="3" customFormat="1">
      <c r="I240" s="1711"/>
      <c r="T240" s="9"/>
      <c r="U240" s="9"/>
    </row>
    <row r="241" spans="9:21" s="3" customFormat="1">
      <c r="I241" s="1711"/>
      <c r="T241" s="9"/>
      <c r="U241" s="9"/>
    </row>
    <row r="242" spans="9:21" s="3" customFormat="1">
      <c r="I242" s="1711"/>
      <c r="T242" s="9"/>
      <c r="U242" s="9"/>
    </row>
    <row r="243" spans="9:21" s="3" customFormat="1">
      <c r="I243" s="1711"/>
      <c r="T243" s="9"/>
      <c r="U243" s="9"/>
    </row>
    <row r="244" spans="9:21" s="3" customFormat="1">
      <c r="I244" s="1711"/>
      <c r="T244" s="9"/>
      <c r="U244" s="9"/>
    </row>
    <row r="245" spans="9:21" s="3" customFormat="1">
      <c r="I245" s="1711"/>
      <c r="T245" s="9"/>
      <c r="U245" s="9"/>
    </row>
    <row r="246" spans="9:21" s="3" customFormat="1">
      <c r="I246" s="1711"/>
      <c r="T246" s="9"/>
      <c r="U246" s="9"/>
    </row>
    <row r="247" spans="9:21" s="3" customFormat="1">
      <c r="I247" s="1711"/>
      <c r="T247" s="9"/>
      <c r="U247" s="9"/>
    </row>
    <row r="248" spans="9:21" s="3" customFormat="1">
      <c r="I248" s="1711"/>
      <c r="T248" s="9"/>
      <c r="U248" s="9"/>
    </row>
    <row r="249" spans="9:21" s="3" customFormat="1">
      <c r="I249" s="1711"/>
      <c r="T249" s="9"/>
      <c r="U249" s="9"/>
    </row>
    <row r="250" spans="9:21" s="3" customFormat="1">
      <c r="I250" s="1711"/>
      <c r="T250" s="9"/>
      <c r="U250" s="9"/>
    </row>
    <row r="251" spans="9:21" s="3" customFormat="1">
      <c r="I251" s="1711"/>
      <c r="T251" s="9"/>
      <c r="U251" s="9"/>
    </row>
    <row r="252" spans="9:21" s="3" customFormat="1">
      <c r="I252" s="1711"/>
      <c r="T252" s="9"/>
      <c r="U252" s="9"/>
    </row>
    <row r="253" spans="9:21" s="3" customFormat="1">
      <c r="I253" s="1711"/>
      <c r="T253" s="9"/>
      <c r="U253" s="9"/>
    </row>
    <row r="254" spans="9:21" s="3" customFormat="1">
      <c r="I254" s="1711"/>
      <c r="T254" s="9"/>
      <c r="U254" s="9"/>
    </row>
    <row r="255" spans="9:21" s="3" customFormat="1">
      <c r="I255" s="1711"/>
      <c r="T255" s="9"/>
      <c r="U255" s="9"/>
    </row>
    <row r="256" spans="9:21" s="3" customFormat="1">
      <c r="I256" s="1711"/>
      <c r="T256" s="9"/>
      <c r="U256" s="9"/>
    </row>
    <row r="257" spans="9:21" s="3" customFormat="1">
      <c r="I257" s="1711"/>
      <c r="T257" s="9"/>
      <c r="U257" s="9"/>
    </row>
    <row r="258" spans="9:21" s="3" customFormat="1">
      <c r="I258" s="1711"/>
      <c r="T258" s="9"/>
      <c r="U258" s="9"/>
    </row>
    <row r="259" spans="9:21" s="3" customFormat="1">
      <c r="I259" s="1711"/>
      <c r="T259" s="9"/>
      <c r="U259" s="9"/>
    </row>
    <row r="260" spans="9:21" s="3" customFormat="1">
      <c r="I260" s="1711"/>
      <c r="T260" s="9"/>
      <c r="U260" s="9"/>
    </row>
    <row r="261" spans="9:21" s="3" customFormat="1">
      <c r="I261" s="1711"/>
      <c r="T261" s="9"/>
      <c r="U261" s="9"/>
    </row>
    <row r="262" spans="9:21" s="3" customFormat="1">
      <c r="I262" s="1711"/>
      <c r="T262" s="9"/>
      <c r="U262" s="9"/>
    </row>
    <row r="263" spans="9:21" s="3" customFormat="1">
      <c r="I263" s="1711"/>
      <c r="T263" s="9"/>
      <c r="U263" s="9"/>
    </row>
    <row r="264" spans="9:21" s="3" customFormat="1">
      <c r="I264" s="1711"/>
      <c r="T264" s="9"/>
      <c r="U264" s="9"/>
    </row>
    <row r="265" spans="9:21" s="3" customFormat="1">
      <c r="I265" s="1711"/>
      <c r="T265" s="9"/>
      <c r="U265" s="9"/>
    </row>
    <row r="266" spans="9:21" s="3" customFormat="1">
      <c r="I266" s="1711"/>
      <c r="T266" s="9"/>
      <c r="U266" s="9"/>
    </row>
    <row r="267" spans="9:21" s="3" customFormat="1">
      <c r="I267" s="1711"/>
      <c r="T267" s="9"/>
      <c r="U267" s="9"/>
    </row>
    <row r="268" spans="9:21" s="3" customFormat="1">
      <c r="I268" s="1711"/>
      <c r="T268" s="9"/>
      <c r="U268" s="9"/>
    </row>
    <row r="269" spans="9:21" s="3" customFormat="1">
      <c r="I269" s="1711"/>
      <c r="T269" s="9"/>
      <c r="U269" s="9"/>
    </row>
    <row r="270" spans="9:21" s="3" customFormat="1">
      <c r="I270" s="1711"/>
      <c r="T270" s="9"/>
      <c r="U270" s="9"/>
    </row>
    <row r="271" spans="9:21" s="3" customFormat="1">
      <c r="I271" s="1711"/>
      <c r="T271" s="9"/>
      <c r="U271" s="9"/>
    </row>
    <row r="272" spans="9:21" s="3" customFormat="1">
      <c r="I272" s="1711"/>
      <c r="T272" s="9"/>
      <c r="U272" s="9"/>
    </row>
    <row r="273" spans="3:21" s="3" customFormat="1">
      <c r="C273"/>
      <c r="D273"/>
      <c r="E273"/>
      <c r="F273"/>
      <c r="G273"/>
      <c r="H273"/>
      <c r="I273" s="71"/>
      <c r="J273"/>
      <c r="K273"/>
      <c r="L273"/>
      <c r="T273" s="9"/>
      <c r="U273" s="9"/>
    </row>
  </sheetData>
  <sheetProtection algorithmName="SHA-512" hashValue="T4EatH0Z+9fInmvU3N0H6tYw784Uj3db5fuY8wYJbor2s3tZD58OweKS+PLgVWtOMfGTSpPPxbZDBbOtFTulIQ==" saltValue="gLnFRMA8asa7XZZMxU/Y4w==" spinCount="100000" sheet="1" objects="1" scenarios="1" selectLockedCells="1"/>
  <mergeCells count="29">
    <mergeCell ref="P9:Q9"/>
    <mergeCell ref="J11:O11"/>
    <mergeCell ref="J12:O12"/>
    <mergeCell ref="J13:O13"/>
    <mergeCell ref="J14:O14"/>
    <mergeCell ref="J15:O15"/>
    <mergeCell ref="J16:O16"/>
    <mergeCell ref="J17:O17"/>
    <mergeCell ref="J18:O18"/>
    <mergeCell ref="J19:O19"/>
    <mergeCell ref="J20:O20"/>
    <mergeCell ref="J21:O21"/>
    <mergeCell ref="J22:O22"/>
    <mergeCell ref="J23:O23"/>
    <mergeCell ref="J24:O24"/>
    <mergeCell ref="J25:O25"/>
    <mergeCell ref="J26:O26"/>
    <mergeCell ref="J27:O27"/>
    <mergeCell ref="J28:O28"/>
    <mergeCell ref="J29:O29"/>
    <mergeCell ref="J36:O36"/>
    <mergeCell ref="J37:O37"/>
    <mergeCell ref="J38:O38"/>
    <mergeCell ref="J30:O30"/>
    <mergeCell ref="J31:O31"/>
    <mergeCell ref="J32:O32"/>
    <mergeCell ref="J33:O33"/>
    <mergeCell ref="J34:O34"/>
    <mergeCell ref="J35:O35"/>
  </mergeCells>
  <dataValidations count="1">
    <dataValidation type="custom" allowBlank="1" showInputMessage="1" showErrorMessage="1" sqref="G2:G4 J11:J38 K11:O34 K36:O38" xr:uid="{C14E1BEF-9818-496D-8E71-2064DCD5FDB2}">
      <formula1>"&lt;0&gt;0"</formula1>
    </dataValidation>
  </dataValidations>
  <hyperlinks>
    <hyperlink ref="J36" location="Self_Scoring" display="Self-Scoring Checklist - Submit with Initial Application Only" xr:uid="{9B374A55-F1AD-44F6-9469-BCBCF50D6F9E}"/>
    <hyperlink ref="J35" location="Application_Threshold" display="Application Submission Checklist - Submit with Initial Application Only" xr:uid="{78E3D7E9-A232-41C6-AB45-4B637AB056CA}"/>
  </hyperlinks>
  <pageMargins left="0.7" right="0.7" top="0.75" bottom="0.75" header="0.3" footer="0.3"/>
  <pageSetup scale="56" orientation="portrait" verticalDpi="1200" r:id="rId1"/>
  <headerFooter>
    <oddHeader>&amp;L&amp;G</oddHeader>
    <oddFooter>&amp;LVersion - 2023.0.01&amp;CWHEDA MULTIFAMILY APPLICATION&amp;R&amp;P of [Pages]</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C8AE-DC56-41BE-84F9-532CF5ECE426}">
  <sheetPr codeName="Sheet19"/>
  <dimension ref="B1:AI154"/>
  <sheetViews>
    <sheetView workbookViewId="0">
      <selection activeCell="O105" sqref="O105:R107"/>
    </sheetView>
  </sheetViews>
  <sheetFormatPr baseColWidth="10" defaultColWidth="10.33203125" defaultRowHeight="15"/>
  <cols>
    <col min="1" max="1" width="6" style="3" customWidth="1"/>
    <col min="2" max="2" width="3.83203125" style="3" customWidth="1"/>
    <col min="3" max="10" width="10.5" style="3" customWidth="1"/>
    <col min="11" max="11" width="6.33203125" style="3" customWidth="1"/>
    <col min="12" max="15" width="10.5" style="3" customWidth="1"/>
    <col min="16" max="16" width="10.5" style="131" customWidth="1"/>
    <col min="17" max="17" width="5.83203125" style="131" customWidth="1"/>
    <col min="18" max="20" width="10.5" style="131" customWidth="1"/>
    <col min="21" max="21" width="17.6640625" style="131" customWidth="1"/>
    <col min="22" max="22" width="4.1640625" style="131" customWidth="1"/>
    <col min="23" max="27" width="11.1640625" style="131" customWidth="1"/>
    <col min="28" max="32" width="10.33203125" style="131"/>
    <col min="33" max="16384" width="10.33203125" style="3"/>
  </cols>
  <sheetData>
    <row r="1" spans="2:22" ht="29">
      <c r="B1" s="4" t="str">
        <f>CONCATENATE("WHEDA ",Tax_Credit_Year," Multifamily Application")</f>
        <v>WHEDA 2025 Multifamily Application</v>
      </c>
      <c r="J1" s="149" t="str">
        <f>'1. TOC'!L1</f>
        <v>v25.1.9</v>
      </c>
      <c r="L1" s="308" t="str">
        <f>HYPERLINK("#Table_of_Contents", Table_of_Contents)</f>
        <v>Table of Contents</v>
      </c>
    </row>
    <row r="2" spans="2:22" s="562" customFormat="1" ht="21">
      <c r="B2" s="966" t="str">
        <f>_xlfn.CONCAT(IF(ISBLANK(WHEDA_Project_Number),"",_xlfn.CONCAT(WHEDA_Project_Number,"-")), Project_Name, IF(ISBLANK(Credit_percentage_applied_for),"",_xlfn.CONCAT(" (", Credit_percentage_applied_for," HTC)")))</f>
        <v/>
      </c>
      <c r="C2" s="910"/>
      <c r="D2" s="911"/>
      <c r="E2" s="911"/>
      <c r="F2" s="911"/>
      <c r="G2" s="911"/>
      <c r="H2" s="911"/>
      <c r="I2" s="911"/>
      <c r="J2" s="911"/>
      <c r="K2" s="911"/>
      <c r="L2" s="911"/>
      <c r="M2" s="911"/>
      <c r="N2" s="911"/>
      <c r="O2" s="911"/>
      <c r="P2" s="911"/>
      <c r="Q2" s="911"/>
      <c r="R2" s="911"/>
      <c r="S2" s="911"/>
      <c r="T2" s="911"/>
      <c r="U2" s="911"/>
      <c r="V2" s="911"/>
    </row>
    <row r="3" spans="2:22" s="562" customFormat="1" ht="16">
      <c r="C3" s="939"/>
    </row>
    <row r="4" spans="2:22" ht="29">
      <c r="B4" s="4" t="s">
        <v>3217</v>
      </c>
      <c r="C4" s="613"/>
      <c r="E4" s="613"/>
      <c r="F4" s="613"/>
      <c r="G4" s="613"/>
      <c r="H4" s="613"/>
      <c r="I4" s="613"/>
      <c r="J4" s="613"/>
      <c r="K4" s="613"/>
      <c r="L4" s="613"/>
      <c r="M4" s="613"/>
      <c r="N4" s="613"/>
      <c r="O4" s="613"/>
    </row>
    <row r="5" spans="2:22">
      <c r="B5" s="1173"/>
      <c r="C5" s="1170"/>
      <c r="D5" s="1167"/>
      <c r="E5" s="1167"/>
      <c r="F5" s="1167"/>
      <c r="G5" s="1174"/>
      <c r="H5" s="1167"/>
      <c r="I5" s="1167"/>
      <c r="J5" s="1167"/>
      <c r="K5" s="1167"/>
      <c r="L5" s="1167"/>
      <c r="M5" s="1167"/>
      <c r="N5" s="1167"/>
      <c r="O5" s="1167"/>
      <c r="P5" s="1175"/>
      <c r="Q5" s="1175"/>
      <c r="R5" s="1175"/>
      <c r="S5" s="1175"/>
      <c r="T5" s="1175"/>
      <c r="U5" s="1175"/>
      <c r="V5" s="1175"/>
    </row>
    <row r="6" spans="2:22">
      <c r="B6" s="1173"/>
      <c r="C6" s="1892" t="str">
        <f>'3. Project Location'!D6&amp;" - Project Narrative"</f>
        <v xml:space="preserve"> - Project Narrative</v>
      </c>
      <c r="D6" s="1893"/>
      <c r="E6" s="1893"/>
      <c r="F6" s="1893"/>
      <c r="G6" s="1893"/>
      <c r="H6" s="1893"/>
      <c r="I6" s="1893"/>
      <c r="J6" s="1893"/>
      <c r="K6" s="1893"/>
      <c r="L6" s="1893"/>
      <c r="M6" s="1893"/>
      <c r="N6" s="1893"/>
      <c r="O6" s="1893"/>
      <c r="P6" s="1894"/>
      <c r="Q6" s="1175"/>
      <c r="R6" s="1775" t="s">
        <v>3218</v>
      </c>
      <c r="S6" s="1776"/>
      <c r="T6" s="1776"/>
      <c r="U6" s="1777"/>
      <c r="V6" s="1175"/>
    </row>
    <row r="7" spans="2:22" ht="15" customHeight="1">
      <c r="B7" s="1167"/>
      <c r="C7" s="1895"/>
      <c r="D7" s="1896"/>
      <c r="E7" s="1896"/>
      <c r="F7" s="1896"/>
      <c r="G7" s="1896"/>
      <c r="H7" s="1896"/>
      <c r="I7" s="1896"/>
      <c r="J7" s="1896"/>
      <c r="K7" s="1896"/>
      <c r="L7" s="1896"/>
      <c r="M7" s="1896"/>
      <c r="N7" s="1896"/>
      <c r="O7" s="1896"/>
      <c r="P7" s="1897"/>
      <c r="Q7" s="1175"/>
      <c r="R7" s="1798" t="s">
        <v>3219</v>
      </c>
      <c r="S7" s="1799"/>
      <c r="T7" s="1809" t="str">
        <f>IF(ISBLANK(WHEDA_Project_Number),"",WHEDA_Project_Number)</f>
        <v/>
      </c>
      <c r="U7" s="1810"/>
      <c r="V7" s="1175"/>
    </row>
    <row r="8" spans="2:22" ht="15" customHeight="1">
      <c r="B8" s="1167"/>
      <c r="C8" s="1785" t="s">
        <v>3220</v>
      </c>
      <c r="D8" s="1786"/>
      <c r="E8" s="1786"/>
      <c r="F8" s="1786"/>
      <c r="G8" s="1786"/>
      <c r="H8" s="1786"/>
      <c r="I8" s="1786"/>
      <c r="J8" s="1786"/>
      <c r="K8" s="1786"/>
      <c r="L8" s="1786"/>
      <c r="M8" s="1786"/>
      <c r="N8" s="1786"/>
      <c r="O8" s="1786"/>
      <c r="P8" s="1787"/>
      <c r="Q8" s="1175"/>
      <c r="R8" s="1800" t="s">
        <v>3221</v>
      </c>
      <c r="S8" s="1801"/>
      <c r="T8" s="1811" t="str">
        <f>IF(ISBLANK(Deal_Stage),"",Deal_Stage)</f>
        <v/>
      </c>
      <c r="U8" s="1812"/>
      <c r="V8" s="1175"/>
    </row>
    <row r="9" spans="2:22" ht="15" customHeight="1">
      <c r="B9" s="1167"/>
      <c r="C9" s="1788"/>
      <c r="D9" s="1789"/>
      <c r="E9" s="1789"/>
      <c r="F9" s="1789"/>
      <c r="G9" s="1789"/>
      <c r="H9" s="1789"/>
      <c r="I9" s="1789"/>
      <c r="J9" s="1789"/>
      <c r="K9" s="1789"/>
      <c r="L9" s="1789"/>
      <c r="M9" s="1789"/>
      <c r="N9" s="1789"/>
      <c r="O9" s="1789"/>
      <c r="P9" s="1790"/>
      <c r="Q9" s="1175"/>
      <c r="R9" s="1800" t="s">
        <v>3222</v>
      </c>
      <c r="S9" s="1801"/>
      <c r="T9" s="1811" t="str">
        <f>IF(ISBLANK(Deal_Status),"",Deal_Status)</f>
        <v/>
      </c>
      <c r="U9" s="1812"/>
      <c r="V9" s="1175"/>
    </row>
    <row r="10" spans="2:22" ht="15" customHeight="1">
      <c r="B10" s="1167"/>
      <c r="C10" s="1788"/>
      <c r="D10" s="1789"/>
      <c r="E10" s="1789"/>
      <c r="F10" s="1789"/>
      <c r="G10" s="1789"/>
      <c r="H10" s="1789"/>
      <c r="I10" s="1789"/>
      <c r="J10" s="1789"/>
      <c r="K10" s="1789"/>
      <c r="L10" s="1789"/>
      <c r="M10" s="1789"/>
      <c r="N10" s="1789"/>
      <c r="O10" s="1789"/>
      <c r="P10" s="1790"/>
      <c r="Q10" s="1175"/>
      <c r="R10" s="1800" t="s">
        <v>3223</v>
      </c>
      <c r="S10" s="1801"/>
      <c r="T10" s="1945" t="str">
        <f>IF(ISBLANK(ProLink!L12),"",ProLink!L12)</f>
        <v/>
      </c>
      <c r="U10" s="1946"/>
      <c r="V10" s="1175"/>
    </row>
    <row r="11" spans="2:22" ht="15" customHeight="1">
      <c r="B11" s="1167"/>
      <c r="C11" s="1788"/>
      <c r="D11" s="1789"/>
      <c r="E11" s="1789"/>
      <c r="F11" s="1789"/>
      <c r="G11" s="1789"/>
      <c r="H11" s="1789"/>
      <c r="I11" s="1789"/>
      <c r="J11" s="1789"/>
      <c r="K11" s="1789"/>
      <c r="L11" s="1789"/>
      <c r="M11" s="1789"/>
      <c r="N11" s="1789"/>
      <c r="O11" s="1789"/>
      <c r="P11" s="1790"/>
      <c r="Q11" s="1175"/>
      <c r="R11" s="1802" t="s">
        <v>3224</v>
      </c>
      <c r="S11" s="1803"/>
      <c r="T11" s="1813" t="str">
        <f>IF(ISBLANK(ProLink!R7),"",ProLink!R7)</f>
        <v/>
      </c>
      <c r="U11" s="1814"/>
      <c r="V11" s="1175"/>
    </row>
    <row r="12" spans="2:22" ht="15" customHeight="1">
      <c r="B12" s="1167"/>
      <c r="C12" s="1788"/>
      <c r="D12" s="1789"/>
      <c r="E12" s="1789"/>
      <c r="F12" s="1789"/>
      <c r="G12" s="1789"/>
      <c r="H12" s="1789"/>
      <c r="I12" s="1789"/>
      <c r="J12" s="1789"/>
      <c r="K12" s="1789"/>
      <c r="L12" s="1789"/>
      <c r="M12" s="1789"/>
      <c r="N12" s="1789"/>
      <c r="O12" s="1789"/>
      <c r="P12" s="1790"/>
      <c r="Q12" s="1175"/>
      <c r="R12" s="1175"/>
      <c r="S12" s="1175"/>
      <c r="T12" s="1175"/>
      <c r="U12" s="1175"/>
      <c r="V12" s="1175"/>
    </row>
    <row r="13" spans="2:22" ht="15" customHeight="1">
      <c r="B13" s="1167"/>
      <c r="C13" s="1788"/>
      <c r="D13" s="1789"/>
      <c r="E13" s="1789"/>
      <c r="F13" s="1789"/>
      <c r="G13" s="1789"/>
      <c r="H13" s="1789"/>
      <c r="I13" s="1789"/>
      <c r="J13" s="1789"/>
      <c r="K13" s="1789"/>
      <c r="L13" s="1789"/>
      <c r="M13" s="1789"/>
      <c r="N13" s="1789"/>
      <c r="O13" s="1789"/>
      <c r="P13" s="1790"/>
      <c r="Q13" s="1175"/>
      <c r="R13" s="1175"/>
      <c r="S13" s="1175"/>
      <c r="T13" s="1175"/>
      <c r="U13" s="1175"/>
      <c r="V13" s="1175"/>
    </row>
    <row r="14" spans="2:22" ht="15" customHeight="1">
      <c r="B14" s="1167"/>
      <c r="C14" s="1788"/>
      <c r="D14" s="1789"/>
      <c r="E14" s="1789"/>
      <c r="F14" s="1789"/>
      <c r="G14" s="1789"/>
      <c r="H14" s="1789"/>
      <c r="I14" s="1789"/>
      <c r="J14" s="1789"/>
      <c r="K14" s="1789"/>
      <c r="L14" s="1789"/>
      <c r="M14" s="1789"/>
      <c r="N14" s="1789"/>
      <c r="O14" s="1789"/>
      <c r="P14" s="1790"/>
      <c r="Q14" s="1175"/>
      <c r="R14" s="1775" t="s">
        <v>3225</v>
      </c>
      <c r="S14" s="1776"/>
      <c r="T14" s="1776"/>
      <c r="U14" s="1777"/>
      <c r="V14" s="1175"/>
    </row>
    <row r="15" spans="2:22" ht="15" customHeight="1">
      <c r="B15" s="1167"/>
      <c r="C15" s="1788"/>
      <c r="D15" s="1789"/>
      <c r="E15" s="1789"/>
      <c r="F15" s="1789"/>
      <c r="G15" s="1789"/>
      <c r="H15" s="1789"/>
      <c r="I15" s="1789"/>
      <c r="J15" s="1789"/>
      <c r="K15" s="1789"/>
      <c r="L15" s="1789"/>
      <c r="M15" s="1789"/>
      <c r="N15" s="1789"/>
      <c r="O15" s="1789"/>
      <c r="P15" s="1790"/>
      <c r="Q15" s="1175"/>
      <c r="R15" s="1798" t="s">
        <v>688</v>
      </c>
      <c r="S15" s="1807"/>
      <c r="T15" s="1799">
        <f>+Project_Type</f>
        <v>0</v>
      </c>
      <c r="U15" s="1815"/>
      <c r="V15" s="1175"/>
    </row>
    <row r="16" spans="2:22" ht="15" customHeight="1">
      <c r="B16" s="1167"/>
      <c r="C16" s="1788"/>
      <c r="D16" s="1789"/>
      <c r="E16" s="1789"/>
      <c r="F16" s="1789"/>
      <c r="G16" s="1789"/>
      <c r="H16" s="1789"/>
      <c r="I16" s="1789"/>
      <c r="J16" s="1789"/>
      <c r="K16" s="1789"/>
      <c r="L16" s="1789"/>
      <c r="M16" s="1789"/>
      <c r="N16" s="1789"/>
      <c r="O16" s="1789"/>
      <c r="P16" s="1790"/>
      <c r="Q16" s="1175"/>
      <c r="R16" s="1800" t="s">
        <v>507</v>
      </c>
      <c r="S16" s="1801"/>
      <c r="T16" s="1808">
        <f>Property_address</f>
        <v>0</v>
      </c>
      <c r="U16" s="1816"/>
      <c r="V16" s="1175"/>
    </row>
    <row r="17" spans="2:22" ht="15" customHeight="1">
      <c r="B17" s="1167"/>
      <c r="C17" s="1788"/>
      <c r="D17" s="1789"/>
      <c r="E17" s="1789"/>
      <c r="F17" s="1789"/>
      <c r="G17" s="1789"/>
      <c r="H17" s="1789"/>
      <c r="I17" s="1789"/>
      <c r="J17" s="1789"/>
      <c r="K17" s="1789"/>
      <c r="L17" s="1789"/>
      <c r="M17" s="1789"/>
      <c r="N17" s="1789"/>
      <c r="O17" s="1789"/>
      <c r="P17" s="1790"/>
      <c r="Q17" s="1175"/>
      <c r="R17" s="1800" t="s">
        <v>510</v>
      </c>
      <c r="S17" s="1808"/>
      <c r="T17" s="1808">
        <f>+Property_City</f>
        <v>0</v>
      </c>
      <c r="U17" s="1816"/>
      <c r="V17" s="1175"/>
    </row>
    <row r="18" spans="2:22" ht="15" customHeight="1">
      <c r="B18" s="1167"/>
      <c r="C18" s="1788"/>
      <c r="D18" s="1789"/>
      <c r="E18" s="1789"/>
      <c r="F18" s="1789"/>
      <c r="G18" s="1789"/>
      <c r="H18" s="1789"/>
      <c r="I18" s="1789"/>
      <c r="J18" s="1789"/>
      <c r="K18" s="1789"/>
      <c r="L18" s="1789"/>
      <c r="M18" s="1789"/>
      <c r="N18" s="1789"/>
      <c r="O18" s="1789"/>
      <c r="P18" s="1790"/>
      <c r="Q18" s="1175"/>
      <c r="R18" s="1800" t="s">
        <v>511</v>
      </c>
      <c r="S18" s="1801"/>
      <c r="T18" s="1808">
        <f>Property_County</f>
        <v>0</v>
      </c>
      <c r="U18" s="1816"/>
      <c r="V18" s="1175"/>
    </row>
    <row r="19" spans="2:22" ht="15" customHeight="1">
      <c r="B19" s="1167"/>
      <c r="C19" s="1788"/>
      <c r="D19" s="1789"/>
      <c r="E19" s="1789"/>
      <c r="F19" s="1789"/>
      <c r="G19" s="1789"/>
      <c r="H19" s="1789"/>
      <c r="I19" s="1789"/>
      <c r="J19" s="1789"/>
      <c r="K19" s="1789"/>
      <c r="L19" s="1789"/>
      <c r="M19" s="1789"/>
      <c r="N19" s="1789"/>
      <c r="O19" s="1789"/>
      <c r="P19" s="1790"/>
      <c r="Q19" s="1175"/>
      <c r="R19" s="1804" t="s">
        <v>521</v>
      </c>
      <c r="S19" s="1805"/>
      <c r="T19" s="1805">
        <f>+Property_Census_Tract</f>
        <v>0</v>
      </c>
      <c r="U19" s="1817"/>
      <c r="V19" s="1175"/>
    </row>
    <row r="20" spans="2:22" ht="14.5" customHeight="1">
      <c r="B20" s="1167"/>
      <c r="C20" s="1788"/>
      <c r="D20" s="1789"/>
      <c r="E20" s="1789"/>
      <c r="F20" s="1789"/>
      <c r="G20" s="1789"/>
      <c r="H20" s="1789"/>
      <c r="I20" s="1789"/>
      <c r="J20" s="1789"/>
      <c r="K20" s="1789"/>
      <c r="L20" s="1789"/>
      <c r="M20" s="1789"/>
      <c r="N20" s="1789"/>
      <c r="O20" s="1789"/>
      <c r="P20" s="1790"/>
      <c r="Q20" s="1175"/>
      <c r="R20" s="1806" t="s">
        <v>1328</v>
      </c>
      <c r="S20" s="1803"/>
      <c r="T20" s="1818">
        <f>Is_project_a_Scattered_Site?</f>
        <v>0</v>
      </c>
      <c r="U20" s="1819"/>
      <c r="V20" s="1175"/>
    </row>
    <row r="21" spans="2:22" ht="15" customHeight="1">
      <c r="B21" s="1167"/>
      <c r="C21" s="1788"/>
      <c r="D21" s="1789"/>
      <c r="E21" s="1789"/>
      <c r="F21" s="1789"/>
      <c r="G21" s="1789"/>
      <c r="H21" s="1789"/>
      <c r="I21" s="1789"/>
      <c r="J21" s="1789"/>
      <c r="K21" s="1789"/>
      <c r="L21" s="1789"/>
      <c r="M21" s="1789"/>
      <c r="N21" s="1789"/>
      <c r="O21" s="1789"/>
      <c r="P21" s="1790"/>
      <c r="Q21" s="1175"/>
      <c r="R21" s="1175"/>
      <c r="S21" s="1175"/>
      <c r="T21" s="1175"/>
      <c r="U21" s="1175"/>
      <c r="V21" s="1175"/>
    </row>
    <row r="22" spans="2:22" ht="14.5" customHeight="1">
      <c r="B22" s="1167"/>
      <c r="C22" s="1788"/>
      <c r="D22" s="1789"/>
      <c r="E22" s="1789"/>
      <c r="F22" s="1789"/>
      <c r="G22" s="1789"/>
      <c r="H22" s="1789"/>
      <c r="I22" s="1789"/>
      <c r="J22" s="1789"/>
      <c r="K22" s="1789"/>
      <c r="L22" s="1789"/>
      <c r="M22" s="1789"/>
      <c r="N22" s="1789"/>
      <c r="O22" s="1789"/>
      <c r="P22" s="1790"/>
      <c r="Q22" s="1175"/>
      <c r="R22" s="1775" t="s">
        <v>3226</v>
      </c>
      <c r="S22" s="1776"/>
      <c r="T22" s="1776"/>
      <c r="U22" s="1777"/>
      <c r="V22" s="1175"/>
    </row>
    <row r="23" spans="2:22" ht="15" customHeight="1">
      <c r="B23" s="1167"/>
      <c r="C23" s="1788"/>
      <c r="D23" s="1789"/>
      <c r="E23" s="1789"/>
      <c r="F23" s="1789"/>
      <c r="G23" s="1789"/>
      <c r="H23" s="1789"/>
      <c r="I23" s="1789"/>
      <c r="J23" s="1789"/>
      <c r="K23" s="1789"/>
      <c r="L23" s="1789"/>
      <c r="M23" s="1789"/>
      <c r="N23" s="1789"/>
      <c r="O23" s="1789"/>
      <c r="P23" s="1790"/>
      <c r="Q23" s="1175"/>
      <c r="R23" s="1800" t="s">
        <v>714</v>
      </c>
      <c r="S23" s="1801"/>
      <c r="T23" s="1808">
        <f>+'5. Applicant Information'!D8</f>
        <v>0</v>
      </c>
      <c r="U23" s="1816"/>
      <c r="V23" s="1175"/>
    </row>
    <row r="24" spans="2:22" ht="15" customHeight="1">
      <c r="B24" s="1167"/>
      <c r="C24" s="1788"/>
      <c r="D24" s="1789"/>
      <c r="E24" s="1789"/>
      <c r="F24" s="1789"/>
      <c r="G24" s="1789"/>
      <c r="H24" s="1789"/>
      <c r="I24" s="1789"/>
      <c r="J24" s="1789"/>
      <c r="K24" s="1789"/>
      <c r="L24" s="1789"/>
      <c r="M24" s="1789"/>
      <c r="N24" s="1789"/>
      <c r="O24" s="1789"/>
      <c r="P24" s="1790"/>
      <c r="Q24" s="1175"/>
      <c r="R24" s="1800" t="s">
        <v>1351</v>
      </c>
      <c r="S24" s="1801"/>
      <c r="T24" s="1808" t="str">
        <f>+DEV_Contact_First_Name&amp;" "&amp;DEV_Contact_Last_Name</f>
        <v xml:space="preserve"> </v>
      </c>
      <c r="U24" s="1816"/>
      <c r="V24" s="1175"/>
    </row>
    <row r="25" spans="2:22" ht="15" customHeight="1">
      <c r="B25" s="1167"/>
      <c r="C25" s="1788"/>
      <c r="D25" s="1789"/>
      <c r="E25" s="1789"/>
      <c r="F25" s="1789"/>
      <c r="G25" s="1789"/>
      <c r="H25" s="1789"/>
      <c r="I25" s="1789"/>
      <c r="J25" s="1789"/>
      <c r="K25" s="1789"/>
      <c r="L25" s="1789"/>
      <c r="M25" s="1789"/>
      <c r="N25" s="1789"/>
      <c r="O25" s="1789"/>
      <c r="P25" s="1790"/>
      <c r="Q25" s="1175"/>
      <c r="R25" s="1800" t="s">
        <v>3227</v>
      </c>
      <c r="S25" s="1801"/>
      <c r="T25" s="1808" t="str">
        <f>IF('5. Applicant Information'!D20="Yes",'5. Applicant Information'!D22,"N/A")</f>
        <v>N/A</v>
      </c>
      <c r="U25" s="1816"/>
      <c r="V25" s="1167"/>
    </row>
    <row r="26" spans="2:22" ht="15" customHeight="1">
      <c r="B26" s="1167"/>
      <c r="C26" s="1788"/>
      <c r="D26" s="1789"/>
      <c r="E26" s="1789"/>
      <c r="F26" s="1789"/>
      <c r="G26" s="1789"/>
      <c r="H26" s="1789"/>
      <c r="I26" s="1789"/>
      <c r="J26" s="1789"/>
      <c r="K26" s="1789"/>
      <c r="L26" s="1789"/>
      <c r="M26" s="1789"/>
      <c r="N26" s="1789"/>
      <c r="O26" s="1789"/>
      <c r="P26" s="1790"/>
      <c r="Q26" s="1175"/>
      <c r="R26" s="1800" t="s">
        <v>3227</v>
      </c>
      <c r="S26" s="1801"/>
      <c r="T26" s="1808" t="str">
        <f>IF('5. Applicant Information'!D34="Yes",'5. Applicant Information'!D36,"N/A")</f>
        <v>N/A</v>
      </c>
      <c r="U26" s="1816"/>
      <c r="V26" s="1167"/>
    </row>
    <row r="27" spans="2:22" ht="15" customHeight="1">
      <c r="B27" s="1167"/>
      <c r="C27" s="1788"/>
      <c r="D27" s="1789"/>
      <c r="E27" s="1789"/>
      <c r="F27" s="1789"/>
      <c r="G27" s="1789"/>
      <c r="H27" s="1789"/>
      <c r="I27" s="1789"/>
      <c r="J27" s="1789"/>
      <c r="K27" s="1789"/>
      <c r="L27" s="1789"/>
      <c r="M27" s="1789"/>
      <c r="N27" s="1789"/>
      <c r="O27" s="1789"/>
      <c r="P27" s="1790"/>
      <c r="Q27" s="1175"/>
      <c r="R27" s="1800" t="s">
        <v>3227</v>
      </c>
      <c r="S27" s="1801"/>
      <c r="T27" s="1808" t="str">
        <f>IF('5. Applicant Information'!D48="Yes",'5. Applicant Information'!D50,"N/A")</f>
        <v>N/A</v>
      </c>
      <c r="U27" s="1816"/>
      <c r="V27" s="1167"/>
    </row>
    <row r="28" spans="2:22" ht="15" customHeight="1">
      <c r="B28" s="1167"/>
      <c r="C28" s="1788"/>
      <c r="D28" s="1789"/>
      <c r="E28" s="1789"/>
      <c r="F28" s="1789"/>
      <c r="G28" s="1789"/>
      <c r="H28" s="1789"/>
      <c r="I28" s="1789"/>
      <c r="J28" s="1789"/>
      <c r="K28" s="1789"/>
      <c r="L28" s="1789"/>
      <c r="M28" s="1789"/>
      <c r="N28" s="1789"/>
      <c r="O28" s="1789"/>
      <c r="P28" s="1790"/>
      <c r="Q28" s="1175"/>
      <c r="R28" s="1800" t="s">
        <v>3228</v>
      </c>
      <c r="S28" s="1801"/>
      <c r="T28" s="1808">
        <f>+Contractor_Name</f>
        <v>0</v>
      </c>
      <c r="U28" s="1816"/>
      <c r="V28" s="1167"/>
    </row>
    <row r="29" spans="2:22" ht="15" customHeight="1">
      <c r="B29" s="1167"/>
      <c r="C29" s="1788"/>
      <c r="D29" s="1789"/>
      <c r="E29" s="1789"/>
      <c r="F29" s="1789"/>
      <c r="G29" s="1789"/>
      <c r="H29" s="1789"/>
      <c r="I29" s="1789"/>
      <c r="J29" s="1789"/>
      <c r="K29" s="1789"/>
      <c r="L29" s="1789"/>
      <c r="M29" s="1789"/>
      <c r="N29" s="1789"/>
      <c r="O29" s="1789"/>
      <c r="P29" s="1790"/>
      <c r="Q29" s="1175"/>
      <c r="R29" s="1800" t="s">
        <v>3229</v>
      </c>
      <c r="S29" s="1801"/>
      <c r="T29" s="1808">
        <f>+Mgmt_Company_Name</f>
        <v>0</v>
      </c>
      <c r="U29" s="1816"/>
      <c r="V29" s="1167"/>
    </row>
    <row r="30" spans="2:22" ht="15" customHeight="1">
      <c r="B30" s="1167"/>
      <c r="C30" s="1788"/>
      <c r="D30" s="1789"/>
      <c r="E30" s="1789"/>
      <c r="F30" s="1789"/>
      <c r="G30" s="1789"/>
      <c r="H30" s="1789"/>
      <c r="I30" s="1789"/>
      <c r="J30" s="1789"/>
      <c r="K30" s="1789"/>
      <c r="L30" s="1789"/>
      <c r="M30" s="1789"/>
      <c r="N30" s="1789"/>
      <c r="O30" s="1789"/>
      <c r="P30" s="1790"/>
      <c r="Q30" s="1175"/>
      <c r="R30" s="1800" t="s">
        <v>1578</v>
      </c>
      <c r="S30" s="1801"/>
      <c r="T30" s="1808">
        <f>+Syndicator</f>
        <v>0</v>
      </c>
      <c r="U30" s="1816"/>
      <c r="V30" s="1167"/>
    </row>
    <row r="31" spans="2:22" ht="15" customHeight="1">
      <c r="B31" s="1167"/>
      <c r="C31" s="1788"/>
      <c r="D31" s="1789"/>
      <c r="E31" s="1789"/>
      <c r="F31" s="1789"/>
      <c r="G31" s="1789"/>
      <c r="H31" s="1789"/>
      <c r="I31" s="1789"/>
      <c r="J31" s="1789"/>
      <c r="K31" s="1789"/>
      <c r="L31" s="1789"/>
      <c r="M31" s="1789"/>
      <c r="N31" s="1789"/>
      <c r="O31" s="1789"/>
      <c r="P31" s="1790"/>
      <c r="Q31" s="1175"/>
      <c r="R31" s="1806" t="s">
        <v>1579</v>
      </c>
      <c r="S31" s="1803"/>
      <c r="T31" s="1818">
        <f>+Design_Architect</f>
        <v>0</v>
      </c>
      <c r="U31" s="1819"/>
      <c r="V31" s="1167"/>
    </row>
    <row r="32" spans="2:22" ht="15" customHeight="1">
      <c r="B32" s="1167"/>
      <c r="C32" s="1788"/>
      <c r="D32" s="1789"/>
      <c r="E32" s="1789"/>
      <c r="F32" s="1789"/>
      <c r="G32" s="1789"/>
      <c r="H32" s="1789"/>
      <c r="I32" s="1789"/>
      <c r="J32" s="1789"/>
      <c r="K32" s="1789"/>
      <c r="L32" s="1789"/>
      <c r="M32" s="1789"/>
      <c r="N32" s="1789"/>
      <c r="O32" s="1789"/>
      <c r="P32" s="1790"/>
      <c r="Q32" s="1175"/>
      <c r="R32" s="1175"/>
      <c r="S32" s="1175"/>
      <c r="T32" s="1175"/>
      <c r="U32" s="1175"/>
      <c r="V32" s="1167"/>
    </row>
    <row r="33" spans="2:32" ht="14.25" customHeight="1">
      <c r="B33" s="1167"/>
      <c r="C33" s="1788"/>
      <c r="D33" s="1789"/>
      <c r="E33" s="1789"/>
      <c r="F33" s="1789"/>
      <c r="G33" s="1789"/>
      <c r="H33" s="1789"/>
      <c r="I33" s="1789"/>
      <c r="J33" s="1789"/>
      <c r="K33" s="1789"/>
      <c r="L33" s="1789"/>
      <c r="M33" s="1789"/>
      <c r="N33" s="1789"/>
      <c r="O33" s="1789"/>
      <c r="P33" s="1790"/>
      <c r="Q33" s="1175"/>
      <c r="R33" s="1778" t="s">
        <v>3230</v>
      </c>
      <c r="S33" s="1779"/>
      <c r="T33" s="1779"/>
      <c r="U33" s="1780"/>
      <c r="V33" s="1167"/>
    </row>
    <row r="34" spans="2:32" ht="15" customHeight="1">
      <c r="B34" s="1167"/>
      <c r="C34" s="1788"/>
      <c r="D34" s="1789"/>
      <c r="E34" s="1789"/>
      <c r="F34" s="1789"/>
      <c r="G34" s="1789"/>
      <c r="H34" s="1789"/>
      <c r="I34" s="1789"/>
      <c r="J34" s="1789"/>
      <c r="K34" s="1789"/>
      <c r="L34" s="1789"/>
      <c r="M34" s="1789"/>
      <c r="N34" s="1789"/>
      <c r="O34" s="1789"/>
      <c r="P34" s="1790"/>
      <c r="Q34" s="1175"/>
      <c r="R34" s="150" t="s">
        <v>3231</v>
      </c>
      <c r="S34" s="3"/>
      <c r="T34" s="1911">
        <f>+IF(Credit_percentage_applied_for='Dropdown Lists'!$G$2,Federal_Credits,0)</f>
        <v>0</v>
      </c>
      <c r="U34" s="1869"/>
      <c r="V34" s="1167"/>
      <c r="AF34" s="3"/>
    </row>
    <row r="35" spans="2:32" ht="14.25" customHeight="1">
      <c r="B35" s="1167"/>
      <c r="C35" s="1788"/>
      <c r="D35" s="1789"/>
      <c r="E35" s="1789"/>
      <c r="F35" s="1789"/>
      <c r="G35" s="1789"/>
      <c r="H35" s="1789"/>
      <c r="I35" s="1789"/>
      <c r="J35" s="1789"/>
      <c r="K35" s="1789"/>
      <c r="L35" s="1789"/>
      <c r="M35" s="1789"/>
      <c r="N35" s="1789"/>
      <c r="O35" s="1789"/>
      <c r="P35" s="1790"/>
      <c r="Q35" s="1175"/>
      <c r="R35" s="150" t="s">
        <v>3232</v>
      </c>
      <c r="S35" s="3"/>
      <c r="T35" s="1911">
        <f>+IF(Credit_percentage_applied_for='Dropdown Lists'!$G$2,0,Federal_Credits)</f>
        <v>0</v>
      </c>
      <c r="U35" s="1869"/>
      <c r="V35" s="1167"/>
      <c r="AF35" s="3"/>
    </row>
    <row r="36" spans="2:32" ht="14.25" customHeight="1">
      <c r="B36" s="1167"/>
      <c r="C36" s="1788"/>
      <c r="D36" s="1789"/>
      <c r="E36" s="1789"/>
      <c r="F36" s="1789"/>
      <c r="G36" s="1789"/>
      <c r="H36" s="1789"/>
      <c r="I36" s="1789"/>
      <c r="J36" s="1789"/>
      <c r="K36" s="1789"/>
      <c r="L36" s="1789"/>
      <c r="M36" s="1789"/>
      <c r="N36" s="1789"/>
      <c r="O36" s="1789"/>
      <c r="P36" s="1790"/>
      <c r="Q36" s="1175"/>
      <c r="R36" s="150" t="s">
        <v>3233</v>
      </c>
      <c r="S36" s="3"/>
      <c r="T36" s="1911">
        <f>+State_Credits</f>
        <v>0</v>
      </c>
      <c r="U36" s="1869"/>
      <c r="V36" s="1167"/>
      <c r="AF36" s="3"/>
    </row>
    <row r="37" spans="2:32" ht="14.25" customHeight="1">
      <c r="B37" s="1167"/>
      <c r="C37" s="1788"/>
      <c r="D37" s="1789"/>
      <c r="E37" s="1789"/>
      <c r="F37" s="1789"/>
      <c r="G37" s="1789"/>
      <c r="H37" s="1789"/>
      <c r="I37" s="1789"/>
      <c r="J37" s="1789"/>
      <c r="K37" s="1789"/>
      <c r="L37" s="1789"/>
      <c r="M37" s="1789"/>
      <c r="N37" s="1789"/>
      <c r="O37" s="1789"/>
      <c r="P37" s="1790"/>
      <c r="Q37" s="1167"/>
      <c r="R37" s="150" t="s">
        <v>3234</v>
      </c>
      <c r="S37" s="3"/>
      <c r="T37" s="1911">
        <f>+(T34+T35)*10</f>
        <v>0</v>
      </c>
      <c r="U37" s="1869"/>
      <c r="V37" s="1167"/>
      <c r="AF37" s="3"/>
    </row>
    <row r="38" spans="2:32" ht="14.25" customHeight="1">
      <c r="B38" s="1167"/>
      <c r="C38" s="1788"/>
      <c r="D38" s="1789"/>
      <c r="E38" s="1789"/>
      <c r="F38" s="1789"/>
      <c r="G38" s="1789"/>
      <c r="H38" s="1789"/>
      <c r="I38" s="1789"/>
      <c r="J38" s="1789"/>
      <c r="K38" s="1789"/>
      <c r="L38" s="1789"/>
      <c r="M38" s="1789"/>
      <c r="N38" s="1789"/>
      <c r="O38" s="1789"/>
      <c r="P38" s="1790"/>
      <c r="Q38" s="1167"/>
      <c r="R38" s="150" t="s">
        <v>3235</v>
      </c>
      <c r="S38" s="3"/>
      <c r="T38" s="1911">
        <f>+T36*6</f>
        <v>0</v>
      </c>
      <c r="U38" s="1869"/>
      <c r="V38" s="1167"/>
      <c r="W38" s="3"/>
      <c r="X38" s="3"/>
      <c r="Y38" s="3"/>
      <c r="Z38" s="3"/>
      <c r="AA38" s="3"/>
      <c r="AB38" s="3"/>
      <c r="AF38" s="3"/>
    </row>
    <row r="39" spans="2:32" ht="14.25" customHeight="1">
      <c r="B39" s="1167"/>
      <c r="C39" s="1791"/>
      <c r="D39" s="1792"/>
      <c r="E39" s="1792"/>
      <c r="F39" s="1792"/>
      <c r="G39" s="1792"/>
      <c r="H39" s="1792"/>
      <c r="I39" s="1792"/>
      <c r="J39" s="1792"/>
      <c r="K39" s="1792"/>
      <c r="L39" s="1792"/>
      <c r="M39" s="1792"/>
      <c r="N39" s="1792"/>
      <c r="O39" s="1792"/>
      <c r="P39" s="1793"/>
      <c r="Q39" s="1167"/>
      <c r="R39" s="1673" t="s">
        <v>1333</v>
      </c>
      <c r="S39" s="1674"/>
      <c r="T39" s="1931">
        <f>+Set_Aside</f>
        <v>0</v>
      </c>
      <c r="U39" s="1932"/>
      <c r="V39" s="1167"/>
      <c r="W39" s="915"/>
      <c r="X39" s="915"/>
      <c r="Y39" s="916"/>
      <c r="AF39" s="3"/>
    </row>
    <row r="40" spans="2:32" ht="14.25" customHeight="1">
      <c r="B40" s="1167"/>
      <c r="C40" s="1167"/>
      <c r="D40" s="1167"/>
      <c r="E40" s="1167"/>
      <c r="F40" s="1167"/>
      <c r="G40" s="1167"/>
      <c r="H40" s="1167"/>
      <c r="I40" s="1167"/>
      <c r="J40" s="1167"/>
      <c r="K40" s="1167"/>
      <c r="L40" s="1167"/>
      <c r="M40" s="1167"/>
      <c r="N40" s="1167"/>
      <c r="O40" s="1167"/>
      <c r="P40" s="1167"/>
      <c r="Q40" s="1167"/>
      <c r="R40" s="1167"/>
      <c r="S40" s="1167"/>
      <c r="T40" s="1167"/>
      <c r="U40" s="1167"/>
      <c r="V40" s="1167"/>
      <c r="X40" s="915"/>
      <c r="Y40" s="915"/>
      <c r="Z40" s="916"/>
    </row>
    <row r="41" spans="2:32" ht="19">
      <c r="B41" s="8" t="s">
        <v>3236</v>
      </c>
      <c r="C41" s="17"/>
      <c r="P41" s="3"/>
      <c r="Q41" s="3"/>
      <c r="R41" s="915"/>
      <c r="S41" s="915"/>
      <c r="T41" s="915"/>
      <c r="U41" s="915"/>
      <c r="V41" s="915"/>
      <c r="X41" s="915"/>
      <c r="Y41" s="915"/>
      <c r="Z41" s="916"/>
    </row>
    <row r="42" spans="2:32" ht="14.25" customHeight="1">
      <c r="B42" s="1167"/>
      <c r="C42" s="1167"/>
      <c r="D42" s="1167"/>
      <c r="E42" s="1167"/>
      <c r="F42" s="1167"/>
      <c r="G42" s="1167"/>
      <c r="H42" s="1167"/>
      <c r="I42" s="1167"/>
      <c r="J42" s="1167"/>
      <c r="K42" s="1167"/>
      <c r="L42" s="1167"/>
      <c r="M42" s="1167"/>
      <c r="N42" s="1167"/>
      <c r="O42" s="1167"/>
      <c r="P42" s="1167"/>
      <c r="Q42" s="1167"/>
      <c r="R42" s="1167"/>
      <c r="S42" s="1167"/>
      <c r="T42" s="915"/>
      <c r="U42" s="915"/>
      <c r="V42" s="915"/>
      <c r="X42" s="915"/>
      <c r="Y42" s="915"/>
      <c r="Z42" s="916"/>
    </row>
    <row r="43" spans="2:32" ht="14.25" customHeight="1">
      <c r="B43" s="1167"/>
      <c r="C43" s="1909" t="s">
        <v>3237</v>
      </c>
      <c r="D43" s="1909"/>
      <c r="E43" s="1909"/>
      <c r="F43" s="1909"/>
      <c r="G43" s="1909"/>
      <c r="H43" s="1909"/>
      <c r="I43" s="1909"/>
      <c r="J43" s="1909"/>
      <c r="K43" s="1167"/>
      <c r="L43" s="1670" t="s">
        <v>3238</v>
      </c>
      <c r="M43" s="1675"/>
      <c r="N43" s="859"/>
      <c r="O43" s="859"/>
      <c r="P43" s="1728" t="s">
        <v>3239</v>
      </c>
      <c r="Q43" s="1167"/>
      <c r="R43" s="1167"/>
      <c r="S43" s="1167"/>
      <c r="T43" s="915"/>
      <c r="U43" s="915"/>
      <c r="V43" s="915"/>
      <c r="X43" s="915"/>
      <c r="Y43" s="915"/>
      <c r="Z43" s="916"/>
    </row>
    <row r="44" spans="2:32" ht="14.25" customHeight="1">
      <c r="B44" s="1167"/>
      <c r="C44" s="861" t="s">
        <v>3240</v>
      </c>
      <c r="D44" s="1732" t="s">
        <v>2567</v>
      </c>
      <c r="E44" s="1721" t="s">
        <v>2569</v>
      </c>
      <c r="F44" s="1721" t="s">
        <v>2571</v>
      </c>
      <c r="G44" s="1721" t="s">
        <v>2573</v>
      </c>
      <c r="H44" s="1721" t="s">
        <v>2575</v>
      </c>
      <c r="I44" s="1721" t="s">
        <v>2577</v>
      </c>
      <c r="J44" s="1721" t="s">
        <v>3241</v>
      </c>
      <c r="K44" s="1167"/>
      <c r="L44" s="1829" t="s">
        <v>3242</v>
      </c>
      <c r="M44" s="1830"/>
      <c r="N44" s="1830"/>
      <c r="O44" s="1831"/>
      <c r="P44" s="753">
        <f>+SUM(P45:P52)</f>
        <v>0</v>
      </c>
      <c r="Q44" s="1167"/>
      <c r="R44" s="1167"/>
      <c r="S44" s="1167"/>
      <c r="T44" s="915"/>
      <c r="U44" s="915"/>
      <c r="V44" s="915"/>
      <c r="X44" s="915"/>
      <c r="Y44" s="915"/>
      <c r="Z44" s="916"/>
    </row>
    <row r="45" spans="2:32" ht="14.25" customHeight="1">
      <c r="B45" s="1167"/>
      <c r="C45" s="755">
        <v>0.3</v>
      </c>
      <c r="D45" s="756">
        <f>SUMIFS('11. Unit Mix'!$H$16:$H$65,'11. Unit Mix'!$E$16:$E$65,LEFT(D$44,1),'11. Unit Mix'!$I$16:$I$65,$C45)</f>
        <v>0</v>
      </c>
      <c r="E45" s="756">
        <f>SUMIFS('11. Unit Mix'!$H$16:$H$65,'11. Unit Mix'!$E$16:$E$65,LEFT(E$44,1),'11. Unit Mix'!$I$16:$I$65,$C45)</f>
        <v>0</v>
      </c>
      <c r="F45" s="756">
        <f>SUMIFS('11. Unit Mix'!$H$16:$H$65,'11. Unit Mix'!$E$16:$E$65,LEFT(F$44,1),'11. Unit Mix'!$I$16:$I$65,$C45)</f>
        <v>0</v>
      </c>
      <c r="G45" s="756">
        <f>SUMIFS('11. Unit Mix'!$H$16:$H$65,'11. Unit Mix'!$E$16:$E$65,LEFT(G$44,1),'11. Unit Mix'!$I$16:$I$65,$C45)</f>
        <v>0</v>
      </c>
      <c r="H45" s="756">
        <f>SUMIFS('11. Unit Mix'!$H$16:$H$65,'11. Unit Mix'!$E$16:$E$65,LEFT(H$44,1),'11. Unit Mix'!$I$16:$I$65,$C45)</f>
        <v>0</v>
      </c>
      <c r="I45" s="756">
        <f>SUMIFS('11. Unit Mix'!$H$16:$H$65,'11. Unit Mix'!$E$16:$E$65,LEFT(I$44,1),'11. Unit Mix'!$I$16:$I$65,$C45)</f>
        <v>0</v>
      </c>
      <c r="J45" s="757">
        <f>SUM(D45:I45)</f>
        <v>0</v>
      </c>
      <c r="K45" s="1167"/>
      <c r="L45" s="1829" t="s">
        <v>3243</v>
      </c>
      <c r="M45" s="1830"/>
      <c r="N45" s="1830"/>
      <c r="O45" s="1831"/>
      <c r="P45" s="753">
        <f>+IF(RD_Rental_Assistance="yes",RD_Rental_Assistance_Number_of_Units,0)</f>
        <v>0</v>
      </c>
      <c r="Q45" s="1167"/>
      <c r="R45" s="1167"/>
      <c r="S45" s="1167"/>
      <c r="T45" s="915"/>
      <c r="U45" s="915"/>
      <c r="V45" s="915"/>
      <c r="X45" s="915"/>
      <c r="Y45" s="915"/>
      <c r="Z45" s="916"/>
    </row>
    <row r="46" spans="2:32" ht="14.25" customHeight="1">
      <c r="B46" s="1167"/>
      <c r="C46" s="755">
        <v>0.4</v>
      </c>
      <c r="D46" s="756">
        <f>SUMIFS('11. Unit Mix'!$H$16:$H$65,'11. Unit Mix'!$E$16:$E$65,LEFT(D$44,1),'11. Unit Mix'!$I$16:$I$65,$C46)</f>
        <v>0</v>
      </c>
      <c r="E46" s="756">
        <f>SUMIFS('11. Unit Mix'!$H$16:$H$65,'11. Unit Mix'!$E$16:$E$65,LEFT(E$44,1),'11. Unit Mix'!$I$16:$I$65,$C46)</f>
        <v>0</v>
      </c>
      <c r="F46" s="756">
        <f>SUMIFS('11. Unit Mix'!$H$16:$H$65,'11. Unit Mix'!$E$16:$E$65,LEFT(F$44,1),'11. Unit Mix'!$I$16:$I$65,$C46)</f>
        <v>0</v>
      </c>
      <c r="G46" s="756">
        <f>SUMIFS('11. Unit Mix'!$H$16:$H$65,'11. Unit Mix'!$E$16:$E$65,LEFT(G$44,1),'11. Unit Mix'!$I$16:$I$65,$C46)</f>
        <v>0</v>
      </c>
      <c r="H46" s="756">
        <f>SUMIFS('11. Unit Mix'!$H$16:$H$65,'11. Unit Mix'!$E$16:$E$65,LEFT(H$44,1),'11. Unit Mix'!$I$16:$I$65,$C46)</f>
        <v>0</v>
      </c>
      <c r="I46" s="756">
        <f>SUMIFS('11. Unit Mix'!$H$16:$H$65,'11. Unit Mix'!$E$16:$E$65,LEFT(I$44,1),'11. Unit Mix'!$I$16:$I$65,$C46)</f>
        <v>0</v>
      </c>
      <c r="J46" s="757">
        <f t="shared" ref="J46:J53" si="0">SUM(D46:I46)</f>
        <v>0</v>
      </c>
      <c r="K46" s="1167"/>
      <c r="L46" s="1829" t="s">
        <v>3244</v>
      </c>
      <c r="M46" s="1830"/>
      <c r="N46" s="1830"/>
      <c r="O46" s="1831"/>
      <c r="P46" s="753">
        <f>+IF('4. Project Description'!D23="Yes",'4. Project Description'!F23,0)</f>
        <v>0</v>
      </c>
      <c r="Q46" s="1167"/>
      <c r="R46" s="1167"/>
      <c r="S46" s="1167"/>
      <c r="T46" s="915"/>
      <c r="U46" s="915"/>
      <c r="V46" s="915"/>
      <c r="X46" s="915"/>
      <c r="Y46" s="915"/>
      <c r="Z46" s="916"/>
    </row>
    <row r="47" spans="2:32" ht="14.25" customHeight="1">
      <c r="B47" s="1167"/>
      <c r="C47" s="755">
        <v>0.5</v>
      </c>
      <c r="D47" s="756">
        <f>SUMIFS('11. Unit Mix'!$H$16:$H$65,'11. Unit Mix'!$E$16:$E$65,LEFT(D$44,1),'11. Unit Mix'!$I$16:$I$65,$C47)</f>
        <v>0</v>
      </c>
      <c r="E47" s="756">
        <f>SUMIFS('11. Unit Mix'!$H$16:$H$65,'11. Unit Mix'!$E$16:$E$65,LEFT(E$44,1),'11. Unit Mix'!$I$16:$I$65,$C47)</f>
        <v>0</v>
      </c>
      <c r="F47" s="756">
        <f>SUMIFS('11. Unit Mix'!$H$16:$H$65,'11. Unit Mix'!$E$16:$E$65,LEFT(F$44,1),'11. Unit Mix'!$I$16:$I$65,$C47)</f>
        <v>0</v>
      </c>
      <c r="G47" s="756">
        <f>SUMIFS('11. Unit Mix'!$H$16:$H$65,'11. Unit Mix'!$E$16:$E$65,LEFT(G$44,1),'11. Unit Mix'!$I$16:$I$65,$C47)</f>
        <v>0</v>
      </c>
      <c r="H47" s="756">
        <f>SUMIFS('11. Unit Mix'!$H$16:$H$65,'11. Unit Mix'!$E$16:$E$65,LEFT(H$44,1),'11. Unit Mix'!$I$16:$I$65,$C47)</f>
        <v>0</v>
      </c>
      <c r="I47" s="756">
        <f>SUMIFS('11. Unit Mix'!$H$16:$H$65,'11. Unit Mix'!$E$16:$E$65,LEFT(I$44,1),'11. Unit Mix'!$I$16:$I$65,$C47)</f>
        <v>0</v>
      </c>
      <c r="J47" s="757">
        <f t="shared" si="0"/>
        <v>0</v>
      </c>
      <c r="K47" s="1167"/>
      <c r="L47" s="1829" t="s">
        <v>3245</v>
      </c>
      <c r="M47" s="1830"/>
      <c r="N47" s="1830"/>
      <c r="O47" s="1831"/>
      <c r="P47" s="753">
        <f>+IF(Section_8_Rent_Supplemental_or_Rental_Assistance_Payment="yes",Section_8_Rent_Supplemental_or_Rental_Assistance_Payment_Number_of_Units,0)</f>
        <v>0</v>
      </c>
      <c r="Q47" s="1167"/>
      <c r="R47" s="1167"/>
      <c r="S47" s="1167"/>
      <c r="T47" s="915"/>
      <c r="U47" s="915"/>
      <c r="V47" s="915"/>
      <c r="X47" s="915"/>
      <c r="Y47" s="915"/>
      <c r="Z47" s="916"/>
    </row>
    <row r="48" spans="2:32" ht="14.25" customHeight="1">
      <c r="B48" s="1167"/>
      <c r="C48" s="755">
        <v>0.6</v>
      </c>
      <c r="D48" s="756">
        <f>SUMIFS('11. Unit Mix'!$H$16:$H$65,'11. Unit Mix'!$E$16:$E$65,LEFT(D$44,1),'11. Unit Mix'!$I$16:$I$65,$C48)</f>
        <v>0</v>
      </c>
      <c r="E48" s="756">
        <f>SUMIFS('11. Unit Mix'!$H$16:$H$65,'11. Unit Mix'!$E$16:$E$65,LEFT(E$44,1),'11. Unit Mix'!$I$16:$I$65,$C48)</f>
        <v>0</v>
      </c>
      <c r="F48" s="756">
        <f>SUMIFS('11. Unit Mix'!$H$16:$H$65,'11. Unit Mix'!$E$16:$E$65,LEFT(F$44,1),'11. Unit Mix'!$I$16:$I$65,$C48)</f>
        <v>0</v>
      </c>
      <c r="G48" s="756">
        <f>SUMIFS('11. Unit Mix'!$H$16:$H$65,'11. Unit Mix'!$E$16:$E$65,LEFT(G$44,1),'11. Unit Mix'!$I$16:$I$65,$C48)</f>
        <v>0</v>
      </c>
      <c r="H48" s="756">
        <f>SUMIFS('11. Unit Mix'!$H$16:$H$65,'11. Unit Mix'!$E$16:$E$65,LEFT(H$44,1),'11. Unit Mix'!$I$16:$I$65,$C48)</f>
        <v>0</v>
      </c>
      <c r="I48" s="756">
        <f>SUMIFS('11. Unit Mix'!$H$16:$H$65,'11. Unit Mix'!$E$16:$E$65,LEFT(I$44,1),'11. Unit Mix'!$I$16:$I$65,$C48)</f>
        <v>0</v>
      </c>
      <c r="J48" s="757">
        <f t="shared" si="0"/>
        <v>0</v>
      </c>
      <c r="K48" s="1167"/>
      <c r="L48" s="1829" t="s">
        <v>3246</v>
      </c>
      <c r="M48" s="1830"/>
      <c r="N48" s="1830"/>
      <c r="O48" s="1831"/>
      <c r="P48" s="753">
        <f>+IF(Section_8_Housing_Assistance_Payment_Contract="yes",Section_8_Housing_Assistance_Payment_Contract_Number_of_Units,0)</f>
        <v>0</v>
      </c>
      <c r="Q48" s="1167"/>
      <c r="R48" s="1167"/>
      <c r="S48" s="1167"/>
      <c r="T48" s="915"/>
      <c r="U48" s="915"/>
      <c r="V48" s="915"/>
      <c r="X48" s="915"/>
      <c r="Y48" s="915"/>
      <c r="Z48" s="916"/>
    </row>
    <row r="49" spans="2:26" ht="14.25" customHeight="1">
      <c r="B49" s="1167"/>
      <c r="C49" s="755">
        <v>0.7</v>
      </c>
      <c r="D49" s="756">
        <f>SUMIFS('11. Unit Mix'!$H$16:$H$65,'11. Unit Mix'!$E$16:$E$65,LEFT(D$44,1),'11. Unit Mix'!$I$16:$I$65,$C49)</f>
        <v>0</v>
      </c>
      <c r="E49" s="756">
        <f>SUMIFS('11. Unit Mix'!$H$16:$H$65,'11. Unit Mix'!$E$16:$E$65,LEFT(E$44,1),'11. Unit Mix'!$I$16:$I$65,$C49)</f>
        <v>0</v>
      </c>
      <c r="F49" s="756">
        <f>SUMIFS('11. Unit Mix'!$H$16:$H$65,'11. Unit Mix'!$E$16:$E$65,LEFT(F$44,1),'11. Unit Mix'!$I$16:$I$65,$C49)</f>
        <v>0</v>
      </c>
      <c r="G49" s="756">
        <f>SUMIFS('11. Unit Mix'!$H$16:$H$65,'11. Unit Mix'!$E$16:$E$65,LEFT(G$44,1),'11. Unit Mix'!$I$16:$I$65,$C49)</f>
        <v>0</v>
      </c>
      <c r="H49" s="756">
        <f>SUMIFS('11. Unit Mix'!$H$16:$H$65,'11. Unit Mix'!$E$16:$E$65,LEFT(H$44,1),'11. Unit Mix'!$I$16:$I$65,$C49)</f>
        <v>0</v>
      </c>
      <c r="I49" s="756">
        <f>SUMIFS('11. Unit Mix'!$H$16:$H$65,'11. Unit Mix'!$E$16:$E$65,LEFT(I$44,1),'11. Unit Mix'!$I$16:$I$65,$C49)</f>
        <v>0</v>
      </c>
      <c r="J49" s="757">
        <f t="shared" si="0"/>
        <v>0</v>
      </c>
      <c r="K49" s="1167"/>
      <c r="L49" s="1829" t="str">
        <f>+'4. Project Description'!C19</f>
        <v xml:space="preserve">Section 221(d)(3) BMIR </v>
      </c>
      <c r="M49" s="1830"/>
      <c r="N49" s="1830"/>
      <c r="O49" s="1831"/>
      <c r="P49" s="753">
        <f>+IF(Section_221_d__3__BMIR="yes",Section_221_d__3__BMIR_Number_of_Units,0)</f>
        <v>0</v>
      </c>
      <c r="Q49" s="1167"/>
      <c r="R49" s="1167"/>
      <c r="S49" s="1167"/>
      <c r="T49" s="915"/>
      <c r="U49" s="915"/>
      <c r="V49" s="915"/>
      <c r="X49" s="915"/>
      <c r="Y49" s="915"/>
      <c r="Z49" s="916"/>
    </row>
    <row r="50" spans="2:26" ht="14.25" customHeight="1">
      <c r="B50" s="1167"/>
      <c r="C50" s="755">
        <v>0.8</v>
      </c>
      <c r="D50" s="756">
        <f>SUMIFS('11. Unit Mix'!$H$16:$H$65,'11. Unit Mix'!$E$16:$E$65,LEFT(D$44,1),'11. Unit Mix'!$I$16:$I$65,$C50)</f>
        <v>0</v>
      </c>
      <c r="E50" s="756">
        <f>SUMIFS('11. Unit Mix'!$H$16:$H$65,'11. Unit Mix'!$E$16:$E$65,LEFT(E$44,1),'11. Unit Mix'!$I$16:$I$65,$C50)</f>
        <v>0</v>
      </c>
      <c r="F50" s="756">
        <f>SUMIFS('11. Unit Mix'!$H$16:$H$65,'11. Unit Mix'!$E$16:$E$65,LEFT(F$44,1),'11. Unit Mix'!$I$16:$I$65,$C50)</f>
        <v>0</v>
      </c>
      <c r="G50" s="756">
        <f>SUMIFS('11. Unit Mix'!$H$16:$H$65,'11. Unit Mix'!$E$16:$E$65,LEFT(G$44,1),'11. Unit Mix'!$I$16:$I$65,$C50)</f>
        <v>0</v>
      </c>
      <c r="H50" s="756">
        <f>SUMIFS('11. Unit Mix'!$H$16:$H$65,'11. Unit Mix'!$E$16:$E$65,LEFT(H$44,1),'11. Unit Mix'!$I$16:$I$65,$C50)</f>
        <v>0</v>
      </c>
      <c r="I50" s="756">
        <f>SUMIFS('11. Unit Mix'!$H$16:$H$65,'11. Unit Mix'!$E$16:$E$65,LEFT(I$44,1),'11. Unit Mix'!$I$16:$I$65,$C50)</f>
        <v>0</v>
      </c>
      <c r="J50" s="757">
        <f t="shared" si="0"/>
        <v>0</v>
      </c>
      <c r="K50" s="1167"/>
      <c r="L50" s="1829" t="s">
        <v>3247</v>
      </c>
      <c r="M50" s="1830"/>
      <c r="N50" s="1830"/>
      <c r="O50" s="1831"/>
      <c r="P50" s="753">
        <f>+IF(HUD_RAD="Yes",HUD_RAD_Number_of_Units,0)</f>
        <v>0</v>
      </c>
      <c r="Q50" s="1167"/>
      <c r="R50" s="1167"/>
      <c r="S50" s="1167"/>
      <c r="T50" s="915"/>
      <c r="U50" s="915"/>
      <c r="V50" s="915"/>
      <c r="X50" s="915"/>
      <c r="Y50" s="915"/>
      <c r="Z50" s="916"/>
    </row>
    <row r="51" spans="2:26" ht="14.25" customHeight="1">
      <c r="B51" s="1167"/>
      <c r="C51" s="755" t="s">
        <v>308</v>
      </c>
      <c r="D51" s="756">
        <f>SUMIFS('11. Unit Mix'!$G$96:$G$98,'11. Unit Mix'!$D$96:$D$98,LEFT(D$44,1))</f>
        <v>0</v>
      </c>
      <c r="E51" s="756">
        <f>SUMIFS('11. Unit Mix'!$G$96:$G$98,'11. Unit Mix'!$D$96:$D$98,LEFT(E$44,1))</f>
        <v>0</v>
      </c>
      <c r="F51" s="756">
        <f>SUMIFS('11. Unit Mix'!$G$96:$G$98,'11. Unit Mix'!$D$96:$D$98,LEFT(F$44,1))</f>
        <v>0</v>
      </c>
      <c r="G51" s="756">
        <f>SUMIFS('11. Unit Mix'!$G$96:$G$98,'11. Unit Mix'!$D$96:$D$98,LEFT(G$44,1))</f>
        <v>0</v>
      </c>
      <c r="H51" s="756">
        <f>SUMIFS('11. Unit Mix'!$G$96:$G$98,'11. Unit Mix'!$D$96:$D$98,LEFT(H$44,1))</f>
        <v>0</v>
      </c>
      <c r="I51" s="756">
        <f>SUMIFS('11. Unit Mix'!$G$96:$G$98,'11. Unit Mix'!$D$96:$D$98,LEFT(I$44,1))</f>
        <v>0</v>
      </c>
      <c r="J51" s="757">
        <f t="shared" si="0"/>
        <v>0</v>
      </c>
      <c r="K51" s="1167"/>
      <c r="L51" s="1829" t="s">
        <v>3248</v>
      </c>
      <c r="M51" s="1830"/>
      <c r="N51" s="1830"/>
      <c r="O51" s="1831"/>
      <c r="P51" s="753">
        <f>+IF(Section_236="Yes",Section_236_Number_of_Units,0)</f>
        <v>0</v>
      </c>
      <c r="Q51" s="1167"/>
      <c r="R51" s="1167"/>
      <c r="S51" s="1167"/>
      <c r="T51" s="915"/>
      <c r="U51" s="915"/>
      <c r="V51" s="915"/>
      <c r="X51" s="915"/>
      <c r="Y51" s="915"/>
      <c r="Z51" s="916"/>
    </row>
    <row r="52" spans="2:26" ht="14.25" customHeight="1">
      <c r="B52" s="1167"/>
      <c r="C52" s="749" t="s">
        <v>3249</v>
      </c>
      <c r="D52" s="756">
        <f>SUMIFS('11. Unit Mix'!$H$104:$H$113,'11. Unit Mix'!$E$104:$E$113,LEFT(D$44,1))</f>
        <v>0</v>
      </c>
      <c r="E52" s="756">
        <f>SUMIFS('11. Unit Mix'!$H$104:$H$113,'11. Unit Mix'!$E$104:$E$113,LEFT(E$44,1))</f>
        <v>0</v>
      </c>
      <c r="F52" s="756">
        <f>SUMIFS('11. Unit Mix'!$H$104:$H$113,'11. Unit Mix'!$E$104:$E$113,LEFT(F$44,1))</f>
        <v>0</v>
      </c>
      <c r="G52" s="756">
        <f>SUMIFS('11. Unit Mix'!$H$104:$H$113,'11. Unit Mix'!$E$104:$E$113,LEFT(G$44,1))</f>
        <v>0</v>
      </c>
      <c r="H52" s="756">
        <f>SUMIFS('11. Unit Mix'!$H$104:$H$113,'11. Unit Mix'!$E$104:$E$113,LEFT(H$44,1))</f>
        <v>0</v>
      </c>
      <c r="I52" s="758">
        <f>SUMIFS('11. Unit Mix'!$H$104:$H$113,'11. Unit Mix'!$E$104:$E$113,LEFT(I$44,1))</f>
        <v>0</v>
      </c>
      <c r="J52" s="757">
        <f t="shared" si="0"/>
        <v>0</v>
      </c>
      <c r="K52" s="1167"/>
      <c r="L52" s="1829" t="str">
        <f>+'4. Project Description'!C24</f>
        <v xml:space="preserve">Section 811 Vouchers </v>
      </c>
      <c r="M52" s="1830"/>
      <c r="N52" s="1830"/>
      <c r="O52" s="1831"/>
      <c r="P52" s="753">
        <f>Section_811_Vouchers_Number_of_Units</f>
        <v>0</v>
      </c>
      <c r="Q52" s="1167"/>
      <c r="R52" s="1167"/>
      <c r="S52" s="1167"/>
      <c r="T52" s="915"/>
      <c r="U52" s="915"/>
      <c r="V52" s="915"/>
      <c r="X52" s="915"/>
      <c r="Y52" s="915"/>
      <c r="Z52" s="916"/>
    </row>
    <row r="53" spans="2:26" ht="14.25" customHeight="1">
      <c r="B53" s="1167"/>
      <c r="C53" s="1150" t="str">
        <f>"Total Units"</f>
        <v>Total Units</v>
      </c>
      <c r="D53" s="752">
        <f t="shared" ref="D53:I53" si="1">+SUM(D45:D52)</f>
        <v>0</v>
      </c>
      <c r="E53" s="752">
        <f t="shared" si="1"/>
        <v>0</v>
      </c>
      <c r="F53" s="752">
        <f t="shared" si="1"/>
        <v>0</v>
      </c>
      <c r="G53" s="752">
        <f t="shared" si="1"/>
        <v>0</v>
      </c>
      <c r="H53" s="752">
        <f t="shared" si="1"/>
        <v>0</v>
      </c>
      <c r="I53" s="752">
        <f t="shared" si="1"/>
        <v>0</v>
      </c>
      <c r="J53" s="752">
        <f t="shared" si="0"/>
        <v>0</v>
      </c>
      <c r="K53" s="1167"/>
      <c r="L53" s="1829" t="s">
        <v>3250</v>
      </c>
      <c r="M53" s="1830"/>
      <c r="N53" s="1830"/>
      <c r="O53" s="1831"/>
      <c r="P53" s="754">
        <f>+'22. Tenants Served Score'!D123</f>
        <v>0</v>
      </c>
      <c r="Q53" s="1167"/>
      <c r="R53" s="1167"/>
      <c r="S53" s="1167"/>
      <c r="T53" s="915"/>
      <c r="U53" s="915"/>
      <c r="V53" s="915"/>
      <c r="X53" s="915"/>
      <c r="Y53" s="915"/>
      <c r="Z53" s="916"/>
    </row>
    <row r="54" spans="2:26" ht="14.25" customHeight="1">
      <c r="B54" s="1167"/>
      <c r="C54" s="1167"/>
      <c r="D54" s="1167"/>
      <c r="E54" s="1167"/>
      <c r="F54" s="1167"/>
      <c r="G54" s="1167"/>
      <c r="H54" s="1167"/>
      <c r="I54" s="1167"/>
      <c r="J54" s="1167"/>
      <c r="K54" s="1167"/>
      <c r="L54" s="1829" t="s">
        <v>3251</v>
      </c>
      <c r="M54" s="1830"/>
      <c r="N54" s="1830"/>
      <c r="O54" s="1831"/>
      <c r="P54" s="754">
        <f>+'22. Tenants Served Score'!C93</f>
        <v>0</v>
      </c>
      <c r="Q54" s="1167"/>
      <c r="R54" s="1167"/>
      <c r="S54" s="1167"/>
      <c r="T54" s="915"/>
      <c r="U54" s="915"/>
      <c r="V54" s="915"/>
      <c r="X54" s="915"/>
      <c r="Y54" s="915"/>
      <c r="Z54" s="916"/>
    </row>
    <row r="55" spans="2:26" ht="14.25" customHeight="1">
      <c r="B55" s="1167"/>
      <c r="C55" s="1930" t="s">
        <v>3252</v>
      </c>
      <c r="D55" s="1930"/>
      <c r="E55" s="1930"/>
      <c r="F55" s="1930"/>
      <c r="G55" s="1930"/>
      <c r="H55" s="1930"/>
      <c r="I55" s="1930"/>
      <c r="J55" s="1909"/>
      <c r="K55" s="1167"/>
      <c r="L55" s="1167"/>
      <c r="M55" s="1167"/>
      <c r="N55" s="1167"/>
      <c r="O55" s="1167"/>
      <c r="P55" s="1167"/>
      <c r="Q55" s="1167"/>
      <c r="R55" s="1167"/>
      <c r="S55" s="1167"/>
      <c r="T55" s="915"/>
      <c r="U55" s="915"/>
      <c r="V55" s="915"/>
      <c r="X55" s="915"/>
      <c r="Y55" s="915"/>
      <c r="Z55" s="916"/>
    </row>
    <row r="56" spans="2:26" ht="14.25" customHeight="1">
      <c r="B56" s="1167"/>
      <c r="C56" s="861" t="s">
        <v>3240</v>
      </c>
      <c r="D56" s="862" t="s">
        <v>2567</v>
      </c>
      <c r="E56" s="863" t="s">
        <v>2569</v>
      </c>
      <c r="F56" s="863" t="s">
        <v>2571</v>
      </c>
      <c r="G56" s="863" t="s">
        <v>2573</v>
      </c>
      <c r="H56" s="863" t="s">
        <v>2575</v>
      </c>
      <c r="I56" s="863" t="s">
        <v>2577</v>
      </c>
      <c r="J56" s="863" t="s">
        <v>3253</v>
      </c>
      <c r="K56" s="1167"/>
      <c r="L56" s="1167"/>
      <c r="M56" s="1167"/>
      <c r="N56" s="1167"/>
      <c r="O56" s="1167"/>
      <c r="P56" s="1167"/>
      <c r="Q56" s="1167"/>
      <c r="R56" s="1167"/>
      <c r="S56" s="1167"/>
      <c r="T56" s="915"/>
      <c r="U56" s="915"/>
      <c r="V56" s="915"/>
      <c r="X56" s="915"/>
      <c r="Y56" s="915"/>
      <c r="Z56" s="916"/>
    </row>
    <row r="57" spans="2:26" ht="14.25" customHeight="1">
      <c r="B57" s="1167"/>
      <c r="C57" s="755">
        <v>0.3</v>
      </c>
      <c r="D57" s="759" t="str">
        <f>IFERROR(D45/D$53," - ")</f>
        <v xml:space="preserve"> - </v>
      </c>
      <c r="E57" s="759" t="str">
        <f>IFERROR(E45/E$53," - ")</f>
        <v xml:space="preserve"> - </v>
      </c>
      <c r="F57" s="759" t="str">
        <f>IFERROR(F45/F$53," - ")</f>
        <v xml:space="preserve"> - </v>
      </c>
      <c r="G57" s="759" t="str">
        <f>IFERROR(G45/G$53," - ")</f>
        <v xml:space="preserve"> - </v>
      </c>
      <c r="H57" s="759" t="str">
        <f t="shared" ref="D57:I64" si="2">IFERROR(H45/H$53," - ")</f>
        <v xml:space="preserve"> - </v>
      </c>
      <c r="I57" s="759" t="str">
        <f t="shared" si="2"/>
        <v xml:space="preserve"> - </v>
      </c>
      <c r="J57" s="760" t="str">
        <f t="shared" ref="J57:J64" si="3">IFERROR((J45)/J$53," - ")</f>
        <v xml:space="preserve"> - </v>
      </c>
      <c r="K57" s="1167"/>
      <c r="L57" s="1167"/>
      <c r="M57" s="1167"/>
      <c r="N57" s="1167"/>
      <c r="O57" s="1167"/>
      <c r="P57" s="1167"/>
      <c r="Q57" s="1167"/>
      <c r="R57" s="1167"/>
      <c r="S57" s="1167"/>
      <c r="T57" s="915"/>
      <c r="U57" s="915"/>
      <c r="V57" s="915"/>
      <c r="X57" s="915"/>
      <c r="Y57" s="915"/>
      <c r="Z57" s="916"/>
    </row>
    <row r="58" spans="2:26" ht="14.25" customHeight="1">
      <c r="B58" s="1167"/>
      <c r="C58" s="755">
        <v>0.4</v>
      </c>
      <c r="D58" s="759" t="str">
        <f t="shared" si="2"/>
        <v xml:space="preserve"> - </v>
      </c>
      <c r="E58" s="759" t="str">
        <f>IFERROR(E46/E$53," - ")</f>
        <v xml:space="preserve"> - </v>
      </c>
      <c r="F58" s="759" t="str">
        <f>IFERROR(F46/F$53," - ")</f>
        <v xml:space="preserve"> - </v>
      </c>
      <c r="G58" s="759" t="str">
        <f t="shared" si="2"/>
        <v xml:space="preserve"> - </v>
      </c>
      <c r="H58" s="759" t="str">
        <f t="shared" si="2"/>
        <v xml:space="preserve"> - </v>
      </c>
      <c r="I58" s="759" t="str">
        <f t="shared" si="2"/>
        <v xml:space="preserve"> - </v>
      </c>
      <c r="J58" s="760" t="str">
        <f t="shared" si="3"/>
        <v xml:space="preserve"> - </v>
      </c>
      <c r="K58" s="1167"/>
      <c r="L58" s="1167"/>
      <c r="M58" s="1167"/>
      <c r="N58" s="1167"/>
      <c r="O58" s="1167"/>
      <c r="P58" s="1167"/>
      <c r="Q58" s="1167"/>
      <c r="R58" s="1167"/>
      <c r="S58" s="1167"/>
      <c r="T58" s="915"/>
      <c r="U58" s="915"/>
      <c r="V58" s="915"/>
      <c r="X58" s="915"/>
      <c r="Y58" s="915"/>
      <c r="Z58" s="916"/>
    </row>
    <row r="59" spans="2:26" ht="14.25" customHeight="1">
      <c r="B59" s="1167"/>
      <c r="C59" s="755">
        <v>0.5</v>
      </c>
      <c r="D59" s="759" t="str">
        <f t="shared" si="2"/>
        <v xml:space="preserve"> - </v>
      </c>
      <c r="E59" s="759" t="str">
        <f t="shared" si="2"/>
        <v xml:space="preserve"> - </v>
      </c>
      <c r="F59" s="759" t="str">
        <f t="shared" si="2"/>
        <v xml:space="preserve"> - </v>
      </c>
      <c r="G59" s="759" t="str">
        <f t="shared" si="2"/>
        <v xml:space="preserve"> - </v>
      </c>
      <c r="H59" s="759" t="str">
        <f t="shared" si="2"/>
        <v xml:space="preserve"> - </v>
      </c>
      <c r="I59" s="759" t="str">
        <f t="shared" si="2"/>
        <v xml:space="preserve"> - </v>
      </c>
      <c r="J59" s="760" t="str">
        <f t="shared" si="3"/>
        <v xml:space="preserve"> - </v>
      </c>
      <c r="K59" s="1167"/>
      <c r="L59" s="1167"/>
      <c r="M59" s="1167"/>
      <c r="N59" s="1167"/>
      <c r="O59" s="1167"/>
      <c r="P59" s="1167"/>
      <c r="Q59" s="1167"/>
      <c r="R59" s="1167"/>
      <c r="S59" s="1167"/>
      <c r="T59" s="915"/>
      <c r="U59" s="915"/>
      <c r="V59" s="915"/>
      <c r="X59" s="915"/>
      <c r="Y59" s="915"/>
      <c r="Z59" s="916"/>
    </row>
    <row r="60" spans="2:26" ht="14.25" customHeight="1">
      <c r="B60" s="1167"/>
      <c r="C60" s="755">
        <v>0.6</v>
      </c>
      <c r="D60" s="759" t="str">
        <f t="shared" si="2"/>
        <v xml:space="preserve"> - </v>
      </c>
      <c r="E60" s="759" t="str">
        <f t="shared" si="2"/>
        <v xml:space="preserve"> - </v>
      </c>
      <c r="F60" s="759" t="str">
        <f t="shared" si="2"/>
        <v xml:space="preserve"> - </v>
      </c>
      <c r="G60" s="759" t="str">
        <f t="shared" si="2"/>
        <v xml:space="preserve"> - </v>
      </c>
      <c r="H60" s="759" t="str">
        <f t="shared" si="2"/>
        <v xml:space="preserve"> - </v>
      </c>
      <c r="I60" s="759" t="str">
        <f t="shared" si="2"/>
        <v xml:space="preserve"> - </v>
      </c>
      <c r="J60" s="760" t="str">
        <f t="shared" si="3"/>
        <v xml:space="preserve"> - </v>
      </c>
      <c r="K60" s="1167"/>
      <c r="L60" s="1167"/>
      <c r="M60" s="1167"/>
      <c r="N60" s="1167"/>
      <c r="O60" s="1167"/>
      <c r="P60" s="1167"/>
      <c r="Q60" s="1167"/>
      <c r="R60" s="1167"/>
      <c r="S60" s="1167"/>
      <c r="T60" s="915"/>
      <c r="U60" s="915"/>
      <c r="V60" s="915"/>
      <c r="X60" s="915"/>
      <c r="Y60" s="915"/>
      <c r="Z60" s="916"/>
    </row>
    <row r="61" spans="2:26" ht="14.25" customHeight="1">
      <c r="B61" s="1167"/>
      <c r="C61" s="755">
        <v>0.7</v>
      </c>
      <c r="D61" s="759" t="str">
        <f t="shared" si="2"/>
        <v xml:space="preserve"> - </v>
      </c>
      <c r="E61" s="759" t="str">
        <f t="shared" si="2"/>
        <v xml:space="preserve"> - </v>
      </c>
      <c r="F61" s="759" t="str">
        <f t="shared" si="2"/>
        <v xml:space="preserve"> - </v>
      </c>
      <c r="G61" s="759" t="str">
        <f t="shared" si="2"/>
        <v xml:space="preserve"> - </v>
      </c>
      <c r="H61" s="759" t="str">
        <f t="shared" si="2"/>
        <v xml:space="preserve"> - </v>
      </c>
      <c r="I61" s="759" t="str">
        <f t="shared" si="2"/>
        <v xml:space="preserve"> - </v>
      </c>
      <c r="J61" s="760" t="str">
        <f t="shared" si="3"/>
        <v xml:space="preserve"> - </v>
      </c>
      <c r="K61" s="1167"/>
      <c r="L61" s="1167"/>
      <c r="M61" s="1167"/>
      <c r="N61" s="1167"/>
      <c r="O61" s="1167"/>
      <c r="P61" s="1167"/>
      <c r="Q61" s="1167"/>
      <c r="R61" s="1167"/>
      <c r="S61" s="1167"/>
      <c r="T61" s="915"/>
      <c r="U61" s="915"/>
      <c r="V61" s="915"/>
      <c r="X61" s="915"/>
      <c r="Y61" s="915"/>
      <c r="Z61" s="916"/>
    </row>
    <row r="62" spans="2:26" ht="14.25" customHeight="1">
      <c r="B62" s="1167"/>
      <c r="C62" s="755">
        <v>0.8</v>
      </c>
      <c r="D62" s="759" t="str">
        <f t="shared" si="2"/>
        <v xml:space="preserve"> - </v>
      </c>
      <c r="E62" s="759" t="str">
        <f t="shared" si="2"/>
        <v xml:space="preserve"> - </v>
      </c>
      <c r="F62" s="759" t="str">
        <f t="shared" si="2"/>
        <v xml:space="preserve"> - </v>
      </c>
      <c r="G62" s="759" t="str">
        <f t="shared" si="2"/>
        <v xml:space="preserve"> - </v>
      </c>
      <c r="H62" s="759" t="str">
        <f t="shared" si="2"/>
        <v xml:space="preserve"> - </v>
      </c>
      <c r="I62" s="759" t="str">
        <f t="shared" si="2"/>
        <v xml:space="preserve"> - </v>
      </c>
      <c r="J62" s="760" t="str">
        <f t="shared" si="3"/>
        <v xml:space="preserve"> - </v>
      </c>
      <c r="K62" s="1167"/>
      <c r="L62" s="1167"/>
      <c r="M62" s="1167"/>
      <c r="N62" s="1167"/>
      <c r="O62" s="1167"/>
      <c r="P62" s="1167"/>
      <c r="Q62" s="1167"/>
      <c r="R62" s="1167"/>
      <c r="S62" s="1167"/>
      <c r="T62" s="915"/>
      <c r="U62" s="915"/>
      <c r="V62" s="915"/>
      <c r="X62" s="915"/>
      <c r="Y62" s="915"/>
      <c r="Z62" s="916"/>
    </row>
    <row r="63" spans="2:26" ht="14.25" customHeight="1">
      <c r="B63" s="1167"/>
      <c r="C63" s="755" t="s">
        <v>308</v>
      </c>
      <c r="D63" s="759" t="str">
        <f t="shared" si="2"/>
        <v xml:space="preserve"> - </v>
      </c>
      <c r="E63" s="759" t="str">
        <f t="shared" si="2"/>
        <v xml:space="preserve"> - </v>
      </c>
      <c r="F63" s="759" t="str">
        <f t="shared" si="2"/>
        <v xml:space="preserve"> - </v>
      </c>
      <c r="G63" s="759" t="str">
        <f t="shared" si="2"/>
        <v xml:space="preserve"> - </v>
      </c>
      <c r="H63" s="759" t="str">
        <f t="shared" si="2"/>
        <v xml:space="preserve"> - </v>
      </c>
      <c r="I63" s="759" t="str">
        <f t="shared" si="2"/>
        <v xml:space="preserve"> - </v>
      </c>
      <c r="J63" s="760" t="str">
        <f t="shared" si="3"/>
        <v xml:space="preserve"> - </v>
      </c>
      <c r="K63" s="1167"/>
      <c r="L63" s="1167"/>
      <c r="M63" s="1167"/>
      <c r="N63" s="1167"/>
      <c r="O63" s="1167"/>
      <c r="P63" s="1167"/>
      <c r="Q63" s="1167"/>
      <c r="R63" s="1167"/>
      <c r="S63" s="1167"/>
      <c r="T63" s="915"/>
      <c r="U63" s="915"/>
      <c r="V63" s="915"/>
      <c r="X63" s="915"/>
      <c r="Y63" s="915"/>
      <c r="Z63" s="916"/>
    </row>
    <row r="64" spans="2:26" ht="14.25" customHeight="1">
      <c r="B64" s="1167"/>
      <c r="C64" s="749" t="s">
        <v>3249</v>
      </c>
      <c r="D64" s="759" t="str">
        <f t="shared" si="2"/>
        <v xml:space="preserve"> - </v>
      </c>
      <c r="E64" s="759" t="str">
        <f t="shared" si="2"/>
        <v xml:space="preserve"> - </v>
      </c>
      <c r="F64" s="759" t="str">
        <f t="shared" si="2"/>
        <v xml:space="preserve"> - </v>
      </c>
      <c r="G64" s="759" t="str">
        <f t="shared" si="2"/>
        <v xml:space="preserve"> - </v>
      </c>
      <c r="H64" s="759" t="str">
        <f t="shared" si="2"/>
        <v xml:space="preserve"> - </v>
      </c>
      <c r="I64" s="759" t="str">
        <f t="shared" si="2"/>
        <v xml:space="preserve"> - </v>
      </c>
      <c r="J64" s="760" t="str">
        <f t="shared" si="3"/>
        <v xml:space="preserve"> - </v>
      </c>
      <c r="K64" s="1167"/>
      <c r="L64" s="1167"/>
      <c r="M64" s="1167"/>
      <c r="N64" s="1167"/>
      <c r="O64" s="1167"/>
      <c r="P64" s="1167"/>
      <c r="Q64" s="1167"/>
      <c r="R64" s="1167"/>
      <c r="S64" s="1167"/>
      <c r="T64" s="915"/>
      <c r="U64" s="915"/>
      <c r="V64" s="915"/>
      <c r="X64" s="915"/>
      <c r="Y64" s="915"/>
      <c r="Z64" s="916"/>
    </row>
    <row r="65" spans="2:35" ht="14.25" customHeight="1">
      <c r="B65" s="1167"/>
      <c r="C65" s="761" t="s">
        <v>3241</v>
      </c>
      <c r="D65" s="762">
        <f t="shared" ref="D65:I65" si="4">+SUM(D57:D64)</f>
        <v>0</v>
      </c>
      <c r="E65" s="762">
        <f t="shared" si="4"/>
        <v>0</v>
      </c>
      <c r="F65" s="762">
        <f t="shared" si="4"/>
        <v>0</v>
      </c>
      <c r="G65" s="762">
        <f t="shared" si="4"/>
        <v>0</v>
      </c>
      <c r="H65" s="762">
        <f t="shared" si="4"/>
        <v>0</v>
      </c>
      <c r="I65" s="762">
        <f t="shared" si="4"/>
        <v>0</v>
      </c>
      <c r="J65" s="763"/>
      <c r="K65" s="1167"/>
      <c r="L65" s="1167"/>
      <c r="M65" s="1167"/>
      <c r="N65" s="1167"/>
      <c r="O65" s="1167"/>
      <c r="P65" s="1167"/>
      <c r="Q65" s="1167"/>
      <c r="R65" s="1167"/>
      <c r="S65" s="1167"/>
      <c r="T65" s="915"/>
      <c r="U65" s="915"/>
      <c r="V65" s="915"/>
      <c r="X65" s="915"/>
      <c r="Y65" s="915"/>
      <c r="Z65" s="916"/>
    </row>
    <row r="66" spans="2:35" ht="14.25" customHeight="1">
      <c r="B66" s="1167"/>
      <c r="C66" s="1167"/>
      <c r="D66" s="1167"/>
      <c r="E66" s="1167"/>
      <c r="F66" s="1167"/>
      <c r="G66" s="1167"/>
      <c r="H66" s="1167"/>
      <c r="I66" s="1167"/>
      <c r="J66" s="1167"/>
      <c r="K66" s="1167"/>
      <c r="L66" s="1167"/>
      <c r="M66" s="1167"/>
      <c r="N66" s="1167"/>
      <c r="O66" s="1167"/>
      <c r="P66" s="1167"/>
      <c r="Q66" s="1167"/>
      <c r="R66" s="1167"/>
      <c r="S66" s="1167"/>
      <c r="T66" s="915"/>
      <c r="U66" s="915"/>
      <c r="V66" s="915"/>
      <c r="X66" s="915"/>
      <c r="Y66" s="915"/>
      <c r="Z66" s="916"/>
    </row>
    <row r="67" spans="2:35" ht="19">
      <c r="B67" s="8" t="s">
        <v>3254</v>
      </c>
      <c r="P67" s="3"/>
      <c r="Q67" s="3"/>
      <c r="R67" s="3"/>
      <c r="S67" s="3"/>
      <c r="T67" s="915"/>
      <c r="U67" s="915"/>
      <c r="V67" s="915"/>
    </row>
    <row r="68" spans="2:35" ht="16">
      <c r="B68" s="1176"/>
      <c r="C68" s="1167"/>
      <c r="D68" s="1167"/>
      <c r="E68" s="1167"/>
      <c r="F68" s="1167"/>
      <c r="G68" s="1167"/>
      <c r="H68" s="1167"/>
      <c r="I68" s="1167"/>
      <c r="J68" s="1167"/>
      <c r="K68" s="1167"/>
      <c r="L68" s="1167"/>
      <c r="M68" s="1167"/>
      <c r="N68" s="1167"/>
      <c r="O68" s="1167"/>
      <c r="P68" s="1167"/>
      <c r="Q68" s="1167"/>
      <c r="R68" s="1167"/>
      <c r="S68" s="1167"/>
      <c r="T68" s="915"/>
      <c r="U68" s="915"/>
      <c r="V68" s="915"/>
    </row>
    <row r="69" spans="2:35" ht="15" customHeight="1">
      <c r="B69" s="1167"/>
      <c r="C69" s="1872" t="s">
        <v>3255</v>
      </c>
      <c r="D69" s="1873"/>
      <c r="E69" s="1873"/>
      <c r="F69" s="1873"/>
      <c r="G69" s="1873"/>
      <c r="H69" s="1873"/>
      <c r="I69" s="1873"/>
      <c r="J69" s="1874"/>
      <c r="K69" s="1167"/>
      <c r="L69" s="1842" t="s">
        <v>3256</v>
      </c>
      <c r="M69" s="1843"/>
      <c r="N69" s="1843"/>
      <c r="O69" s="1843"/>
      <c r="P69" s="1843"/>
      <c r="Q69" s="1843"/>
      <c r="R69" s="1844"/>
      <c r="S69" s="1167"/>
      <c r="T69" s="915"/>
      <c r="U69" s="915"/>
      <c r="V69" s="915"/>
      <c r="AG69" s="131"/>
      <c r="AH69" s="131"/>
      <c r="AI69" s="131"/>
    </row>
    <row r="70" spans="2:35">
      <c r="B70" s="1167"/>
      <c r="C70" s="1845" t="s">
        <v>3257</v>
      </c>
      <c r="D70" s="1846"/>
      <c r="E70" s="1846"/>
      <c r="F70" s="1847"/>
      <c r="G70" s="1879" t="s">
        <v>3258</v>
      </c>
      <c r="H70" s="1880"/>
      <c r="I70" s="1879" t="s">
        <v>3259</v>
      </c>
      <c r="J70" s="1880"/>
      <c r="K70" s="1167"/>
      <c r="L70" s="1845" t="s">
        <v>3260</v>
      </c>
      <c r="M70" s="1846"/>
      <c r="N70" s="1846"/>
      <c r="O70" s="1846"/>
      <c r="P70" s="1846"/>
      <c r="Q70" s="1846"/>
      <c r="R70" s="1847"/>
      <c r="S70" s="1167"/>
      <c r="T70" s="915"/>
      <c r="U70" s="915"/>
      <c r="V70" s="915"/>
      <c r="AA70" s="3"/>
      <c r="AB70" s="3"/>
      <c r="AC70" s="3"/>
      <c r="AG70" s="131"/>
      <c r="AH70" s="131"/>
      <c r="AI70" s="131"/>
    </row>
    <row r="71" spans="2:35">
      <c r="B71" s="1167"/>
      <c r="C71" s="1798" t="s">
        <v>3261</v>
      </c>
      <c r="D71" s="1799"/>
      <c r="E71" s="1799"/>
      <c r="F71" s="1910"/>
      <c r="G71" s="1881">
        <f>'17. Cash Flow and Reserves'!D10</f>
        <v>0</v>
      </c>
      <c r="H71" s="1882"/>
      <c r="I71" s="1881">
        <f>IF(Total_Units&gt;0,+G71/Total_Units,0)</f>
        <v>0</v>
      </c>
      <c r="J71" s="1882"/>
      <c r="K71" s="1167"/>
      <c r="L71" s="1800" t="s">
        <v>3262</v>
      </c>
      <c r="M71" s="1808"/>
      <c r="N71" s="1808"/>
      <c r="O71" s="1808"/>
      <c r="P71" s="1808"/>
      <c r="Q71" s="1832">
        <f>+Amount_1</f>
        <v>0</v>
      </c>
      <c r="R71" s="1933"/>
      <c r="S71" s="1167"/>
      <c r="T71" s="915"/>
      <c r="U71" s="915"/>
      <c r="V71" s="915"/>
      <c r="AA71" s="3"/>
      <c r="AB71" s="3"/>
      <c r="AC71" s="3"/>
      <c r="AG71" s="131"/>
      <c r="AH71" s="131"/>
      <c r="AI71" s="131"/>
    </row>
    <row r="72" spans="2:35">
      <c r="B72" s="1167"/>
      <c r="C72" s="1800" t="s">
        <v>3263</v>
      </c>
      <c r="D72" s="1808"/>
      <c r="E72" s="1808"/>
      <c r="F72" s="1885"/>
      <c r="G72" s="1868">
        <f>+SUM('17. Cash Flow and Reserves'!D13:D15,'17. Cash Flow and Reserves'!D17)</f>
        <v>0</v>
      </c>
      <c r="H72" s="1869"/>
      <c r="I72" s="1868">
        <f>IF(Total_Units&gt;0,+G72/Total_Units,0)</f>
        <v>0</v>
      </c>
      <c r="J72" s="1869"/>
      <c r="K72" s="1167"/>
      <c r="L72" s="1800" t="str">
        <f>+Source_2</f>
        <v>WHEDA Subordinate Loan 1</v>
      </c>
      <c r="M72" s="1801"/>
      <c r="N72" s="1801"/>
      <c r="O72" s="1801"/>
      <c r="P72" s="1801"/>
      <c r="Q72" s="1832">
        <f>+Amount_2</f>
        <v>0</v>
      </c>
      <c r="R72" s="1833"/>
      <c r="S72" s="1167"/>
      <c r="T72" s="915"/>
      <c r="U72" s="915"/>
      <c r="V72" s="915"/>
      <c r="AA72" s="3"/>
      <c r="AB72" s="3"/>
      <c r="AC72" s="3"/>
      <c r="AG72" s="131"/>
      <c r="AH72" s="131"/>
      <c r="AI72" s="131"/>
    </row>
    <row r="73" spans="2:35">
      <c r="B73" s="1167"/>
      <c r="C73" s="1800" t="s">
        <v>3264</v>
      </c>
      <c r="D73" s="1808"/>
      <c r="E73" s="1808"/>
      <c r="F73" s="1885"/>
      <c r="G73" s="1868">
        <f>'17. Cash Flow and Reserves'!D70</f>
        <v>0</v>
      </c>
      <c r="H73" s="1869"/>
      <c r="I73" s="1868">
        <f>IF(Total_Units&gt;0,+G73/Total_Units,0)</f>
        <v>0</v>
      </c>
      <c r="J73" s="1869"/>
      <c r="K73" s="1167"/>
      <c r="L73" s="1800" t="str">
        <f>+Source_3</f>
        <v>WHEDA Subordinate Loan 2</v>
      </c>
      <c r="M73" s="1801"/>
      <c r="N73" s="1801"/>
      <c r="O73" s="1801"/>
      <c r="P73" s="1801"/>
      <c r="Q73" s="1832">
        <f>+Amount_3</f>
        <v>0</v>
      </c>
      <c r="R73" s="1833"/>
      <c r="S73" s="1167"/>
      <c r="T73" s="915"/>
      <c r="U73" s="915"/>
      <c r="V73" s="915"/>
      <c r="AA73" s="3"/>
      <c r="AB73" s="3"/>
      <c r="AC73" s="3"/>
      <c r="AG73" s="131"/>
      <c r="AH73" s="131"/>
      <c r="AI73" s="131"/>
    </row>
    <row r="74" spans="2:35">
      <c r="B74" s="1167"/>
      <c r="C74" s="1886" t="s">
        <v>890</v>
      </c>
      <c r="D74" s="1887"/>
      <c r="E74" s="1887"/>
      <c r="F74" s="1888"/>
      <c r="G74" s="1870">
        <f>SUM(G71:G73)</f>
        <v>0</v>
      </c>
      <c r="H74" s="1871"/>
      <c r="I74" s="1870">
        <f>IF(Total_Units&gt;0,+G74/Total_Units,0)</f>
        <v>0</v>
      </c>
      <c r="J74" s="1871"/>
      <c r="K74" s="1167"/>
      <c r="L74" s="1800" t="str">
        <f>+Source_4</f>
        <v>WHEDA Subordinate Loan 3</v>
      </c>
      <c r="M74" s="1801"/>
      <c r="N74" s="1801"/>
      <c r="O74" s="1801"/>
      <c r="P74" s="1801"/>
      <c r="Q74" s="1832">
        <f>+Amount_4</f>
        <v>0</v>
      </c>
      <c r="R74" s="1833"/>
      <c r="S74" s="1167"/>
      <c r="T74" s="915"/>
      <c r="U74" s="915"/>
      <c r="V74" s="915"/>
      <c r="AA74" s="3"/>
      <c r="AB74" s="3"/>
      <c r="AC74" s="3"/>
      <c r="AG74" s="131"/>
      <c r="AH74" s="131"/>
      <c r="AI74" s="131"/>
    </row>
    <row r="75" spans="2:35">
      <c r="B75" s="1167"/>
      <c r="C75" s="1889" t="s">
        <v>3265</v>
      </c>
      <c r="D75" s="1890"/>
      <c r="E75" s="1890"/>
      <c r="F75" s="1891"/>
      <c r="G75" s="1883"/>
      <c r="H75" s="1884"/>
      <c r="I75" s="1883"/>
      <c r="J75" s="1884"/>
      <c r="K75" s="1167"/>
      <c r="L75" s="1800" t="str">
        <f>+Source_5</f>
        <v>WHEDA TIF Loan</v>
      </c>
      <c r="M75" s="1801"/>
      <c r="N75" s="1801"/>
      <c r="O75" s="1801"/>
      <c r="P75" s="1801"/>
      <c r="Q75" s="1832">
        <f>+Amount_5</f>
        <v>0</v>
      </c>
      <c r="R75" s="1833"/>
      <c r="S75" s="1167"/>
      <c r="T75" s="915"/>
      <c r="U75" s="915"/>
      <c r="V75" s="915"/>
      <c r="AA75" s="3"/>
      <c r="AB75" s="3"/>
      <c r="AC75" s="3"/>
      <c r="AG75" s="131"/>
      <c r="AH75" s="131"/>
      <c r="AI75" s="131"/>
    </row>
    <row r="76" spans="2:35">
      <c r="B76" s="1167"/>
      <c r="C76" s="1800" t="s">
        <v>3266</v>
      </c>
      <c r="D76" s="1808"/>
      <c r="E76" s="1808"/>
      <c r="F76" s="1885"/>
      <c r="G76" s="1868">
        <f>Subtotal__Rent_Expense</f>
        <v>0</v>
      </c>
      <c r="H76" s="1869"/>
      <c r="I76" s="1868">
        <f t="shared" ref="I76:I83" si="5">IF(Total_Units&gt;0,+G76/Total_Units,0)</f>
        <v>0</v>
      </c>
      <c r="J76" s="1869"/>
      <c r="K76" s="1167"/>
      <c r="L76" s="1800" t="str">
        <f>+Source_6</f>
        <v>AHP Loan</v>
      </c>
      <c r="M76" s="1801"/>
      <c r="N76" s="1801"/>
      <c r="O76" s="1801"/>
      <c r="P76" s="1801"/>
      <c r="Q76" s="1832">
        <f>+Amount_6</f>
        <v>0</v>
      </c>
      <c r="R76" s="1833"/>
      <c r="S76" s="1167"/>
      <c r="T76" s="915"/>
      <c r="U76" s="915"/>
      <c r="V76" s="915"/>
      <c r="AA76" s="729"/>
      <c r="AB76" s="764"/>
      <c r="AC76" s="764"/>
      <c r="AG76" s="131"/>
      <c r="AH76" s="131"/>
      <c r="AI76" s="131"/>
    </row>
    <row r="77" spans="2:35">
      <c r="B77" s="1167"/>
      <c r="C77" s="1800" t="s">
        <v>3267</v>
      </c>
      <c r="D77" s="1808"/>
      <c r="E77" s="1808"/>
      <c r="F77" s="1885"/>
      <c r="G77" s="1868">
        <f>+SUM('16. Projected Operating Costs'!D17:D19)</f>
        <v>0</v>
      </c>
      <c r="H77" s="1869"/>
      <c r="I77" s="1868">
        <f t="shared" si="5"/>
        <v>0</v>
      </c>
      <c r="J77" s="1869"/>
      <c r="K77" s="1167"/>
      <c r="L77" s="1800" t="s">
        <v>3268</v>
      </c>
      <c r="M77" s="1801"/>
      <c r="N77" s="1801"/>
      <c r="O77" s="1801"/>
      <c r="P77" s="1801"/>
      <c r="Q77" s="1832">
        <f>+Amount_7</f>
        <v>0</v>
      </c>
      <c r="R77" s="1833"/>
      <c r="S77" s="1167"/>
      <c r="T77" s="915"/>
      <c r="U77" s="915"/>
      <c r="V77" s="915"/>
      <c r="AA77" s="729"/>
      <c r="AB77" s="729"/>
      <c r="AC77" s="729"/>
      <c r="AG77" s="131"/>
      <c r="AH77" s="131"/>
      <c r="AI77" s="131"/>
    </row>
    <row r="78" spans="2:35">
      <c r="B78" s="1167"/>
      <c r="C78" s="1800" t="s">
        <v>3269</v>
      </c>
      <c r="D78" s="1808"/>
      <c r="E78" s="1808"/>
      <c r="F78" s="1885"/>
      <c r="G78" s="1868">
        <f>+Subtotal__Administrative_Expenses-G77</f>
        <v>0</v>
      </c>
      <c r="H78" s="1869"/>
      <c r="I78" s="1868">
        <f t="shared" si="5"/>
        <v>0</v>
      </c>
      <c r="J78" s="1869"/>
      <c r="K78" s="1167"/>
      <c r="L78" s="1800" t="str">
        <f>+Source_8</f>
        <v>Other</v>
      </c>
      <c r="M78" s="1801"/>
      <c r="N78" s="1801"/>
      <c r="O78" s="1801"/>
      <c r="P78" s="1801"/>
      <c r="Q78" s="1832">
        <f>+Amount_8</f>
        <v>0</v>
      </c>
      <c r="R78" s="1833"/>
      <c r="S78" s="1167"/>
      <c r="T78" s="915"/>
      <c r="U78" s="915"/>
      <c r="V78" s="915"/>
      <c r="AA78" s="3"/>
      <c r="AB78" s="3"/>
      <c r="AC78" s="3"/>
      <c r="AG78" s="131"/>
      <c r="AH78" s="131"/>
      <c r="AI78" s="131"/>
    </row>
    <row r="79" spans="2:35" ht="15" customHeight="1">
      <c r="B79" s="1167"/>
      <c r="C79" s="1800" t="s">
        <v>3270</v>
      </c>
      <c r="D79" s="1808"/>
      <c r="E79" s="1808"/>
      <c r="F79" s="1885"/>
      <c r="G79" s="1868">
        <f>+Subtotal__Utilities_Expenses</f>
        <v>0</v>
      </c>
      <c r="H79" s="1869"/>
      <c r="I79" s="1868">
        <f t="shared" si="5"/>
        <v>0</v>
      </c>
      <c r="J79" s="1869"/>
      <c r="K79" s="1167"/>
      <c r="L79" s="1800" t="str">
        <f>+Source_9</f>
        <v>Other</v>
      </c>
      <c r="M79" s="1801"/>
      <c r="N79" s="1801"/>
      <c r="O79" s="1801"/>
      <c r="P79" s="1801"/>
      <c r="Q79" s="1832">
        <f>+Amount_9</f>
        <v>0</v>
      </c>
      <c r="R79" s="1833"/>
      <c r="S79" s="1167"/>
      <c r="T79" s="915"/>
      <c r="U79" s="915"/>
      <c r="V79" s="915"/>
      <c r="AA79" s="3"/>
      <c r="AB79" s="3"/>
      <c r="AC79" s="3"/>
      <c r="AG79" s="131"/>
      <c r="AH79" s="131"/>
      <c r="AI79" s="131"/>
    </row>
    <row r="80" spans="2:35" ht="15" customHeight="1">
      <c r="B80" s="1167"/>
      <c r="C80" s="1800" t="s">
        <v>3271</v>
      </c>
      <c r="D80" s="1808"/>
      <c r="E80" s="1808"/>
      <c r="F80" s="1885"/>
      <c r="G80" s="1868">
        <f>+Subtotal__Operating___Maintenance_Expenses</f>
        <v>0</v>
      </c>
      <c r="H80" s="1869"/>
      <c r="I80" s="1868">
        <f t="shared" si="5"/>
        <v>0</v>
      </c>
      <c r="J80" s="1869"/>
      <c r="K80" s="1167"/>
      <c r="L80" s="1800" t="str">
        <f>+Source_10</f>
        <v>Other</v>
      </c>
      <c r="M80" s="1801"/>
      <c r="N80" s="1801"/>
      <c r="O80" s="1801"/>
      <c r="P80" s="1801"/>
      <c r="Q80" s="1832">
        <f>+Amount_10</f>
        <v>0</v>
      </c>
      <c r="R80" s="1833"/>
      <c r="S80" s="1167"/>
      <c r="T80" s="915"/>
      <c r="U80" s="915"/>
      <c r="V80" s="915"/>
      <c r="AA80" s="3"/>
      <c r="AB80" s="3"/>
      <c r="AC80" s="3"/>
      <c r="AG80" s="131"/>
      <c r="AH80" s="131"/>
      <c r="AI80" s="131"/>
    </row>
    <row r="81" spans="2:35">
      <c r="B81" s="1167"/>
      <c r="C81" s="1800" t="s">
        <v>3272</v>
      </c>
      <c r="D81" s="1808"/>
      <c r="E81" s="1808"/>
      <c r="F81" s="1885"/>
      <c r="G81" s="1868">
        <f>+Subtotal__Taxes_and_Insurance</f>
        <v>0</v>
      </c>
      <c r="H81" s="1869"/>
      <c r="I81" s="1868">
        <f t="shared" si="5"/>
        <v>0</v>
      </c>
      <c r="J81" s="1869"/>
      <c r="K81" s="1167"/>
      <c r="L81" s="1845" t="s">
        <v>2669</v>
      </c>
      <c r="M81" s="1846"/>
      <c r="N81" s="1846"/>
      <c r="O81" s="1846"/>
      <c r="P81" s="1846"/>
      <c r="Q81" s="1846"/>
      <c r="R81" s="1847"/>
      <c r="S81" s="1167"/>
      <c r="T81" s="915"/>
      <c r="U81" s="915"/>
      <c r="V81" s="915"/>
      <c r="AA81" s="3"/>
      <c r="AB81" s="3"/>
      <c r="AC81" s="3"/>
      <c r="AG81" s="131"/>
      <c r="AH81" s="131"/>
      <c r="AI81" s="131"/>
    </row>
    <row r="82" spans="2:35">
      <c r="B82" s="1167"/>
      <c r="C82" s="1800" t="s">
        <v>3273</v>
      </c>
      <c r="D82" s="1808"/>
      <c r="E82" s="1808"/>
      <c r="F82" s="1885"/>
      <c r="G82" s="1868">
        <f>+Subtotal__Service_Expense</f>
        <v>0</v>
      </c>
      <c r="H82" s="1869"/>
      <c r="I82" s="1868">
        <f t="shared" si="5"/>
        <v>0</v>
      </c>
      <c r="J82" s="1869"/>
      <c r="K82" s="1167"/>
      <c r="L82" s="1800" t="str">
        <f>+Grant_1</f>
        <v>HOME Grant</v>
      </c>
      <c r="M82" s="1801"/>
      <c r="N82" s="1801"/>
      <c r="O82" s="1801"/>
      <c r="P82" s="1801"/>
      <c r="Q82" s="1832">
        <f>+Grant_Amount_1</f>
        <v>0</v>
      </c>
      <c r="R82" s="1833"/>
      <c r="S82" s="1167"/>
      <c r="T82" s="915"/>
      <c r="U82" s="915"/>
      <c r="V82" s="915"/>
      <c r="AA82" s="3"/>
      <c r="AB82" s="3"/>
      <c r="AC82" s="3"/>
      <c r="AG82" s="131"/>
      <c r="AH82" s="131"/>
      <c r="AI82" s="131"/>
    </row>
    <row r="83" spans="2:35">
      <c r="B83" s="1167"/>
      <c r="C83" s="1800" t="s">
        <v>3274</v>
      </c>
      <c r="D83" s="1808"/>
      <c r="E83" s="1808"/>
      <c r="F83" s="1885"/>
      <c r="G83" s="1868">
        <f>+Annual_Replacement_Reserve</f>
        <v>0</v>
      </c>
      <c r="H83" s="1869"/>
      <c r="I83" s="1868">
        <f t="shared" si="5"/>
        <v>0</v>
      </c>
      <c r="J83" s="1869"/>
      <c r="K83" s="1167"/>
      <c r="L83" s="1800" t="str">
        <f>+Grant_2</f>
        <v>CDBG Grant</v>
      </c>
      <c r="M83" s="1801"/>
      <c r="N83" s="1801"/>
      <c r="O83" s="1801"/>
      <c r="P83" s="1801"/>
      <c r="Q83" s="1832">
        <f>+Grant_Amount_2</f>
        <v>0</v>
      </c>
      <c r="R83" s="1833"/>
      <c r="S83" s="1167"/>
      <c r="T83" s="915"/>
      <c r="U83" s="915"/>
      <c r="V83" s="915"/>
      <c r="AA83" s="3"/>
      <c r="AB83" s="3"/>
      <c r="AC83" s="3"/>
      <c r="AG83" s="131"/>
      <c r="AH83" s="131"/>
      <c r="AI83" s="131"/>
    </row>
    <row r="84" spans="2:35">
      <c r="B84" s="1167"/>
      <c r="C84" s="1800" t="s">
        <v>3275</v>
      </c>
      <c r="D84" s="1808"/>
      <c r="E84" s="1808"/>
      <c r="F84" s="1885"/>
      <c r="G84" s="1868">
        <f>+Total_Operating_Expenses</f>
        <v>0</v>
      </c>
      <c r="H84" s="1869"/>
      <c r="I84" s="1868">
        <f>+Per_Unit_Per_Month</f>
        <v>0</v>
      </c>
      <c r="J84" s="1869"/>
      <c r="K84" s="1167"/>
      <c r="L84" s="1800" t="str">
        <f>+Grant_3</f>
        <v>Other</v>
      </c>
      <c r="M84" s="1801"/>
      <c r="N84" s="1801"/>
      <c r="O84" s="1801"/>
      <c r="P84" s="1801"/>
      <c r="Q84" s="1832">
        <f>+Grant_Amount_3</f>
        <v>0</v>
      </c>
      <c r="R84" s="1833"/>
      <c r="S84" s="1167"/>
      <c r="T84" s="915"/>
      <c r="U84" s="915"/>
      <c r="V84" s="915"/>
      <c r="AA84" s="3"/>
      <c r="AB84" s="3"/>
      <c r="AC84" s="3"/>
      <c r="AG84" s="131"/>
      <c r="AH84" s="131"/>
      <c r="AI84" s="131"/>
    </row>
    <row r="85" spans="2:35">
      <c r="B85" s="1167"/>
      <c r="C85" s="1886" t="s">
        <v>3276</v>
      </c>
      <c r="D85" s="1887"/>
      <c r="E85" s="1887"/>
      <c r="F85" s="1888"/>
      <c r="G85" s="1870">
        <f>+'17. Cash Flow and Reserves'!D26</f>
        <v>0</v>
      </c>
      <c r="H85" s="1871"/>
      <c r="I85" s="1870">
        <f>IF(Total_Units&gt;0,+G85/Total_Units,0)</f>
        <v>0</v>
      </c>
      <c r="J85" s="1871"/>
      <c r="K85" s="1167"/>
      <c r="L85" s="1800" t="str">
        <f>+Grant_4</f>
        <v>Other</v>
      </c>
      <c r="M85" s="1801"/>
      <c r="N85" s="1801"/>
      <c r="O85" s="1801"/>
      <c r="P85" s="1801"/>
      <c r="Q85" s="1832">
        <f>Grant_Amount_4</f>
        <v>0</v>
      </c>
      <c r="R85" s="1833"/>
      <c r="S85" s="1167"/>
      <c r="T85" s="915"/>
      <c r="U85" s="915"/>
      <c r="V85" s="915"/>
      <c r="AA85" s="3"/>
      <c r="AB85" s="3"/>
      <c r="AC85" s="3"/>
      <c r="AG85" s="131"/>
      <c r="AH85" s="131"/>
      <c r="AI85" s="131"/>
    </row>
    <row r="86" spans="2:35">
      <c r="B86" s="1167"/>
      <c r="C86" s="1907" t="s">
        <v>3277</v>
      </c>
      <c r="D86" s="1908"/>
      <c r="E86" s="1908"/>
      <c r="F86" s="1908"/>
      <c r="G86" s="1875">
        <f>+'17. Cash Flow and Reserves'!D91</f>
        <v>0</v>
      </c>
      <c r="H86" s="1876"/>
      <c r="I86" s="1167"/>
      <c r="J86" s="1167"/>
      <c r="K86" s="1167"/>
      <c r="L86" s="1800" t="str">
        <f>+Grant_5</f>
        <v>Other</v>
      </c>
      <c r="M86" s="1801"/>
      <c r="N86" s="1801"/>
      <c r="O86" s="1801"/>
      <c r="P86" s="1801"/>
      <c r="Q86" s="1832">
        <f>+Grant_Amount_5</f>
        <v>0</v>
      </c>
      <c r="R86" s="1833"/>
      <c r="S86" s="1167"/>
      <c r="T86" s="915"/>
      <c r="U86" s="915"/>
      <c r="V86" s="915"/>
      <c r="AA86" s="3"/>
      <c r="AB86" s="3"/>
      <c r="AC86" s="3"/>
      <c r="AG86" s="131"/>
      <c r="AH86" s="131"/>
      <c r="AI86" s="131"/>
    </row>
    <row r="87" spans="2:35">
      <c r="B87" s="1167"/>
      <c r="C87" s="1806" t="s">
        <v>3278</v>
      </c>
      <c r="D87" s="1818"/>
      <c r="E87" s="1818"/>
      <c r="F87" s="1818"/>
      <c r="G87" s="1877">
        <f>+'17. Cash Flow and Reserves'!R91</f>
        <v>0</v>
      </c>
      <c r="H87" s="1878"/>
      <c r="I87" s="1167"/>
      <c r="J87" s="1167"/>
      <c r="K87" s="1167"/>
      <c r="L87" s="1800" t="str">
        <f>+Grant_6</f>
        <v>Other</v>
      </c>
      <c r="M87" s="1801"/>
      <c r="N87" s="1801"/>
      <c r="O87" s="1801"/>
      <c r="P87" s="1801"/>
      <c r="Q87" s="1832">
        <f>+Grant_Amount_6</f>
        <v>0</v>
      </c>
      <c r="R87" s="1833"/>
      <c r="S87" s="1167"/>
      <c r="T87" s="915"/>
      <c r="U87" s="915"/>
      <c r="V87" s="915"/>
      <c r="AA87" s="3"/>
      <c r="AB87" s="3"/>
      <c r="AC87" s="3"/>
      <c r="AG87" s="131"/>
      <c r="AH87" s="131"/>
      <c r="AI87" s="131"/>
    </row>
    <row r="88" spans="2:35">
      <c r="B88" s="1167"/>
      <c r="C88" s="1167"/>
      <c r="D88" s="1167"/>
      <c r="E88" s="1167"/>
      <c r="F88" s="1167"/>
      <c r="G88" s="1167"/>
      <c r="H88" s="1167"/>
      <c r="I88" s="1167"/>
      <c r="J88" s="1167"/>
      <c r="K88" s="1167"/>
      <c r="L88" s="1800" t="str">
        <f>+Grant_7</f>
        <v>Other</v>
      </c>
      <c r="M88" s="1801"/>
      <c r="N88" s="1801"/>
      <c r="O88" s="1801"/>
      <c r="P88" s="1801"/>
      <c r="Q88" s="1832">
        <f>+Grant_Amount_7</f>
        <v>0</v>
      </c>
      <c r="R88" s="1833"/>
      <c r="S88" s="1167"/>
      <c r="T88" s="915"/>
      <c r="U88" s="915"/>
      <c r="V88" s="915"/>
      <c r="AA88" s="3"/>
      <c r="AB88" s="3"/>
      <c r="AC88" s="3"/>
      <c r="AG88" s="131"/>
      <c r="AH88" s="131"/>
      <c r="AI88" s="131"/>
    </row>
    <row r="89" spans="2:35" ht="15" customHeight="1">
      <c r="B89" s="1167"/>
      <c r="C89" s="1904" t="s">
        <v>194</v>
      </c>
      <c r="D89" s="1905"/>
      <c r="E89" s="1905"/>
      <c r="F89" s="1905"/>
      <c r="G89" s="1906"/>
      <c r="H89" s="1167"/>
      <c r="I89" s="1167"/>
      <c r="J89" s="1167"/>
      <c r="K89" s="1167"/>
      <c r="L89" s="1864" t="s">
        <v>3279</v>
      </c>
      <c r="M89" s="1865"/>
      <c r="N89" s="1865"/>
      <c r="O89" s="1865"/>
      <c r="P89" s="1865"/>
      <c r="Q89" s="1865"/>
      <c r="R89" s="1866"/>
      <c r="S89" s="1167"/>
      <c r="T89" s="915"/>
      <c r="U89" s="915"/>
      <c r="V89" s="915"/>
      <c r="AA89" s="3"/>
      <c r="AB89" s="3"/>
      <c r="AC89" s="3"/>
      <c r="AG89" s="131"/>
      <c r="AH89" s="131"/>
      <c r="AI89" s="131"/>
    </row>
    <row r="90" spans="2:35">
      <c r="B90" s="1167"/>
      <c r="C90" s="1671" t="s">
        <v>801</v>
      </c>
      <c r="D90" s="915"/>
      <c r="E90" s="915"/>
      <c r="F90" s="1794">
        <f>+PC_ACQ_ACQ_Subtotal_Total</f>
        <v>0</v>
      </c>
      <c r="G90" s="1795"/>
      <c r="H90" s="1167"/>
      <c r="I90" s="1167"/>
      <c r="J90" s="1167"/>
      <c r="K90" s="1167"/>
      <c r="L90" s="1800" t="s">
        <v>3280</v>
      </c>
      <c r="M90" s="1801"/>
      <c r="N90" s="1801"/>
      <c r="O90" s="1801"/>
      <c r="P90" s="1801"/>
      <c r="Q90" s="1832">
        <f>+Federal_HTC_Equity</f>
        <v>0</v>
      </c>
      <c r="R90" s="1833"/>
      <c r="S90" s="1167"/>
      <c r="T90" s="915"/>
      <c r="U90" s="915"/>
      <c r="V90" s="915"/>
      <c r="AA90" s="3"/>
      <c r="AB90" s="3"/>
      <c r="AC90" s="3"/>
      <c r="AG90" s="131"/>
      <c r="AH90" s="131"/>
      <c r="AI90" s="131"/>
    </row>
    <row r="91" spans="2:35">
      <c r="B91" s="1167"/>
      <c r="C91" s="1671" t="s">
        <v>2780</v>
      </c>
      <c r="D91" s="915"/>
      <c r="E91" s="915"/>
      <c r="F91" s="1796">
        <f>+PC_CST_Site_Subtotal_Total</f>
        <v>0</v>
      </c>
      <c r="G91" s="1797"/>
      <c r="H91" s="1167"/>
      <c r="I91" s="1167"/>
      <c r="J91" s="1167"/>
      <c r="K91" s="1167"/>
      <c r="L91" s="1800" t="s">
        <v>3281</v>
      </c>
      <c r="M91" s="1801"/>
      <c r="N91" s="1801"/>
      <c r="O91" s="1801"/>
      <c r="P91" s="1801"/>
      <c r="Q91" s="1832">
        <f>+State_HTC_Equity</f>
        <v>0</v>
      </c>
      <c r="R91" s="1833"/>
      <c r="S91" s="1167"/>
      <c r="T91" s="915"/>
      <c r="U91" s="915"/>
      <c r="V91" s="915"/>
      <c r="AA91" s="3"/>
      <c r="AB91" s="3"/>
      <c r="AC91" s="3"/>
      <c r="AG91" s="131"/>
      <c r="AH91" s="131"/>
      <c r="AI91" s="131"/>
    </row>
    <row r="92" spans="2:35">
      <c r="B92" s="1167"/>
      <c r="C92" s="1671" t="s">
        <v>3282</v>
      </c>
      <c r="D92" s="915"/>
      <c r="E92" s="915"/>
      <c r="F92" s="1796">
        <f>+PC_CST_New_Constr_Subtotal_Total+'14. Project Costs'!F57+PC_CNT_Contingency_Subtotal_Total</f>
        <v>0</v>
      </c>
      <c r="G92" s="1797"/>
      <c r="H92" s="1167"/>
      <c r="I92" s="1167"/>
      <c r="J92" s="1167"/>
      <c r="K92" s="1167"/>
      <c r="L92" s="1800" t="s">
        <v>3283</v>
      </c>
      <c r="M92" s="1801"/>
      <c r="N92" s="1801"/>
      <c r="O92" s="1801"/>
      <c r="P92" s="1801"/>
      <c r="Q92" s="1832">
        <f>+'12. Funding Sources'!E47+'12. Funding Sources'!E45</f>
        <v>0</v>
      </c>
      <c r="R92" s="1833"/>
      <c r="S92" s="1167"/>
      <c r="T92" s="915"/>
      <c r="U92" s="915"/>
      <c r="V92" s="915"/>
      <c r="AA92" s="3"/>
      <c r="AB92" s="3"/>
      <c r="AC92" s="3"/>
      <c r="AG92" s="131"/>
      <c r="AH92" s="131"/>
      <c r="AI92" s="131"/>
    </row>
    <row r="93" spans="2:35">
      <c r="B93" s="1167"/>
      <c r="C93" s="1671" t="s">
        <v>3284</v>
      </c>
      <c r="D93" s="915"/>
      <c r="E93" s="915"/>
      <c r="F93" s="1796">
        <f>+PC_DEV_Developer_Costs_Subtotal_Total</f>
        <v>0</v>
      </c>
      <c r="G93" s="1797"/>
      <c r="H93" s="1167"/>
      <c r="I93" s="1167"/>
      <c r="J93" s="1167"/>
      <c r="K93" s="1167"/>
      <c r="L93" s="1800" t="s">
        <v>3285</v>
      </c>
      <c r="M93" s="1801"/>
      <c r="N93" s="1801"/>
      <c r="O93" s="1801"/>
      <c r="P93" s="1801"/>
      <c r="Q93" s="1832">
        <f>+'12. Funding Sources'!E48</f>
        <v>0</v>
      </c>
      <c r="R93" s="1833"/>
      <c r="S93" s="1167"/>
      <c r="T93" s="915"/>
      <c r="U93" s="915"/>
      <c r="V93" s="915"/>
      <c r="AA93" s="3"/>
      <c r="AB93" s="3"/>
      <c r="AC93" s="3"/>
      <c r="AG93" s="131"/>
      <c r="AH93" s="131"/>
      <c r="AI93" s="131"/>
    </row>
    <row r="94" spans="2:35">
      <c r="B94" s="1167"/>
      <c r="C94" s="1671" t="s">
        <v>3286</v>
      </c>
      <c r="D94" s="915"/>
      <c r="E94" s="915"/>
      <c r="F94" s="1796">
        <f>+PC_SFT_Other_SC_Subtotal_Total+'14. Project Costs'!F149+PC_SYN_Syndication_Fee_Subtotal_Total+'14. Project Costs'!F117+PC_FIN_Permanent_Loan_Fees_Subtotal_Total+PC_CSP_Contractor_Related_Fees_Subtotal_Total+PC_CSP_Other_Lender_Subtotal_Total+PC_CSP_Bonding_Fee_Subtotal_Total+PC_CSP_WHEDA_Fees_Subtotal_Total</f>
        <v>0</v>
      </c>
      <c r="G94" s="1797"/>
      <c r="H94" s="1167"/>
      <c r="I94" s="1167"/>
      <c r="J94" s="1167"/>
      <c r="K94" s="1167"/>
      <c r="L94" s="1800" t="str">
        <f>+'12. Funding Sources'!C49</f>
        <v>Owner Investment</v>
      </c>
      <c r="M94" s="1801"/>
      <c r="N94" s="1801"/>
      <c r="O94" s="1801"/>
      <c r="P94" s="1801"/>
      <c r="Q94" s="1832">
        <f>+'12. Funding Sources'!E49</f>
        <v>0</v>
      </c>
      <c r="R94" s="1833"/>
      <c r="S94" s="1167"/>
      <c r="T94" s="915"/>
      <c r="U94" s="915"/>
      <c r="V94" s="915"/>
      <c r="AA94" s="3"/>
      <c r="AB94" s="3"/>
      <c r="AC94" s="3"/>
      <c r="AG94" s="131"/>
      <c r="AH94" s="131"/>
      <c r="AI94" s="131"/>
    </row>
    <row r="95" spans="2:35">
      <c r="B95" s="1167"/>
      <c r="C95" s="1800" t="s">
        <v>3287</v>
      </c>
      <c r="D95" s="1808"/>
      <c r="E95" s="1808"/>
      <c r="F95" s="1900">
        <f>+SUM(PC_CAP_Capitalized_Reserv_Subtotal_Total)</f>
        <v>0</v>
      </c>
      <c r="G95" s="1901"/>
      <c r="H95" s="1167"/>
      <c r="I95" s="1167"/>
      <c r="J95" s="1167"/>
      <c r="K95" s="1167"/>
      <c r="L95" s="1800" t="str">
        <f>'12. Funding Sources'!C50</f>
        <v>Other</v>
      </c>
      <c r="M95" s="1801"/>
      <c r="N95" s="1801"/>
      <c r="O95" s="1801"/>
      <c r="P95" s="1801"/>
      <c r="Q95" s="1860">
        <f>+'12. Funding Sources'!E50</f>
        <v>0</v>
      </c>
      <c r="R95" s="1861"/>
      <c r="S95" s="1167"/>
      <c r="T95" s="915"/>
      <c r="U95" s="915"/>
      <c r="V95" s="915"/>
      <c r="AA95" s="3"/>
      <c r="AB95" s="3"/>
      <c r="AC95" s="3"/>
      <c r="AG95" s="131"/>
      <c r="AH95" s="131"/>
      <c r="AI95" s="131"/>
    </row>
    <row r="96" spans="2:35">
      <c r="B96" s="1167"/>
      <c r="C96" s="1898" t="s">
        <v>3070</v>
      </c>
      <c r="D96" s="1899"/>
      <c r="E96" s="1899"/>
      <c r="F96" s="1902">
        <f>+SUM(F90:F95)</f>
        <v>0</v>
      </c>
      <c r="G96" s="1903"/>
      <c r="H96" s="1167"/>
      <c r="I96" s="1167"/>
      <c r="J96" s="1167"/>
      <c r="K96" s="1167"/>
      <c r="L96" s="1848" t="s">
        <v>3288</v>
      </c>
      <c r="M96" s="1849"/>
      <c r="N96" s="1849"/>
      <c r="O96" s="1849"/>
      <c r="P96" s="1850"/>
      <c r="Q96" s="1862">
        <f>+SUM(Q71:Q95)</f>
        <v>0</v>
      </c>
      <c r="R96" s="1863"/>
      <c r="S96" s="1167"/>
      <c r="T96" s="915"/>
      <c r="U96" s="915"/>
      <c r="V96" s="915"/>
      <c r="AA96" s="3"/>
      <c r="AB96" s="3"/>
      <c r="AC96" s="3"/>
      <c r="AG96" s="131"/>
      <c r="AH96" s="131"/>
      <c r="AI96" s="131"/>
    </row>
    <row r="97" spans="2:35">
      <c r="B97" s="1167"/>
      <c r="C97" s="1167"/>
      <c r="D97" s="1167"/>
      <c r="E97" s="1167"/>
      <c r="F97" s="1167"/>
      <c r="G97" s="1167"/>
      <c r="H97" s="1167"/>
      <c r="I97" s="1167"/>
      <c r="J97" s="1167"/>
      <c r="K97" s="1167"/>
      <c r="L97" s="1167"/>
      <c r="M97" s="1167"/>
      <c r="N97" s="1167"/>
      <c r="O97" s="1167"/>
      <c r="P97" s="1167"/>
      <c r="Q97" s="1167"/>
      <c r="R97" s="1167"/>
      <c r="S97" s="1167"/>
      <c r="T97" s="915"/>
      <c r="U97" s="915"/>
      <c r="V97" s="915"/>
      <c r="AA97" s="3"/>
      <c r="AB97" s="3"/>
      <c r="AC97" s="3"/>
      <c r="AG97" s="131"/>
      <c r="AH97" s="131"/>
      <c r="AI97" s="131"/>
    </row>
    <row r="98" spans="2:35">
      <c r="B98" s="1167"/>
      <c r="C98" s="1167"/>
      <c r="D98" s="1167"/>
      <c r="E98" s="1167"/>
      <c r="F98" s="1167"/>
      <c r="G98" s="1167"/>
      <c r="H98" s="1167"/>
      <c r="I98" s="1167"/>
      <c r="J98" s="1167"/>
      <c r="K98" s="1167"/>
      <c r="L98" s="1167"/>
      <c r="M98" s="1167"/>
      <c r="N98" s="1167"/>
      <c r="O98" s="1167"/>
      <c r="P98" s="1167"/>
      <c r="Q98" s="1167"/>
      <c r="R98" s="1167"/>
      <c r="S98" s="1167"/>
      <c r="T98" s="915"/>
      <c r="U98" s="915"/>
      <c r="V98" s="915"/>
      <c r="AA98" s="3"/>
      <c r="AB98" s="3"/>
      <c r="AC98" s="3"/>
      <c r="AG98" s="131"/>
      <c r="AH98" s="131"/>
      <c r="AI98" s="131"/>
    </row>
    <row r="99" spans="2:35" ht="19">
      <c r="B99" s="8" t="s">
        <v>3289</v>
      </c>
      <c r="P99" s="3"/>
      <c r="Q99" s="3"/>
      <c r="R99" s="3"/>
      <c r="S99" s="3"/>
      <c r="T99" s="915"/>
      <c r="U99" s="915"/>
      <c r="V99" s="915"/>
      <c r="AA99" s="3"/>
      <c r="AB99" s="3"/>
      <c r="AC99" s="3"/>
      <c r="AG99" s="131"/>
      <c r="AH99" s="131"/>
      <c r="AI99" s="131"/>
    </row>
    <row r="100" spans="2:35">
      <c r="B100" s="1167"/>
      <c r="C100" s="1167"/>
      <c r="D100" s="1167"/>
      <c r="E100" s="1167"/>
      <c r="F100" s="1167"/>
      <c r="G100" s="1167"/>
      <c r="H100" s="1167"/>
      <c r="I100" s="1167"/>
      <c r="J100" s="1167"/>
      <c r="K100" s="1167"/>
      <c r="L100" s="1167"/>
      <c r="M100" s="1167"/>
      <c r="N100" s="1167"/>
      <c r="O100" s="1167"/>
      <c r="P100" s="1167"/>
      <c r="Q100" s="1167"/>
      <c r="R100" s="1167"/>
      <c r="S100" s="1167"/>
      <c r="T100" s="915"/>
      <c r="U100" s="915"/>
      <c r="V100" s="915"/>
    </row>
    <row r="101" spans="2:35" ht="14.5" customHeight="1">
      <c r="B101" s="1167"/>
      <c r="C101" s="1914" t="s">
        <v>3290</v>
      </c>
      <c r="D101" s="1914"/>
      <c r="E101" s="1914"/>
      <c r="F101" s="1914"/>
      <c r="G101" s="1914"/>
      <c r="H101" s="1914"/>
      <c r="I101" s="1914"/>
      <c r="J101" s="1914"/>
      <c r="K101" s="1914"/>
      <c r="L101" s="1914"/>
      <c r="M101" s="1914"/>
      <c r="N101" s="1914"/>
      <c r="O101" s="1914"/>
      <c r="P101" s="1914"/>
      <c r="Q101" s="1914"/>
      <c r="R101" s="1914"/>
      <c r="S101" s="1167"/>
      <c r="T101" s="915"/>
      <c r="U101" s="915"/>
      <c r="V101" s="915"/>
    </row>
    <row r="102" spans="2:35">
      <c r="B102" s="1167"/>
      <c r="C102" s="1914"/>
      <c r="D102" s="1914"/>
      <c r="E102" s="1914"/>
      <c r="F102" s="1914"/>
      <c r="G102" s="1914"/>
      <c r="H102" s="1914"/>
      <c r="I102" s="1914"/>
      <c r="J102" s="1914"/>
      <c r="K102" s="1914"/>
      <c r="L102" s="1914"/>
      <c r="M102" s="1914"/>
      <c r="N102" s="1914"/>
      <c r="O102" s="1914"/>
      <c r="P102" s="1914"/>
      <c r="Q102" s="1914"/>
      <c r="R102" s="1914"/>
      <c r="S102" s="1167"/>
      <c r="T102" s="915"/>
      <c r="U102" s="915"/>
      <c r="V102" s="915"/>
    </row>
    <row r="103" spans="2:35">
      <c r="B103" s="1167"/>
      <c r="C103" s="1672"/>
      <c r="D103" s="1672"/>
      <c r="E103" s="1672"/>
      <c r="F103" s="1672"/>
      <c r="G103" s="1672"/>
      <c r="H103" s="1672"/>
      <c r="I103" s="1672"/>
      <c r="J103" s="1672"/>
      <c r="K103" s="1672"/>
      <c r="L103" s="1672"/>
      <c r="M103" s="1672"/>
      <c r="N103" s="1672"/>
      <c r="O103" s="1672"/>
      <c r="P103" s="1672"/>
      <c r="Q103" s="1672"/>
      <c r="R103" s="1672"/>
      <c r="S103" s="1167"/>
      <c r="T103" s="915"/>
      <c r="U103" s="915"/>
      <c r="V103" s="915"/>
    </row>
    <row r="104" spans="2:35">
      <c r="B104" s="1167"/>
      <c r="C104" s="1778" t="s">
        <v>3291</v>
      </c>
      <c r="D104" s="1779"/>
      <c r="E104" s="1779"/>
      <c r="F104" s="1779"/>
      <c r="G104" s="1779"/>
      <c r="H104" s="859"/>
      <c r="I104" s="1776" t="s">
        <v>3292</v>
      </c>
      <c r="J104" s="1936"/>
      <c r="K104" s="1170"/>
      <c r="L104" s="1913" t="s">
        <v>2702</v>
      </c>
      <c r="M104" s="1913"/>
      <c r="N104" s="1170"/>
      <c r="O104" s="1170" t="s">
        <v>3293</v>
      </c>
      <c r="P104" s="1167"/>
      <c r="Q104" s="1167"/>
      <c r="R104" s="1167"/>
      <c r="S104" s="1167"/>
      <c r="T104" s="915"/>
      <c r="U104" s="915"/>
      <c r="V104" s="915"/>
    </row>
    <row r="105" spans="2:35">
      <c r="B105" s="1167"/>
      <c r="C105" s="1920" t="s">
        <v>3294</v>
      </c>
      <c r="D105" s="1921"/>
      <c r="E105" s="1921"/>
      <c r="F105" s="1921"/>
      <c r="G105" s="1921"/>
      <c r="H105" s="739"/>
      <c r="I105" s="1926" t="s">
        <v>3295</v>
      </c>
      <c r="J105" s="1927"/>
      <c r="K105" s="1167"/>
      <c r="L105" s="1867">
        <f>Per_Unit_Per_Month</f>
        <v>0</v>
      </c>
      <c r="M105" s="1867"/>
      <c r="N105" s="1167"/>
      <c r="O105" s="1820"/>
      <c r="P105" s="1821"/>
      <c r="Q105" s="1821"/>
      <c r="R105" s="1822"/>
      <c r="S105" s="1167"/>
      <c r="T105" s="915"/>
      <c r="U105" s="915"/>
      <c r="V105" s="915"/>
    </row>
    <row r="106" spans="2:35">
      <c r="B106" s="1167"/>
      <c r="C106" s="1922" t="s">
        <v>287</v>
      </c>
      <c r="D106" s="1923"/>
      <c r="E106" s="1923"/>
      <c r="F106" s="1923"/>
      <c r="G106" s="1923"/>
      <c r="H106" s="232"/>
      <c r="I106" s="1928" t="s">
        <v>3296</v>
      </c>
      <c r="J106" s="1929"/>
      <c r="K106" s="1167"/>
      <c r="L106" s="1167"/>
      <c r="M106" s="1167"/>
      <c r="N106" s="1167"/>
      <c r="O106" s="1823"/>
      <c r="P106" s="1824"/>
      <c r="Q106" s="1824"/>
      <c r="R106" s="1825"/>
      <c r="S106" s="1167"/>
      <c r="T106" s="915"/>
      <c r="U106" s="915"/>
      <c r="V106" s="915"/>
    </row>
    <row r="107" spans="2:35">
      <c r="B107" s="1167"/>
      <c r="C107" s="1924" t="s">
        <v>3297</v>
      </c>
      <c r="D107" s="1925"/>
      <c r="E107" s="1925"/>
      <c r="F107" s="1925"/>
      <c r="G107" s="1925"/>
      <c r="H107" s="586"/>
      <c r="I107" s="1934" t="s">
        <v>3298</v>
      </c>
      <c r="J107" s="1935"/>
      <c r="K107" s="1167"/>
      <c r="L107" s="1167"/>
      <c r="M107" s="1167"/>
      <c r="N107" s="1167"/>
      <c r="O107" s="1826"/>
      <c r="P107" s="1827"/>
      <c r="Q107" s="1827"/>
      <c r="R107" s="1828"/>
      <c r="S107" s="1167"/>
      <c r="T107" s="915"/>
      <c r="U107" s="915"/>
      <c r="V107" s="915"/>
    </row>
    <row r="108" spans="2:35">
      <c r="B108" s="1167"/>
      <c r="C108" s="1167"/>
      <c r="D108" s="1167"/>
      <c r="E108" s="1167"/>
      <c r="F108" s="1167"/>
      <c r="G108" s="1167"/>
      <c r="H108" s="1167"/>
      <c r="I108" s="1167"/>
      <c r="J108" s="1167"/>
      <c r="K108" s="1167"/>
      <c r="L108" s="1167"/>
      <c r="M108" s="1167"/>
      <c r="N108" s="1167"/>
      <c r="O108" s="1167"/>
      <c r="P108" s="1167"/>
      <c r="Q108" s="1167"/>
      <c r="R108" s="1167"/>
      <c r="S108" s="1167"/>
      <c r="T108" s="915"/>
      <c r="U108" s="915"/>
      <c r="V108" s="915"/>
    </row>
    <row r="109" spans="2:35">
      <c r="B109" s="1167"/>
      <c r="C109" s="1167" t="s">
        <v>3299</v>
      </c>
      <c r="D109" s="1167"/>
      <c r="E109" s="1167"/>
      <c r="F109" s="1167"/>
      <c r="G109" s="1167"/>
      <c r="H109" s="1167"/>
      <c r="I109" s="1167"/>
      <c r="J109" s="1167"/>
      <c r="K109" s="1167"/>
      <c r="L109" s="1167"/>
      <c r="M109" s="1167"/>
      <c r="N109" s="1167"/>
      <c r="O109" s="1167"/>
      <c r="P109" s="1167"/>
      <c r="Q109" s="1167"/>
      <c r="R109" s="1167"/>
      <c r="S109" s="1167"/>
      <c r="T109" s="915"/>
      <c r="U109" s="915"/>
      <c r="V109" s="915"/>
    </row>
    <row r="110" spans="2:35">
      <c r="B110" s="1167"/>
      <c r="C110" s="1167"/>
      <c r="D110" s="1167"/>
      <c r="E110" s="1167"/>
      <c r="F110" s="1167"/>
      <c r="G110" s="1167"/>
      <c r="H110" s="1167"/>
      <c r="I110" s="1167"/>
      <c r="J110" s="1167"/>
      <c r="K110" s="1167"/>
      <c r="L110" s="1167"/>
      <c r="M110" s="1167"/>
      <c r="N110" s="1167"/>
      <c r="O110" s="1167"/>
      <c r="P110" s="1167"/>
      <c r="Q110" s="1167"/>
      <c r="R110" s="1167"/>
      <c r="S110" s="1167"/>
      <c r="T110" s="915"/>
      <c r="U110" s="915"/>
      <c r="V110" s="915"/>
    </row>
    <row r="111" spans="2:35">
      <c r="B111" s="1167"/>
      <c r="C111" s="1778" t="s">
        <v>3300</v>
      </c>
      <c r="D111" s="1779"/>
      <c r="E111" s="1779"/>
      <c r="F111" s="1779"/>
      <c r="G111" s="1779"/>
      <c r="H111" s="859"/>
      <c r="I111" s="1776" t="s">
        <v>3292</v>
      </c>
      <c r="J111" s="1917"/>
      <c r="K111" s="1167"/>
      <c r="L111" s="1913" t="s">
        <v>2702</v>
      </c>
      <c r="M111" s="1913"/>
      <c r="N111" s="1167"/>
      <c r="O111" s="1170" t="s">
        <v>3301</v>
      </c>
      <c r="P111" s="1167"/>
      <c r="Q111" s="1167"/>
      <c r="R111" s="1167"/>
      <c r="S111" s="1167"/>
      <c r="T111" s="915"/>
      <c r="U111" s="915"/>
      <c r="V111" s="915"/>
    </row>
    <row r="112" spans="2:35">
      <c r="B112" s="1167"/>
      <c r="C112" s="1915" t="s">
        <v>3302</v>
      </c>
      <c r="D112" s="1916"/>
      <c r="E112" s="1916"/>
      <c r="F112" s="1916"/>
      <c r="G112" s="1916"/>
      <c r="H112" s="1469"/>
      <c r="I112" s="1918" t="s">
        <v>3303</v>
      </c>
      <c r="J112" s="1919"/>
      <c r="K112" s="1167"/>
      <c r="L112" s="1912">
        <f>'17. Cash Flow and Reserves'!D27</f>
        <v>0</v>
      </c>
      <c r="M112" s="1912"/>
      <c r="N112" s="1167"/>
      <c r="O112" s="1834"/>
      <c r="P112" s="1835"/>
      <c r="Q112" s="1835"/>
      <c r="R112" s="1836"/>
      <c r="S112" s="1167"/>
      <c r="T112" s="915"/>
      <c r="U112" s="915"/>
      <c r="V112" s="915"/>
    </row>
    <row r="113" spans="2:22" ht="14.5" customHeight="1">
      <c r="B113" s="1167"/>
      <c r="C113" s="1167"/>
      <c r="D113" s="1167"/>
      <c r="E113" s="1167"/>
      <c r="F113" s="1167"/>
      <c r="G113" s="1167"/>
      <c r="H113" s="1167"/>
      <c r="I113" s="1167"/>
      <c r="J113" s="1167"/>
      <c r="K113" s="1167"/>
      <c r="L113" s="1167"/>
      <c r="M113" s="1167"/>
      <c r="N113" s="1167"/>
      <c r="O113" s="1837"/>
      <c r="P113" s="1824"/>
      <c r="Q113" s="1824"/>
      <c r="R113" s="1838"/>
      <c r="S113" s="1167"/>
      <c r="T113" s="915"/>
      <c r="U113" s="915"/>
      <c r="V113" s="915"/>
    </row>
    <row r="114" spans="2:22">
      <c r="B114" s="1167"/>
      <c r="C114" s="1167"/>
      <c r="D114" s="1167"/>
      <c r="E114" s="1167"/>
      <c r="F114" s="1167"/>
      <c r="G114" s="1167"/>
      <c r="H114" s="1167"/>
      <c r="I114" s="1167"/>
      <c r="J114" s="1167"/>
      <c r="K114" s="1167"/>
      <c r="L114" s="1167"/>
      <c r="M114" s="1167"/>
      <c r="N114" s="1167"/>
      <c r="O114" s="1839"/>
      <c r="P114" s="1840"/>
      <c r="Q114" s="1840"/>
      <c r="R114" s="1841"/>
      <c r="S114" s="1167"/>
      <c r="T114" s="915"/>
      <c r="U114" s="915"/>
      <c r="V114" s="915"/>
    </row>
    <row r="115" spans="2:22">
      <c r="B115" s="1167"/>
      <c r="C115" s="1167"/>
      <c r="D115" s="1167"/>
      <c r="E115" s="1167"/>
      <c r="F115" s="1167"/>
      <c r="G115" s="1167"/>
      <c r="H115" s="1167"/>
      <c r="I115" s="1167"/>
      <c r="J115" s="1167"/>
      <c r="K115" s="1167"/>
      <c r="L115" s="1167"/>
      <c r="M115" s="1167"/>
      <c r="N115" s="1167"/>
      <c r="O115" s="1167"/>
      <c r="P115" s="1167"/>
      <c r="Q115" s="1167"/>
      <c r="R115" s="1167"/>
      <c r="S115" s="1167"/>
      <c r="T115" s="915"/>
      <c r="U115" s="915"/>
      <c r="V115" s="915"/>
    </row>
    <row r="116" spans="2:22">
      <c r="B116" s="1167"/>
      <c r="C116" s="1167"/>
      <c r="D116" s="1167"/>
      <c r="E116" s="1167"/>
      <c r="F116" s="1167"/>
      <c r="G116" s="1167"/>
      <c r="H116" s="1167"/>
      <c r="I116" s="1167"/>
      <c r="J116" s="1167"/>
      <c r="K116" s="1167"/>
      <c r="L116" s="1167"/>
      <c r="M116" s="1167"/>
      <c r="N116" s="1167"/>
      <c r="O116" s="1167"/>
      <c r="P116" s="1167"/>
      <c r="Q116" s="1167"/>
      <c r="R116" s="1167"/>
      <c r="S116" s="1167"/>
      <c r="T116" s="915"/>
      <c r="U116" s="915"/>
      <c r="V116" s="915"/>
    </row>
    <row r="117" spans="2:22">
      <c r="B117" s="1167"/>
      <c r="C117" s="698" t="s">
        <v>3304</v>
      </c>
      <c r="D117" s="859"/>
      <c r="E117" s="859"/>
      <c r="F117" s="859"/>
      <c r="G117" s="859"/>
      <c r="H117" s="859"/>
      <c r="I117" s="1776" t="s">
        <v>3305</v>
      </c>
      <c r="J117" s="1917"/>
      <c r="K117" s="1167"/>
      <c r="L117" s="1913" t="s">
        <v>2702</v>
      </c>
      <c r="M117" s="1913"/>
      <c r="N117" s="1167"/>
      <c r="O117" s="1170" t="s">
        <v>3306</v>
      </c>
      <c r="P117" s="1167"/>
      <c r="Q117" s="1167"/>
      <c r="R117" s="1167"/>
      <c r="S117" s="1167"/>
      <c r="T117" s="915"/>
      <c r="U117" s="915"/>
      <c r="V117" s="915"/>
    </row>
    <row r="118" spans="2:22">
      <c r="B118" s="1167"/>
      <c r="C118" s="1924" t="s">
        <v>3302</v>
      </c>
      <c r="D118" s="1925"/>
      <c r="E118" s="1925"/>
      <c r="F118" s="1925"/>
      <c r="G118" s="1925"/>
      <c r="H118" s="586"/>
      <c r="I118" s="1934" t="s">
        <v>3307</v>
      </c>
      <c r="J118" s="1935"/>
      <c r="K118" s="1167"/>
      <c r="L118" s="1943">
        <f>IF('17. Cash Flow and Reserves'!D23+'17. Cash Flow and Reserves'!D25=0,0,(PC_CAP_Operating_Expen_Res_Total/('17. Cash Flow and Reserves'!D23+'17. Cash Flow and Reserves'!D25))*12)</f>
        <v>0</v>
      </c>
      <c r="M118" s="1944"/>
      <c r="N118" s="1167"/>
      <c r="O118" s="1820"/>
      <c r="P118" s="1821"/>
      <c r="Q118" s="1821"/>
      <c r="R118" s="1822"/>
      <c r="S118" s="1167"/>
      <c r="T118" s="915"/>
      <c r="U118" s="915"/>
      <c r="V118" s="915"/>
    </row>
    <row r="119" spans="2:22" ht="15" customHeight="1">
      <c r="B119" s="1167"/>
      <c r="C119" s="1167"/>
      <c r="D119" s="1167"/>
      <c r="E119" s="1167"/>
      <c r="F119" s="1167"/>
      <c r="G119" s="1167"/>
      <c r="H119" s="1167"/>
      <c r="I119" s="1167"/>
      <c r="J119" s="1167"/>
      <c r="K119" s="1167"/>
      <c r="L119" s="1167"/>
      <c r="M119" s="1167"/>
      <c r="N119" s="1167"/>
      <c r="O119" s="1823"/>
      <c r="P119" s="1824"/>
      <c r="Q119" s="1824"/>
      <c r="R119" s="1825"/>
      <c r="S119" s="1167"/>
      <c r="T119" s="915"/>
      <c r="U119" s="915"/>
      <c r="V119" s="915"/>
    </row>
    <row r="120" spans="2:22" ht="15" customHeight="1">
      <c r="B120" s="1167"/>
      <c r="C120" s="1167"/>
      <c r="D120" s="1167"/>
      <c r="E120" s="1167"/>
      <c r="F120" s="1167"/>
      <c r="G120" s="1167"/>
      <c r="H120" s="1167"/>
      <c r="I120" s="1167"/>
      <c r="J120" s="1167"/>
      <c r="K120" s="1167"/>
      <c r="L120" s="1167"/>
      <c r="M120" s="1167"/>
      <c r="N120" s="1167"/>
      <c r="O120" s="1826"/>
      <c r="P120" s="1827"/>
      <c r="Q120" s="1827"/>
      <c r="R120" s="1828"/>
      <c r="S120" s="1167"/>
      <c r="T120" s="915"/>
      <c r="U120" s="915"/>
      <c r="V120" s="915"/>
    </row>
    <row r="121" spans="2:22" ht="14.5" customHeight="1">
      <c r="B121" s="1167"/>
      <c r="C121" s="1167"/>
      <c r="D121" s="1167"/>
      <c r="E121" s="1167"/>
      <c r="F121" s="1167"/>
      <c r="G121" s="1167"/>
      <c r="H121" s="1167"/>
      <c r="I121" s="1167"/>
      <c r="J121" s="1167"/>
      <c r="K121" s="1167"/>
      <c r="L121" s="1167"/>
      <c r="M121" s="1167"/>
      <c r="N121" s="1167"/>
      <c r="O121" s="1167"/>
      <c r="P121" s="1167"/>
      <c r="Q121" s="1167"/>
      <c r="R121" s="1167"/>
      <c r="S121" s="1167"/>
      <c r="T121" s="915"/>
      <c r="U121" s="915"/>
      <c r="V121" s="915"/>
    </row>
    <row r="122" spans="2:22" ht="14.5" customHeight="1">
      <c r="B122" s="1167"/>
      <c r="C122" s="1778" t="s">
        <v>3308</v>
      </c>
      <c r="D122" s="1779"/>
      <c r="E122" s="1779"/>
      <c r="F122" s="1779"/>
      <c r="G122" s="1779"/>
      <c r="H122" s="859"/>
      <c r="I122" s="1776" t="s">
        <v>3305</v>
      </c>
      <c r="J122" s="1917"/>
      <c r="K122" s="1167"/>
      <c r="L122" s="1913" t="s">
        <v>2702</v>
      </c>
      <c r="M122" s="1913"/>
      <c r="N122" s="1167"/>
      <c r="O122" s="1170" t="s">
        <v>3309</v>
      </c>
      <c r="P122" s="1167"/>
      <c r="Q122" s="1167"/>
      <c r="R122" s="1167"/>
      <c r="S122" s="1167"/>
      <c r="T122" s="915"/>
      <c r="U122" s="915"/>
      <c r="V122" s="915"/>
    </row>
    <row r="123" spans="2:22" ht="14.5" customHeight="1">
      <c r="B123" s="1167"/>
      <c r="C123" s="1920" t="s">
        <v>3310</v>
      </c>
      <c r="D123" s="1921"/>
      <c r="E123" s="1921"/>
      <c r="F123" s="1921"/>
      <c r="G123" s="1921"/>
      <c r="H123" s="739"/>
      <c r="I123" s="1926" t="s">
        <v>3311</v>
      </c>
      <c r="J123" s="1927"/>
      <c r="K123" s="1167"/>
      <c r="L123" s="1941">
        <f>IF(Total_Units=0, 0, Annual_Replacement_Reserve/Total_Units)</f>
        <v>0</v>
      </c>
      <c r="M123" s="1942"/>
      <c r="N123" s="1167"/>
      <c r="O123" s="1820"/>
      <c r="P123" s="1821"/>
      <c r="Q123" s="1821"/>
      <c r="R123" s="1822"/>
      <c r="S123" s="1167"/>
      <c r="T123" s="915"/>
      <c r="U123" s="915"/>
      <c r="V123" s="915"/>
    </row>
    <row r="124" spans="2:22" ht="14.5" customHeight="1">
      <c r="B124" s="1167"/>
      <c r="C124" s="1922" t="s">
        <v>3312</v>
      </c>
      <c r="D124" s="1923"/>
      <c r="E124" s="1923"/>
      <c r="F124" s="1923"/>
      <c r="G124" s="1923"/>
      <c r="H124" s="232"/>
      <c r="I124" s="1928" t="s">
        <v>3313</v>
      </c>
      <c r="J124" s="1929"/>
      <c r="K124" s="1167"/>
      <c r="L124" s="1167"/>
      <c r="M124" s="1167"/>
      <c r="N124" s="1167"/>
      <c r="O124" s="1823"/>
      <c r="P124" s="1824"/>
      <c r="Q124" s="1824"/>
      <c r="R124" s="1825"/>
      <c r="S124" s="1167"/>
      <c r="T124" s="915"/>
      <c r="U124" s="915"/>
      <c r="V124" s="915"/>
    </row>
    <row r="125" spans="2:22" ht="14.5" customHeight="1">
      <c r="B125" s="1167"/>
      <c r="C125" s="1920" t="s">
        <v>270</v>
      </c>
      <c r="D125" s="1921"/>
      <c r="E125" s="1921"/>
      <c r="F125" s="1921"/>
      <c r="G125" s="1921"/>
      <c r="H125" s="739"/>
      <c r="I125" s="1926" t="s">
        <v>3313</v>
      </c>
      <c r="J125" s="1927"/>
      <c r="K125" s="1167"/>
      <c r="L125" s="1167"/>
      <c r="M125" s="1167"/>
      <c r="N125" s="1167"/>
      <c r="O125" s="1826"/>
      <c r="P125" s="1827"/>
      <c r="Q125" s="1827"/>
      <c r="R125" s="1828"/>
      <c r="S125" s="1167"/>
      <c r="T125" s="915"/>
      <c r="U125" s="915"/>
      <c r="V125" s="915"/>
    </row>
    <row r="126" spans="2:22" ht="15" customHeight="1">
      <c r="B126" s="1167"/>
      <c r="C126" s="1937" t="s">
        <v>3294</v>
      </c>
      <c r="D126" s="1938"/>
      <c r="E126" s="1938"/>
      <c r="F126" s="1938"/>
      <c r="G126" s="1938"/>
      <c r="H126" s="858"/>
      <c r="I126" s="1939" t="s">
        <v>3314</v>
      </c>
      <c r="J126" s="1940"/>
      <c r="K126" s="1167"/>
      <c r="L126" s="1167"/>
      <c r="M126" s="1167"/>
      <c r="N126" s="1167"/>
      <c r="O126" s="1167"/>
      <c r="P126" s="1167"/>
      <c r="Q126" s="1167"/>
      <c r="R126" s="1167"/>
      <c r="S126" s="1167"/>
      <c r="T126" s="915"/>
      <c r="U126" s="915"/>
      <c r="V126" s="915"/>
    </row>
    <row r="127" spans="2:22" ht="15" customHeight="1">
      <c r="B127" s="1167"/>
      <c r="C127" s="1167"/>
      <c r="D127" s="1167"/>
      <c r="E127" s="1167"/>
      <c r="F127" s="1167"/>
      <c r="G127" s="1167"/>
      <c r="H127" s="1167"/>
      <c r="I127" s="1167"/>
      <c r="J127" s="1167"/>
      <c r="K127" s="1167"/>
      <c r="L127" s="1167"/>
      <c r="M127" s="1167"/>
      <c r="N127" s="1167"/>
      <c r="O127" s="1167"/>
      <c r="P127" s="1167"/>
      <c r="Q127" s="1167"/>
      <c r="R127" s="1167"/>
      <c r="S127" s="1167"/>
      <c r="T127" s="915"/>
      <c r="U127" s="915"/>
      <c r="V127" s="915"/>
    </row>
    <row r="128" spans="2:22" ht="15" customHeight="1">
      <c r="B128" s="1167"/>
      <c r="C128" s="698" t="s">
        <v>2805</v>
      </c>
      <c r="D128" s="859"/>
      <c r="E128" s="859"/>
      <c r="F128" s="859"/>
      <c r="G128" s="859"/>
      <c r="H128" s="859"/>
      <c r="I128" s="1776" t="s">
        <v>3305</v>
      </c>
      <c r="J128" s="1917"/>
      <c r="K128" s="1167"/>
      <c r="L128" s="1913" t="s">
        <v>2702</v>
      </c>
      <c r="M128" s="1913"/>
      <c r="N128" s="1167"/>
      <c r="O128" s="1170" t="s">
        <v>3315</v>
      </c>
      <c r="P128" s="1167"/>
      <c r="Q128" s="1167"/>
      <c r="R128" s="1167"/>
      <c r="S128" s="1167"/>
      <c r="T128" s="915"/>
      <c r="U128" s="915"/>
      <c r="V128" s="915"/>
    </row>
    <row r="129" spans="2:22" ht="14.5" customHeight="1">
      <c r="B129" s="1167"/>
      <c r="C129" s="1924" t="s">
        <v>3302</v>
      </c>
      <c r="D129" s="1925"/>
      <c r="E129" s="1925"/>
      <c r="F129" s="1925"/>
      <c r="G129" s="1925"/>
      <c r="H129" s="586"/>
      <c r="I129" s="1934" t="s">
        <v>3316</v>
      </c>
      <c r="J129" s="1935"/>
      <c r="K129" s="1167"/>
      <c r="L129" s="1947">
        <f>IFERROR(PC_CST_General_Requirements_Total/SUM('14. Project Costs'!F31,'14. Project Costs'!F54,'14. Project Costs'!F49,),0)</f>
        <v>0</v>
      </c>
      <c r="M129" s="1948"/>
      <c r="N129" s="1167"/>
      <c r="O129" s="1820"/>
      <c r="P129" s="1821"/>
      <c r="Q129" s="1821"/>
      <c r="R129" s="1822"/>
      <c r="S129" s="1167"/>
      <c r="T129" s="915"/>
      <c r="U129" s="915"/>
      <c r="V129" s="915"/>
    </row>
    <row r="130" spans="2:22" ht="14.5" customHeight="1">
      <c r="B130" s="1167"/>
      <c r="C130" s="1167"/>
      <c r="D130" s="1167"/>
      <c r="E130" s="1167"/>
      <c r="F130" s="1167"/>
      <c r="G130" s="1167"/>
      <c r="H130" s="1167"/>
      <c r="I130" s="1167"/>
      <c r="J130" s="1167"/>
      <c r="K130" s="1167"/>
      <c r="L130" s="1167"/>
      <c r="M130" s="1167"/>
      <c r="N130" s="1167"/>
      <c r="O130" s="1823"/>
      <c r="P130" s="1824"/>
      <c r="Q130" s="1824"/>
      <c r="R130" s="1825"/>
      <c r="S130" s="1167"/>
      <c r="T130" s="915"/>
      <c r="U130" s="915"/>
      <c r="V130" s="915"/>
    </row>
    <row r="131" spans="2:22" ht="14.5" customHeight="1">
      <c r="B131" s="1167"/>
      <c r="C131" s="1167"/>
      <c r="D131" s="1167"/>
      <c r="E131" s="1167"/>
      <c r="F131" s="1167"/>
      <c r="G131" s="1167"/>
      <c r="H131" s="1167"/>
      <c r="I131" s="1167"/>
      <c r="J131" s="1167"/>
      <c r="K131" s="1167"/>
      <c r="L131" s="1167"/>
      <c r="M131" s="1167"/>
      <c r="N131" s="1167"/>
      <c r="O131" s="1826"/>
      <c r="P131" s="1827"/>
      <c r="Q131" s="1827"/>
      <c r="R131" s="1828"/>
      <c r="S131" s="1167"/>
      <c r="T131" s="915"/>
      <c r="U131" s="915"/>
      <c r="V131" s="915"/>
    </row>
    <row r="132" spans="2:22" ht="14.5" customHeight="1">
      <c r="B132" s="1167"/>
      <c r="C132" s="1167"/>
      <c r="D132" s="1167"/>
      <c r="E132" s="1167"/>
      <c r="F132" s="1167"/>
      <c r="G132" s="1167"/>
      <c r="H132" s="1167"/>
      <c r="I132" s="1167"/>
      <c r="J132" s="1167"/>
      <c r="K132" s="1167"/>
      <c r="L132" s="1167"/>
      <c r="M132" s="1167"/>
      <c r="N132" s="1167"/>
      <c r="O132" s="1167"/>
      <c r="P132" s="1167"/>
      <c r="Q132" s="1167"/>
      <c r="R132" s="1167"/>
      <c r="S132" s="1167"/>
      <c r="T132" s="915"/>
      <c r="U132" s="915"/>
      <c r="V132" s="915"/>
    </row>
    <row r="133" spans="2:22" ht="14.5" customHeight="1">
      <c r="B133" s="1167"/>
      <c r="C133" s="860" t="s">
        <v>2809</v>
      </c>
      <c r="D133" s="857"/>
      <c r="E133" s="857"/>
      <c r="F133" s="857"/>
      <c r="G133" s="857"/>
      <c r="H133" s="857"/>
      <c r="I133" s="1955" t="s">
        <v>3305</v>
      </c>
      <c r="J133" s="1956"/>
      <c r="K133" s="1167"/>
      <c r="L133" s="1913" t="s">
        <v>2702</v>
      </c>
      <c r="M133" s="1913"/>
      <c r="N133" s="1167"/>
      <c r="O133" s="1170" t="s">
        <v>3317</v>
      </c>
      <c r="P133" s="1167"/>
      <c r="Q133" s="1167"/>
      <c r="R133" s="1167"/>
      <c r="S133" s="1167"/>
      <c r="T133" s="915"/>
      <c r="U133" s="915"/>
      <c r="V133" s="915"/>
    </row>
    <row r="134" spans="2:22" ht="14.5" customHeight="1">
      <c r="B134" s="1167"/>
      <c r="C134" s="1924" t="s">
        <v>3302</v>
      </c>
      <c r="D134" s="1925"/>
      <c r="E134" s="1925"/>
      <c r="F134" s="1925"/>
      <c r="G134" s="1925"/>
      <c r="H134" s="586"/>
      <c r="I134" s="1934" t="s">
        <v>3318</v>
      </c>
      <c r="J134" s="1935"/>
      <c r="K134" s="1167"/>
      <c r="L134" s="1949">
        <f>IFERROR(PC_CST_Builders_Overhead_Total/SUM('14. Project Costs'!F51,'14. Project Costs'!F54,'14. Project Costs'!F49,'14. Project Costs'!F31),0)</f>
        <v>0</v>
      </c>
      <c r="M134" s="1950"/>
      <c r="N134" s="1167"/>
      <c r="O134" s="1820"/>
      <c r="P134" s="1821"/>
      <c r="Q134" s="1821"/>
      <c r="R134" s="1822"/>
      <c r="S134" s="1167"/>
      <c r="T134" s="915"/>
      <c r="U134" s="915"/>
      <c r="V134" s="915"/>
    </row>
    <row r="135" spans="2:22" ht="14.5" customHeight="1">
      <c r="B135" s="1167"/>
      <c r="C135" s="1167"/>
      <c r="D135" s="1167"/>
      <c r="E135" s="1167"/>
      <c r="F135" s="1167"/>
      <c r="G135" s="1167"/>
      <c r="H135" s="1167"/>
      <c r="I135" s="1167"/>
      <c r="J135" s="1167"/>
      <c r="K135" s="1167"/>
      <c r="L135" s="1167"/>
      <c r="M135" s="1167"/>
      <c r="N135" s="1167"/>
      <c r="O135" s="1823"/>
      <c r="P135" s="1824"/>
      <c r="Q135" s="1824"/>
      <c r="R135" s="1825"/>
      <c r="S135" s="1167"/>
      <c r="T135" s="915"/>
      <c r="U135" s="915"/>
      <c r="V135" s="915"/>
    </row>
    <row r="136" spans="2:22" ht="14.5" customHeight="1">
      <c r="B136" s="1167"/>
      <c r="C136" s="1167"/>
      <c r="D136" s="1167"/>
      <c r="E136" s="1167"/>
      <c r="F136" s="1167"/>
      <c r="G136" s="1167"/>
      <c r="H136" s="1167"/>
      <c r="I136" s="1167"/>
      <c r="J136" s="1167"/>
      <c r="K136" s="1167"/>
      <c r="L136" s="1167"/>
      <c r="M136" s="1167"/>
      <c r="N136" s="1167"/>
      <c r="O136" s="1826"/>
      <c r="P136" s="1827"/>
      <c r="Q136" s="1827"/>
      <c r="R136" s="1828"/>
      <c r="S136" s="1167"/>
      <c r="T136" s="915"/>
      <c r="U136" s="915"/>
      <c r="V136" s="915"/>
    </row>
    <row r="137" spans="2:22" ht="14.5" customHeight="1">
      <c r="B137" s="1167"/>
      <c r="C137" s="1167"/>
      <c r="D137" s="1167"/>
      <c r="E137" s="1167"/>
      <c r="F137" s="1167"/>
      <c r="G137" s="1167"/>
      <c r="H137" s="1167"/>
      <c r="I137" s="1167"/>
      <c r="J137" s="1167"/>
      <c r="K137" s="1167"/>
      <c r="L137" s="1167"/>
      <c r="M137" s="1167"/>
      <c r="N137" s="1167"/>
      <c r="O137" s="1167"/>
      <c r="P137" s="1167"/>
      <c r="Q137" s="1167"/>
      <c r="R137" s="1167"/>
      <c r="S137" s="1167"/>
      <c r="T137" s="915"/>
      <c r="U137" s="915"/>
      <c r="V137" s="915"/>
    </row>
    <row r="138" spans="2:22" ht="14.5" customHeight="1">
      <c r="B138" s="1167"/>
      <c r="C138" s="860" t="s">
        <v>2815</v>
      </c>
      <c r="D138" s="857"/>
      <c r="E138" s="857"/>
      <c r="F138" s="857"/>
      <c r="G138" s="857"/>
      <c r="H138" s="857"/>
      <c r="I138" s="1955" t="s">
        <v>3305</v>
      </c>
      <c r="J138" s="1956"/>
      <c r="K138" s="1167"/>
      <c r="L138" s="1913" t="s">
        <v>2702</v>
      </c>
      <c r="M138" s="1913"/>
      <c r="N138" s="1167"/>
      <c r="O138" s="1170" t="s">
        <v>3319</v>
      </c>
      <c r="P138" s="1167"/>
      <c r="Q138" s="1167"/>
      <c r="R138" s="1167"/>
      <c r="S138" s="1167"/>
      <c r="T138" s="915"/>
      <c r="U138" s="915"/>
      <c r="V138" s="915"/>
    </row>
    <row r="139" spans="2:22" ht="14.5" customHeight="1">
      <c r="B139" s="1167"/>
      <c r="C139" s="1924" t="s">
        <v>3302</v>
      </c>
      <c r="D139" s="1925"/>
      <c r="E139" s="1925"/>
      <c r="F139" s="1925"/>
      <c r="G139" s="1925"/>
      <c r="H139" s="586"/>
      <c r="I139" s="1934" t="s">
        <v>3316</v>
      </c>
      <c r="J139" s="1935"/>
      <c r="K139" s="1167"/>
      <c r="L139" s="1949">
        <f>IFERROR(PC_CST_Builders_Profit_Total/SUM(PC_CST_Builders_Overhead_Total,PC_CST_General_Requirements_Total,'14. Project Costs'!F54,'14. Project Costs'!F49,'14. Project Costs'!F31),0)</f>
        <v>0</v>
      </c>
      <c r="M139" s="1950"/>
      <c r="N139" s="1167"/>
      <c r="O139" s="1820"/>
      <c r="P139" s="1821"/>
      <c r="Q139" s="1821"/>
      <c r="R139" s="1822"/>
      <c r="S139" s="1167"/>
      <c r="T139" s="915"/>
      <c r="U139" s="915"/>
      <c r="V139" s="915"/>
    </row>
    <row r="140" spans="2:22" ht="14.5" customHeight="1">
      <c r="B140" s="1167"/>
      <c r="C140" s="1167"/>
      <c r="D140" s="1167"/>
      <c r="E140" s="1167"/>
      <c r="F140" s="1167"/>
      <c r="G140" s="1167"/>
      <c r="H140" s="1167"/>
      <c r="I140" s="1167"/>
      <c r="J140" s="1167"/>
      <c r="K140" s="1167"/>
      <c r="L140" s="1167"/>
      <c r="M140" s="1167"/>
      <c r="N140" s="1167"/>
      <c r="O140" s="1823"/>
      <c r="P140" s="1824"/>
      <c r="Q140" s="1824"/>
      <c r="R140" s="1825"/>
      <c r="S140" s="1167"/>
      <c r="T140" s="915"/>
      <c r="U140" s="915"/>
      <c r="V140" s="915"/>
    </row>
    <row r="141" spans="2:22" ht="14.5" customHeight="1">
      <c r="B141" s="1167"/>
      <c r="C141" s="1167"/>
      <c r="D141" s="1167"/>
      <c r="E141" s="1167"/>
      <c r="F141" s="1167"/>
      <c r="G141" s="1167"/>
      <c r="H141" s="1167"/>
      <c r="I141" s="1167"/>
      <c r="J141" s="1167"/>
      <c r="K141" s="1167"/>
      <c r="L141" s="1167"/>
      <c r="M141" s="1167"/>
      <c r="N141" s="1167"/>
      <c r="O141" s="1826"/>
      <c r="P141" s="1827"/>
      <c r="Q141" s="1827"/>
      <c r="R141" s="1828"/>
      <c r="S141" s="1167"/>
      <c r="T141" s="915"/>
      <c r="U141" s="915"/>
      <c r="V141" s="915"/>
    </row>
    <row r="142" spans="2:22" ht="14.5" customHeight="1">
      <c r="B142" s="1167"/>
      <c r="C142" s="1167"/>
      <c r="D142" s="1167"/>
      <c r="E142" s="1167"/>
      <c r="F142" s="1167"/>
      <c r="G142" s="1167"/>
      <c r="H142" s="1167"/>
      <c r="I142" s="1167"/>
      <c r="J142" s="1167"/>
      <c r="K142" s="1167"/>
      <c r="L142" s="1167"/>
      <c r="M142" s="1167"/>
      <c r="N142" s="1167"/>
      <c r="O142" s="1167"/>
      <c r="P142" s="1167"/>
      <c r="Q142" s="1167"/>
      <c r="R142" s="1167"/>
      <c r="S142" s="1167"/>
      <c r="T142" s="915"/>
      <c r="U142" s="915"/>
      <c r="V142" s="915"/>
    </row>
    <row r="143" spans="2:22" ht="14.5" customHeight="1">
      <c r="B143" s="1167"/>
      <c r="C143" s="698" t="s">
        <v>3320</v>
      </c>
      <c r="D143" s="859"/>
      <c r="E143" s="859"/>
      <c r="F143" s="859"/>
      <c r="G143" s="859"/>
      <c r="H143" s="859"/>
      <c r="I143" s="1776" t="s">
        <v>3305</v>
      </c>
      <c r="J143" s="1917"/>
      <c r="K143" s="1167"/>
      <c r="L143" s="1913" t="s">
        <v>2702</v>
      </c>
      <c r="M143" s="1913"/>
      <c r="N143" s="1167"/>
      <c r="O143" s="1170" t="s">
        <v>3321</v>
      </c>
      <c r="P143" s="1167"/>
      <c r="Q143" s="1167"/>
      <c r="R143" s="1167"/>
      <c r="S143" s="1167"/>
      <c r="T143" s="915"/>
      <c r="U143" s="915"/>
      <c r="V143" s="915"/>
    </row>
    <row r="144" spans="2:22" ht="15" customHeight="1">
      <c r="B144" s="1167"/>
      <c r="C144" s="1924" t="s">
        <v>3302</v>
      </c>
      <c r="D144" s="1925"/>
      <c r="E144" s="1925"/>
      <c r="F144" s="1925"/>
      <c r="G144" s="1925"/>
      <c r="H144" s="586"/>
      <c r="I144" s="1934" t="s">
        <v>3322</v>
      </c>
      <c r="J144" s="1935"/>
      <c r="K144" s="1167"/>
      <c r="L144" s="1951" t="str">
        <f>IF('17. Cash Flow and Reserves'!R158&gt;0, "Please Explain Repayment Plan","Repaid")</f>
        <v>Repaid</v>
      </c>
      <c r="M144" s="1952"/>
      <c r="N144" s="1167"/>
      <c r="O144" s="1820"/>
      <c r="P144" s="1821"/>
      <c r="Q144" s="1821"/>
      <c r="R144" s="1822"/>
      <c r="S144" s="1167"/>
      <c r="T144" s="915"/>
      <c r="U144" s="915"/>
      <c r="V144" s="915"/>
    </row>
    <row r="145" spans="2:22" ht="14.5" customHeight="1">
      <c r="B145" s="1167"/>
      <c r="C145" s="1167"/>
      <c r="D145" s="1167"/>
      <c r="E145" s="1167"/>
      <c r="F145" s="1167"/>
      <c r="G145" s="1167"/>
      <c r="H145" s="1167"/>
      <c r="I145" s="1167"/>
      <c r="J145" s="1167"/>
      <c r="K145" s="1167"/>
      <c r="L145" s="1167"/>
      <c r="M145" s="1167"/>
      <c r="N145" s="1167"/>
      <c r="O145" s="1823"/>
      <c r="P145" s="1824"/>
      <c r="Q145" s="1824"/>
      <c r="R145" s="1825"/>
      <c r="S145" s="1167"/>
      <c r="T145" s="915"/>
      <c r="U145" s="915"/>
      <c r="V145" s="915"/>
    </row>
    <row r="146" spans="2:22" ht="14.5" customHeight="1">
      <c r="B146" s="1167"/>
      <c r="C146" s="1167"/>
      <c r="D146" s="1167"/>
      <c r="E146" s="1167"/>
      <c r="F146" s="1167"/>
      <c r="G146" s="1167"/>
      <c r="H146" s="1167"/>
      <c r="I146" s="1167"/>
      <c r="J146" s="1167"/>
      <c r="K146" s="1167"/>
      <c r="L146" s="1167"/>
      <c r="M146" s="1167"/>
      <c r="N146" s="1167"/>
      <c r="O146" s="1826"/>
      <c r="P146" s="1827"/>
      <c r="Q146" s="1827"/>
      <c r="R146" s="1828"/>
      <c r="S146" s="1167"/>
      <c r="T146" s="915"/>
      <c r="U146" s="915"/>
      <c r="V146" s="915"/>
    </row>
    <row r="147" spans="2:22" ht="14.5" customHeight="1">
      <c r="B147" s="1167"/>
      <c r="C147" s="1167"/>
      <c r="D147" s="1167"/>
      <c r="E147" s="1167"/>
      <c r="F147" s="1167"/>
      <c r="G147" s="1167"/>
      <c r="H147" s="1167"/>
      <c r="I147" s="1167"/>
      <c r="J147" s="1167"/>
      <c r="K147" s="1167"/>
      <c r="L147" s="1167"/>
      <c r="M147" s="1167"/>
      <c r="N147" s="1167"/>
      <c r="O147" s="1167"/>
      <c r="P147" s="1167"/>
      <c r="Q147" s="1167"/>
      <c r="R147" s="1167"/>
      <c r="S147" s="1167"/>
      <c r="T147" s="915"/>
      <c r="U147" s="915"/>
      <c r="V147" s="915"/>
    </row>
    <row r="148" spans="2:22" ht="14.5" customHeight="1">
      <c r="B148" s="1167"/>
      <c r="C148" s="1167"/>
      <c r="D148" s="1167"/>
      <c r="E148" s="1167"/>
      <c r="F148" s="1167"/>
      <c r="G148" s="1167"/>
      <c r="H148" s="1167"/>
      <c r="I148" s="1167"/>
      <c r="J148" s="1167"/>
      <c r="K148" s="1167"/>
      <c r="L148" s="1167"/>
      <c r="M148" s="1167"/>
      <c r="N148" s="1167"/>
      <c r="O148" s="1167"/>
      <c r="P148" s="1167"/>
      <c r="Q148" s="1167"/>
      <c r="R148" s="1167"/>
      <c r="S148" s="1167"/>
      <c r="T148" s="915"/>
      <c r="U148" s="915"/>
      <c r="V148" s="915"/>
    </row>
    <row r="149" spans="2:22" ht="14.5" customHeight="1">
      <c r="B149" s="1167"/>
      <c r="C149" s="698" t="s">
        <v>3323</v>
      </c>
      <c r="D149" s="859"/>
      <c r="E149" s="859"/>
      <c r="F149" s="859"/>
      <c r="G149" s="859"/>
      <c r="H149" s="859"/>
      <c r="I149" s="1776" t="s">
        <v>3305</v>
      </c>
      <c r="J149" s="1917"/>
      <c r="K149" s="1167"/>
      <c r="L149" s="1913" t="s">
        <v>2702</v>
      </c>
      <c r="M149" s="1913"/>
      <c r="N149" s="1167"/>
      <c r="O149" s="1170" t="s">
        <v>3324</v>
      </c>
      <c r="P149" s="1167"/>
      <c r="Q149" s="1167"/>
      <c r="R149" s="1167"/>
      <c r="S149" s="1167"/>
      <c r="T149" s="915"/>
      <c r="U149" s="915"/>
      <c r="V149" s="915"/>
    </row>
    <row r="150" spans="2:22">
      <c r="B150" s="1167"/>
      <c r="C150" s="1920" t="s">
        <v>3302</v>
      </c>
      <c r="D150" s="1921"/>
      <c r="E150" s="1921"/>
      <c r="F150" s="1921"/>
      <c r="G150" s="1921"/>
      <c r="H150" s="1781" t="s">
        <v>3325</v>
      </c>
      <c r="I150" s="1781"/>
      <c r="J150" s="1782"/>
      <c r="K150" s="1167"/>
      <c r="L150" s="1953" t="str">
        <f>HYPERLINK("#Unit_Mix_Analysis", Unit_Mix_Analysis)</f>
        <v>Unit Mix Analysis</v>
      </c>
      <c r="M150" s="1954"/>
      <c r="N150" s="1167"/>
      <c r="O150" s="1851"/>
      <c r="P150" s="1852"/>
      <c r="Q150" s="1852"/>
      <c r="R150" s="1853"/>
      <c r="S150" s="1167"/>
      <c r="T150" s="915"/>
      <c r="U150" s="915"/>
      <c r="V150" s="915"/>
    </row>
    <row r="151" spans="2:22" ht="14.5" customHeight="1">
      <c r="B151" s="1167"/>
      <c r="C151" s="793"/>
      <c r="D151" s="586"/>
      <c r="E151" s="586"/>
      <c r="F151" s="586"/>
      <c r="G151" s="586"/>
      <c r="H151" s="1783"/>
      <c r="I151" s="1783"/>
      <c r="J151" s="1784"/>
      <c r="K151" s="1167"/>
      <c r="L151" s="1167"/>
      <c r="M151" s="1167"/>
      <c r="N151" s="1167"/>
      <c r="O151" s="1854"/>
      <c r="P151" s="1855"/>
      <c r="Q151" s="1855"/>
      <c r="R151" s="1856"/>
      <c r="S151" s="1167"/>
      <c r="T151" s="915"/>
      <c r="U151" s="915"/>
      <c r="V151" s="915"/>
    </row>
    <row r="152" spans="2:22" ht="14.5" customHeight="1">
      <c r="B152" s="1167"/>
      <c r="C152" s="1167"/>
      <c r="D152" s="1167"/>
      <c r="E152" s="1167"/>
      <c r="F152" s="1167"/>
      <c r="G152" s="1167"/>
      <c r="H152" s="1167"/>
      <c r="I152" s="1167"/>
      <c r="J152" s="1167"/>
      <c r="K152" s="1167"/>
      <c r="L152" s="1167"/>
      <c r="M152" s="1167"/>
      <c r="N152" s="1167"/>
      <c r="O152" s="1857"/>
      <c r="P152" s="1858"/>
      <c r="Q152" s="1858"/>
      <c r="R152" s="1859"/>
      <c r="S152" s="1167"/>
      <c r="T152" s="915"/>
      <c r="U152" s="915"/>
      <c r="V152" s="915"/>
    </row>
    <row r="153" spans="2:22" ht="14.5" customHeight="1">
      <c r="B153" s="1167"/>
      <c r="C153" s="1167"/>
      <c r="D153" s="1167"/>
      <c r="E153" s="1167"/>
      <c r="F153" s="1167"/>
      <c r="G153" s="1167"/>
      <c r="H153" s="1167"/>
      <c r="I153" s="1167"/>
      <c r="J153" s="1167"/>
      <c r="K153" s="1167"/>
      <c r="L153" s="1167"/>
      <c r="M153" s="1167"/>
      <c r="N153" s="1167"/>
      <c r="O153" s="1167"/>
      <c r="P153" s="1167"/>
      <c r="Q153" s="1167"/>
      <c r="R153" s="1167"/>
      <c r="S153" s="1167"/>
      <c r="T153" s="915"/>
      <c r="U153" s="915"/>
      <c r="V153" s="915"/>
    </row>
    <row r="154" spans="2:22">
      <c r="T154" s="915"/>
      <c r="U154" s="915"/>
      <c r="V154" s="915"/>
    </row>
  </sheetData>
  <sheetProtection algorithmName="SHA-512" hashValue="6rT8xS9DjeqRcKRXl1m9jt+7otQFC41SV3G63dIwwavXmhP91HwrN9ecB8+kJXtsLL3YR9Yz9WzslM0mcwE2TQ==" saltValue="PRIL6xSmkPZMyVMXkfyLTg==" spinCount="100000" sheet="1" objects="1" scenarios="1" selectLockedCells="1"/>
  <mergeCells count="248">
    <mergeCell ref="T10:U10"/>
    <mergeCell ref="C150:G150"/>
    <mergeCell ref="L129:M129"/>
    <mergeCell ref="L134:M134"/>
    <mergeCell ref="L139:M139"/>
    <mergeCell ref="L144:M144"/>
    <mergeCell ref="L150:M150"/>
    <mergeCell ref="L149:M149"/>
    <mergeCell ref="L143:M143"/>
    <mergeCell ref="L133:M133"/>
    <mergeCell ref="L138:M138"/>
    <mergeCell ref="I133:J133"/>
    <mergeCell ref="I138:J138"/>
    <mergeCell ref="I143:J143"/>
    <mergeCell ref="I149:J149"/>
    <mergeCell ref="I129:J129"/>
    <mergeCell ref="I134:J134"/>
    <mergeCell ref="I139:J139"/>
    <mergeCell ref="I144:J144"/>
    <mergeCell ref="C129:G129"/>
    <mergeCell ref="C134:G134"/>
    <mergeCell ref="C139:G139"/>
    <mergeCell ref="C144:G144"/>
    <mergeCell ref="I122:J122"/>
    <mergeCell ref="L122:M122"/>
    <mergeCell ref="L117:M117"/>
    <mergeCell ref="L128:M128"/>
    <mergeCell ref="C124:G124"/>
    <mergeCell ref="C125:G125"/>
    <mergeCell ref="C126:G126"/>
    <mergeCell ref="I124:J124"/>
    <mergeCell ref="I125:J125"/>
    <mergeCell ref="I126:J126"/>
    <mergeCell ref="L123:M123"/>
    <mergeCell ref="L118:M118"/>
    <mergeCell ref="I128:J128"/>
    <mergeCell ref="C104:G104"/>
    <mergeCell ref="I107:J107"/>
    <mergeCell ref="I104:J104"/>
    <mergeCell ref="C111:G111"/>
    <mergeCell ref="I117:J117"/>
    <mergeCell ref="I118:J118"/>
    <mergeCell ref="C118:G118"/>
    <mergeCell ref="I123:J123"/>
    <mergeCell ref="C122:G122"/>
    <mergeCell ref="C123:G123"/>
    <mergeCell ref="T34:U34"/>
    <mergeCell ref="T35:U35"/>
    <mergeCell ref="T36:U36"/>
    <mergeCell ref="T37:U37"/>
    <mergeCell ref="C95:E95"/>
    <mergeCell ref="L112:M112"/>
    <mergeCell ref="L111:M111"/>
    <mergeCell ref="L104:M104"/>
    <mergeCell ref="C101:R102"/>
    <mergeCell ref="C112:G112"/>
    <mergeCell ref="I111:J111"/>
    <mergeCell ref="I112:J112"/>
    <mergeCell ref="C105:G105"/>
    <mergeCell ref="C106:G106"/>
    <mergeCell ref="C107:G107"/>
    <mergeCell ref="I105:J105"/>
    <mergeCell ref="I106:J106"/>
    <mergeCell ref="C55:J55"/>
    <mergeCell ref="L47:O47"/>
    <mergeCell ref="L48:O48"/>
    <mergeCell ref="L49:O49"/>
    <mergeCell ref="T38:U38"/>
    <mergeCell ref="T39:U39"/>
    <mergeCell ref="Q71:R71"/>
    <mergeCell ref="C6:P7"/>
    <mergeCell ref="L44:O44"/>
    <mergeCell ref="L45:O45"/>
    <mergeCell ref="L46:O46"/>
    <mergeCell ref="L52:O52"/>
    <mergeCell ref="L53:O53"/>
    <mergeCell ref="L54:O54"/>
    <mergeCell ref="C96:E96"/>
    <mergeCell ref="F95:G95"/>
    <mergeCell ref="F96:G96"/>
    <mergeCell ref="C89:G89"/>
    <mergeCell ref="I81:J81"/>
    <mergeCell ref="I82:J82"/>
    <mergeCell ref="I83:J83"/>
    <mergeCell ref="C86:F86"/>
    <mergeCell ref="C43:J43"/>
    <mergeCell ref="L81:R81"/>
    <mergeCell ref="G81:H81"/>
    <mergeCell ref="C70:F70"/>
    <mergeCell ref="C71:F71"/>
    <mergeCell ref="C72:F72"/>
    <mergeCell ref="C73:F73"/>
    <mergeCell ref="C83:F83"/>
    <mergeCell ref="C84:F84"/>
    <mergeCell ref="C85:F85"/>
    <mergeCell ref="G71:H71"/>
    <mergeCell ref="G72:H72"/>
    <mergeCell ref="G73:H73"/>
    <mergeCell ref="G74:H74"/>
    <mergeCell ref="G75:H75"/>
    <mergeCell ref="G76:H76"/>
    <mergeCell ref="G77:H77"/>
    <mergeCell ref="G78:H78"/>
    <mergeCell ref="G79:H79"/>
    <mergeCell ref="C79:F79"/>
    <mergeCell ref="C80:F80"/>
    <mergeCell ref="G80:H80"/>
    <mergeCell ref="C74:F74"/>
    <mergeCell ref="C75:F75"/>
    <mergeCell ref="C76:F76"/>
    <mergeCell ref="C77:F77"/>
    <mergeCell ref="C78:F78"/>
    <mergeCell ref="I84:J84"/>
    <mergeCell ref="I85:J85"/>
    <mergeCell ref="C69:J69"/>
    <mergeCell ref="G86:H86"/>
    <mergeCell ref="G87:H87"/>
    <mergeCell ref="G84:H84"/>
    <mergeCell ref="G85:H85"/>
    <mergeCell ref="I70:J70"/>
    <mergeCell ref="I71:J71"/>
    <mergeCell ref="I72:J72"/>
    <mergeCell ref="I73:J73"/>
    <mergeCell ref="I74:J74"/>
    <mergeCell ref="I75:J75"/>
    <mergeCell ref="I76:J76"/>
    <mergeCell ref="I77:J77"/>
    <mergeCell ref="I78:J78"/>
    <mergeCell ref="I79:J79"/>
    <mergeCell ref="I80:J80"/>
    <mergeCell ref="C87:F87"/>
    <mergeCell ref="G70:H70"/>
    <mergeCell ref="G82:H82"/>
    <mergeCell ref="G83:H83"/>
    <mergeCell ref="C81:F81"/>
    <mergeCell ref="C82:F82"/>
    <mergeCell ref="O150:R152"/>
    <mergeCell ref="T29:U29"/>
    <mergeCell ref="T30:U30"/>
    <mergeCell ref="T31:U31"/>
    <mergeCell ref="R31:S31"/>
    <mergeCell ref="R30:S30"/>
    <mergeCell ref="R29:S29"/>
    <mergeCell ref="Q91:R91"/>
    <mergeCell ref="Q92:R92"/>
    <mergeCell ref="Q93:R93"/>
    <mergeCell ref="Q94:R94"/>
    <mergeCell ref="Q95:R95"/>
    <mergeCell ref="Q96:R96"/>
    <mergeCell ref="Q82:R82"/>
    <mergeCell ref="Q83:R83"/>
    <mergeCell ref="Q84:R84"/>
    <mergeCell ref="Q85:R85"/>
    <mergeCell ref="Q86:R86"/>
    <mergeCell ref="Q87:R87"/>
    <mergeCell ref="Q88:R88"/>
    <mergeCell ref="L89:R89"/>
    <mergeCell ref="Q90:R90"/>
    <mergeCell ref="L105:M105"/>
    <mergeCell ref="L93:P93"/>
    <mergeCell ref="O118:R120"/>
    <mergeCell ref="O112:R114"/>
    <mergeCell ref="O123:R125"/>
    <mergeCell ref="O129:R131"/>
    <mergeCell ref="O134:R136"/>
    <mergeCell ref="O139:R141"/>
    <mergeCell ref="O144:R146"/>
    <mergeCell ref="T28:U28"/>
    <mergeCell ref="L69:R69"/>
    <mergeCell ref="L70:R70"/>
    <mergeCell ref="L96:P96"/>
    <mergeCell ref="L71:P71"/>
    <mergeCell ref="L72:P72"/>
    <mergeCell ref="L73:P73"/>
    <mergeCell ref="L74:P74"/>
    <mergeCell ref="L75:P75"/>
    <mergeCell ref="L76:P76"/>
    <mergeCell ref="L77:P77"/>
    <mergeCell ref="L78:P78"/>
    <mergeCell ref="L79:P79"/>
    <mergeCell ref="L80:P80"/>
    <mergeCell ref="L82:P82"/>
    <mergeCell ref="L83:P83"/>
    <mergeCell ref="L50:O50"/>
    <mergeCell ref="L88:P88"/>
    <mergeCell ref="L90:P90"/>
    <mergeCell ref="L91:P91"/>
    <mergeCell ref="L92:P92"/>
    <mergeCell ref="R24:S24"/>
    <mergeCell ref="O105:R107"/>
    <mergeCell ref="L51:O51"/>
    <mergeCell ref="Q72:R72"/>
    <mergeCell ref="Q73:R73"/>
    <mergeCell ref="Q74:R74"/>
    <mergeCell ref="Q75:R75"/>
    <mergeCell ref="Q76:R76"/>
    <mergeCell ref="Q77:R77"/>
    <mergeCell ref="Q78:R78"/>
    <mergeCell ref="Q79:R79"/>
    <mergeCell ref="Q80:R80"/>
    <mergeCell ref="R15:S15"/>
    <mergeCell ref="R16:S16"/>
    <mergeCell ref="R17:S17"/>
    <mergeCell ref="L94:P94"/>
    <mergeCell ref="L95:P95"/>
    <mergeCell ref="T7:U7"/>
    <mergeCell ref="T8:U8"/>
    <mergeCell ref="T9:U9"/>
    <mergeCell ref="T11:U11"/>
    <mergeCell ref="T15:U15"/>
    <mergeCell ref="T16:U16"/>
    <mergeCell ref="T17:U17"/>
    <mergeCell ref="T18:U18"/>
    <mergeCell ref="T19:U19"/>
    <mergeCell ref="T20:U20"/>
    <mergeCell ref="T23:U23"/>
    <mergeCell ref="T24:U24"/>
    <mergeCell ref="T25:U25"/>
    <mergeCell ref="T26:U26"/>
    <mergeCell ref="T27:U27"/>
    <mergeCell ref="L84:P84"/>
    <mergeCell ref="L85:P85"/>
    <mergeCell ref="L86:P86"/>
    <mergeCell ref="L87:P87"/>
    <mergeCell ref="R6:U6"/>
    <mergeCell ref="R14:U14"/>
    <mergeCell ref="R22:U22"/>
    <mergeCell ref="R33:U33"/>
    <mergeCell ref="H150:J151"/>
    <mergeCell ref="C8:P39"/>
    <mergeCell ref="F90:G90"/>
    <mergeCell ref="F91:G91"/>
    <mergeCell ref="F92:G92"/>
    <mergeCell ref="F93:G93"/>
    <mergeCell ref="F94:G94"/>
    <mergeCell ref="R7:S7"/>
    <mergeCell ref="R8:S8"/>
    <mergeCell ref="R9:S9"/>
    <mergeCell ref="R10:S10"/>
    <mergeCell ref="R11:S11"/>
    <mergeCell ref="R18:S18"/>
    <mergeCell ref="R19:S19"/>
    <mergeCell ref="R20:S20"/>
    <mergeCell ref="R28:S28"/>
    <mergeCell ref="R27:S27"/>
    <mergeCell ref="R26:S26"/>
    <mergeCell ref="R25:S25"/>
    <mergeCell ref="R23:S23"/>
  </mergeCells>
  <conditionalFormatting sqref="D57:J57 D57:I64 J58:J64">
    <cfRule type="cellIs" dxfId="382" priority="3" operator="between">
      <formula>0.001</formula>
      <formula>0.099999</formula>
    </cfRule>
  </conditionalFormatting>
  <conditionalFormatting sqref="L71:L80 L82:L88 L90:L95">
    <cfRule type="containsText" dxfId="381" priority="7" operator="containsText" text="Enter Source">
      <formula>NOT(ISERROR(SEARCH("Enter Source",L71)))</formula>
    </cfRule>
  </conditionalFormatting>
  <dataValidations count="1">
    <dataValidation type="custom" allowBlank="1" showInputMessage="1" showErrorMessage="1" sqref="L1 L150:M150" xr:uid="{0621863D-0F05-4AB2-857F-F4FF2E4774BB}">
      <formula1>"&lt;0&gt;0"</formula1>
    </dataValidation>
  </dataValidations>
  <pageMargins left="0.7" right="0.7" top="0.75" bottom="0.75" header="0.3" footer="0.3"/>
  <pageSetup scale="34" fitToWidth="0" fitToHeight="0" orientation="portrait" r:id="rId1"/>
  <headerFooter>
    <oddHeader>&amp;L&amp;G</oddHeader>
    <oddFooter>&amp;LVersion - 2023.0.01&amp;CWHEDA MULTIFAMILY APPLICATION&amp;R&amp;P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6FC05-9F88-4158-88B4-11154F34E245}">
  <sheetPr codeName="Sheet3">
    <pageSetUpPr fitToPage="1"/>
  </sheetPr>
  <dimension ref="A1:BA121"/>
  <sheetViews>
    <sheetView zoomScaleNormal="100" workbookViewId="0">
      <selection activeCell="D6" sqref="D6"/>
    </sheetView>
  </sheetViews>
  <sheetFormatPr baseColWidth="10" defaultColWidth="8.83203125" defaultRowHeight="15"/>
  <cols>
    <col min="1" max="1" width="5.5" style="3" customWidth="1"/>
    <col min="2" max="2" width="7.5" style="3" customWidth="1"/>
    <col min="3" max="3" width="38.1640625" style="3" bestFit="1" customWidth="1"/>
    <col min="4" max="4" width="40.33203125" style="3" customWidth="1"/>
    <col min="5" max="5" width="43.1640625" style="3" customWidth="1"/>
    <col min="6" max="6" width="24.5" style="3" customWidth="1"/>
    <col min="7" max="7" width="15.83203125" style="3" customWidth="1"/>
    <col min="8" max="8" width="10.33203125" style="3" bestFit="1" customWidth="1"/>
    <col min="9" max="9" width="6.6640625" style="3" customWidth="1"/>
    <col min="10" max="12" width="11.83203125" style="131" customWidth="1"/>
    <col min="13" max="13" width="22.1640625" style="131" customWidth="1"/>
    <col min="14" max="14" width="25" style="131" customWidth="1"/>
    <col min="15" max="15" width="27" style="131" customWidth="1"/>
    <col min="16" max="16" width="23.83203125" style="131" hidden="1" customWidth="1"/>
    <col min="17" max="17" width="15" style="131" hidden="1" customWidth="1"/>
    <col min="18" max="25" width="8.83203125" style="131" customWidth="1"/>
    <col min="26" max="34" width="8.83203125" style="46" customWidth="1"/>
    <col min="35" max="45" width="8.83203125" customWidth="1"/>
  </cols>
  <sheetData>
    <row r="1" spans="1:53" ht="29">
      <c r="B1" s="4" t="str">
        <f>'1. TOC'!B1</f>
        <v>WHEDA 2025 Multifamily Application</v>
      </c>
      <c r="C1" s="4"/>
      <c r="E1" s="149" t="str">
        <f>'1. TOC'!L1</f>
        <v>v25.1.9</v>
      </c>
      <c r="F1" s="1086" t="str">
        <f>HYPERLINK("#Table_of_Contents", Table_of_Contents)</f>
        <v>Table of Contents</v>
      </c>
    </row>
    <row r="2" spans="1:53" ht="19.5" customHeight="1">
      <c r="B2" s="966" t="str">
        <f>_xlfn.CONCAT(IF(ISBLANK(WHEDA_Project_Number),"",_xlfn.CONCAT(WHEDA_Project_Number,"-")), Project_Name, IF(ISBLANK(Credit_percentage_applied_for),"",_xlfn.CONCAT(" (", Credit_percentage_applied_for," HTC)")))</f>
        <v/>
      </c>
      <c r="C2" s="936"/>
      <c r="D2" s="74"/>
      <c r="E2" s="74"/>
      <c r="F2" s="937"/>
      <c r="G2" s="74"/>
      <c r="H2" s="74"/>
      <c r="I2" s="74"/>
    </row>
    <row r="3" spans="1:53" ht="16">
      <c r="A3" s="1064"/>
      <c r="AG3"/>
      <c r="AH3"/>
    </row>
    <row r="4" spans="1:53" ht="29">
      <c r="A4" s="1064"/>
      <c r="B4" s="4" t="s">
        <v>3326</v>
      </c>
      <c r="AG4"/>
      <c r="AH4"/>
    </row>
    <row r="5" spans="1:53" ht="16">
      <c r="A5" s="1064"/>
      <c r="B5" s="1167"/>
      <c r="C5" s="1167"/>
      <c r="D5" s="1167"/>
      <c r="E5" s="1167"/>
      <c r="F5" s="1167"/>
      <c r="G5" s="1167"/>
      <c r="H5" s="1167"/>
      <c r="I5" s="1167"/>
      <c r="Z5" s="131"/>
      <c r="AA5" s="131"/>
      <c r="AB5" s="131"/>
      <c r="AC5" s="131"/>
      <c r="AD5" s="131"/>
      <c r="AE5" s="131"/>
      <c r="AF5" s="131"/>
      <c r="AG5" s="3"/>
      <c r="AH5" s="3"/>
      <c r="AI5" s="3"/>
      <c r="AJ5" s="3"/>
      <c r="AK5" s="3"/>
      <c r="AL5" s="3"/>
      <c r="AM5" s="3"/>
      <c r="AN5" s="3"/>
      <c r="AO5" s="3"/>
      <c r="AP5" s="3"/>
      <c r="AQ5" s="3"/>
      <c r="AR5" s="3"/>
      <c r="AS5" s="3"/>
      <c r="AT5" s="3"/>
      <c r="AU5" s="3"/>
      <c r="AV5" s="3"/>
      <c r="AW5" s="3"/>
      <c r="AX5" s="3"/>
      <c r="AY5" s="3"/>
    </row>
    <row r="6" spans="1:53" ht="16">
      <c r="A6" s="1064"/>
      <c r="B6" s="1167"/>
      <c r="C6" s="1681" t="s">
        <v>3327</v>
      </c>
      <c r="D6" s="1676"/>
      <c r="E6" s="1681" t="s">
        <v>3328</v>
      </c>
      <c r="F6" s="75"/>
      <c r="G6" s="1681" t="str">
        <f>IF(Is_project_a_Scattered_Site?="No","# of Buildings ", "# of Sites ")</f>
        <v xml:space="preserve"># of Sites </v>
      </c>
      <c r="H6" s="215"/>
      <c r="I6" s="1167"/>
      <c r="Z6" s="131"/>
      <c r="AA6" s="131"/>
      <c r="AB6" s="131"/>
      <c r="AC6" s="131"/>
      <c r="AD6" s="131"/>
      <c r="AE6" s="131"/>
      <c r="AF6" s="131"/>
      <c r="AG6" s="3"/>
      <c r="AH6" s="3"/>
      <c r="AI6" s="3"/>
      <c r="AJ6" s="3"/>
      <c r="AK6" s="3"/>
      <c r="AL6" s="3"/>
      <c r="AM6" s="3"/>
      <c r="AN6" s="3"/>
      <c r="AO6" s="3"/>
      <c r="AP6" s="3"/>
      <c r="AQ6" s="3"/>
      <c r="AR6" s="3"/>
      <c r="AS6" s="3"/>
      <c r="AT6" s="3"/>
      <c r="AU6" s="3"/>
      <c r="AV6" s="3"/>
      <c r="AW6" s="3"/>
      <c r="AX6" s="3"/>
      <c r="AY6" s="3"/>
    </row>
    <row r="7" spans="1:53" ht="16">
      <c r="A7" s="1064"/>
      <c r="B7" s="1167"/>
      <c r="C7" s="1681"/>
      <c r="D7" s="1179"/>
      <c r="E7" s="1969" t="s">
        <v>3329</v>
      </c>
      <c r="F7" s="1969"/>
      <c r="G7" s="1969"/>
      <c r="H7" s="1969"/>
      <c r="I7" s="1167"/>
      <c r="Z7" s="131"/>
      <c r="AA7" s="131"/>
      <c r="AB7" s="131"/>
      <c r="AC7" s="131"/>
      <c r="AD7" s="131"/>
      <c r="AE7" s="131"/>
      <c r="AF7" s="131"/>
      <c r="AG7" s="3"/>
      <c r="AH7" s="3"/>
      <c r="AI7" s="3"/>
      <c r="AJ7" s="3"/>
      <c r="AK7" s="3"/>
      <c r="AL7" s="3"/>
      <c r="AM7" s="3"/>
      <c r="AN7" s="3"/>
      <c r="AO7" s="3"/>
      <c r="AP7" s="3"/>
      <c r="AQ7" s="3"/>
      <c r="AR7" s="3"/>
      <c r="AS7" s="3"/>
      <c r="AT7" s="3"/>
      <c r="AU7" s="3"/>
      <c r="AV7" s="3"/>
      <c r="AW7" s="3"/>
      <c r="AX7" s="3"/>
      <c r="AY7" s="3"/>
    </row>
    <row r="8" spans="1:53" ht="16">
      <c r="A8" s="1065"/>
      <c r="B8" s="1167"/>
      <c r="C8" s="1681" t="s">
        <v>3330</v>
      </c>
      <c r="D8" s="1970"/>
      <c r="E8" s="1971"/>
      <c r="F8" s="1971"/>
      <c r="G8" s="1971"/>
      <c r="H8" s="1972"/>
      <c r="I8" s="1167"/>
      <c r="Z8" s="131"/>
      <c r="AA8" s="131"/>
      <c r="AB8" s="131"/>
      <c r="AC8" s="131"/>
      <c r="AD8" s="131"/>
      <c r="AE8" s="131"/>
      <c r="AF8" s="131"/>
      <c r="AG8" s="3"/>
      <c r="AH8" s="3"/>
      <c r="AI8" s="3"/>
      <c r="AJ8" s="3"/>
      <c r="AK8" s="3"/>
      <c r="AL8" s="3"/>
      <c r="AM8" s="3"/>
      <c r="AN8" s="3"/>
      <c r="AO8" s="3"/>
      <c r="AP8" s="3"/>
      <c r="AQ8" s="3"/>
      <c r="AR8" s="3"/>
      <c r="AS8" s="3"/>
      <c r="AT8" s="3"/>
      <c r="AU8" s="3"/>
      <c r="AV8" s="3"/>
      <c r="AW8" s="3"/>
      <c r="AX8" s="3"/>
      <c r="AY8" s="3"/>
    </row>
    <row r="9" spans="1:53" ht="16">
      <c r="A9" s="1065"/>
      <c r="B9" s="1167"/>
      <c r="C9" s="1681"/>
      <c r="D9" s="1975" t="s">
        <v>3331</v>
      </c>
      <c r="E9" s="1975"/>
      <c r="F9" s="1975"/>
      <c r="G9" s="1975"/>
      <c r="H9" s="1975"/>
      <c r="I9" s="1167"/>
      <c r="Z9" s="131"/>
      <c r="AA9" s="131"/>
      <c r="AB9" s="131"/>
      <c r="AC9" s="131"/>
      <c r="AD9" s="131"/>
      <c r="AE9" s="131"/>
      <c r="AF9" s="131"/>
      <c r="AG9" s="3"/>
      <c r="AH9" s="3"/>
      <c r="AI9" s="3"/>
      <c r="AJ9" s="3"/>
      <c r="AK9" s="3"/>
      <c r="AL9" s="3"/>
      <c r="AM9" s="3"/>
      <c r="AN9" s="3"/>
      <c r="AO9" s="3"/>
      <c r="AP9" s="3"/>
      <c r="AQ9" s="3"/>
      <c r="AR9" s="3"/>
      <c r="AS9" s="3"/>
      <c r="AT9" s="3"/>
      <c r="AU9" s="3"/>
      <c r="AV9" s="3"/>
      <c r="AW9" s="3"/>
      <c r="AX9" s="3"/>
      <c r="AY9" s="3"/>
    </row>
    <row r="10" spans="1:53">
      <c r="A10" s="1065"/>
      <c r="B10" s="1167"/>
      <c r="C10" s="1177"/>
      <c r="D10" s="1976" t="str">
        <f>HYPERLINK("https://tools.usps.com/zip-code-lookup.htm?byaddress", "USPS Lookup to verify the Address, City, and Zip Code.")</f>
        <v>USPS Lookup to verify the Address, City, and Zip Code.</v>
      </c>
      <c r="E10" s="1976"/>
      <c r="F10" s="1167"/>
      <c r="G10" s="1167"/>
      <c r="H10" s="1167"/>
      <c r="I10" s="1167"/>
      <c r="Z10" s="131"/>
      <c r="AA10" s="131"/>
      <c r="AB10" s="131"/>
      <c r="AC10" s="131"/>
      <c r="AD10" s="131"/>
      <c r="AE10" s="131"/>
      <c r="AF10" s="131"/>
      <c r="AG10" s="3"/>
      <c r="AH10" s="3"/>
      <c r="AI10" s="3"/>
      <c r="AJ10" s="3"/>
      <c r="AK10" s="3"/>
      <c r="AL10" s="3"/>
      <c r="AM10" s="3"/>
      <c r="AN10" s="3"/>
      <c r="AO10" s="3"/>
      <c r="AP10" s="3"/>
      <c r="AQ10" s="3"/>
      <c r="AR10" s="3"/>
      <c r="AS10" s="3"/>
      <c r="AT10" s="3"/>
      <c r="AU10" s="3"/>
      <c r="AV10" s="3"/>
      <c r="AW10" s="3"/>
      <c r="AX10" s="3"/>
      <c r="AY10" s="3"/>
    </row>
    <row r="11" spans="1:53" ht="16">
      <c r="A11" s="1065"/>
      <c r="B11" s="1167"/>
      <c r="C11" s="1681" t="s">
        <v>3332</v>
      </c>
      <c r="D11" s="1676"/>
      <c r="E11" s="1180" t="s">
        <v>3333</v>
      </c>
      <c r="F11" s="728" t="s">
        <v>3334</v>
      </c>
      <c r="G11" s="1167"/>
      <c r="H11" s="1167"/>
      <c r="I11" s="1167"/>
      <c r="Z11" s="131"/>
      <c r="AA11" s="131"/>
      <c r="AB11" s="131"/>
      <c r="AC11" s="131"/>
      <c r="AD11" s="131"/>
      <c r="AE11" s="131"/>
      <c r="AF11" s="131"/>
      <c r="AG11" s="131"/>
      <c r="AH11" s="131"/>
      <c r="AI11" s="3"/>
      <c r="AJ11" s="3"/>
      <c r="AK11" s="3"/>
      <c r="AL11" s="3"/>
      <c r="AM11" s="3"/>
      <c r="AN11" s="3"/>
      <c r="AO11" s="3"/>
      <c r="AP11" s="3"/>
      <c r="AQ11" s="3"/>
      <c r="AR11" s="3"/>
      <c r="AS11" s="3"/>
      <c r="AT11" s="3"/>
      <c r="AU11" s="3"/>
      <c r="AV11" s="3"/>
      <c r="AW11" s="3"/>
      <c r="AX11" s="3"/>
      <c r="AY11" s="3"/>
      <c r="AZ11" s="3"/>
      <c r="BA11" s="3"/>
    </row>
    <row r="12" spans="1:53" ht="16">
      <c r="A12" s="1065"/>
      <c r="B12" s="1167"/>
      <c r="C12" s="1681" t="s">
        <v>3335</v>
      </c>
      <c r="D12" s="337"/>
      <c r="E12" s="1681" t="s">
        <v>3336</v>
      </c>
      <c r="F12" s="339"/>
      <c r="G12" s="1167"/>
      <c r="H12" s="1167"/>
      <c r="I12" s="1167"/>
      <c r="Z12" s="131"/>
      <c r="AA12" s="131"/>
      <c r="AB12" s="131"/>
      <c r="AC12" s="131"/>
      <c r="AD12" s="131"/>
      <c r="AE12" s="131"/>
      <c r="AF12" s="131"/>
      <c r="AG12" s="131"/>
      <c r="AH12" s="131"/>
      <c r="AI12" s="3"/>
      <c r="AJ12" s="3"/>
      <c r="AK12" s="3"/>
      <c r="AL12" s="3"/>
      <c r="AM12" s="3"/>
      <c r="AN12" s="3"/>
      <c r="AO12" s="3"/>
      <c r="AP12" s="3"/>
      <c r="AQ12" s="3"/>
      <c r="AR12" s="3"/>
      <c r="AS12" s="3"/>
      <c r="AT12" s="3"/>
      <c r="AU12" s="3"/>
      <c r="AV12" s="3"/>
      <c r="AW12" s="3"/>
      <c r="AX12" s="3"/>
      <c r="AY12" s="3"/>
      <c r="AZ12" s="3"/>
      <c r="BA12" s="3"/>
    </row>
    <row r="13" spans="1:53" ht="16">
      <c r="A13" s="1065"/>
      <c r="B13" s="1167"/>
      <c r="C13" s="1681" t="s">
        <v>3337</v>
      </c>
      <c r="D13" s="338"/>
      <c r="E13" s="1681" t="s">
        <v>3338</v>
      </c>
      <c r="F13" s="338"/>
      <c r="G13" s="1167"/>
      <c r="H13" s="1167"/>
      <c r="I13" s="1167"/>
      <c r="Z13" s="131"/>
      <c r="AA13" s="131"/>
      <c r="AB13" s="131"/>
      <c r="AC13" s="131"/>
      <c r="AD13" s="131"/>
      <c r="AE13" s="131"/>
      <c r="AF13" s="131"/>
      <c r="AG13" s="131"/>
      <c r="AH13" s="131"/>
      <c r="AI13" s="3"/>
      <c r="AJ13" s="3"/>
      <c r="AK13" s="3"/>
      <c r="AL13" s="3"/>
      <c r="AM13" s="3"/>
      <c r="AN13" s="3"/>
      <c r="AO13" s="3"/>
      <c r="AP13" s="3"/>
      <c r="AQ13" s="3"/>
      <c r="AR13" s="3"/>
      <c r="AS13" s="3"/>
      <c r="AT13" s="3"/>
      <c r="AU13" s="3"/>
      <c r="AV13" s="3"/>
      <c r="AW13" s="3"/>
      <c r="AX13" s="3"/>
      <c r="AY13" s="3"/>
      <c r="AZ13" s="3"/>
      <c r="BA13" s="3"/>
    </row>
    <row r="14" spans="1:53" ht="16">
      <c r="A14" s="1065"/>
      <c r="B14" s="1167"/>
      <c r="C14" s="1681" t="s">
        <v>3339</v>
      </c>
      <c r="D14" s="666"/>
      <c r="E14" s="1681" t="s">
        <v>3340</v>
      </c>
      <c r="F14" s="1679"/>
      <c r="G14" s="1167"/>
      <c r="H14" s="1167"/>
      <c r="I14" s="1167"/>
      <c r="Z14" s="131"/>
      <c r="AA14" s="131"/>
      <c r="AB14" s="131"/>
      <c r="AC14" s="131"/>
      <c r="AD14" s="131"/>
      <c r="AE14" s="131"/>
      <c r="AF14" s="131"/>
      <c r="AG14" s="131"/>
      <c r="AH14" s="131"/>
      <c r="AI14" s="3"/>
      <c r="AJ14" s="3"/>
      <c r="AK14" s="3"/>
      <c r="AL14" s="3"/>
      <c r="AM14" s="3"/>
      <c r="AN14" s="3"/>
      <c r="AO14" s="3"/>
      <c r="AP14" s="3"/>
      <c r="AQ14" s="3"/>
      <c r="AR14" s="3"/>
      <c r="AS14" s="3"/>
      <c r="AT14" s="3"/>
      <c r="AU14" s="3"/>
      <c r="AV14" s="3"/>
      <c r="AW14" s="3"/>
      <c r="AX14" s="3"/>
      <c r="AY14" s="3"/>
      <c r="AZ14" s="3"/>
      <c r="BA14" s="3"/>
    </row>
    <row r="15" spans="1:53" ht="16">
      <c r="A15" s="1065"/>
      <c r="B15" s="1167"/>
      <c r="C15" s="1681" t="s">
        <v>3341</v>
      </c>
      <c r="D15" s="1676"/>
      <c r="E15" s="1681" t="s">
        <v>3342</v>
      </c>
      <c r="F15" s="1165"/>
      <c r="G15" s="1167"/>
      <c r="H15" s="1167"/>
      <c r="I15" s="1167"/>
      <c r="Z15" s="131"/>
      <c r="AA15" s="131"/>
      <c r="AB15" s="131"/>
      <c r="AC15" s="131"/>
      <c r="AD15" s="131"/>
      <c r="AE15" s="131"/>
      <c r="AF15" s="131"/>
      <c r="AG15" s="131"/>
      <c r="AH15" s="131"/>
      <c r="AI15" s="3"/>
      <c r="AJ15" s="3"/>
      <c r="AK15" s="3"/>
      <c r="AL15" s="3"/>
      <c r="AM15" s="3"/>
      <c r="AN15" s="3"/>
      <c r="AO15" s="3"/>
      <c r="AP15" s="3"/>
      <c r="AQ15" s="3"/>
      <c r="AR15" s="3"/>
      <c r="AS15" s="3"/>
      <c r="AT15" s="3"/>
      <c r="AU15" s="3"/>
      <c r="AV15" s="3"/>
      <c r="AW15" s="3"/>
      <c r="AX15" s="3"/>
      <c r="AY15" s="3"/>
      <c r="AZ15" s="3"/>
      <c r="BA15" s="3"/>
    </row>
    <row r="16" spans="1:53" ht="16">
      <c r="A16" s="1065"/>
      <c r="B16" s="1167"/>
      <c r="C16" s="1681" t="s">
        <v>3343</v>
      </c>
      <c r="D16" s="338"/>
      <c r="E16" s="1681" t="s">
        <v>3344</v>
      </c>
      <c r="F16" s="1977"/>
      <c r="G16" s="1978"/>
      <c r="H16" s="1979"/>
      <c r="I16" s="1167"/>
      <c r="Z16" s="131"/>
      <c r="AA16" s="131"/>
      <c r="AB16" s="131"/>
      <c r="AC16" s="131"/>
      <c r="AD16" s="131"/>
      <c r="AE16" s="131"/>
      <c r="AF16" s="131"/>
      <c r="AG16" s="131"/>
      <c r="AH16" s="131"/>
      <c r="AI16" s="3"/>
      <c r="AJ16" s="3"/>
      <c r="AK16" s="3"/>
      <c r="AL16" s="3"/>
      <c r="AM16" s="3"/>
      <c r="AN16" s="3"/>
      <c r="AO16" s="3"/>
      <c r="AP16" s="3"/>
      <c r="AQ16" s="3"/>
      <c r="AR16" s="3"/>
      <c r="AS16" s="3"/>
      <c r="AT16" s="3"/>
      <c r="AU16" s="3"/>
      <c r="AV16" s="3"/>
      <c r="AW16" s="3"/>
      <c r="AX16" s="3"/>
      <c r="AY16" s="3"/>
      <c r="AZ16" s="3"/>
      <c r="BA16" s="3"/>
    </row>
    <row r="17" spans="1:53" ht="15" customHeight="1">
      <c r="A17" s="1065"/>
      <c r="B17" s="1167"/>
      <c r="C17" s="1167"/>
      <c r="D17" s="1167"/>
      <c r="E17" s="1181"/>
      <c r="F17" s="1167"/>
      <c r="G17" s="1167"/>
      <c r="H17" s="1167"/>
      <c r="I17" s="1167"/>
      <c r="Z17" s="131"/>
      <c r="AA17" s="131"/>
      <c r="AB17" s="131"/>
      <c r="AC17" s="131"/>
      <c r="AD17" s="131"/>
      <c r="AE17" s="131"/>
      <c r="AF17" s="131"/>
      <c r="AG17" s="131"/>
      <c r="AH17" s="131"/>
      <c r="AI17" s="3"/>
      <c r="AJ17" s="3"/>
      <c r="AK17" s="3"/>
      <c r="AL17" s="3"/>
      <c r="AM17" s="3"/>
      <c r="AN17" s="3"/>
      <c r="AO17" s="3"/>
      <c r="AP17" s="3"/>
      <c r="AQ17" s="3"/>
      <c r="AR17" s="3"/>
      <c r="AS17" s="3"/>
      <c r="AT17" s="3"/>
      <c r="AU17" s="3"/>
      <c r="AV17" s="3"/>
      <c r="AW17" s="3"/>
      <c r="AX17" s="3"/>
      <c r="AY17" s="3"/>
      <c r="AZ17" s="3"/>
      <c r="BA17" s="3"/>
    </row>
    <row r="18" spans="1:53" s="46" customFormat="1">
      <c r="A18" s="1066"/>
      <c r="B18" s="1175"/>
      <c r="C18" s="1175"/>
      <c r="D18" s="1175"/>
      <c r="E18" s="1175"/>
      <c r="F18" s="1175"/>
      <c r="G18" s="1175"/>
      <c r="H18" s="1175"/>
      <c r="I18" s="1175"/>
      <c r="J18" s="131"/>
      <c r="K18" s="131"/>
      <c r="L18" s="131"/>
      <c r="M18" s="131"/>
      <c r="N18" s="131"/>
      <c r="O18" s="131"/>
      <c r="P18" s="611">
        <f>IF(ISBLANK(#REF!),0,1)</f>
        <v>1</v>
      </c>
      <c r="Q18" s="131" t="s">
        <v>3345</v>
      </c>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row>
    <row r="19" spans="1:53" ht="16">
      <c r="A19" s="1065"/>
      <c r="B19" s="1167"/>
      <c r="C19" s="1681" t="s">
        <v>3346</v>
      </c>
      <c r="D19" s="1676"/>
      <c r="E19" s="1179"/>
      <c r="F19" s="1179"/>
      <c r="G19" s="1179"/>
      <c r="H19" s="1179"/>
      <c r="I19" s="1167"/>
      <c r="P19" s="611">
        <f>IF(ISBLANK(F10),0,1)</f>
        <v>0</v>
      </c>
      <c r="Q19" s="131" t="s">
        <v>3347</v>
      </c>
      <c r="Z19" s="131"/>
      <c r="AA19" s="131"/>
      <c r="AB19" s="131"/>
      <c r="AC19" s="131"/>
      <c r="AD19" s="131"/>
      <c r="AE19" s="131"/>
      <c r="AF19" s="131"/>
      <c r="AG19" s="131"/>
      <c r="AH19" s="131"/>
      <c r="AI19" s="3"/>
      <c r="AJ19" s="3"/>
      <c r="AK19" s="3"/>
      <c r="AL19" s="3"/>
      <c r="AM19" s="3"/>
      <c r="AN19" s="3"/>
      <c r="AO19" s="3"/>
      <c r="AP19" s="3"/>
      <c r="AQ19" s="3"/>
      <c r="AR19" s="3"/>
      <c r="AS19" s="3"/>
      <c r="AT19" s="3"/>
      <c r="AU19" s="3"/>
      <c r="AV19" s="3"/>
      <c r="AW19" s="3"/>
      <c r="AX19" s="3"/>
      <c r="AY19" s="3"/>
      <c r="AZ19" s="3"/>
      <c r="BA19" s="3"/>
    </row>
    <row r="20" spans="1:53" ht="16">
      <c r="A20" s="1065"/>
      <c r="B20" s="1167"/>
      <c r="C20" s="1681" t="s">
        <v>3348</v>
      </c>
      <c r="D20" s="967"/>
      <c r="E20" s="1681" t="s">
        <v>3349</v>
      </c>
      <c r="F20" s="1676"/>
      <c r="G20" s="1681" t="s">
        <v>3350</v>
      </c>
      <c r="H20" s="1676"/>
      <c r="I20" s="1678"/>
      <c r="P20" s="611">
        <f>IF(ISBLANK(H10),0,1)</f>
        <v>0</v>
      </c>
      <c r="Q20" s="131" t="s">
        <v>3351</v>
      </c>
      <c r="Z20" s="131"/>
      <c r="AA20" s="131"/>
      <c r="AB20" s="131"/>
      <c r="AC20" s="131"/>
      <c r="AD20" s="131"/>
      <c r="AE20" s="131"/>
      <c r="AF20" s="131"/>
      <c r="AG20" s="131"/>
      <c r="AH20" s="131"/>
      <c r="AI20" s="3"/>
      <c r="AJ20" s="3"/>
      <c r="AK20" s="3"/>
      <c r="AL20" s="3"/>
      <c r="AM20" s="3"/>
      <c r="AN20" s="3"/>
      <c r="AO20" s="3"/>
      <c r="AP20" s="3"/>
      <c r="AQ20" s="3"/>
      <c r="AR20" s="3"/>
      <c r="AS20" s="3"/>
      <c r="AT20" s="3"/>
      <c r="AU20" s="3"/>
      <c r="AV20" s="3"/>
      <c r="AW20" s="3"/>
      <c r="AX20" s="3"/>
      <c r="AY20" s="3"/>
      <c r="AZ20" s="3"/>
      <c r="BA20" s="3"/>
    </row>
    <row r="21" spans="1:53" ht="16">
      <c r="A21" s="1065"/>
      <c r="B21" s="1167"/>
      <c r="C21" s="1681" t="s">
        <v>3352</v>
      </c>
      <c r="D21" s="1966"/>
      <c r="E21" s="1967"/>
      <c r="F21" s="1967"/>
      <c r="G21" s="1967"/>
      <c r="H21" s="1968"/>
      <c r="I21" s="1167"/>
      <c r="P21" s="611">
        <f>IF(ISBLANK(D11),0,1)</f>
        <v>0</v>
      </c>
      <c r="Q21" s="131" t="s">
        <v>3353</v>
      </c>
      <c r="Z21" s="131"/>
      <c r="AA21" s="131"/>
      <c r="AB21" s="131"/>
      <c r="AC21" s="131"/>
      <c r="AD21" s="131"/>
      <c r="AE21" s="131"/>
      <c r="AF21" s="131"/>
      <c r="AG21" s="131"/>
      <c r="AH21" s="131"/>
      <c r="AI21" s="3"/>
      <c r="AJ21" s="3"/>
      <c r="AK21" s="3"/>
      <c r="AL21" s="3"/>
      <c r="AM21" s="3"/>
      <c r="AN21" s="3"/>
      <c r="AO21" s="3"/>
      <c r="AP21" s="3"/>
      <c r="AQ21" s="3"/>
      <c r="AR21" s="3"/>
      <c r="AS21" s="3"/>
      <c r="AT21" s="3"/>
      <c r="AU21" s="3"/>
      <c r="AV21" s="3"/>
      <c r="AW21" s="3"/>
      <c r="AX21" s="3"/>
      <c r="AY21" s="3"/>
      <c r="AZ21" s="3"/>
      <c r="BA21" s="3"/>
    </row>
    <row r="22" spans="1:53" ht="16">
      <c r="A22" s="1065"/>
      <c r="B22" s="1167"/>
      <c r="C22" s="1681" t="s">
        <v>3354</v>
      </c>
      <c r="D22" s="1676"/>
      <c r="E22" s="1681" t="str">
        <f>+E12</f>
        <v xml:space="preserve">Zip Code </v>
      </c>
      <c r="F22" s="969"/>
      <c r="G22" s="767"/>
      <c r="H22" s="767"/>
      <c r="I22" s="1167"/>
      <c r="P22" s="611"/>
      <c r="Z22" s="131"/>
      <c r="AA22" s="131"/>
      <c r="AB22" s="131"/>
      <c r="AC22" s="131"/>
      <c r="AD22" s="131"/>
      <c r="AE22" s="131"/>
      <c r="AF22" s="131"/>
      <c r="AG22" s="131"/>
      <c r="AH22" s="131"/>
      <c r="AI22" s="3"/>
      <c r="AJ22" s="3"/>
      <c r="AK22" s="3"/>
      <c r="AL22" s="3"/>
      <c r="AM22" s="3"/>
      <c r="AN22" s="3"/>
      <c r="AO22" s="3"/>
      <c r="AP22" s="3"/>
      <c r="AQ22" s="3"/>
      <c r="AR22" s="3"/>
      <c r="AS22" s="3"/>
      <c r="AT22" s="3"/>
      <c r="AU22" s="3"/>
      <c r="AV22" s="3"/>
      <c r="AW22" s="3"/>
      <c r="AX22" s="3"/>
      <c r="AY22" s="3"/>
      <c r="AZ22" s="3"/>
      <c r="BA22" s="3"/>
    </row>
    <row r="23" spans="1:53" ht="16">
      <c r="A23" s="1065"/>
      <c r="B23" s="1178"/>
      <c r="C23" s="1681" t="s">
        <v>3355</v>
      </c>
      <c r="D23" s="968"/>
      <c r="E23" s="1681" t="s">
        <v>3356</v>
      </c>
      <c r="F23" s="1973"/>
      <c r="G23" s="1974"/>
      <c r="H23" s="1974"/>
      <c r="I23" s="1167"/>
      <c r="P23" s="611">
        <f>IF(ISBLANK(Is_project_in_a_Qualified_Census_Tract?),0,1)</f>
        <v>0</v>
      </c>
      <c r="Q23" s="131" t="s">
        <v>3357</v>
      </c>
      <c r="Z23" s="131"/>
      <c r="AA23" s="131"/>
      <c r="AB23" s="131"/>
      <c r="AC23" s="131"/>
      <c r="AD23" s="131"/>
      <c r="AE23" s="131"/>
      <c r="AF23" s="131"/>
      <c r="AG23" s="131"/>
      <c r="AH23" s="131"/>
      <c r="AI23" s="3"/>
      <c r="AJ23" s="3"/>
      <c r="AK23" s="3"/>
      <c r="AL23" s="3"/>
      <c r="AM23" s="3"/>
      <c r="AN23" s="3"/>
      <c r="AO23" s="3"/>
      <c r="AP23" s="3"/>
      <c r="AQ23" s="3"/>
      <c r="AR23" s="3"/>
      <c r="AS23" s="3"/>
      <c r="AT23" s="3"/>
      <c r="AU23" s="3"/>
      <c r="AV23" s="3"/>
      <c r="AW23" s="3"/>
      <c r="AX23" s="3"/>
      <c r="AY23" s="3"/>
      <c r="AZ23" s="3"/>
      <c r="BA23" s="3"/>
    </row>
    <row r="24" spans="1:53" ht="16">
      <c r="A24" s="1065"/>
      <c r="B24" s="1178"/>
      <c r="C24" s="1681"/>
      <c r="D24" s="1681"/>
      <c r="E24" s="1681"/>
      <c r="F24" s="1681"/>
      <c r="G24" s="1681"/>
      <c r="H24" s="1681"/>
      <c r="I24" s="1167"/>
      <c r="P24" s="611"/>
      <c r="Z24" s="131"/>
      <c r="AA24" s="131"/>
      <c r="AB24" s="131"/>
      <c r="AC24" s="131"/>
      <c r="AD24" s="131"/>
      <c r="AE24" s="131"/>
      <c r="AF24" s="131"/>
      <c r="AG24" s="131"/>
      <c r="AH24" s="131"/>
      <c r="AI24" s="3"/>
      <c r="AJ24" s="3"/>
      <c r="AK24" s="3"/>
      <c r="AL24" s="3"/>
      <c r="AM24" s="3"/>
      <c r="AN24" s="3"/>
      <c r="AO24" s="3"/>
      <c r="AP24" s="3"/>
      <c r="AQ24" s="3"/>
      <c r="AR24" s="3"/>
      <c r="AS24" s="3"/>
      <c r="AT24" s="3"/>
      <c r="AU24" s="3"/>
      <c r="AV24" s="3"/>
      <c r="AW24" s="3"/>
      <c r="AX24" s="3"/>
      <c r="AY24" s="3"/>
      <c r="AZ24" s="3"/>
      <c r="BA24" s="3"/>
    </row>
    <row r="25" spans="1:53" ht="16">
      <c r="A25" s="1065"/>
      <c r="B25" s="1178"/>
      <c r="C25" s="1681" t="s">
        <v>3358</v>
      </c>
      <c r="D25" s="1676"/>
      <c r="E25" s="1683"/>
      <c r="F25" s="1167"/>
      <c r="G25" s="1167"/>
      <c r="H25" s="1167"/>
      <c r="I25" s="1167"/>
      <c r="P25" s="611">
        <f>IF(ISBLANK(D16),0,1)</f>
        <v>0</v>
      </c>
      <c r="Q25" s="131" t="s">
        <v>3359</v>
      </c>
      <c r="Z25" s="131"/>
      <c r="AA25" s="131"/>
      <c r="AB25" s="131"/>
      <c r="AC25" s="131"/>
      <c r="AD25" s="131"/>
      <c r="AE25" s="131"/>
      <c r="AF25" s="131"/>
      <c r="AG25" s="131"/>
      <c r="AH25" s="131"/>
      <c r="AI25" s="3"/>
      <c r="AJ25" s="3"/>
      <c r="AK25" s="3"/>
      <c r="AL25" s="3"/>
      <c r="AM25" s="3"/>
      <c r="AN25" s="3"/>
      <c r="AO25" s="3"/>
      <c r="AP25" s="3"/>
      <c r="AQ25" s="3"/>
      <c r="AR25" s="3"/>
      <c r="AS25" s="3"/>
      <c r="AT25" s="3"/>
      <c r="AU25" s="3"/>
      <c r="AV25" s="3"/>
      <c r="AW25" s="3"/>
      <c r="AX25" s="3"/>
      <c r="AY25" s="3"/>
      <c r="AZ25" s="3"/>
      <c r="BA25" s="3"/>
    </row>
    <row r="26" spans="1:53" ht="16">
      <c r="A26" s="1065"/>
      <c r="B26" s="1178"/>
      <c r="C26" s="1681" t="s">
        <v>3360</v>
      </c>
      <c r="D26" s="737" t="str">
        <f>IF(D25&lt;&gt;"",VLOOKUP(D25,'Dropdown Lists'!AD2:AE100,2,FALSE),"")</f>
        <v/>
      </c>
      <c r="E26" s="1681"/>
      <c r="F26" s="1167"/>
      <c r="G26" s="1167"/>
      <c r="H26" s="1167"/>
      <c r="I26" s="1167"/>
      <c r="P26" s="611">
        <f>IF(ISBLANK(D13),0,1)</f>
        <v>0</v>
      </c>
      <c r="Q26" s="131" t="s">
        <v>3361</v>
      </c>
      <c r="Z26" s="131"/>
      <c r="AA26" s="131"/>
      <c r="AB26" s="131"/>
      <c r="AC26" s="131"/>
      <c r="AD26" s="131"/>
      <c r="AE26" s="131"/>
      <c r="AF26" s="131"/>
      <c r="AG26" s="131"/>
      <c r="AH26" s="131"/>
      <c r="AI26" s="3"/>
      <c r="AJ26" s="3"/>
      <c r="AK26" s="3"/>
      <c r="AL26" s="3"/>
      <c r="AM26" s="3"/>
      <c r="AN26" s="3"/>
      <c r="AO26" s="3"/>
      <c r="AP26" s="3"/>
      <c r="AQ26" s="3"/>
      <c r="AR26" s="3"/>
      <c r="AS26" s="3"/>
      <c r="AT26" s="3"/>
      <c r="AU26" s="3"/>
      <c r="AV26" s="3"/>
      <c r="AW26" s="3"/>
      <c r="AX26" s="3"/>
      <c r="AY26" s="3"/>
      <c r="AZ26" s="3"/>
      <c r="BA26" s="3"/>
    </row>
    <row r="27" spans="1:53" ht="16">
      <c r="A27" s="1065"/>
      <c r="B27" s="1178"/>
      <c r="C27" s="1681" t="s">
        <v>3362</v>
      </c>
      <c r="D27" s="1676"/>
      <c r="E27" s="1681"/>
      <c r="F27" s="1167"/>
      <c r="G27" s="1167"/>
      <c r="H27" s="1167"/>
      <c r="I27" s="1167"/>
      <c r="P27" s="611"/>
      <c r="Z27" s="131"/>
      <c r="AA27" s="131"/>
      <c r="AB27" s="131"/>
      <c r="AC27" s="131"/>
      <c r="AD27" s="131"/>
      <c r="AE27" s="131"/>
      <c r="AF27" s="131"/>
      <c r="AG27" s="131"/>
      <c r="AH27" s="131"/>
      <c r="AI27" s="3"/>
      <c r="AJ27" s="3"/>
      <c r="AK27" s="3"/>
      <c r="AL27" s="3"/>
      <c r="AM27" s="3"/>
      <c r="AN27" s="3"/>
      <c r="AO27" s="3"/>
      <c r="AP27" s="3"/>
      <c r="AQ27" s="3"/>
      <c r="AR27" s="3"/>
      <c r="AS27" s="3"/>
      <c r="AT27" s="3"/>
      <c r="AU27" s="3"/>
      <c r="AV27" s="3"/>
      <c r="AW27" s="3"/>
      <c r="AX27" s="3"/>
      <c r="AY27" s="3"/>
      <c r="AZ27" s="3"/>
      <c r="BA27" s="3"/>
    </row>
    <row r="28" spans="1:53">
      <c r="A28" s="1065"/>
      <c r="B28" s="1178"/>
      <c r="C28" s="1167"/>
      <c r="D28" s="1167"/>
      <c r="E28" s="1167"/>
      <c r="F28" s="1167"/>
      <c r="G28" s="1167"/>
      <c r="H28" s="1167"/>
      <c r="I28" s="1167"/>
      <c r="P28" s="611">
        <f>IF(ISBLANK(D19),0,1)</f>
        <v>0</v>
      </c>
      <c r="Q28" s="131" t="s">
        <v>3363</v>
      </c>
      <c r="Z28" s="131"/>
      <c r="AA28" s="131"/>
      <c r="AB28" s="131"/>
      <c r="AC28" s="131"/>
      <c r="AD28" s="131"/>
      <c r="AE28" s="131"/>
      <c r="AF28" s="131"/>
      <c r="AG28" s="131"/>
      <c r="AH28" s="131"/>
      <c r="AI28" s="3"/>
      <c r="AJ28" s="3"/>
      <c r="AK28" s="3"/>
      <c r="AL28" s="3"/>
      <c r="AM28" s="3"/>
      <c r="AN28" s="3"/>
      <c r="AO28" s="3"/>
      <c r="AP28" s="3"/>
      <c r="AQ28" s="3"/>
      <c r="AR28" s="3"/>
      <c r="AS28" s="3"/>
      <c r="AT28" s="3"/>
      <c r="AU28" s="3"/>
      <c r="AV28" s="3"/>
      <c r="AW28" s="3"/>
      <c r="AX28" s="3"/>
      <c r="AY28" s="3"/>
      <c r="AZ28" s="3"/>
      <c r="BA28" s="3"/>
    </row>
    <row r="29" spans="1:53" ht="19">
      <c r="A29" s="1065"/>
      <c r="B29" s="8" t="s">
        <v>3364</v>
      </c>
      <c r="E29" s="1109"/>
      <c r="F29" s="1109"/>
      <c r="G29" s="1109"/>
      <c r="P29" s="611">
        <f>IF(ISBLANK(F20),0,1)</f>
        <v>0</v>
      </c>
      <c r="Q29" s="131" t="s">
        <v>3365</v>
      </c>
      <c r="Z29" s="131"/>
      <c r="AA29" s="131"/>
      <c r="AB29" s="131"/>
      <c r="AC29" s="131"/>
      <c r="AD29" s="131"/>
      <c r="AE29" s="131"/>
      <c r="AF29" s="131"/>
      <c r="AG29" s="131"/>
      <c r="AH29" s="131"/>
      <c r="AI29" s="3"/>
      <c r="AJ29" s="3"/>
      <c r="AK29" s="3"/>
      <c r="AL29" s="3"/>
      <c r="AM29" s="3"/>
      <c r="AN29" s="3"/>
      <c r="AO29" s="3"/>
      <c r="AP29" s="3"/>
      <c r="AQ29" s="3"/>
      <c r="AR29" s="3"/>
      <c r="AS29" s="3"/>
      <c r="AT29" s="3"/>
      <c r="AU29" s="3"/>
      <c r="AV29" s="3"/>
      <c r="AW29" s="3"/>
      <c r="AX29" s="3"/>
      <c r="AY29" s="3"/>
      <c r="AZ29" s="3"/>
      <c r="BA29" s="3"/>
    </row>
    <row r="30" spans="1:53">
      <c r="A30" s="1065"/>
      <c r="B30" s="1167"/>
      <c r="C30" s="1167"/>
      <c r="D30" s="1167"/>
      <c r="E30" s="1167"/>
      <c r="F30" s="1167"/>
      <c r="G30" s="1167"/>
      <c r="H30" s="1167"/>
      <c r="I30" s="1167"/>
      <c r="P30" s="611">
        <f>IF(ISBLANK(H20),0,1)</f>
        <v>0</v>
      </c>
      <c r="Q30" s="131" t="s">
        <v>3366</v>
      </c>
      <c r="Z30" s="131"/>
      <c r="AA30" s="131"/>
      <c r="AB30" s="131"/>
      <c r="AC30" s="131"/>
      <c r="AD30" s="131"/>
      <c r="AE30" s="131"/>
      <c r="AF30" s="131"/>
      <c r="AG30" s="131"/>
      <c r="AH30" s="131"/>
      <c r="AI30" s="3"/>
      <c r="AJ30" s="3"/>
      <c r="AK30" s="3"/>
      <c r="AL30" s="3"/>
      <c r="AM30" s="3"/>
      <c r="AN30" s="3"/>
      <c r="AO30" s="3"/>
      <c r="AP30" s="3"/>
      <c r="AQ30" s="3"/>
      <c r="AR30" s="3"/>
      <c r="AS30" s="3"/>
      <c r="AT30" s="3"/>
      <c r="AU30" s="3"/>
      <c r="AV30" s="3"/>
      <c r="AW30" s="3"/>
      <c r="AX30" s="3"/>
      <c r="AY30" s="3"/>
      <c r="AZ30" s="3"/>
      <c r="BA30" s="3"/>
    </row>
    <row r="31" spans="1:53">
      <c r="A31" s="1065"/>
      <c r="B31" s="1167"/>
      <c r="C31" s="1957"/>
      <c r="D31" s="1958"/>
      <c r="E31" s="1958"/>
      <c r="F31" s="1958"/>
      <c r="G31" s="1958"/>
      <c r="H31" s="1959"/>
      <c r="I31" s="1167"/>
      <c r="P31" s="611">
        <f>IF(ISBLANK(D21),0,1)</f>
        <v>0</v>
      </c>
      <c r="Q31" s="131" t="s">
        <v>3367</v>
      </c>
      <c r="Z31" s="131"/>
      <c r="AA31" s="131"/>
      <c r="AB31" s="131"/>
      <c r="AC31" s="131"/>
      <c r="AD31" s="131"/>
      <c r="AE31" s="131"/>
      <c r="AF31" s="131"/>
      <c r="AG31" s="131"/>
      <c r="AH31" s="131"/>
      <c r="AI31" s="3"/>
      <c r="AJ31" s="3"/>
      <c r="AK31" s="3"/>
      <c r="AL31" s="3"/>
      <c r="AM31" s="3"/>
      <c r="AN31" s="3"/>
      <c r="AO31" s="3"/>
      <c r="AP31" s="3"/>
      <c r="AQ31" s="3"/>
      <c r="AR31" s="3"/>
      <c r="AS31" s="3"/>
      <c r="AT31" s="3"/>
      <c r="AU31" s="3"/>
      <c r="AV31" s="3"/>
      <c r="AW31" s="3"/>
      <c r="AX31" s="3"/>
      <c r="AY31" s="3"/>
      <c r="AZ31" s="3"/>
      <c r="BA31" s="3"/>
    </row>
    <row r="32" spans="1:53">
      <c r="A32" s="1065"/>
      <c r="B32" s="1167"/>
      <c r="C32" s="1960"/>
      <c r="D32" s="1961"/>
      <c r="E32" s="1961"/>
      <c r="F32" s="1961"/>
      <c r="G32" s="1961"/>
      <c r="H32" s="1962"/>
      <c r="I32" s="1167"/>
      <c r="P32" s="611">
        <f>IF(ISBLANK(D19),0,1)</f>
        <v>0</v>
      </c>
      <c r="Q32" s="131" t="s">
        <v>3345</v>
      </c>
      <c r="Z32" s="131"/>
      <c r="AA32" s="131"/>
      <c r="AB32" s="131"/>
      <c r="AC32" s="131"/>
      <c r="AD32" s="131"/>
      <c r="AE32" s="131"/>
      <c r="AF32" s="131"/>
      <c r="AG32" s="131"/>
      <c r="AH32" s="131"/>
      <c r="AI32" s="3"/>
      <c r="AJ32" s="3"/>
      <c r="AK32" s="3"/>
      <c r="AL32" s="3"/>
      <c r="AM32" s="3"/>
      <c r="AN32" s="3"/>
      <c r="AO32" s="3"/>
      <c r="AP32" s="3"/>
      <c r="AQ32" s="3"/>
      <c r="AR32" s="3"/>
      <c r="AS32" s="3"/>
      <c r="AT32" s="3"/>
      <c r="AU32" s="3"/>
      <c r="AV32" s="3"/>
      <c r="AW32" s="3"/>
      <c r="AX32" s="3"/>
      <c r="AY32" s="3"/>
      <c r="AZ32" s="3"/>
      <c r="BA32" s="3"/>
    </row>
    <row r="33" spans="1:53">
      <c r="A33" s="1065"/>
      <c r="B33" s="1167"/>
      <c r="C33" s="1960"/>
      <c r="D33" s="1961"/>
      <c r="E33" s="1961"/>
      <c r="F33" s="1961"/>
      <c r="G33" s="1961"/>
      <c r="H33" s="1962"/>
      <c r="I33" s="1167"/>
      <c r="P33" s="611">
        <f>IF(ISBLANK(F22),0,1)</f>
        <v>0</v>
      </c>
      <c r="Q33" s="131" t="s">
        <v>3351</v>
      </c>
      <c r="Z33" s="131"/>
      <c r="AA33" s="131"/>
      <c r="AB33" s="131"/>
      <c r="AC33" s="131"/>
      <c r="AD33" s="131"/>
      <c r="AE33" s="131"/>
      <c r="AF33" s="131"/>
      <c r="AG33" s="131"/>
      <c r="AH33" s="131"/>
      <c r="AI33" s="3"/>
      <c r="AJ33" s="3"/>
      <c r="AK33" s="3"/>
      <c r="AL33" s="3"/>
      <c r="AM33" s="3"/>
      <c r="AN33" s="3"/>
      <c r="AO33" s="3"/>
      <c r="AP33" s="3"/>
      <c r="AQ33" s="3"/>
      <c r="AR33" s="3"/>
      <c r="AS33" s="3"/>
      <c r="AT33" s="3"/>
      <c r="AU33" s="3"/>
      <c r="AV33" s="3"/>
      <c r="AW33" s="3"/>
      <c r="AX33" s="3"/>
      <c r="AY33" s="3"/>
      <c r="AZ33" s="3"/>
      <c r="BA33" s="3"/>
    </row>
    <row r="34" spans="1:53">
      <c r="A34" s="1065"/>
      <c r="B34" s="1167"/>
      <c r="C34" s="1960"/>
      <c r="D34" s="1961"/>
      <c r="E34" s="1961"/>
      <c r="F34" s="1961"/>
      <c r="G34" s="1961"/>
      <c r="H34" s="1962"/>
      <c r="I34" s="1167"/>
      <c r="P34" s="611">
        <f>IF(ISBLANK(D23),0,1)</f>
        <v>0</v>
      </c>
      <c r="Q34" s="131" t="s">
        <v>3368</v>
      </c>
      <c r="Z34" s="131"/>
      <c r="AA34" s="131"/>
      <c r="AB34" s="131"/>
      <c r="AC34" s="131"/>
      <c r="AD34" s="131"/>
      <c r="AE34" s="131"/>
      <c r="AF34" s="131"/>
      <c r="AG34" s="131"/>
      <c r="AH34" s="131"/>
      <c r="AI34" s="3"/>
      <c r="AJ34" s="3"/>
      <c r="AK34" s="3"/>
      <c r="AL34" s="3"/>
      <c r="AM34" s="3"/>
      <c r="AN34" s="3"/>
      <c r="AO34" s="3"/>
      <c r="AP34" s="3"/>
      <c r="AQ34" s="3"/>
      <c r="AR34" s="3"/>
      <c r="AS34" s="3"/>
      <c r="AT34" s="3"/>
      <c r="AU34" s="3"/>
      <c r="AV34" s="3"/>
      <c r="AW34" s="3"/>
      <c r="AX34" s="3"/>
      <c r="AY34" s="3"/>
      <c r="AZ34" s="3"/>
      <c r="BA34" s="3"/>
    </row>
    <row r="35" spans="1:53">
      <c r="A35" s="1065"/>
      <c r="B35" s="1167"/>
      <c r="C35" s="1960"/>
      <c r="D35" s="1961"/>
      <c r="E35" s="1961"/>
      <c r="F35" s="1961"/>
      <c r="G35" s="1961"/>
      <c r="H35" s="1962"/>
      <c r="I35" s="1167"/>
      <c r="P35" s="611">
        <f>IF(ISBLANK(F23),0,1)</f>
        <v>0</v>
      </c>
      <c r="Q35" s="131" t="s">
        <v>3369</v>
      </c>
      <c r="Z35" s="131"/>
      <c r="AA35" s="131"/>
      <c r="AB35" s="131"/>
      <c r="AC35" s="131"/>
      <c r="AD35" s="131"/>
      <c r="AE35" s="131"/>
      <c r="AF35" s="131"/>
      <c r="AG35" s="131"/>
      <c r="AH35" s="131"/>
      <c r="AI35" s="3"/>
      <c r="AJ35" s="3"/>
      <c r="AK35" s="3"/>
      <c r="AL35" s="3"/>
      <c r="AM35" s="3"/>
      <c r="AN35" s="3"/>
      <c r="AO35" s="3"/>
      <c r="AP35" s="3"/>
      <c r="AQ35" s="3"/>
      <c r="AR35" s="3"/>
      <c r="AS35" s="3"/>
      <c r="AT35" s="3"/>
      <c r="AU35" s="3"/>
      <c r="AV35" s="3"/>
      <c r="AW35" s="3"/>
      <c r="AX35" s="3"/>
      <c r="AY35" s="3"/>
      <c r="AZ35" s="3"/>
      <c r="BA35" s="3"/>
    </row>
    <row r="36" spans="1:53">
      <c r="A36" s="1065"/>
      <c r="B36" s="1167"/>
      <c r="C36" s="1960"/>
      <c r="D36" s="1961"/>
      <c r="E36" s="1961"/>
      <c r="F36" s="1961"/>
      <c r="G36" s="1961"/>
      <c r="H36" s="1962"/>
      <c r="I36" s="1167"/>
      <c r="P36" s="131">
        <f>SUM(P18:P35)</f>
        <v>1</v>
      </c>
      <c r="Q36" s="131" t="s">
        <v>3370</v>
      </c>
      <c r="Z36" s="131"/>
      <c r="AA36" s="131"/>
      <c r="AB36" s="131"/>
      <c r="AC36" s="131"/>
      <c r="AD36" s="131"/>
      <c r="AE36" s="131"/>
      <c r="AF36" s="131"/>
      <c r="AG36" s="131"/>
      <c r="AH36" s="131"/>
      <c r="AI36" s="3"/>
      <c r="AJ36" s="3"/>
      <c r="AK36" s="3"/>
      <c r="AL36" s="3"/>
      <c r="AM36" s="3"/>
      <c r="AN36" s="3"/>
      <c r="AO36" s="3"/>
      <c r="AP36" s="3"/>
      <c r="AQ36" s="3"/>
      <c r="AR36" s="3"/>
      <c r="AS36" s="3"/>
      <c r="AT36" s="3"/>
      <c r="AU36" s="3"/>
      <c r="AV36" s="3"/>
      <c r="AW36" s="3"/>
      <c r="AX36" s="3"/>
      <c r="AY36" s="3"/>
      <c r="AZ36" s="3"/>
      <c r="BA36" s="3"/>
    </row>
    <row r="37" spans="1:53">
      <c r="A37" s="1065"/>
      <c r="B37" s="1167"/>
      <c r="C37" s="1960"/>
      <c r="D37" s="1961"/>
      <c r="E37" s="1961"/>
      <c r="F37" s="1961"/>
      <c r="G37" s="1961"/>
      <c r="H37" s="1962"/>
      <c r="I37" s="1167"/>
      <c r="P37" s="404"/>
      <c r="Z37" s="131"/>
      <c r="AA37" s="131"/>
      <c r="AB37" s="131"/>
      <c r="AC37" s="131"/>
      <c r="AD37" s="131"/>
      <c r="AE37" s="131"/>
      <c r="AF37" s="131"/>
      <c r="AG37" s="131"/>
      <c r="AH37" s="131"/>
      <c r="AI37" s="3"/>
      <c r="AJ37" s="3"/>
      <c r="AK37" s="3"/>
      <c r="AL37" s="3"/>
      <c r="AM37" s="3"/>
      <c r="AN37" s="3"/>
      <c r="AO37" s="3"/>
      <c r="AP37" s="3"/>
      <c r="AQ37" s="3"/>
      <c r="AR37" s="3"/>
      <c r="AS37" s="3"/>
      <c r="AT37" s="3"/>
      <c r="AU37" s="3"/>
      <c r="AV37" s="3"/>
      <c r="AW37" s="3"/>
      <c r="AX37" s="3"/>
      <c r="AY37" s="3"/>
      <c r="AZ37" s="3"/>
      <c r="BA37" s="3"/>
    </row>
    <row r="38" spans="1:53">
      <c r="A38" s="1065"/>
      <c r="B38" s="1167"/>
      <c r="C38" s="1963"/>
      <c r="D38" s="1964"/>
      <c r="E38" s="1964"/>
      <c r="F38" s="1964"/>
      <c r="G38" s="1964"/>
      <c r="H38" s="1965"/>
      <c r="I38" s="1167"/>
      <c r="Z38" s="131"/>
      <c r="AA38" s="131"/>
      <c r="AB38" s="131"/>
      <c r="AC38" s="131"/>
      <c r="AD38" s="131"/>
      <c r="AE38" s="131"/>
      <c r="AF38" s="131"/>
      <c r="AG38" s="131"/>
      <c r="AH38" s="131"/>
      <c r="AI38" s="3"/>
      <c r="AJ38" s="3"/>
      <c r="AK38" s="3"/>
      <c r="AL38" s="3"/>
      <c r="AM38" s="3"/>
      <c r="AN38" s="3"/>
      <c r="AO38" s="3"/>
      <c r="AP38" s="3"/>
      <c r="AQ38" s="3"/>
      <c r="AR38" s="3"/>
      <c r="AS38" s="3"/>
      <c r="AT38" s="3"/>
      <c r="AU38" s="3"/>
      <c r="AV38" s="3"/>
      <c r="AW38" s="3"/>
      <c r="AX38" s="3"/>
      <c r="AY38" s="3"/>
      <c r="AZ38" s="3"/>
      <c r="BA38" s="3"/>
    </row>
    <row r="39" spans="1:53">
      <c r="A39" s="1065"/>
      <c r="B39" s="1167"/>
      <c r="C39" s="1167"/>
      <c r="D39" s="1167"/>
      <c r="E39" s="1167"/>
      <c r="F39" s="1167"/>
      <c r="G39" s="1167"/>
      <c r="H39" s="1167"/>
      <c r="I39" s="1167"/>
      <c r="K39" s="404"/>
      <c r="L39" s="404"/>
      <c r="M39" s="404"/>
      <c r="N39" s="404"/>
      <c r="O39" s="404"/>
      <c r="Z39" s="131"/>
      <c r="AA39" s="131"/>
      <c r="AB39" s="131"/>
      <c r="AC39" s="131"/>
      <c r="AD39" s="131"/>
      <c r="AE39" s="131"/>
      <c r="AF39" s="131"/>
      <c r="AG39" s="131"/>
      <c r="AH39" s="131"/>
      <c r="AI39" s="3"/>
      <c r="AJ39" s="3"/>
      <c r="AK39" s="3"/>
      <c r="AL39" s="3"/>
      <c r="AM39" s="3"/>
      <c r="AN39" s="3"/>
      <c r="AO39" s="3"/>
      <c r="AP39" s="3"/>
      <c r="AQ39" s="3"/>
      <c r="AR39" s="3"/>
      <c r="AS39" s="3"/>
      <c r="AT39" s="3"/>
      <c r="AU39" s="3"/>
      <c r="AV39" s="3"/>
      <c r="AW39" s="3"/>
      <c r="AX39" s="3"/>
      <c r="AY39" s="3"/>
      <c r="AZ39" s="3"/>
      <c r="BA39" s="3"/>
    </row>
    <row r="40" spans="1:53">
      <c r="A40" s="1065"/>
      <c r="Z40" s="131"/>
      <c r="AA40" s="131"/>
      <c r="AB40" s="131"/>
      <c r="AC40" s="131"/>
      <c r="AD40" s="131"/>
      <c r="AE40" s="131"/>
      <c r="AF40" s="131"/>
      <c r="AG40" s="131"/>
      <c r="AH40" s="131"/>
      <c r="AI40" s="3"/>
      <c r="AJ40" s="3"/>
      <c r="AK40" s="3"/>
      <c r="AL40" s="3"/>
      <c r="AM40" s="3"/>
      <c r="AN40" s="3"/>
      <c r="AO40" s="3"/>
      <c r="AP40" s="3"/>
      <c r="AQ40" s="3"/>
      <c r="AR40" s="3"/>
      <c r="AS40" s="3"/>
      <c r="AT40" s="3"/>
      <c r="AU40" s="3"/>
      <c r="AV40" s="3"/>
      <c r="AW40" s="3"/>
      <c r="AX40" s="3"/>
      <c r="AY40" s="3"/>
      <c r="AZ40" s="3"/>
      <c r="BA40" s="3"/>
    </row>
    <row r="41" spans="1:53">
      <c r="A41" s="1067"/>
      <c r="Z41" s="131"/>
      <c r="AA41" s="131"/>
      <c r="AB41" s="131"/>
      <c r="AC41" s="131"/>
      <c r="AD41" s="131"/>
      <c r="AE41" s="131"/>
      <c r="AF41" s="131"/>
      <c r="AG41" s="131"/>
      <c r="AH41" s="131"/>
      <c r="AI41" s="3"/>
      <c r="AJ41" s="3"/>
      <c r="AK41" s="3"/>
      <c r="AL41" s="3"/>
      <c r="AM41" s="3"/>
      <c r="AN41" s="3"/>
      <c r="AO41" s="3"/>
      <c r="AP41" s="3"/>
      <c r="AQ41" s="3"/>
      <c r="AR41" s="3"/>
      <c r="AS41" s="3"/>
      <c r="AT41" s="3"/>
      <c r="AU41" s="3"/>
      <c r="AV41" s="3"/>
      <c r="AW41" s="3"/>
      <c r="AX41" s="3"/>
      <c r="AY41" s="3"/>
      <c r="AZ41" s="3"/>
      <c r="BA41" s="3"/>
    </row>
    <row r="42" spans="1:53">
      <c r="A42" s="1067"/>
      <c r="Z42" s="131"/>
      <c r="AA42" s="131"/>
      <c r="AB42" s="131"/>
      <c r="AC42" s="131"/>
      <c r="AD42" s="131"/>
      <c r="AE42" s="131"/>
      <c r="AF42" s="131"/>
      <c r="AG42" s="131"/>
      <c r="AH42" s="131"/>
      <c r="AI42" s="3"/>
      <c r="AJ42" s="3"/>
      <c r="AK42" s="3"/>
      <c r="AL42" s="3"/>
      <c r="AM42" s="3"/>
      <c r="AN42" s="3"/>
      <c r="AO42" s="3"/>
      <c r="AP42" s="3"/>
      <c r="AQ42" s="3"/>
      <c r="AR42" s="3"/>
      <c r="AS42" s="3"/>
      <c r="AT42" s="3"/>
      <c r="AU42" s="3"/>
      <c r="AV42" s="3"/>
      <c r="AW42" s="3"/>
      <c r="AX42" s="3"/>
      <c r="AY42" s="3"/>
      <c r="AZ42" s="3"/>
      <c r="BA42" s="3"/>
    </row>
    <row r="43" spans="1:53">
      <c r="A43" s="1067"/>
      <c r="B43" s="16" t="s">
        <v>3371</v>
      </c>
      <c r="C43" s="7"/>
      <c r="D43" s="7"/>
      <c r="E43" s="7"/>
      <c r="F43" s="7"/>
      <c r="G43" s="7"/>
      <c r="H43" s="7"/>
      <c r="I43" s="7"/>
      <c r="Z43" s="131"/>
      <c r="AA43" s="131"/>
      <c r="AB43" s="131"/>
      <c r="AC43" s="131"/>
      <c r="AD43" s="131"/>
      <c r="AE43" s="131"/>
      <c r="AF43" s="131"/>
      <c r="AG43" s="131"/>
      <c r="AH43" s="131"/>
      <c r="AI43" s="3"/>
      <c r="AJ43" s="3"/>
      <c r="AK43" s="3"/>
      <c r="AL43" s="3"/>
      <c r="AM43" s="3"/>
      <c r="AN43" s="3"/>
      <c r="AO43" s="3"/>
      <c r="AP43" s="3"/>
      <c r="AQ43" s="3"/>
      <c r="AR43" s="3"/>
      <c r="AS43" s="3"/>
      <c r="AT43" s="3"/>
      <c r="AU43" s="3"/>
      <c r="AV43" s="3"/>
      <c r="AW43" s="3"/>
      <c r="AX43" s="3"/>
      <c r="AY43" s="3"/>
      <c r="AZ43" s="3"/>
      <c r="BA43" s="3"/>
    </row>
    <row r="44" spans="1:53" ht="19">
      <c r="A44" s="1067"/>
      <c r="B44" s="8" t="s">
        <v>3372</v>
      </c>
      <c r="E44" s="1109"/>
      <c r="F44" s="1109"/>
      <c r="G44" s="1109"/>
      <c r="Z44" s="131"/>
      <c r="AA44" s="131"/>
      <c r="AB44" s="131"/>
      <c r="AC44" s="131"/>
      <c r="AD44" s="131"/>
      <c r="AE44" s="131"/>
      <c r="AF44" s="131"/>
      <c r="AG44" s="131"/>
      <c r="AH44" s="131"/>
      <c r="AI44" s="3"/>
      <c r="AJ44" s="3"/>
      <c r="AK44" s="3"/>
      <c r="AL44" s="3"/>
      <c r="AM44" s="3"/>
      <c r="AN44" s="3"/>
      <c r="AO44" s="3"/>
      <c r="AP44" s="3"/>
      <c r="AQ44" s="3"/>
      <c r="AR44" s="3"/>
      <c r="AS44" s="3"/>
      <c r="AT44" s="3"/>
      <c r="AU44" s="3"/>
      <c r="AV44" s="3"/>
      <c r="AW44" s="3"/>
      <c r="AX44" s="3"/>
      <c r="AY44" s="3"/>
      <c r="AZ44" s="3"/>
      <c r="BA44" s="3"/>
    </row>
    <row r="45" spans="1:53">
      <c r="A45" s="1067"/>
      <c r="B45" s="1167"/>
      <c r="C45" s="1167"/>
      <c r="D45" s="1167"/>
      <c r="E45" s="1167"/>
      <c r="F45" s="1167"/>
      <c r="G45" s="1167"/>
      <c r="H45" s="1167"/>
      <c r="I45" s="1167"/>
      <c r="Z45" s="131"/>
      <c r="AA45" s="131"/>
      <c r="AB45" s="131"/>
      <c r="AC45" s="131"/>
      <c r="AD45" s="131"/>
      <c r="AE45" s="131"/>
      <c r="AF45" s="131"/>
      <c r="AG45" s="131"/>
      <c r="AH45" s="131"/>
      <c r="AI45" s="3"/>
      <c r="AJ45" s="3"/>
      <c r="AK45" s="3"/>
      <c r="AL45" s="3"/>
      <c r="AM45" s="3"/>
      <c r="AN45" s="3"/>
      <c r="AO45" s="3"/>
      <c r="AP45" s="3"/>
      <c r="AQ45" s="3"/>
      <c r="AR45" s="3"/>
      <c r="AS45" s="3"/>
      <c r="AT45" s="3"/>
      <c r="AU45" s="3"/>
      <c r="AV45" s="3"/>
      <c r="AW45" s="3"/>
      <c r="AX45" s="3"/>
      <c r="AY45" s="3"/>
      <c r="AZ45" s="3"/>
      <c r="BA45" s="3"/>
    </row>
    <row r="46" spans="1:53">
      <c r="A46" s="1065"/>
      <c r="B46" s="1167"/>
      <c r="C46" s="1957"/>
      <c r="D46" s="1958"/>
      <c r="E46" s="1958"/>
      <c r="F46" s="1958"/>
      <c r="G46" s="1958"/>
      <c r="H46" s="1959"/>
      <c r="I46" s="1167"/>
      <c r="Z46" s="131"/>
      <c r="AA46" s="131"/>
      <c r="AB46" s="131"/>
      <c r="AC46" s="131"/>
      <c r="AD46" s="131"/>
      <c r="AE46" s="131"/>
      <c r="AF46" s="131"/>
      <c r="AG46" s="131"/>
      <c r="AH46" s="131"/>
      <c r="AI46" s="3"/>
      <c r="AJ46" s="3"/>
      <c r="AK46" s="3"/>
      <c r="AL46" s="3"/>
      <c r="AM46" s="3"/>
      <c r="AN46" s="3"/>
      <c r="AO46" s="3"/>
      <c r="AP46" s="3"/>
      <c r="AQ46" s="3"/>
      <c r="AR46" s="3"/>
      <c r="AS46" s="3"/>
      <c r="AT46" s="3"/>
      <c r="AU46" s="3"/>
      <c r="AV46" s="3"/>
      <c r="AW46" s="3"/>
      <c r="AX46" s="3"/>
      <c r="AY46" s="3"/>
      <c r="AZ46" s="3"/>
      <c r="BA46" s="3"/>
    </row>
    <row r="47" spans="1:53">
      <c r="A47" s="1065"/>
      <c r="B47" s="1167"/>
      <c r="C47" s="1960"/>
      <c r="D47" s="1961"/>
      <c r="E47" s="1961"/>
      <c r="F47" s="1961"/>
      <c r="G47" s="1961"/>
      <c r="H47" s="1962"/>
      <c r="I47" s="1167"/>
      <c r="Z47" s="131"/>
      <c r="AA47" s="131"/>
      <c r="AB47" s="131"/>
      <c r="AC47" s="131"/>
      <c r="AD47" s="131"/>
      <c r="AE47" s="131"/>
      <c r="AF47" s="131"/>
      <c r="AG47" s="131"/>
      <c r="AH47" s="131"/>
      <c r="AI47" s="3"/>
      <c r="AJ47" s="3"/>
      <c r="AK47" s="3"/>
      <c r="AL47" s="3"/>
      <c r="AM47" s="3"/>
      <c r="AN47" s="3"/>
      <c r="AO47" s="3"/>
      <c r="AP47" s="3"/>
      <c r="AQ47" s="3"/>
      <c r="AR47" s="3"/>
      <c r="AS47" s="3"/>
      <c r="AT47" s="3"/>
      <c r="AU47" s="3"/>
      <c r="AV47" s="3"/>
      <c r="AW47" s="3"/>
      <c r="AX47" s="3"/>
      <c r="AY47" s="3"/>
      <c r="AZ47" s="3"/>
      <c r="BA47" s="3"/>
    </row>
    <row r="48" spans="1:53">
      <c r="A48" s="1065"/>
      <c r="B48" s="1167"/>
      <c r="C48" s="1960"/>
      <c r="D48" s="1961"/>
      <c r="E48" s="1961"/>
      <c r="F48" s="1961"/>
      <c r="G48" s="1961"/>
      <c r="H48" s="1962"/>
      <c r="I48" s="1167"/>
      <c r="Z48" s="131"/>
      <c r="AA48" s="131"/>
      <c r="AB48" s="131"/>
      <c r="AC48" s="131"/>
      <c r="AD48" s="131"/>
      <c r="AE48" s="131"/>
      <c r="AF48" s="131"/>
      <c r="AG48" s="131"/>
      <c r="AH48" s="131"/>
      <c r="AI48" s="3"/>
      <c r="AJ48" s="3"/>
      <c r="AK48" s="3"/>
      <c r="AL48" s="3"/>
      <c r="AM48" s="3"/>
      <c r="AN48" s="3"/>
      <c r="AO48" s="3"/>
      <c r="AP48" s="3"/>
      <c r="AQ48" s="3"/>
      <c r="AR48" s="3"/>
      <c r="AS48" s="3"/>
      <c r="AT48" s="3"/>
      <c r="AU48" s="3"/>
      <c r="AV48" s="3"/>
      <c r="AW48" s="3"/>
      <c r="AX48" s="3"/>
      <c r="AY48" s="3"/>
      <c r="AZ48" s="3"/>
      <c r="BA48" s="3"/>
    </row>
    <row r="49" spans="1:53">
      <c r="A49" s="1065"/>
      <c r="B49" s="1167"/>
      <c r="C49" s="1963"/>
      <c r="D49" s="1964"/>
      <c r="E49" s="1964"/>
      <c r="F49" s="1964"/>
      <c r="G49" s="1964"/>
      <c r="H49" s="1965"/>
      <c r="I49" s="1167"/>
      <c r="Z49" s="131"/>
      <c r="AA49" s="131"/>
      <c r="AB49" s="131"/>
      <c r="AC49" s="131"/>
      <c r="AD49" s="131"/>
      <c r="AE49" s="131"/>
      <c r="AF49" s="131"/>
      <c r="AG49" s="131"/>
      <c r="AH49" s="131"/>
      <c r="AI49" s="3"/>
      <c r="AJ49" s="3"/>
      <c r="AK49" s="3"/>
      <c r="AL49" s="3"/>
      <c r="AM49" s="3"/>
      <c r="AN49" s="3"/>
      <c r="AO49" s="3"/>
      <c r="AP49" s="3"/>
      <c r="AQ49" s="3"/>
      <c r="AR49" s="3"/>
      <c r="AS49" s="3"/>
      <c r="AT49" s="3"/>
      <c r="AU49" s="3"/>
      <c r="AV49" s="3"/>
      <c r="AW49" s="3"/>
      <c r="AX49" s="3"/>
      <c r="AY49" s="3"/>
      <c r="AZ49" s="3"/>
      <c r="BA49" s="3"/>
    </row>
    <row r="50" spans="1:53">
      <c r="B50" s="1167"/>
      <c r="C50" s="1167"/>
      <c r="D50" s="1167"/>
      <c r="E50" s="1167"/>
      <c r="F50" s="1167"/>
      <c r="G50" s="1167"/>
      <c r="H50" s="1167"/>
      <c r="I50" s="1167"/>
      <c r="Z50" s="131"/>
      <c r="AA50" s="131"/>
      <c r="AB50" s="131"/>
      <c r="AC50" s="131"/>
      <c r="AD50" s="131"/>
      <c r="AE50" s="131"/>
      <c r="AF50" s="131"/>
      <c r="AG50" s="131"/>
      <c r="AH50" s="131"/>
      <c r="AI50" s="3"/>
      <c r="AJ50" s="3"/>
      <c r="AK50" s="3"/>
      <c r="AL50" s="3"/>
      <c r="AM50" s="3"/>
      <c r="AN50" s="3"/>
      <c r="AO50" s="3"/>
      <c r="AP50" s="3"/>
      <c r="AQ50" s="3"/>
      <c r="AR50" s="3"/>
      <c r="AS50" s="3"/>
      <c r="AT50" s="3"/>
      <c r="AU50" s="3"/>
      <c r="AV50" s="3"/>
      <c r="AW50" s="3"/>
      <c r="AX50" s="3"/>
      <c r="AY50" s="3"/>
      <c r="AZ50" s="3"/>
      <c r="BA50" s="3"/>
    </row>
    <row r="51" spans="1:53">
      <c r="Z51" s="131"/>
      <c r="AA51" s="131"/>
      <c r="AB51" s="131"/>
      <c r="AC51" s="131"/>
      <c r="AD51" s="131"/>
      <c r="AE51" s="131"/>
      <c r="AF51" s="131"/>
      <c r="AG51" s="131"/>
      <c r="AH51" s="131"/>
      <c r="AI51" s="3"/>
      <c r="AJ51" s="3"/>
      <c r="AK51" s="3"/>
      <c r="AL51" s="3"/>
      <c r="AM51" s="3"/>
      <c r="AN51" s="3"/>
      <c r="AO51" s="3"/>
      <c r="AP51" s="3"/>
      <c r="AQ51" s="3"/>
      <c r="AR51" s="3"/>
      <c r="AS51" s="3"/>
      <c r="AT51" s="3"/>
      <c r="AU51" s="3"/>
      <c r="AV51" s="3"/>
      <c r="AW51" s="3"/>
      <c r="AX51" s="3"/>
      <c r="AY51" s="3"/>
      <c r="AZ51" s="3"/>
      <c r="BA51" s="3"/>
    </row>
    <row r="52" spans="1:53">
      <c r="Z52" s="131"/>
      <c r="AA52" s="131"/>
      <c r="AB52" s="131"/>
      <c r="AC52" s="131"/>
      <c r="AD52" s="131"/>
      <c r="AE52" s="131"/>
      <c r="AF52" s="131"/>
      <c r="AG52" s="131"/>
      <c r="AH52" s="131"/>
      <c r="AI52" s="3"/>
      <c r="AJ52" s="3"/>
      <c r="AK52" s="3"/>
      <c r="AL52" s="3"/>
      <c r="AM52" s="3"/>
      <c r="AN52" s="3"/>
      <c r="AO52" s="3"/>
      <c r="AP52" s="3"/>
      <c r="AQ52" s="3"/>
      <c r="AR52" s="3"/>
      <c r="AS52" s="3"/>
      <c r="AT52" s="3"/>
      <c r="AU52" s="3"/>
      <c r="AV52" s="3"/>
      <c r="AW52" s="3"/>
      <c r="AX52" s="3"/>
      <c r="AY52" s="3"/>
      <c r="AZ52" s="3"/>
      <c r="BA52" s="3"/>
    </row>
    <row r="53" spans="1:53">
      <c r="Z53" s="131"/>
      <c r="AA53" s="131"/>
      <c r="AB53" s="131"/>
      <c r="AC53" s="131"/>
      <c r="AD53" s="131"/>
      <c r="AE53" s="131"/>
      <c r="AF53" s="131"/>
      <c r="AG53" s="131"/>
      <c r="AH53" s="131"/>
      <c r="AI53" s="3"/>
      <c r="AJ53" s="3"/>
      <c r="AK53" s="3"/>
      <c r="AL53" s="3"/>
      <c r="AM53" s="3"/>
      <c r="AN53" s="3"/>
      <c r="AO53" s="3"/>
      <c r="AP53" s="3"/>
      <c r="AQ53" s="3"/>
      <c r="AR53" s="3"/>
      <c r="AS53" s="3"/>
      <c r="AT53" s="3"/>
      <c r="AU53" s="3"/>
      <c r="AV53" s="3"/>
      <c r="AW53" s="3"/>
      <c r="AX53" s="3"/>
      <c r="AY53" s="3"/>
      <c r="AZ53" s="3"/>
      <c r="BA53" s="3"/>
    </row>
    <row r="54" spans="1:53" ht="18">
      <c r="Z54" s="131"/>
      <c r="AA54" s="131"/>
      <c r="AB54" s="726"/>
      <c r="AC54" s="131"/>
      <c r="AD54" s="131"/>
      <c r="AE54" s="131"/>
      <c r="AF54" s="131"/>
      <c r="AG54" s="131"/>
      <c r="AH54" s="131"/>
      <c r="AI54" s="3"/>
      <c r="AJ54" s="3"/>
      <c r="AK54" s="3"/>
      <c r="AL54" s="3"/>
      <c r="AM54" s="3"/>
      <c r="AN54" s="3"/>
      <c r="AO54" s="3"/>
      <c r="AP54" s="3"/>
      <c r="AQ54" s="3"/>
      <c r="AR54" s="3"/>
      <c r="AS54" s="3"/>
      <c r="AT54" s="3"/>
      <c r="AU54" s="3"/>
      <c r="AV54" s="3"/>
      <c r="AW54" s="3"/>
      <c r="AX54" s="3"/>
      <c r="AY54" s="3"/>
      <c r="AZ54" s="3"/>
      <c r="BA54" s="3"/>
    </row>
    <row r="55" spans="1:53" ht="18">
      <c r="Z55" s="131"/>
      <c r="AA55" s="131"/>
      <c r="AB55" s="726"/>
      <c r="AC55" s="131"/>
      <c r="AD55" s="131"/>
      <c r="AE55" s="131"/>
      <c r="AF55" s="131"/>
      <c r="AG55" s="131"/>
      <c r="AH55" s="131"/>
      <c r="AI55" s="3"/>
      <c r="AJ55" s="3"/>
      <c r="AK55" s="3"/>
      <c r="AL55" s="3"/>
      <c r="AM55" s="3"/>
      <c r="AN55" s="3"/>
      <c r="AO55" s="3"/>
      <c r="AP55" s="3"/>
      <c r="AQ55" s="3"/>
      <c r="AR55" s="3"/>
      <c r="AS55" s="3"/>
      <c r="AT55" s="3"/>
      <c r="AU55" s="3"/>
      <c r="AV55" s="3"/>
      <c r="AW55" s="3"/>
      <c r="AX55" s="3"/>
      <c r="AY55" s="3"/>
      <c r="AZ55" s="3"/>
      <c r="BA55" s="3"/>
    </row>
    <row r="56" spans="1:53" ht="18">
      <c r="Z56" s="131"/>
      <c r="AA56" s="131"/>
      <c r="AB56" s="726"/>
      <c r="AC56" s="131"/>
      <c r="AD56" s="131"/>
      <c r="AE56" s="131"/>
      <c r="AF56" s="131"/>
      <c r="AG56" s="131"/>
      <c r="AH56" s="131"/>
      <c r="AI56" s="3"/>
      <c r="AJ56" s="3"/>
      <c r="AK56" s="3"/>
      <c r="AL56" s="3"/>
      <c r="AM56" s="3"/>
      <c r="AN56" s="3"/>
      <c r="AO56" s="3"/>
      <c r="AP56" s="3"/>
      <c r="AQ56" s="3"/>
      <c r="AR56" s="3"/>
      <c r="AS56" s="3"/>
      <c r="AT56" s="3"/>
      <c r="AU56" s="3"/>
      <c r="AV56" s="3"/>
      <c r="AW56" s="3"/>
      <c r="AX56" s="3"/>
      <c r="AY56" s="3"/>
      <c r="AZ56" s="3"/>
      <c r="BA56" s="3"/>
    </row>
    <row r="57" spans="1:53" ht="18">
      <c r="Z57" s="131"/>
      <c r="AA57" s="131"/>
      <c r="AB57" s="726"/>
      <c r="AC57" s="131"/>
      <c r="AD57" s="131"/>
      <c r="AE57" s="131"/>
      <c r="AF57" s="131"/>
      <c r="AG57" s="131"/>
      <c r="AH57" s="131"/>
      <c r="AI57" s="3"/>
      <c r="AJ57" s="3"/>
      <c r="AK57" s="3"/>
      <c r="AL57" s="3"/>
      <c r="AM57" s="3"/>
      <c r="AN57" s="3"/>
      <c r="AO57" s="3"/>
      <c r="AP57" s="3"/>
      <c r="AQ57" s="3"/>
      <c r="AR57" s="3"/>
      <c r="AS57" s="3"/>
      <c r="AT57" s="3"/>
      <c r="AU57" s="3"/>
      <c r="AV57" s="3"/>
      <c r="AW57" s="3"/>
      <c r="AX57" s="3"/>
      <c r="AY57" s="3"/>
      <c r="AZ57" s="3"/>
      <c r="BA57" s="3"/>
    </row>
    <row r="58" spans="1:53" ht="18">
      <c r="Z58" s="131"/>
      <c r="AA58" s="131"/>
      <c r="AB58" s="726"/>
      <c r="AC58" s="131"/>
      <c r="AD58" s="131"/>
      <c r="AE58" s="131"/>
      <c r="AF58" s="131"/>
      <c r="AG58" s="131"/>
      <c r="AH58" s="131"/>
      <c r="AI58" s="3"/>
      <c r="AJ58" s="3"/>
      <c r="AK58" s="3"/>
      <c r="AL58" s="3"/>
      <c r="AM58" s="3"/>
      <c r="AN58" s="3"/>
      <c r="AO58" s="3"/>
      <c r="AP58" s="3"/>
      <c r="AQ58" s="3"/>
      <c r="AR58" s="3"/>
      <c r="AS58" s="3"/>
      <c r="AT58" s="3"/>
      <c r="AU58" s="3"/>
      <c r="AV58" s="3"/>
      <c r="AW58" s="3"/>
      <c r="AX58" s="3"/>
      <c r="AY58" s="3"/>
      <c r="AZ58" s="3"/>
      <c r="BA58" s="3"/>
    </row>
    <row r="59" spans="1:53" ht="18">
      <c r="Z59" s="131"/>
      <c r="AA59" s="131"/>
      <c r="AB59" s="726"/>
      <c r="AC59" s="131"/>
      <c r="AD59" s="131"/>
      <c r="AE59" s="131"/>
      <c r="AF59" s="131"/>
      <c r="AG59" s="131"/>
      <c r="AH59" s="131"/>
      <c r="AI59" s="3"/>
      <c r="AJ59" s="3"/>
      <c r="AK59" s="3"/>
      <c r="AL59" s="3"/>
      <c r="AM59" s="3"/>
      <c r="AN59" s="3"/>
      <c r="AO59" s="3"/>
      <c r="AP59" s="3"/>
      <c r="AQ59" s="3"/>
      <c r="AR59" s="3"/>
      <c r="AS59" s="3"/>
      <c r="AT59" s="3"/>
      <c r="AU59" s="3"/>
      <c r="AV59" s="3"/>
      <c r="AW59" s="3"/>
      <c r="AX59" s="3"/>
      <c r="AY59" s="3"/>
      <c r="AZ59" s="3"/>
      <c r="BA59" s="3"/>
    </row>
    <row r="60" spans="1:53" ht="18">
      <c r="Z60" s="131"/>
      <c r="AA60" s="131"/>
      <c r="AB60" s="726"/>
      <c r="AC60" s="131"/>
      <c r="AD60" s="131"/>
      <c r="AE60" s="131"/>
      <c r="AF60" s="131"/>
      <c r="AG60" s="131"/>
      <c r="AH60" s="131"/>
      <c r="AI60" s="3"/>
      <c r="AJ60" s="3"/>
      <c r="AK60" s="3"/>
      <c r="AL60" s="3"/>
      <c r="AM60" s="3"/>
      <c r="AN60" s="3"/>
      <c r="AO60" s="3"/>
      <c r="AP60" s="3"/>
      <c r="AQ60" s="3"/>
      <c r="AR60" s="3"/>
      <c r="AS60" s="3"/>
      <c r="AT60" s="3"/>
      <c r="AU60" s="3"/>
      <c r="AV60" s="3"/>
      <c r="AW60" s="3"/>
      <c r="AX60" s="3"/>
      <c r="AY60" s="3"/>
      <c r="AZ60" s="3"/>
      <c r="BA60" s="3"/>
    </row>
    <row r="61" spans="1:53" ht="18">
      <c r="Z61" s="131"/>
      <c r="AA61" s="131"/>
      <c r="AB61" s="726"/>
      <c r="AC61" s="131"/>
      <c r="AD61" s="131"/>
      <c r="AE61" s="131"/>
      <c r="AF61" s="131"/>
      <c r="AG61" s="131"/>
      <c r="AH61" s="131"/>
      <c r="AI61" s="3"/>
      <c r="AJ61" s="3"/>
      <c r="AK61" s="3"/>
      <c r="AL61" s="3"/>
      <c r="AM61" s="3"/>
      <c r="AN61" s="3"/>
      <c r="AO61" s="3"/>
      <c r="AP61" s="3"/>
      <c r="AQ61" s="3"/>
      <c r="AR61" s="3"/>
      <c r="AS61" s="3"/>
      <c r="AT61" s="3"/>
      <c r="AU61" s="3"/>
      <c r="AV61" s="3"/>
      <c r="AW61" s="3"/>
      <c r="AX61" s="3"/>
      <c r="AY61" s="3"/>
      <c r="AZ61" s="3"/>
      <c r="BA61" s="3"/>
    </row>
    <row r="62" spans="1:53" ht="18">
      <c r="Z62" s="131"/>
      <c r="AA62" s="131"/>
      <c r="AB62" s="726"/>
      <c r="AC62" s="131"/>
      <c r="AD62" s="131"/>
      <c r="AE62" s="131"/>
      <c r="AF62" s="131"/>
      <c r="AG62" s="131"/>
      <c r="AH62" s="131"/>
      <c r="AI62" s="3"/>
      <c r="AJ62" s="3"/>
      <c r="AK62" s="3"/>
      <c r="AL62" s="3"/>
      <c r="AM62" s="3"/>
      <c r="AN62" s="3"/>
      <c r="AO62" s="3"/>
      <c r="AP62" s="3"/>
      <c r="AQ62" s="3"/>
      <c r="AR62" s="3"/>
      <c r="AS62" s="3"/>
      <c r="AT62" s="3"/>
      <c r="AU62" s="3"/>
      <c r="AV62" s="3"/>
      <c r="AW62" s="3"/>
      <c r="AX62" s="3"/>
      <c r="AY62" s="3"/>
      <c r="AZ62" s="3"/>
      <c r="BA62" s="3"/>
    </row>
    <row r="63" spans="1:53" ht="18">
      <c r="Z63" s="131"/>
      <c r="AA63" s="131"/>
      <c r="AB63" s="726"/>
      <c r="AC63" s="131"/>
      <c r="AD63" s="131"/>
      <c r="AE63" s="131"/>
      <c r="AF63" s="131"/>
      <c r="AG63" s="131"/>
      <c r="AH63" s="131"/>
      <c r="AI63" s="3"/>
      <c r="AJ63" s="3"/>
      <c r="AK63" s="3"/>
      <c r="AL63" s="3"/>
      <c r="AM63" s="3"/>
      <c r="AN63" s="3"/>
      <c r="AO63" s="3"/>
      <c r="AP63" s="3"/>
      <c r="AQ63" s="3"/>
      <c r="AR63" s="3"/>
      <c r="AS63" s="3"/>
      <c r="AT63" s="3"/>
      <c r="AU63" s="3"/>
      <c r="AV63" s="3"/>
      <c r="AW63" s="3"/>
      <c r="AX63" s="3"/>
      <c r="AY63" s="3"/>
      <c r="AZ63" s="3"/>
      <c r="BA63" s="3"/>
    </row>
    <row r="64" spans="1:53" ht="18">
      <c r="Z64" s="131"/>
      <c r="AA64" s="131"/>
      <c r="AB64" s="726"/>
      <c r="AC64" s="131"/>
      <c r="AD64" s="131"/>
      <c r="AE64" s="131"/>
      <c r="AF64" s="131"/>
      <c r="AG64" s="131"/>
      <c r="AH64" s="131"/>
      <c r="AI64" s="3"/>
      <c r="AJ64" s="3"/>
      <c r="AK64" s="3"/>
      <c r="AL64" s="3"/>
      <c r="AM64" s="3"/>
      <c r="AN64" s="3"/>
      <c r="AO64" s="3"/>
      <c r="AP64" s="3"/>
      <c r="AQ64" s="3"/>
      <c r="AR64" s="3"/>
      <c r="AS64" s="3"/>
      <c r="AT64" s="3"/>
      <c r="AU64" s="3"/>
      <c r="AV64" s="3"/>
      <c r="AW64" s="3"/>
      <c r="AX64" s="3"/>
      <c r="AY64" s="3"/>
      <c r="AZ64" s="3"/>
      <c r="BA64" s="3"/>
    </row>
    <row r="65" spans="26:53" ht="18">
      <c r="Z65" s="131"/>
      <c r="AA65" s="131"/>
      <c r="AB65" s="726"/>
      <c r="AC65" s="131"/>
      <c r="AD65" s="131"/>
      <c r="AE65" s="131"/>
      <c r="AF65" s="131"/>
      <c r="AG65" s="131"/>
      <c r="AH65" s="131"/>
      <c r="AI65" s="3"/>
      <c r="AJ65" s="3"/>
      <c r="AK65" s="3"/>
      <c r="AL65" s="3"/>
      <c r="AM65" s="3"/>
      <c r="AN65" s="3"/>
      <c r="AO65" s="3"/>
      <c r="AP65" s="3"/>
      <c r="AQ65" s="3"/>
      <c r="AR65" s="3"/>
      <c r="AS65" s="3"/>
      <c r="AT65" s="3"/>
      <c r="AU65" s="3"/>
      <c r="AV65" s="3"/>
      <c r="AW65" s="3"/>
      <c r="AX65" s="3"/>
      <c r="AY65" s="3"/>
      <c r="AZ65" s="3"/>
      <c r="BA65" s="3"/>
    </row>
    <row r="66" spans="26:53" ht="18">
      <c r="Z66" s="131"/>
      <c r="AA66" s="131"/>
      <c r="AB66" s="726"/>
      <c r="AC66" s="131"/>
      <c r="AD66" s="131"/>
      <c r="AE66" s="131"/>
      <c r="AF66" s="131"/>
      <c r="AG66" s="131"/>
      <c r="AH66" s="131"/>
      <c r="AI66" s="3"/>
      <c r="AJ66" s="3"/>
      <c r="AK66" s="3"/>
      <c r="AL66" s="3"/>
      <c r="AM66" s="3"/>
      <c r="AN66" s="3"/>
      <c r="AO66" s="3"/>
      <c r="AP66" s="3"/>
      <c r="AQ66" s="3"/>
      <c r="AR66" s="3"/>
      <c r="AS66" s="3"/>
      <c r="AT66" s="3"/>
      <c r="AU66" s="3"/>
      <c r="AV66" s="3"/>
      <c r="AW66" s="3"/>
      <c r="AX66" s="3"/>
      <c r="AY66" s="3"/>
      <c r="AZ66" s="3"/>
      <c r="BA66" s="3"/>
    </row>
    <row r="67" spans="26:53" ht="18">
      <c r="Z67" s="131"/>
      <c r="AA67" s="131"/>
      <c r="AB67" s="726"/>
      <c r="AC67" s="131"/>
      <c r="AD67" s="131"/>
      <c r="AE67" s="131"/>
      <c r="AF67" s="131"/>
      <c r="AG67" s="131"/>
      <c r="AH67" s="131"/>
      <c r="AI67" s="3"/>
      <c r="AJ67" s="3"/>
      <c r="AK67" s="3"/>
      <c r="AL67" s="3"/>
      <c r="AM67" s="3"/>
      <c r="AN67" s="3"/>
      <c r="AO67" s="3"/>
      <c r="AP67" s="3"/>
      <c r="AQ67" s="3"/>
      <c r="AR67" s="3"/>
      <c r="AS67" s="3"/>
      <c r="AT67" s="3"/>
      <c r="AU67" s="3"/>
      <c r="AV67" s="3"/>
      <c r="AW67" s="3"/>
      <c r="AX67" s="3"/>
      <c r="AY67" s="3"/>
      <c r="AZ67" s="3"/>
      <c r="BA67" s="3"/>
    </row>
    <row r="68" spans="26:53" ht="18">
      <c r="Z68" s="131"/>
      <c r="AA68" s="131"/>
      <c r="AB68" s="726"/>
      <c r="AC68" s="131"/>
      <c r="AD68" s="131"/>
      <c r="AE68" s="131"/>
      <c r="AF68" s="131"/>
      <c r="AG68" s="131"/>
      <c r="AH68" s="131"/>
      <c r="AI68" s="3"/>
      <c r="AJ68" s="3"/>
      <c r="AK68" s="3"/>
      <c r="AL68" s="3"/>
      <c r="AM68" s="3"/>
      <c r="AN68" s="3"/>
      <c r="AO68" s="3"/>
      <c r="AP68" s="3"/>
      <c r="AQ68" s="3"/>
      <c r="AR68" s="3"/>
      <c r="AS68" s="3"/>
      <c r="AT68" s="3"/>
      <c r="AU68" s="3"/>
      <c r="AV68" s="3"/>
      <c r="AW68" s="3"/>
      <c r="AX68" s="3"/>
      <c r="AY68" s="3"/>
      <c r="AZ68" s="3"/>
      <c r="BA68" s="3"/>
    </row>
    <row r="69" spans="26:53" ht="18">
      <c r="Z69" s="131"/>
      <c r="AA69" s="131"/>
      <c r="AB69" s="726"/>
      <c r="AC69" s="131"/>
      <c r="AD69" s="131"/>
      <c r="AE69" s="131"/>
      <c r="AF69" s="131"/>
      <c r="AG69" s="131"/>
      <c r="AH69" s="131"/>
      <c r="AI69" s="3"/>
      <c r="AJ69" s="3"/>
      <c r="AK69" s="3"/>
      <c r="AL69" s="3"/>
      <c r="AM69" s="3"/>
      <c r="AN69" s="3"/>
      <c r="AO69" s="3"/>
      <c r="AP69" s="3"/>
      <c r="AQ69" s="3"/>
      <c r="AR69" s="3"/>
      <c r="AS69" s="3"/>
      <c r="AT69" s="3"/>
      <c r="AU69" s="3"/>
      <c r="AV69" s="3"/>
      <c r="AW69" s="3"/>
      <c r="AX69" s="3"/>
      <c r="AY69" s="3"/>
      <c r="AZ69" s="3"/>
      <c r="BA69" s="3"/>
    </row>
    <row r="70" spans="26:53" ht="18">
      <c r="Z70" s="131"/>
      <c r="AA70" s="131"/>
      <c r="AB70" s="726"/>
      <c r="AC70" s="131"/>
      <c r="AD70" s="131"/>
      <c r="AE70" s="131"/>
      <c r="AF70" s="131"/>
      <c r="AG70" s="131"/>
      <c r="AH70" s="131"/>
      <c r="AI70" s="3"/>
      <c r="AJ70" s="3"/>
      <c r="AK70" s="3"/>
      <c r="AL70" s="3"/>
      <c r="AM70" s="3"/>
      <c r="AN70" s="3"/>
      <c r="AO70" s="3"/>
      <c r="AP70" s="3"/>
      <c r="AQ70" s="3"/>
      <c r="AR70" s="3"/>
      <c r="AS70" s="3"/>
      <c r="AT70" s="3"/>
      <c r="AU70" s="3"/>
      <c r="AV70" s="3"/>
      <c r="AW70" s="3"/>
      <c r="AX70" s="3"/>
      <c r="AY70" s="3"/>
      <c r="AZ70" s="3"/>
      <c r="BA70" s="3"/>
    </row>
    <row r="71" spans="26:53" ht="18">
      <c r="Z71" s="131"/>
      <c r="AA71" s="131"/>
      <c r="AB71" s="726"/>
      <c r="AC71" s="131"/>
      <c r="AD71" s="131"/>
      <c r="AE71" s="131"/>
      <c r="AF71" s="131"/>
      <c r="AG71" s="131"/>
      <c r="AH71" s="131"/>
      <c r="AI71" s="3"/>
      <c r="AJ71" s="3"/>
      <c r="AK71" s="3"/>
      <c r="AL71" s="3"/>
      <c r="AM71" s="3"/>
      <c r="AN71" s="3"/>
      <c r="AO71" s="3"/>
      <c r="AP71" s="3"/>
      <c r="AQ71" s="3"/>
      <c r="AR71" s="3"/>
      <c r="AS71" s="3"/>
      <c r="AT71" s="3"/>
      <c r="AU71" s="3"/>
      <c r="AV71" s="3"/>
      <c r="AW71" s="3"/>
      <c r="AX71" s="3"/>
      <c r="AY71" s="3"/>
      <c r="AZ71" s="3"/>
      <c r="BA71" s="3"/>
    </row>
    <row r="72" spans="26:53" ht="18">
      <c r="Z72" s="131"/>
      <c r="AA72" s="131"/>
      <c r="AB72" s="726"/>
      <c r="AC72" s="131"/>
      <c r="AD72" s="131"/>
      <c r="AE72" s="131"/>
      <c r="AF72" s="131"/>
      <c r="AG72" s="131"/>
      <c r="AH72" s="131"/>
      <c r="AI72" s="3"/>
      <c r="AJ72" s="3"/>
      <c r="AK72" s="3"/>
      <c r="AL72" s="3"/>
      <c r="AM72" s="3"/>
      <c r="AN72" s="3"/>
      <c r="AO72" s="3"/>
      <c r="AP72" s="3"/>
      <c r="AQ72" s="3"/>
      <c r="AR72" s="3"/>
      <c r="AS72" s="3"/>
      <c r="AT72" s="3"/>
      <c r="AU72" s="3"/>
      <c r="AV72" s="3"/>
      <c r="AW72" s="3"/>
      <c r="AX72" s="3"/>
      <c r="AY72" s="3"/>
      <c r="AZ72" s="3"/>
      <c r="BA72" s="3"/>
    </row>
    <row r="73" spans="26:53" ht="18">
      <c r="Z73" s="131"/>
      <c r="AA73" s="131"/>
      <c r="AB73" s="726"/>
      <c r="AC73" s="131"/>
      <c r="AD73" s="131"/>
      <c r="AE73" s="131"/>
      <c r="AF73" s="131"/>
      <c r="AG73" s="131"/>
      <c r="AH73" s="131"/>
      <c r="AI73" s="3"/>
      <c r="AJ73" s="3"/>
      <c r="AK73" s="3"/>
      <c r="AL73" s="3"/>
      <c r="AM73" s="3"/>
      <c r="AN73" s="3"/>
      <c r="AO73" s="3"/>
      <c r="AP73" s="3"/>
      <c r="AQ73" s="3"/>
      <c r="AR73" s="3"/>
      <c r="AS73" s="3"/>
      <c r="AT73" s="3"/>
      <c r="AU73" s="3"/>
      <c r="AV73" s="3"/>
      <c r="AW73" s="3"/>
      <c r="AX73" s="3"/>
      <c r="AY73" s="3"/>
      <c r="AZ73" s="3"/>
      <c r="BA73" s="3"/>
    </row>
    <row r="74" spans="26:53" ht="18">
      <c r="AB74" s="727"/>
    </row>
    <row r="75" spans="26:53" ht="18">
      <c r="AB75" s="727"/>
    </row>
    <row r="76" spans="26:53" ht="18">
      <c r="AB76" s="727"/>
    </row>
    <row r="77" spans="26:53" ht="18">
      <c r="AB77" s="727"/>
    </row>
    <row r="78" spans="26:53" ht="18" customHeight="1">
      <c r="AB78" s="727"/>
    </row>
    <row r="79" spans="26:53" ht="18">
      <c r="AB79" s="727"/>
    </row>
    <row r="80" spans="26:53" ht="18">
      <c r="AB80" s="727"/>
    </row>
    <row r="81" spans="28:28" ht="18">
      <c r="AB81" s="727"/>
    </row>
    <row r="82" spans="28:28" ht="18">
      <c r="AB82" s="727"/>
    </row>
    <row r="83" spans="28:28" ht="18">
      <c r="AB83" s="727"/>
    </row>
    <row r="84" spans="28:28" ht="18">
      <c r="AB84" s="727"/>
    </row>
    <row r="85" spans="28:28" ht="18">
      <c r="AB85" s="727"/>
    </row>
    <row r="86" spans="28:28" ht="18">
      <c r="AB86" s="727"/>
    </row>
    <row r="87" spans="28:28" ht="18">
      <c r="AB87" s="727"/>
    </row>
    <row r="88" spans="28:28" ht="18">
      <c r="AB88" s="727"/>
    </row>
    <row r="89" spans="28:28" ht="18">
      <c r="AB89" s="727"/>
    </row>
    <row r="90" spans="28:28" ht="18">
      <c r="AB90" s="727"/>
    </row>
    <row r="91" spans="28:28" ht="18">
      <c r="AB91" s="727"/>
    </row>
    <row r="92" spans="28:28" ht="18">
      <c r="AB92" s="727"/>
    </row>
    <row r="93" spans="28:28" ht="18">
      <c r="AB93" s="727"/>
    </row>
    <row r="94" spans="28:28" ht="18">
      <c r="AB94" s="727"/>
    </row>
    <row r="95" spans="28:28" ht="18">
      <c r="AB95" s="727"/>
    </row>
    <row r="96" spans="28:28" ht="18">
      <c r="AB96" s="727"/>
    </row>
    <row r="97" spans="28:28" ht="18">
      <c r="AB97" s="727"/>
    </row>
    <row r="98" spans="28:28" ht="18">
      <c r="AB98" s="727"/>
    </row>
    <row r="99" spans="28:28" ht="18">
      <c r="AB99" s="727"/>
    </row>
    <row r="100" spans="28:28" ht="18">
      <c r="AB100" s="727"/>
    </row>
    <row r="101" spans="28:28" ht="18">
      <c r="AB101" s="727"/>
    </row>
    <row r="102" spans="28:28" ht="18">
      <c r="AB102" s="727"/>
    </row>
    <row r="103" spans="28:28" ht="18">
      <c r="AB103" s="727"/>
    </row>
    <row r="104" spans="28:28" ht="18">
      <c r="AB104" s="727"/>
    </row>
    <row r="105" spans="28:28" ht="18">
      <c r="AB105" s="727"/>
    </row>
    <row r="106" spans="28:28" ht="18">
      <c r="AB106" s="727"/>
    </row>
    <row r="107" spans="28:28" ht="18">
      <c r="AB107" s="727"/>
    </row>
    <row r="108" spans="28:28" ht="18">
      <c r="AB108" s="727"/>
    </row>
    <row r="109" spans="28:28" ht="18">
      <c r="AB109" s="727"/>
    </row>
    <row r="110" spans="28:28" ht="18">
      <c r="AB110" s="727"/>
    </row>
    <row r="111" spans="28:28" ht="18">
      <c r="AB111" s="727"/>
    </row>
    <row r="112" spans="28:28" ht="18">
      <c r="AB112" s="727"/>
    </row>
    <row r="113" spans="28:28" ht="18">
      <c r="AB113" s="727"/>
    </row>
    <row r="114" spans="28:28" ht="18">
      <c r="AB114" s="727"/>
    </row>
    <row r="115" spans="28:28" ht="18">
      <c r="AB115" s="727"/>
    </row>
    <row r="116" spans="28:28" ht="18">
      <c r="AB116" s="727"/>
    </row>
    <row r="117" spans="28:28" ht="18">
      <c r="AB117" s="727"/>
    </row>
    <row r="118" spans="28:28" ht="18">
      <c r="AB118" s="727"/>
    </row>
    <row r="119" spans="28:28" ht="18">
      <c r="AB119" s="727"/>
    </row>
    <row r="120" spans="28:28" ht="18">
      <c r="AB120" s="727"/>
    </row>
    <row r="121" spans="28:28" ht="18">
      <c r="AB121" s="727"/>
    </row>
  </sheetData>
  <sheetProtection algorithmName="SHA-512" hashValue="K14fuo3NMjTZjBVlb5qc04lNssNcG2cByQXqb/5+lZbNyK5MYd8ghB6hYYGjo6mLL5NgLJD4jdPNb7MXZs+PiQ==" saltValue="n7/e7Vun2fuq3SbVAa1y1w==" spinCount="100000" sheet="1" objects="1" scenarios="1" selectLockedCells="1"/>
  <mergeCells count="9">
    <mergeCell ref="C46:H49"/>
    <mergeCell ref="D21:H21"/>
    <mergeCell ref="E7:H7"/>
    <mergeCell ref="D8:H8"/>
    <mergeCell ref="F23:H23"/>
    <mergeCell ref="D9:H9"/>
    <mergeCell ref="D10:E10"/>
    <mergeCell ref="F16:H16"/>
    <mergeCell ref="C31:H38"/>
  </mergeCells>
  <phoneticPr fontId="12" type="noConversion"/>
  <conditionalFormatting sqref="D9:H9">
    <cfRule type="expression" dxfId="380" priority="3">
      <formula>IF($H$6&gt;1,TRUE,FALSE)</formula>
    </cfRule>
  </conditionalFormatting>
  <conditionalFormatting sqref="E7:H7">
    <cfRule type="expression" dxfId="379" priority="1">
      <formula>IF(AND($F$6="Yes",$H$6&gt;1),TRUE,FALSE)</formula>
    </cfRule>
  </conditionalFormatting>
  <dataValidations count="7">
    <dataValidation type="custom" allowBlank="1" showInputMessage="1" showErrorMessage="1" sqref="F1:F2 A3:A47 D10:E10" xr:uid="{843400B9-16F4-434D-BFE4-1DA452465071}">
      <formula1>"&lt;0&gt;0"</formula1>
    </dataValidation>
    <dataValidation type="custom" allowBlank="1" showInputMessage="1" showErrorMessage="1" sqref="F23" xr:uid="{FD95973F-8051-4B97-9AFB-BAEC95FC7DA9}">
      <formula1>ISNUMBER(MATCH("*@*.?*",F23,0))</formula1>
    </dataValidation>
    <dataValidation type="list" allowBlank="1" showInputMessage="1" showErrorMessage="1" sqref="D25" xr:uid="{159FDE60-91F7-49FD-BF7C-0F99CB30476A}">
      <formula1>Wisconsin_Assembly_District</formula1>
    </dataValidation>
    <dataValidation type="list" allowBlank="1" showInputMessage="1" showErrorMessage="1" sqref="D27" xr:uid="{2026A293-23F3-4106-B542-66CACECF5EAD}">
      <formula1>US_Congress_District</formula1>
    </dataValidation>
    <dataValidation type="custom" allowBlank="1" showInputMessage="1" showErrorMessage="1" errorTitle="Numeric Value Error" error="Please enter numeric values only." sqref="D14" xr:uid="{F5051E52-D166-4F48-9A25-C9E24338A352}">
      <formula1>ISNUMBER(D14)</formula1>
    </dataValidation>
    <dataValidation type="custom" allowBlank="1" showInputMessage="1" showErrorMessage="1" errorTitle="Phone Number Error" error="Please enter phone number with numeric values only." sqref="D23" xr:uid="{5FA5DEE3-315B-4EB1-9470-D42A7DCF6CDC}">
      <formula1>ISNUMBER(D23)</formula1>
    </dataValidation>
    <dataValidation allowBlank="1" showInputMessage="1" showErrorMessage="1" promptTitle="Street Address" prompt="Please input only primary address." sqref="D8:H8" xr:uid="{54A541C5-5F26-4A4D-B9A5-85BCB81DD3BC}"/>
  </dataValidations>
  <pageMargins left="0.7" right="0.7" top="0.75" bottom="0.75" header="0.3" footer="0.3"/>
  <pageSetup scale="48" orientation="portrait" r:id="rId1"/>
  <headerFooter>
    <oddHeader>&amp;L&amp;G</oddHeader>
    <oddFooter>&amp;LVersion - 2023.0.01&amp;CWHEDA MULTIFAMILY APPLICATION&amp;R&amp;P of &amp;N</oddFooter>
  </headerFooter>
  <legacy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C06DBDA6-77BD-CE45-A716-4F3E9C0EB75C}">
          <x14:formula1>
            <xm:f>'Dropdown Lists'!$C$2:$C$73</xm:f>
          </x14:formula1>
          <xm:sqref>D12</xm:sqref>
        </x14:dataValidation>
        <x14:dataValidation type="list" allowBlank="1" showInputMessage="1" showErrorMessage="1" xr:uid="{23F5FAE1-FF97-4044-83ED-D29CD7DD383B}">
          <x14:formula1>
            <xm:f>'Dropdown Lists'!$A$2:$A$3</xm:f>
          </x14:formula1>
          <xm:sqref>F13 D13 F6 D16 F15</xm:sqref>
        </x14:dataValidation>
        <x14:dataValidation type="list" allowBlank="1" showInputMessage="1" xr:uid="{63F92B0E-C051-460A-B57E-EDB1D411E6B3}">
          <x14:formula1>
            <xm:f>'Dropdown Lists'!$AC$2:$AC$12</xm:f>
          </x14:formula1>
          <xm:sqref>F16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7CA4-D275-456C-90DB-CE6E9F935394}">
  <sheetPr codeName="Sheet4">
    <pageSetUpPr fitToPage="1"/>
  </sheetPr>
  <dimension ref="A1:AU433"/>
  <sheetViews>
    <sheetView topLeftCell="A2" workbookViewId="0">
      <selection activeCell="D8" sqref="D8"/>
    </sheetView>
  </sheetViews>
  <sheetFormatPr baseColWidth="10" defaultColWidth="8.83203125" defaultRowHeight="15"/>
  <cols>
    <col min="1" max="2" width="5.6640625" style="3" customWidth="1"/>
    <col min="3" max="3" width="82.5" customWidth="1"/>
    <col min="4" max="4" width="33.5" customWidth="1"/>
    <col min="5" max="5" width="39.1640625" customWidth="1"/>
    <col min="6" max="6" width="13" customWidth="1"/>
    <col min="8" max="8" width="15.5" style="149" bestFit="1" customWidth="1"/>
    <col min="9" max="9" width="10.1640625" style="149" customWidth="1"/>
    <col min="10" max="10" width="15.83203125" style="149" bestFit="1" customWidth="1"/>
    <col min="11" max="11" width="14.5" style="149" customWidth="1"/>
    <col min="12" max="12" width="19.5" style="149" bestFit="1" customWidth="1"/>
    <col min="13" max="13" width="8.83203125" style="149"/>
    <col min="14" max="14" width="23.83203125" style="149" bestFit="1" customWidth="1"/>
    <col min="15" max="15" width="14.5" style="149" customWidth="1"/>
    <col min="16" max="16" width="2" style="149" bestFit="1" customWidth="1"/>
    <col min="17" max="26" width="0" style="149" hidden="1" customWidth="1"/>
    <col min="27" max="47" width="8.83203125" style="149"/>
    <col min="48" max="16384" width="8.83203125" style="3"/>
  </cols>
  <sheetData>
    <row r="1" spans="1:17" ht="29">
      <c r="B1" s="4" t="str">
        <f>'1. TOC'!B1</f>
        <v>WHEDA 2025 Multifamily Application</v>
      </c>
      <c r="D1" s="149" t="str">
        <f>'1. TOC'!L1</f>
        <v>v25.1.9</v>
      </c>
      <c r="E1" s="1086" t="str">
        <f>HYPERLINK("#Table_of_Contents", Table_of_Contents)</f>
        <v>Table of Contents</v>
      </c>
      <c r="G1" s="3"/>
    </row>
    <row r="2" spans="1:17" ht="21">
      <c r="B2" s="966" t="str">
        <f>_xlfn.CONCAT(IF(ISBLANK(WHEDA_Project_Number),"",_xlfn.CONCAT(WHEDA_Project_Number,"-")), Project_Name, IF(ISBLANK(Credit_percentage_applied_for),"",_xlfn.CONCAT(" (", Credit_percentage_applied_for," HTC)")))</f>
        <v/>
      </c>
      <c r="C2" s="3"/>
      <c r="D2" s="3"/>
      <c r="E2" s="3"/>
      <c r="F2" s="3"/>
      <c r="G2" s="3"/>
    </row>
    <row r="3" spans="1:17" ht="19">
      <c r="A3" s="8"/>
      <c r="B3" s="8"/>
      <c r="C3" s="7"/>
      <c r="D3" s="7"/>
      <c r="E3" s="7"/>
      <c r="F3" s="7"/>
      <c r="G3" s="7"/>
    </row>
    <row r="4" spans="1:17" ht="29">
      <c r="B4" s="4" t="s">
        <v>552</v>
      </c>
      <c r="D4" s="8"/>
      <c r="E4" s="8"/>
      <c r="F4" s="8"/>
      <c r="G4" s="8"/>
    </row>
    <row r="5" spans="1:17">
      <c r="B5" s="1167"/>
      <c r="C5" s="1167"/>
      <c r="D5" s="1167"/>
      <c r="E5" s="1167"/>
      <c r="F5" s="1167"/>
      <c r="G5" s="1167"/>
      <c r="H5" s="9"/>
      <c r="I5" s="9"/>
      <c r="J5" s="9"/>
      <c r="K5" s="9"/>
      <c r="L5" s="9"/>
      <c r="M5" s="9"/>
      <c r="N5" s="9"/>
      <c r="O5" s="9"/>
      <c r="P5" s="9"/>
      <c r="Q5" s="9"/>
    </row>
    <row r="6" spans="1:17" ht="16">
      <c r="B6" s="1167"/>
      <c r="C6" s="1681" t="s">
        <v>3373</v>
      </c>
      <c r="D6" s="1676"/>
      <c r="E6" s="1190"/>
      <c r="F6" s="1190"/>
      <c r="G6" s="1179"/>
      <c r="H6" s="9"/>
      <c r="I6" s="9"/>
      <c r="J6" s="9"/>
      <c r="K6" s="9"/>
      <c r="L6" s="9"/>
      <c r="M6" s="9"/>
      <c r="N6" s="9"/>
      <c r="O6" s="9"/>
      <c r="P6" s="9"/>
      <c r="Q6" s="9"/>
    </row>
    <row r="7" spans="1:17" ht="16">
      <c r="B7" s="1167"/>
      <c r="C7" s="1681"/>
      <c r="D7" s="1190"/>
      <c r="E7" s="1190"/>
      <c r="F7" s="1190"/>
      <c r="G7" s="1179"/>
      <c r="H7" s="9"/>
      <c r="I7" s="9"/>
      <c r="J7" s="9"/>
      <c r="K7" s="9"/>
      <c r="L7" s="9"/>
      <c r="M7" s="9"/>
      <c r="N7" s="9"/>
      <c r="O7" s="9"/>
      <c r="P7" s="9"/>
      <c r="Q7" s="9"/>
    </row>
    <row r="8" spans="1:17" ht="16">
      <c r="B8" s="1167"/>
      <c r="C8" s="1681" t="s">
        <v>3374</v>
      </c>
      <c r="D8" s="338"/>
      <c r="E8" s="1190"/>
      <c r="F8" s="1190"/>
      <c r="G8" s="1179"/>
      <c r="H8" s="9"/>
      <c r="I8" s="9"/>
      <c r="J8" s="675"/>
      <c r="K8" s="9"/>
      <c r="L8" s="9"/>
      <c r="M8" s="9"/>
      <c r="N8" s="9"/>
      <c r="O8" s="9"/>
      <c r="P8" s="9"/>
      <c r="Q8" s="9"/>
    </row>
    <row r="9" spans="1:17" ht="16">
      <c r="B9" s="1167"/>
      <c r="C9" s="1681" t="s">
        <v>3375</v>
      </c>
      <c r="D9" s="338"/>
      <c r="E9" s="1190"/>
      <c r="F9" s="1190"/>
      <c r="G9" s="1179"/>
      <c r="H9" s="9"/>
      <c r="I9" s="9"/>
      <c r="J9" s="9"/>
      <c r="K9" s="675"/>
      <c r="L9" s="9"/>
      <c r="M9" s="9"/>
      <c r="N9" s="9"/>
      <c r="O9" s="9"/>
      <c r="P9" s="9"/>
      <c r="Q9" s="9"/>
    </row>
    <row r="10" spans="1:17" ht="16">
      <c r="A10" s="9"/>
      <c r="B10" s="1167"/>
      <c r="C10" s="1681" t="s">
        <v>3376</v>
      </c>
      <c r="D10" s="338"/>
      <c r="E10" s="1190"/>
      <c r="F10" s="1190"/>
      <c r="G10" s="1190"/>
      <c r="H10" s="9"/>
      <c r="I10" s="9"/>
      <c r="J10" s="9"/>
      <c r="K10" s="9"/>
      <c r="L10" s="9"/>
      <c r="M10" s="9"/>
      <c r="N10" s="9"/>
      <c r="O10" s="9"/>
      <c r="P10" s="9"/>
      <c r="Q10" s="9"/>
    </row>
    <row r="11" spans="1:17" ht="16">
      <c r="B11" s="1167"/>
      <c r="C11" s="1681" t="s">
        <v>3377</v>
      </c>
      <c r="D11" s="338"/>
      <c r="E11" s="1190"/>
      <c r="F11" s="1179"/>
      <c r="G11" s="1179"/>
      <c r="H11" s="9"/>
      <c r="I11" s="9"/>
      <c r="J11" s="9"/>
      <c r="K11" s="9"/>
      <c r="L11" s="9"/>
      <c r="M11" s="9"/>
      <c r="N11" s="9"/>
      <c r="O11" s="9"/>
      <c r="P11" s="9"/>
      <c r="Q11" s="9"/>
    </row>
    <row r="12" spans="1:17" ht="16">
      <c r="B12" s="1167"/>
      <c r="C12" s="1681" t="s">
        <v>3378</v>
      </c>
      <c r="D12" s="338"/>
      <c r="E12" s="1190"/>
      <c r="F12" s="1190"/>
      <c r="G12" s="1179"/>
      <c r="H12" s="9"/>
      <c r="I12" s="9"/>
      <c r="J12" s="9"/>
      <c r="K12" s="9"/>
      <c r="L12" s="9"/>
      <c r="M12" s="9"/>
      <c r="N12" s="9"/>
      <c r="O12" s="9"/>
      <c r="P12" s="9"/>
      <c r="Q12" s="9"/>
    </row>
    <row r="13" spans="1:17" ht="16">
      <c r="B13" s="1167"/>
      <c r="C13" s="1681" t="s">
        <v>3379</v>
      </c>
      <c r="D13" s="338"/>
      <c r="E13" s="1190"/>
      <c r="F13" s="1190"/>
      <c r="G13" s="1179"/>
      <c r="H13" s="9"/>
      <c r="I13" s="9"/>
      <c r="J13" s="9"/>
      <c r="K13" s="9"/>
      <c r="L13" s="9"/>
      <c r="M13" s="9"/>
      <c r="N13" s="9"/>
      <c r="O13" s="9"/>
      <c r="P13" s="9"/>
      <c r="Q13" s="9"/>
    </row>
    <row r="14" spans="1:17" ht="16">
      <c r="A14" s="9"/>
      <c r="B14" s="1167"/>
      <c r="C14" s="1681" t="str">
        <f>IF(OR(Will_this_project_be_utilizing_federal_assistance?="Yes",Will_this_project_be_receiving_project_based_federal_rental_assistance?="Yes"),"Provide the Subsidy Source ","N/A - Only Required for Projects Utilizing Rental Assistance ")</f>
        <v xml:space="preserve">N/A - Only Required for Projects Utilizing Rental Assistance </v>
      </c>
      <c r="D14" s="216"/>
      <c r="E14" s="1190"/>
      <c r="F14" s="1190"/>
      <c r="G14" s="1190"/>
      <c r="H14" s="9"/>
      <c r="I14" s="9"/>
      <c r="J14" s="9"/>
      <c r="K14" s="9"/>
      <c r="L14" s="9"/>
      <c r="M14" s="9"/>
      <c r="N14" s="9"/>
      <c r="O14" s="9"/>
      <c r="P14" s="9"/>
      <c r="Q14" s="9"/>
    </row>
    <row r="15" spans="1:17" ht="16">
      <c r="B15" s="1167"/>
      <c r="C15" s="1681" t="str">
        <f>IF(OR(Will_this_project_be_utilizing_federal_assistance?="Yes",Will_this_project_be_receiving_project_based_federal_rental_assistance?="Yes"),"Number of Rent Assisted Units ","N/A - Only Required for Projects Utilizing Rental Assistance ")</f>
        <v xml:space="preserve">N/A - Only Required for Projects Utilizing Rental Assistance </v>
      </c>
      <c r="D15" s="216"/>
      <c r="E15" s="1190"/>
      <c r="F15" s="1179"/>
      <c r="G15" s="1179"/>
      <c r="H15" s="9"/>
      <c r="I15" s="9"/>
      <c r="J15" s="9"/>
      <c r="K15" s="9"/>
      <c r="L15" s="9"/>
      <c r="M15" s="9"/>
      <c r="N15" s="9"/>
      <c r="O15" s="9"/>
      <c r="P15" s="9"/>
      <c r="Q15" s="9"/>
    </row>
    <row r="16" spans="1:17" ht="16">
      <c r="B16" s="1167"/>
      <c r="C16" s="1179"/>
      <c r="D16" s="1179"/>
      <c r="E16" s="1179"/>
      <c r="F16" s="1179"/>
      <c r="G16" s="1179"/>
      <c r="H16" s="9"/>
      <c r="I16" s="9"/>
      <c r="J16" s="9"/>
      <c r="K16" s="9"/>
      <c r="L16" s="9"/>
      <c r="M16" s="9"/>
      <c r="N16" s="9"/>
      <c r="O16" s="9"/>
      <c r="P16" s="9"/>
      <c r="Q16" s="9"/>
    </row>
    <row r="17" spans="1:17" ht="16">
      <c r="B17" s="1167"/>
      <c r="C17" s="1680" t="s">
        <v>3380</v>
      </c>
      <c r="D17" s="338"/>
      <c r="E17" s="1680" t="s">
        <v>3381</v>
      </c>
      <c r="F17" s="216"/>
      <c r="G17" s="1179"/>
      <c r="H17" s="9"/>
      <c r="I17" s="9"/>
      <c r="J17" s="9"/>
      <c r="K17" s="9"/>
      <c r="L17" s="9"/>
      <c r="M17" s="9"/>
      <c r="N17" s="9"/>
      <c r="O17" s="9"/>
      <c r="P17" s="9"/>
      <c r="Q17" s="9"/>
    </row>
    <row r="18" spans="1:17" ht="16">
      <c r="B18" s="1167"/>
      <c r="C18" s="1680" t="s">
        <v>3382</v>
      </c>
      <c r="D18" s="338"/>
      <c r="E18" s="1680" t="s">
        <v>3381</v>
      </c>
      <c r="F18" s="216"/>
      <c r="G18" s="1179"/>
      <c r="H18" s="9"/>
      <c r="I18" s="9"/>
      <c r="J18" s="9"/>
      <c r="K18" s="9"/>
      <c r="L18" s="9"/>
      <c r="M18" s="9"/>
      <c r="N18" s="9"/>
      <c r="O18" s="9"/>
      <c r="P18" s="9"/>
      <c r="Q18" s="9"/>
    </row>
    <row r="19" spans="1:17" ht="16">
      <c r="B19" s="1167"/>
      <c r="C19" s="1680" t="s">
        <v>3383</v>
      </c>
      <c r="D19" s="338"/>
      <c r="E19" s="1680" t="s">
        <v>3381</v>
      </c>
      <c r="F19" s="216"/>
      <c r="G19" s="1179"/>
      <c r="H19" s="9"/>
      <c r="I19" s="9"/>
      <c r="J19" s="9"/>
      <c r="K19" s="9"/>
      <c r="L19" s="9"/>
      <c r="M19" s="9"/>
      <c r="N19" s="9"/>
      <c r="O19" s="9"/>
      <c r="P19" s="9"/>
      <c r="Q19" s="9"/>
    </row>
    <row r="20" spans="1:17" ht="16">
      <c r="B20" s="1167"/>
      <c r="C20" s="1680" t="s">
        <v>3384</v>
      </c>
      <c r="D20" s="338"/>
      <c r="E20" s="1680" t="s">
        <v>3381</v>
      </c>
      <c r="F20" s="216"/>
      <c r="G20" s="1179"/>
      <c r="H20" s="9"/>
      <c r="I20" s="9"/>
      <c r="J20" s="9"/>
      <c r="K20" s="9"/>
      <c r="L20" s="9"/>
      <c r="M20" s="9"/>
      <c r="N20" s="9"/>
      <c r="O20" s="9"/>
      <c r="P20" s="9"/>
      <c r="Q20" s="9"/>
    </row>
    <row r="21" spans="1:17" ht="16">
      <c r="B21" s="1167"/>
      <c r="C21" s="1680" t="s">
        <v>3385</v>
      </c>
      <c r="D21" s="338"/>
      <c r="E21" s="1680" t="s">
        <v>3381</v>
      </c>
      <c r="F21" s="216"/>
      <c r="G21" s="1179"/>
      <c r="H21" s="9"/>
      <c r="I21" s="9"/>
      <c r="J21" s="9"/>
      <c r="K21" s="9"/>
      <c r="L21" s="9"/>
      <c r="M21" s="9"/>
      <c r="N21" s="9"/>
      <c r="O21" s="9"/>
      <c r="P21" s="9"/>
      <c r="Q21" s="9"/>
    </row>
    <row r="22" spans="1:17" ht="16">
      <c r="A22" s="9"/>
      <c r="B22" s="1167"/>
      <c r="C22" s="1680" t="s">
        <v>3386</v>
      </c>
      <c r="D22" s="338"/>
      <c r="E22" s="1680" t="s">
        <v>3381</v>
      </c>
      <c r="F22" s="216"/>
      <c r="G22" s="1179"/>
      <c r="H22" s="9"/>
      <c r="I22" s="9"/>
      <c r="J22" s="9"/>
      <c r="K22" s="9"/>
      <c r="L22" s="9"/>
      <c r="M22" s="9"/>
      <c r="N22" s="9"/>
      <c r="O22" s="9"/>
      <c r="P22" s="9"/>
      <c r="Q22" s="9"/>
    </row>
    <row r="23" spans="1:17" ht="16">
      <c r="A23" s="9"/>
      <c r="B23" s="1167"/>
      <c r="C23" s="1680" t="s">
        <v>3387</v>
      </c>
      <c r="D23" s="338"/>
      <c r="E23" s="1680" t="s">
        <v>3381</v>
      </c>
      <c r="F23" s="216"/>
      <c r="G23" s="1179"/>
      <c r="H23" s="9"/>
      <c r="I23" s="9"/>
      <c r="J23" s="9"/>
      <c r="K23" s="9"/>
      <c r="L23" s="9"/>
      <c r="M23" s="9"/>
      <c r="N23" s="9"/>
      <c r="O23" s="9"/>
      <c r="P23" s="9"/>
      <c r="Q23" s="9"/>
    </row>
    <row r="24" spans="1:17" ht="16">
      <c r="A24" s="9"/>
      <c r="B24" s="1167"/>
      <c r="C24" s="1680" t="s">
        <v>3388</v>
      </c>
      <c r="D24" s="338"/>
      <c r="E24" s="1680" t="s">
        <v>3381</v>
      </c>
      <c r="F24" s="216"/>
      <c r="G24" s="1179"/>
      <c r="H24" s="9"/>
      <c r="I24" s="9"/>
      <c r="J24" s="9"/>
      <c r="K24" s="9"/>
      <c r="L24" s="9"/>
      <c r="M24" s="9"/>
      <c r="N24" s="9"/>
      <c r="O24" s="9"/>
      <c r="P24" s="9"/>
      <c r="Q24" s="9"/>
    </row>
    <row r="25" spans="1:17" ht="16">
      <c r="B25" s="1167"/>
      <c r="C25" s="1680" t="s">
        <v>3097</v>
      </c>
      <c r="D25" s="338"/>
      <c r="E25" s="1680" t="s">
        <v>3381</v>
      </c>
      <c r="F25" s="216"/>
      <c r="G25" s="1179"/>
      <c r="H25" s="9"/>
      <c r="I25" s="9"/>
      <c r="J25" s="9"/>
      <c r="K25" s="9"/>
      <c r="L25" s="9"/>
      <c r="M25" s="9"/>
      <c r="N25" s="9"/>
      <c r="O25" s="9"/>
      <c r="P25" s="9"/>
      <c r="Q25" s="9"/>
    </row>
    <row r="26" spans="1:17" ht="16">
      <c r="B26" s="1167"/>
      <c r="C26" s="1179"/>
      <c r="D26" s="1179"/>
      <c r="E26" s="1179"/>
      <c r="F26" s="1178"/>
      <c r="G26" s="1179"/>
      <c r="H26" s="9"/>
      <c r="I26" s="9"/>
      <c r="J26" s="9"/>
      <c r="K26" s="9"/>
      <c r="L26" s="9"/>
      <c r="M26" s="9"/>
      <c r="N26" s="9"/>
      <c r="O26" s="9"/>
      <c r="P26" s="9"/>
      <c r="Q26" s="9"/>
    </row>
    <row r="27" spans="1:17" ht="16">
      <c r="B27" s="1167"/>
      <c r="C27" s="1680" t="s">
        <v>3389</v>
      </c>
      <c r="D27" s="338"/>
      <c r="E27" s="1179"/>
      <c r="F27" s="1178"/>
      <c r="G27" s="1179"/>
      <c r="H27" s="9"/>
      <c r="I27" s="9"/>
      <c r="J27" s="9"/>
      <c r="K27" s="9"/>
      <c r="L27" s="9"/>
      <c r="M27" s="9"/>
      <c r="N27" s="9"/>
      <c r="O27" s="9"/>
      <c r="P27" s="9"/>
      <c r="Q27" s="9"/>
    </row>
    <row r="28" spans="1:17" ht="16">
      <c r="B28" s="1167"/>
      <c r="C28" s="1680" t="s">
        <v>3390</v>
      </c>
      <c r="D28" s="338"/>
      <c r="E28" s="1179"/>
      <c r="F28" s="1178"/>
      <c r="G28" s="1179"/>
      <c r="H28" s="9"/>
      <c r="I28" s="9"/>
      <c r="J28" s="9"/>
      <c r="K28" s="9"/>
      <c r="L28" s="9"/>
      <c r="M28" s="9"/>
      <c r="N28" s="9"/>
      <c r="O28" s="9"/>
      <c r="P28" s="9"/>
      <c r="Q28" s="9"/>
    </row>
    <row r="29" spans="1:17" ht="16">
      <c r="B29" s="1167"/>
      <c r="C29" s="1680" t="s">
        <v>3391</v>
      </c>
      <c r="D29" s="338"/>
      <c r="E29" s="1179"/>
      <c r="F29" s="1178"/>
      <c r="G29" s="1167"/>
      <c r="H29" s="9"/>
      <c r="I29" s="9"/>
      <c r="J29" s="9"/>
      <c r="K29" s="9"/>
      <c r="L29" s="9"/>
      <c r="M29" s="9"/>
      <c r="N29" s="9"/>
      <c r="O29" s="9"/>
      <c r="P29" s="9"/>
      <c r="Q29" s="9"/>
    </row>
    <row r="30" spans="1:17" ht="16">
      <c r="B30" s="1167"/>
      <c r="C30" s="1680" t="s">
        <v>3392</v>
      </c>
      <c r="D30" s="338"/>
      <c r="E30" s="1167"/>
      <c r="F30" s="1167"/>
      <c r="G30" s="1167"/>
      <c r="H30" s="9"/>
      <c r="I30" s="9"/>
      <c r="J30" s="9"/>
      <c r="K30" s="9"/>
      <c r="L30" s="9"/>
      <c r="M30" s="9"/>
      <c r="N30" s="9"/>
      <c r="O30" s="9"/>
      <c r="P30" s="9"/>
      <c r="Q30" s="9"/>
    </row>
    <row r="31" spans="1:17" ht="16">
      <c r="B31" s="1167"/>
      <c r="C31" s="1680" t="s">
        <v>3393</v>
      </c>
      <c r="D31" s="338"/>
      <c r="E31" s="1167"/>
      <c r="F31" s="1167"/>
      <c r="G31" s="1167"/>
      <c r="H31" s="9"/>
      <c r="I31" s="9"/>
      <c r="J31" s="9"/>
      <c r="K31" s="9"/>
      <c r="L31" s="9"/>
      <c r="M31" s="9"/>
      <c r="N31" s="9"/>
      <c r="O31" s="9"/>
      <c r="P31" s="9"/>
      <c r="Q31" s="9"/>
    </row>
    <row r="32" spans="1:17" ht="16">
      <c r="B32" s="1167"/>
      <c r="C32" s="1479" t="s">
        <v>3394</v>
      </c>
      <c r="D32" s="1480"/>
      <c r="E32" s="1167"/>
      <c r="F32" s="1167"/>
      <c r="G32" s="1167"/>
      <c r="H32" s="9"/>
      <c r="I32" s="9"/>
      <c r="J32" s="9"/>
      <c r="K32" s="9"/>
      <c r="L32" s="9"/>
      <c r="M32" s="9"/>
      <c r="N32" s="9"/>
      <c r="O32" s="9"/>
      <c r="P32" s="9"/>
      <c r="Q32" s="9"/>
    </row>
    <row r="33" spans="1:21">
      <c r="B33" s="1167"/>
      <c r="C33" s="1167"/>
      <c r="D33" s="1167"/>
      <c r="E33" s="1167"/>
      <c r="F33" s="1167"/>
      <c r="G33" s="1167"/>
      <c r="H33" s="9"/>
      <c r="I33" s="9"/>
      <c r="J33" s="9"/>
      <c r="K33" s="9"/>
      <c r="L33" s="9"/>
      <c r="M33" s="9"/>
      <c r="N33" s="9"/>
      <c r="O33" s="9"/>
      <c r="P33" s="9"/>
      <c r="Q33" s="9"/>
    </row>
    <row r="34" spans="1:21" ht="19">
      <c r="B34" s="8" t="s">
        <v>627</v>
      </c>
      <c r="D34" s="8"/>
      <c r="E34" s="8"/>
      <c r="F34" s="8"/>
      <c r="G34" s="8"/>
      <c r="H34" s="9"/>
      <c r="I34" s="9"/>
      <c r="J34" s="9"/>
      <c r="K34" s="9"/>
      <c r="L34" s="9"/>
      <c r="M34" s="9"/>
      <c r="N34" s="9"/>
      <c r="O34" s="9"/>
      <c r="P34" s="9"/>
      <c r="Q34" s="9"/>
    </row>
    <row r="35" spans="1:21">
      <c r="B35" s="1167"/>
      <c r="C35" s="1167"/>
      <c r="D35" s="1167"/>
      <c r="E35" s="1178"/>
      <c r="F35" s="1178"/>
      <c r="G35" s="1178"/>
      <c r="H35" s="9"/>
      <c r="I35" s="9"/>
      <c r="J35" s="9"/>
      <c r="K35" s="9"/>
      <c r="L35" s="9"/>
      <c r="S35" s="9"/>
      <c r="T35" s="9"/>
      <c r="U35" s="9"/>
    </row>
    <row r="36" spans="1:21">
      <c r="B36" s="1167"/>
      <c r="C36" s="1180" t="s">
        <v>3395</v>
      </c>
      <c r="D36" s="1713" t="str">
        <f>IF(OR(F36 &gt; 0, F37 &gt; 0), IF(F36 &gt;= 0.5 * (F36 + F37), "Yes", "No"), "")</f>
        <v/>
      </c>
      <c r="E36" s="1189" t="s">
        <v>3396</v>
      </c>
      <c r="F36" s="1481">
        <f>+SUMIF('11. Unit Mix'!$D$16:$D$65,"Family",'11. Unit Mix'!$H$16:$H$65)+SUMIF('11. Unit Mix'!$D$104:$D$113,"Family",'11. Unit Mix'!$H$104:$H$113)</f>
        <v>0</v>
      </c>
      <c r="G36" s="1175"/>
      <c r="H36" s="9"/>
      <c r="I36" s="9"/>
      <c r="J36" s="9"/>
      <c r="K36" s="9"/>
      <c r="L36" s="9"/>
      <c r="S36" s="9"/>
      <c r="T36" s="94" t="s">
        <v>3397</v>
      </c>
      <c r="U36" s="9" t="b">
        <f t="shared" ref="U36:U42" si="0">RCAC="Yes"</f>
        <v>0</v>
      </c>
    </row>
    <row r="37" spans="1:21">
      <c r="B37" s="1167"/>
      <c r="C37" s="1180" t="s">
        <v>3398</v>
      </c>
      <c r="D37" s="1713" t="str">
        <f>IF(OR(F36 &gt; 0, F37 &gt; 0), IF(F37 &gt; 0.5 * (F36 + F37), "Yes", "No"), "")</f>
        <v/>
      </c>
      <c r="E37" s="1189" t="s">
        <v>3396</v>
      </c>
      <c r="F37" s="1481">
        <f>+SUMIF('11. Unit Mix'!$D$16:$D$65,"Age Restricted",'11. Unit Mix'!$H$16:$H$65)+SUMIF('11. Unit Mix'!$D$104:$D$113,"Age Restricted",'11. Unit Mix'!$H$104:$H$113)</f>
        <v>0</v>
      </c>
      <c r="G37" s="1175"/>
      <c r="H37" s="9"/>
      <c r="I37" s="9"/>
      <c r="J37" s="9"/>
      <c r="K37" s="9"/>
      <c r="L37" s="9"/>
      <c r="S37" s="9"/>
      <c r="T37" s="94" t="s">
        <v>3399</v>
      </c>
      <c r="U37" s="9" t="b">
        <f t="shared" si="0"/>
        <v>0</v>
      </c>
    </row>
    <row r="38" spans="1:21" ht="16">
      <c r="B38" s="1167"/>
      <c r="C38" s="1180" t="s">
        <v>3400</v>
      </c>
      <c r="D38" s="1090"/>
      <c r="E38" s="1189" t="s">
        <v>3381</v>
      </c>
      <c r="F38" s="654"/>
      <c r="G38" s="1175"/>
      <c r="H38" s="9"/>
      <c r="I38" s="9"/>
      <c r="J38" s="9"/>
      <c r="K38" s="9"/>
      <c r="L38" s="9"/>
      <c r="S38" s="9"/>
      <c r="T38" s="94" t="s">
        <v>3401</v>
      </c>
      <c r="U38" s="9" t="b">
        <f t="shared" si="0"/>
        <v>0</v>
      </c>
    </row>
    <row r="39" spans="1:21" ht="16">
      <c r="B39" s="1167"/>
      <c r="C39" s="1180" t="s">
        <v>3402</v>
      </c>
      <c r="D39" s="1090"/>
      <c r="E39" s="1189" t="s">
        <v>3381</v>
      </c>
      <c r="F39" s="654"/>
      <c r="G39" s="1175"/>
      <c r="H39" s="9"/>
      <c r="I39" s="9"/>
      <c r="J39" s="9"/>
      <c r="K39" s="9"/>
      <c r="L39" s="9"/>
      <c r="S39" s="9"/>
      <c r="T39" s="94" t="s">
        <v>3403</v>
      </c>
      <c r="U39" s="9" t="b">
        <f t="shared" si="0"/>
        <v>0</v>
      </c>
    </row>
    <row r="40" spans="1:21" ht="16">
      <c r="B40" s="1167"/>
      <c r="C40" s="1180" t="s">
        <v>3404</v>
      </c>
      <c r="D40" s="1090"/>
      <c r="E40" s="1189" t="s">
        <v>3405</v>
      </c>
      <c r="F40" s="654"/>
      <c r="G40" s="1175"/>
      <c r="H40" s="9"/>
      <c r="I40" s="9"/>
      <c r="J40" s="9"/>
      <c r="K40" s="9"/>
      <c r="L40" s="9"/>
      <c r="S40" s="9"/>
      <c r="T40" s="94" t="s">
        <v>3406</v>
      </c>
      <c r="U40" s="9" t="b">
        <f t="shared" si="0"/>
        <v>0</v>
      </c>
    </row>
    <row r="41" spans="1:21" ht="16">
      <c r="B41" s="1167"/>
      <c r="C41" s="1180" t="s">
        <v>3407</v>
      </c>
      <c r="D41" s="1090"/>
      <c r="E41" s="1189" t="s">
        <v>3405</v>
      </c>
      <c r="F41" s="654"/>
      <c r="G41" s="1175"/>
      <c r="H41" s="9"/>
      <c r="I41" s="9"/>
      <c r="J41" s="9"/>
      <c r="K41" s="9"/>
      <c r="L41" s="9"/>
      <c r="S41" s="9"/>
      <c r="T41" s="94" t="s">
        <v>3408</v>
      </c>
      <c r="U41" s="9" t="b">
        <f t="shared" si="0"/>
        <v>0</v>
      </c>
    </row>
    <row r="42" spans="1:21" ht="16">
      <c r="A42" s="149"/>
      <c r="B42" s="1167"/>
      <c r="C42" s="1180" t="s">
        <v>3409</v>
      </c>
      <c r="D42" s="1090"/>
      <c r="E42" s="1189" t="s">
        <v>3405</v>
      </c>
      <c r="F42" s="654"/>
      <c r="G42" s="1167"/>
      <c r="H42" s="9"/>
      <c r="I42" s="9"/>
      <c r="J42" s="9"/>
      <c r="K42" s="9"/>
      <c r="L42" s="9"/>
      <c r="S42" s="9"/>
      <c r="T42" s="94" t="s">
        <v>3410</v>
      </c>
      <c r="U42" s="9" t="b">
        <f t="shared" si="0"/>
        <v>0</v>
      </c>
    </row>
    <row r="43" spans="1:21" ht="19">
      <c r="A43" s="8"/>
      <c r="B43" s="1167"/>
      <c r="C43" s="1180"/>
      <c r="D43" s="1167"/>
      <c r="E43" s="1167"/>
      <c r="F43" s="1167"/>
      <c r="G43" s="1188"/>
      <c r="H43" s="9"/>
      <c r="I43" s="9"/>
      <c r="J43" s="9"/>
      <c r="K43" s="9"/>
      <c r="L43" s="9"/>
      <c r="S43" s="9"/>
      <c r="T43" s="9"/>
      <c r="U43" s="9"/>
    </row>
    <row r="44" spans="1:21" ht="19">
      <c r="A44" s="8"/>
      <c r="B44" s="1167"/>
      <c r="C44" s="1180"/>
      <c r="D44" s="1167"/>
      <c r="E44" s="1180"/>
      <c r="F44" s="1180" t="s">
        <v>3411</v>
      </c>
      <c r="G44" s="1188"/>
      <c r="H44" s="9"/>
      <c r="I44" s="9"/>
      <c r="J44" s="9"/>
      <c r="K44" s="9"/>
      <c r="L44" s="9"/>
      <c r="S44" s="9"/>
      <c r="T44" s="9"/>
      <c r="U44" s="9"/>
    </row>
    <row r="45" spans="1:21" ht="19">
      <c r="B45" s="8" t="s">
        <v>649</v>
      </c>
      <c r="D45" s="8"/>
      <c r="E45" s="8"/>
      <c r="F45" s="8"/>
      <c r="G45" s="8"/>
      <c r="H45" s="9"/>
      <c r="I45" s="9"/>
      <c r="J45" s="9"/>
      <c r="K45" s="9"/>
      <c r="L45" s="9"/>
      <c r="S45" s="9"/>
      <c r="T45" s="9"/>
      <c r="U45" s="9"/>
    </row>
    <row r="46" spans="1:21" ht="16">
      <c r="B46" s="1182"/>
      <c r="C46" s="1182"/>
      <c r="D46" s="1179"/>
      <c r="E46" s="1179"/>
      <c r="F46" s="1167"/>
      <c r="G46" s="1167"/>
      <c r="H46" s="9"/>
      <c r="I46" s="9"/>
      <c r="J46" s="9"/>
      <c r="K46" s="9"/>
      <c r="L46" s="9"/>
    </row>
    <row r="47" spans="1:21" ht="16">
      <c r="B47" s="1182"/>
      <c r="C47" s="1681" t="s">
        <v>3412</v>
      </c>
      <c r="D47" s="338"/>
      <c r="E47" s="1179"/>
      <c r="F47" s="1167"/>
      <c r="G47" s="1167"/>
      <c r="H47" s="9"/>
      <c r="I47" s="9"/>
      <c r="J47" s="9"/>
      <c r="K47" s="9"/>
      <c r="L47" s="9"/>
    </row>
    <row r="48" spans="1:21" ht="16">
      <c r="B48" s="1182"/>
      <c r="C48" s="1681" t="s">
        <v>3413</v>
      </c>
      <c r="D48" s="338"/>
      <c r="E48" s="1187"/>
      <c r="F48" s="1167"/>
      <c r="G48" s="1167"/>
      <c r="H48" s="9"/>
      <c r="I48" s="9"/>
      <c r="J48" s="9"/>
      <c r="K48" s="9"/>
      <c r="L48" s="9"/>
    </row>
    <row r="49" spans="2:20" ht="16">
      <c r="B49" s="1182"/>
      <c r="C49" s="1681" t="s">
        <v>3414</v>
      </c>
      <c r="D49" s="338"/>
      <c r="E49" s="1179"/>
      <c r="F49" s="1167"/>
      <c r="G49" s="1167"/>
      <c r="H49" s="9"/>
      <c r="I49" s="9"/>
      <c r="J49" s="9"/>
      <c r="K49" s="9"/>
      <c r="L49" s="9"/>
    </row>
    <row r="50" spans="2:20" ht="16">
      <c r="B50" s="1182"/>
      <c r="C50" s="1681" t="s">
        <v>3413</v>
      </c>
      <c r="D50" s="338"/>
      <c r="E50" s="1179"/>
      <c r="F50" s="1167"/>
      <c r="G50" s="1167"/>
      <c r="H50" s="9"/>
      <c r="I50" s="9"/>
      <c r="J50" s="9"/>
      <c r="K50" s="9"/>
      <c r="L50" s="9"/>
      <c r="S50" s="9"/>
      <c r="T50" s="9"/>
    </row>
    <row r="51" spans="2:20" ht="15" customHeight="1">
      <c r="B51" s="1182"/>
      <c r="C51" s="1183" t="s">
        <v>3415</v>
      </c>
      <c r="D51" s="1091"/>
      <c r="E51" s="1179"/>
      <c r="F51" s="1167"/>
      <c r="G51" s="1167"/>
      <c r="H51" s="9"/>
      <c r="I51" s="9"/>
      <c r="J51" s="9"/>
      <c r="K51" s="9"/>
      <c r="L51" s="9"/>
      <c r="S51" s="9"/>
      <c r="T51" s="9"/>
    </row>
    <row r="52" spans="2:20" ht="16">
      <c r="B52" s="1182"/>
      <c r="C52" s="1681"/>
      <c r="D52" s="1179"/>
      <c r="E52" s="1179"/>
      <c r="F52" s="1167"/>
      <c r="G52" s="1167"/>
      <c r="H52" s="9"/>
      <c r="I52" s="9"/>
      <c r="J52" s="9"/>
      <c r="K52" s="9"/>
      <c r="L52" s="9"/>
      <c r="S52" s="9"/>
      <c r="T52" s="9"/>
    </row>
    <row r="53" spans="2:20" ht="16">
      <c r="B53" s="1182"/>
      <c r="C53" s="1681" t="s">
        <v>3416</v>
      </c>
      <c r="D53" s="338"/>
      <c r="E53" s="1179"/>
      <c r="F53" s="1167"/>
      <c r="G53" s="1167"/>
      <c r="H53" s="9"/>
      <c r="I53" s="9"/>
      <c r="J53" s="9"/>
      <c r="K53" s="9"/>
      <c r="L53" s="9"/>
      <c r="S53" s="9" t="s">
        <v>3417</v>
      </c>
      <c r="T53" s="635" t="b">
        <f>Set_Aside="Rural Set-Aside"</f>
        <v>0</v>
      </c>
    </row>
    <row r="54" spans="2:20" ht="16">
      <c r="B54" s="1182"/>
      <c r="C54" s="1184" t="s">
        <v>3418</v>
      </c>
      <c r="D54" s="1092"/>
      <c r="E54" s="1179"/>
      <c r="F54" s="1167"/>
      <c r="G54" s="1167"/>
      <c r="H54" s="9"/>
      <c r="I54" s="9"/>
      <c r="J54" s="9"/>
      <c r="K54" s="9"/>
      <c r="L54" s="9"/>
      <c r="S54" s="9" t="s">
        <v>3419</v>
      </c>
      <c r="T54" s="635" t="b">
        <f>Credit_percentage_applied_for="State + Fed 4%"</f>
        <v>0</v>
      </c>
    </row>
    <row r="55" spans="2:20" ht="16" hidden="1">
      <c r="B55" s="1182"/>
      <c r="C55" s="1184" t="s">
        <v>3420</v>
      </c>
      <c r="D55" s="1093"/>
      <c r="E55" s="1179" t="s">
        <v>3421</v>
      </c>
      <c r="F55" s="1167"/>
      <c r="G55" s="1167"/>
      <c r="H55" s="9"/>
      <c r="I55" s="9"/>
      <c r="J55" s="9"/>
      <c r="K55" s="9"/>
      <c r="L55" s="9"/>
      <c r="S55" s="9" t="s">
        <v>3422</v>
      </c>
      <c r="T55" s="635"/>
    </row>
    <row r="56" spans="2:20" ht="16">
      <c r="B56" s="1182"/>
      <c r="C56" s="1681" t="s">
        <v>3423</v>
      </c>
      <c r="D56" s="338"/>
      <c r="E56" s="1179"/>
      <c r="F56" s="1167"/>
      <c r="G56" s="1167"/>
      <c r="H56" s="9"/>
      <c r="I56" s="9"/>
      <c r="J56" s="9"/>
      <c r="K56" s="9"/>
      <c r="L56" s="9"/>
      <c r="S56" s="9" t="s">
        <v>3424</v>
      </c>
      <c r="T56" s="636"/>
    </row>
    <row r="57" spans="2:20" ht="16">
      <c r="B57" s="1182"/>
      <c r="C57" s="1681" t="s">
        <v>3425</v>
      </c>
      <c r="D57" s="338"/>
      <c r="E57" s="1179"/>
      <c r="F57" s="1167"/>
      <c r="G57" s="1167"/>
      <c r="H57" s="9"/>
      <c r="I57" s="9"/>
      <c r="J57" s="9"/>
      <c r="K57" s="9"/>
      <c r="L57" s="9"/>
    </row>
    <row r="58" spans="2:20" ht="16">
      <c r="B58" s="1182"/>
      <c r="C58" s="1179"/>
      <c r="D58" s="1179"/>
      <c r="E58" s="1179"/>
      <c r="F58" s="1167"/>
      <c r="G58" s="1167"/>
      <c r="H58" s="9"/>
      <c r="I58" s="9"/>
      <c r="J58" s="9"/>
      <c r="K58" s="9"/>
      <c r="L58" s="9"/>
    </row>
    <row r="59" spans="2:20" ht="16">
      <c r="B59" s="1182"/>
      <c r="C59" s="1681" t="s">
        <v>3426</v>
      </c>
      <c r="D59" s="338"/>
      <c r="E59" s="1179"/>
      <c r="F59" s="1167"/>
      <c r="G59" s="1167"/>
      <c r="H59" s="9"/>
      <c r="I59" s="9"/>
      <c r="J59" s="9"/>
      <c r="K59" s="9"/>
      <c r="L59" s="9"/>
    </row>
    <row r="60" spans="2:20" ht="16">
      <c r="B60" s="1182"/>
      <c r="C60" s="1179"/>
      <c r="D60" s="1179"/>
      <c r="E60" s="1179"/>
      <c r="F60" s="1167"/>
      <c r="G60" s="1167"/>
      <c r="H60" s="9"/>
      <c r="I60" s="9"/>
      <c r="J60" s="9"/>
      <c r="K60" s="9"/>
      <c r="L60" s="9"/>
    </row>
    <row r="61" spans="2:20" ht="19">
      <c r="B61" s="8" t="s">
        <v>672</v>
      </c>
      <c r="D61" s="8"/>
      <c r="E61" s="8"/>
      <c r="F61" s="8"/>
      <c r="G61" s="8"/>
      <c r="H61" s="9"/>
      <c r="I61" s="9"/>
      <c r="J61" s="9"/>
      <c r="K61" s="9"/>
      <c r="L61" s="9"/>
    </row>
    <row r="62" spans="2:20">
      <c r="B62" s="1167"/>
      <c r="C62" s="1167"/>
      <c r="D62" s="1167"/>
      <c r="E62" s="1167"/>
      <c r="F62" s="1167"/>
      <c r="G62" s="1167"/>
      <c r="H62" s="9"/>
      <c r="I62" s="9"/>
      <c r="J62" s="9"/>
      <c r="K62" s="9"/>
      <c r="L62" s="9"/>
    </row>
    <row r="63" spans="2:20" ht="16">
      <c r="B63" s="1167"/>
      <c r="C63" s="1681" t="s">
        <v>3427</v>
      </c>
      <c r="D63" s="338"/>
      <c r="E63" s="1681" t="s">
        <v>3428</v>
      </c>
      <c r="F63" s="216"/>
      <c r="G63" s="1167"/>
      <c r="H63" s="9"/>
      <c r="I63" s="9"/>
      <c r="J63" s="9"/>
      <c r="K63" s="9"/>
      <c r="L63" s="9"/>
    </row>
    <row r="64" spans="2:20" ht="16">
      <c r="B64" s="1167"/>
      <c r="C64" s="1681" t="s">
        <v>3429</v>
      </c>
      <c r="D64" s="338"/>
      <c r="E64" s="1681" t="s">
        <v>3428</v>
      </c>
      <c r="F64" s="216"/>
      <c r="G64" s="1167"/>
      <c r="H64" s="9"/>
      <c r="I64" s="9"/>
      <c r="J64" s="9"/>
      <c r="K64" s="9"/>
      <c r="L64" s="9"/>
    </row>
    <row r="65" spans="2:12" ht="16">
      <c r="B65" s="1167"/>
      <c r="C65" s="1681" t="s">
        <v>3430</v>
      </c>
      <c r="D65" s="338"/>
      <c r="E65" s="1167"/>
      <c r="F65" s="1186"/>
      <c r="G65" s="1167"/>
      <c r="H65" s="9"/>
      <c r="I65" s="9"/>
      <c r="J65" s="9"/>
      <c r="K65" s="9"/>
      <c r="L65" s="9"/>
    </row>
    <row r="66" spans="2:12" ht="16">
      <c r="B66" s="1167"/>
      <c r="C66" s="1681" t="s">
        <v>3431</v>
      </c>
      <c r="D66" s="338"/>
      <c r="E66" s="1167"/>
      <c r="F66" s="1167"/>
      <c r="G66" s="1167"/>
    </row>
    <row r="67" spans="2:12" ht="16">
      <c r="B67" s="1167"/>
      <c r="C67" s="1681" t="s">
        <v>3432</v>
      </c>
      <c r="D67" s="1165"/>
      <c r="E67" s="1167"/>
      <c r="F67" s="1167"/>
      <c r="G67" s="1167"/>
    </row>
    <row r="68" spans="2:12" ht="16">
      <c r="B68" s="1167"/>
      <c r="C68" s="1681" t="s">
        <v>3433</v>
      </c>
      <c r="D68" s="1982"/>
      <c r="E68" s="1982"/>
      <c r="F68" s="1982"/>
      <c r="G68" s="1167"/>
    </row>
    <row r="69" spans="2:12">
      <c r="B69" s="1167"/>
      <c r="C69" s="1170"/>
      <c r="D69" s="1167"/>
      <c r="E69" s="1167"/>
      <c r="F69" s="1708"/>
      <c r="G69" s="1708"/>
      <c r="I69" s="465"/>
    </row>
    <row r="70" spans="2:12" ht="19">
      <c r="B70" s="8" t="s">
        <v>688</v>
      </c>
      <c r="D70" s="8"/>
      <c r="E70" s="8"/>
      <c r="F70" s="8"/>
      <c r="G70" s="8"/>
    </row>
    <row r="71" spans="2:12">
      <c r="B71" s="1167"/>
      <c r="C71" s="1167"/>
      <c r="D71" s="1167"/>
      <c r="E71" s="1708"/>
      <c r="F71" s="1708"/>
      <c r="G71" s="1708"/>
    </row>
    <row r="72" spans="2:12" ht="16">
      <c r="B72" s="1167"/>
      <c r="C72" s="1184" t="s">
        <v>3434</v>
      </c>
      <c r="D72" s="338"/>
      <c r="E72" s="1167"/>
      <c r="F72" s="1167"/>
      <c r="G72" s="1167"/>
      <c r="H72" s="464"/>
      <c r="I72" s="464"/>
      <c r="J72" s="464"/>
    </row>
    <row r="73" spans="2:12" ht="16">
      <c r="B73" s="1167"/>
      <c r="C73" s="1681" t="s">
        <v>3435</v>
      </c>
      <c r="D73" s="338"/>
      <c r="E73" s="1167"/>
      <c r="F73" s="1167"/>
      <c r="G73" s="1167"/>
      <c r="H73" s="464"/>
      <c r="I73" s="464"/>
      <c r="J73" s="464"/>
    </row>
    <row r="74" spans="2:12" ht="15" customHeight="1">
      <c r="B74" s="1167"/>
      <c r="C74" s="1681" t="s">
        <v>3436</v>
      </c>
      <c r="D74" s="338"/>
      <c r="E74" s="1167"/>
      <c r="F74" s="1167"/>
      <c r="G74" s="1167"/>
      <c r="H74" s="464"/>
      <c r="I74" s="464"/>
      <c r="J74" s="464"/>
    </row>
    <row r="75" spans="2:12" ht="16">
      <c r="B75" s="1167"/>
      <c r="C75" s="1681" t="s">
        <v>3437</v>
      </c>
      <c r="D75" s="338"/>
      <c r="E75" s="1167"/>
      <c r="F75" s="1167"/>
      <c r="G75" s="1167"/>
      <c r="H75" s="464"/>
      <c r="I75" s="464"/>
      <c r="J75" s="464"/>
    </row>
    <row r="76" spans="2:12">
      <c r="B76" s="1167"/>
      <c r="C76" s="1167"/>
      <c r="D76" s="1167"/>
      <c r="E76" s="1167"/>
      <c r="F76" s="1167"/>
      <c r="G76" s="1167"/>
    </row>
    <row r="77" spans="2:12" ht="19">
      <c r="B77" s="8" t="s">
        <v>693</v>
      </c>
      <c r="D77" s="8"/>
      <c r="E77" s="8"/>
      <c r="F77" s="8"/>
      <c r="G77" s="8"/>
    </row>
    <row r="78" spans="2:12">
      <c r="B78" s="1167"/>
      <c r="C78" s="1167"/>
      <c r="D78" s="1167"/>
      <c r="E78" s="1167"/>
      <c r="F78" s="1167"/>
      <c r="G78" s="1167"/>
    </row>
    <row r="79" spans="2:12" ht="16">
      <c r="B79" s="1167"/>
      <c r="C79" s="1681" t="s">
        <v>3438</v>
      </c>
      <c r="D79" s="338"/>
      <c r="E79" s="1167"/>
      <c r="F79" s="1167"/>
      <c r="G79" s="1167"/>
    </row>
    <row r="80" spans="2:12" ht="16">
      <c r="B80" s="1167"/>
      <c r="C80" s="1681" t="s">
        <v>3439</v>
      </c>
      <c r="D80" s="338"/>
      <c r="E80" s="1167"/>
      <c r="F80" s="1167"/>
      <c r="G80" s="1167"/>
    </row>
    <row r="81" spans="2:16">
      <c r="B81" s="1167"/>
      <c r="C81" s="1167"/>
      <c r="D81" s="1167"/>
      <c r="E81" s="1167"/>
      <c r="F81" s="1167"/>
      <c r="G81" s="1167"/>
    </row>
    <row r="82" spans="2:16">
      <c r="B82" s="1167"/>
      <c r="C82" s="1980" t="s">
        <v>3440</v>
      </c>
      <c r="D82" s="1980"/>
      <c r="E82" s="1980"/>
      <c r="F82" s="1167"/>
      <c r="G82" s="1167"/>
    </row>
    <row r="83" spans="2:16" ht="14.5" customHeight="1">
      <c r="B83" s="1167"/>
      <c r="C83" s="1983" t="s">
        <v>3441</v>
      </c>
      <c r="D83" s="1983"/>
      <c r="E83" s="1983"/>
      <c r="F83" s="1167"/>
      <c r="G83" s="1167"/>
    </row>
    <row r="84" spans="2:16">
      <c r="B84" s="1167"/>
      <c r="C84" s="1167"/>
      <c r="D84" s="1167"/>
      <c r="E84" s="1167"/>
      <c r="F84" s="1167"/>
      <c r="G84" s="1167"/>
    </row>
    <row r="85" spans="2:16" ht="15" customHeight="1">
      <c r="B85" s="8" t="s">
        <v>3442</v>
      </c>
      <c r="D85" s="8"/>
      <c r="E85" s="8"/>
      <c r="F85" s="8"/>
      <c r="G85" s="8"/>
    </row>
    <row r="86" spans="2:16" ht="16">
      <c r="B86" s="1185" t="s">
        <v>3443</v>
      </c>
      <c r="C86" s="1167"/>
      <c r="D86" s="1167"/>
      <c r="E86" s="1167"/>
      <c r="F86" s="1167"/>
      <c r="G86" s="1167"/>
    </row>
    <row r="87" spans="2:16" ht="16">
      <c r="B87" s="1681"/>
      <c r="C87" s="1681" t="s">
        <v>3444</v>
      </c>
      <c r="D87" s="1094"/>
      <c r="E87" s="1681" t="s">
        <v>3445</v>
      </c>
      <c r="F87" s="1094"/>
      <c r="G87" s="1167"/>
    </row>
    <row r="88" spans="2:16" ht="16">
      <c r="B88" s="1681"/>
      <c r="C88" s="1681" t="s">
        <v>3446</v>
      </c>
      <c r="D88" s="1094"/>
      <c r="E88" s="1681" t="s">
        <v>3447</v>
      </c>
      <c r="F88" s="1094"/>
      <c r="G88" s="1167"/>
      <c r="H88" s="464"/>
      <c r="I88" s="464"/>
      <c r="J88" s="464"/>
      <c r="K88" s="464"/>
      <c r="L88" s="464"/>
      <c r="M88" s="464"/>
      <c r="N88" s="464"/>
      <c r="O88" s="464"/>
      <c r="P88" s="464"/>
    </row>
    <row r="89" spans="2:16" ht="16">
      <c r="B89" s="1681"/>
      <c r="C89" s="1681" t="s">
        <v>3448</v>
      </c>
      <c r="D89" s="1094"/>
      <c r="E89" s="1681" t="s">
        <v>3449</v>
      </c>
      <c r="F89" s="1094"/>
      <c r="G89" s="1167"/>
      <c r="H89" s="464"/>
      <c r="I89" s="464"/>
      <c r="J89" s="464"/>
      <c r="K89" s="464"/>
      <c r="L89" s="464"/>
      <c r="M89" s="464"/>
      <c r="N89" s="464"/>
      <c r="O89" s="464"/>
      <c r="P89" s="464"/>
    </row>
    <row r="90" spans="2:16" ht="16">
      <c r="B90" s="1681"/>
      <c r="C90" s="1681" t="s">
        <v>3450</v>
      </c>
      <c r="D90" s="1095"/>
      <c r="E90" s="1681"/>
      <c r="F90" s="1167"/>
      <c r="G90" s="1167"/>
    </row>
    <row r="91" spans="2:16" ht="16">
      <c r="B91" s="1681"/>
      <c r="C91" s="1681" t="s">
        <v>3451</v>
      </c>
      <c r="D91" s="1095"/>
      <c r="E91" s="1167"/>
      <c r="F91" s="1167"/>
      <c r="G91" s="1167"/>
    </row>
    <row r="92" spans="2:16" ht="16">
      <c r="B92" s="1681"/>
      <c r="C92" s="1681"/>
      <c r="D92" s="1167"/>
      <c r="E92" s="1167"/>
      <c r="F92" s="1167"/>
      <c r="G92" s="1167"/>
    </row>
    <row r="93" spans="2:16" ht="16">
      <c r="B93" s="1681"/>
      <c r="C93" s="1681" t="s">
        <v>3452</v>
      </c>
      <c r="D93" s="1094"/>
      <c r="E93" s="1681" t="s">
        <v>3453</v>
      </c>
      <c r="F93" s="1094"/>
      <c r="G93" s="1167"/>
    </row>
    <row r="94" spans="2:16" ht="16">
      <c r="B94" s="1681"/>
      <c r="C94" s="1167"/>
      <c r="D94" s="1167"/>
      <c r="E94" s="1167"/>
      <c r="F94" s="1167"/>
      <c r="G94" s="1167"/>
    </row>
    <row r="95" spans="2:16" ht="19">
      <c r="B95" s="8" t="s">
        <v>3364</v>
      </c>
      <c r="D95" s="8"/>
      <c r="E95" s="8"/>
      <c r="F95" s="8"/>
      <c r="G95" s="8"/>
    </row>
    <row r="96" spans="2:16">
      <c r="B96" s="1167"/>
      <c r="C96" s="1167"/>
      <c r="D96" s="1167"/>
      <c r="E96" s="1167"/>
      <c r="F96" s="1167"/>
      <c r="G96" s="1167"/>
    </row>
    <row r="97" spans="2:7">
      <c r="B97" s="1167"/>
      <c r="C97" s="1957"/>
      <c r="D97" s="1958"/>
      <c r="E97" s="1958"/>
      <c r="F97" s="1959"/>
      <c r="G97" s="1167"/>
    </row>
    <row r="98" spans="2:7">
      <c r="B98" s="1167"/>
      <c r="C98" s="1960"/>
      <c r="D98" s="1961"/>
      <c r="E98" s="1961"/>
      <c r="F98" s="1962"/>
      <c r="G98" s="1167"/>
    </row>
    <row r="99" spans="2:7">
      <c r="B99" s="1167"/>
      <c r="C99" s="1960"/>
      <c r="D99" s="1961"/>
      <c r="E99" s="1961"/>
      <c r="F99" s="1962"/>
      <c r="G99" s="1167"/>
    </row>
    <row r="100" spans="2:7">
      <c r="B100" s="1167"/>
      <c r="C100" s="1960"/>
      <c r="D100" s="1961"/>
      <c r="E100" s="1961"/>
      <c r="F100" s="1962"/>
      <c r="G100" s="1167"/>
    </row>
    <row r="101" spans="2:7">
      <c r="B101" s="1167"/>
      <c r="C101" s="1960"/>
      <c r="D101" s="1961"/>
      <c r="E101" s="1961"/>
      <c r="F101" s="1962"/>
      <c r="G101" s="1167"/>
    </row>
    <row r="102" spans="2:7">
      <c r="B102" s="1167"/>
      <c r="C102" s="1960"/>
      <c r="D102" s="1961"/>
      <c r="E102" s="1961"/>
      <c r="F102" s="1962"/>
      <c r="G102" s="1167"/>
    </row>
    <row r="103" spans="2:7">
      <c r="B103" s="1167"/>
      <c r="C103" s="1960"/>
      <c r="D103" s="1961"/>
      <c r="E103" s="1961"/>
      <c r="F103" s="1962"/>
      <c r="G103" s="1167"/>
    </row>
    <row r="104" spans="2:7">
      <c r="B104" s="1167"/>
      <c r="C104" s="1963"/>
      <c r="D104" s="1964"/>
      <c r="E104" s="1964"/>
      <c r="F104" s="1965"/>
      <c r="G104" s="1167"/>
    </row>
    <row r="105" spans="2:7">
      <c r="B105" s="1167"/>
      <c r="C105" s="1167"/>
      <c r="D105" s="1167"/>
      <c r="E105" s="1167"/>
      <c r="F105" s="1167"/>
      <c r="G105" s="1167"/>
    </row>
    <row r="106" spans="2:7">
      <c r="C106" s="3"/>
      <c r="D106" s="3"/>
      <c r="E106" s="3"/>
      <c r="F106" s="3"/>
      <c r="G106" s="3"/>
    </row>
    <row r="107" spans="2:7">
      <c r="B107" s="16" t="s">
        <v>3371</v>
      </c>
      <c r="C107" s="7"/>
      <c r="D107" s="7"/>
      <c r="E107" s="7"/>
      <c r="F107" s="7"/>
      <c r="G107" s="7"/>
    </row>
    <row r="108" spans="2:7" ht="19">
      <c r="B108" s="8" t="s">
        <v>3372</v>
      </c>
      <c r="C108" s="3"/>
      <c r="D108" s="3"/>
      <c r="E108" s="1109"/>
      <c r="F108" s="1109"/>
      <c r="G108" s="1109"/>
    </row>
    <row r="109" spans="2:7">
      <c r="B109" s="1167"/>
      <c r="C109" s="1167"/>
      <c r="D109" s="1167"/>
      <c r="E109" s="1167"/>
      <c r="F109" s="1167"/>
      <c r="G109" s="1167"/>
    </row>
    <row r="110" spans="2:7">
      <c r="B110" s="1167"/>
      <c r="C110" s="1981"/>
      <c r="D110" s="1981"/>
      <c r="E110" s="1981"/>
      <c r="F110" s="1981"/>
      <c r="G110" s="1167"/>
    </row>
    <row r="111" spans="2:7">
      <c r="B111" s="1167"/>
      <c r="C111" s="1981"/>
      <c r="D111" s="1981"/>
      <c r="E111" s="1981"/>
      <c r="F111" s="1981"/>
      <c r="G111" s="1167"/>
    </row>
    <row r="112" spans="2:7">
      <c r="B112" s="1167"/>
      <c r="C112" s="1981"/>
      <c r="D112" s="1981"/>
      <c r="E112" s="1981"/>
      <c r="F112" s="1981"/>
      <c r="G112" s="1167"/>
    </row>
    <row r="113" spans="2:7">
      <c r="B113" s="1167"/>
      <c r="C113" s="1981"/>
      <c r="D113" s="1981"/>
      <c r="E113" s="1981"/>
      <c r="F113" s="1981"/>
      <c r="G113" s="1167"/>
    </row>
    <row r="114" spans="2:7">
      <c r="B114" s="1167"/>
      <c r="C114" s="1167"/>
      <c r="D114" s="1167"/>
      <c r="E114" s="1167"/>
      <c r="F114" s="1167"/>
      <c r="G114" s="1167"/>
    </row>
    <row r="115" spans="2:7">
      <c r="C115" s="3"/>
      <c r="D115" s="3"/>
      <c r="E115" s="3"/>
      <c r="F115" s="3"/>
      <c r="G115" s="3"/>
    </row>
    <row r="116" spans="2:7">
      <c r="C116" s="3"/>
      <c r="D116" s="3"/>
      <c r="E116" s="3"/>
      <c r="F116" s="3"/>
      <c r="G116" s="3"/>
    </row>
    <row r="117" spans="2:7">
      <c r="C117" s="3"/>
      <c r="D117" s="3"/>
      <c r="E117" s="3"/>
      <c r="F117" s="3"/>
      <c r="G117" s="3"/>
    </row>
    <row r="118" spans="2:7">
      <c r="C118" s="3"/>
      <c r="D118" s="3"/>
      <c r="E118" s="3"/>
      <c r="F118" s="3"/>
      <c r="G118" s="3"/>
    </row>
    <row r="119" spans="2:7">
      <c r="C119" s="3"/>
      <c r="D119" s="3"/>
      <c r="E119" s="3"/>
      <c r="F119" s="3"/>
      <c r="G119" s="3"/>
    </row>
    <row r="120" spans="2:7">
      <c r="C120" s="3"/>
      <c r="D120" s="3"/>
      <c r="E120" s="3"/>
      <c r="F120" s="3"/>
      <c r="G120" s="3"/>
    </row>
    <row r="121" spans="2:7">
      <c r="C121" s="3"/>
      <c r="D121" s="3"/>
      <c r="E121" s="3"/>
      <c r="F121" s="3"/>
      <c r="G121" s="3"/>
    </row>
    <row r="122" spans="2:7">
      <c r="C122" s="3"/>
      <c r="D122" s="3"/>
      <c r="E122" s="3"/>
      <c r="F122" s="3"/>
      <c r="G122" s="3"/>
    </row>
    <row r="123" spans="2:7">
      <c r="C123" s="3"/>
      <c r="D123" s="3"/>
      <c r="E123" s="3"/>
      <c r="F123" s="3"/>
      <c r="G123" s="3"/>
    </row>
    <row r="124" spans="2:7">
      <c r="C124" s="3"/>
      <c r="D124" s="3"/>
      <c r="E124" s="3"/>
      <c r="F124" s="3"/>
      <c r="G124" s="3"/>
    </row>
    <row r="125" spans="2:7">
      <c r="C125" s="3"/>
      <c r="D125" s="3"/>
      <c r="E125" s="3"/>
      <c r="F125" s="3"/>
      <c r="G125" s="3"/>
    </row>
    <row r="126" spans="2:7">
      <c r="C126" s="3"/>
      <c r="D126" s="3"/>
      <c r="E126" s="3"/>
      <c r="F126" s="3"/>
      <c r="G126" s="3"/>
    </row>
    <row r="127" spans="2:7">
      <c r="C127" s="3"/>
      <c r="D127" s="3"/>
      <c r="E127" s="3"/>
      <c r="F127" s="3"/>
      <c r="G127" s="3"/>
    </row>
    <row r="128" spans="2:7">
      <c r="C128" s="3"/>
      <c r="D128" s="3"/>
      <c r="E128" s="3"/>
      <c r="F128" s="3"/>
      <c r="G128" s="3"/>
    </row>
    <row r="129" spans="3:7">
      <c r="C129" s="3"/>
      <c r="D129" s="3"/>
      <c r="E129" s="3"/>
      <c r="F129" s="3"/>
      <c r="G129" s="3"/>
    </row>
    <row r="130" spans="3:7">
      <c r="C130" s="3"/>
      <c r="D130" s="3"/>
      <c r="E130" s="3"/>
      <c r="F130" s="3"/>
      <c r="G130" s="3"/>
    </row>
    <row r="131" spans="3:7">
      <c r="C131" s="3"/>
      <c r="D131" s="3"/>
      <c r="E131" s="3"/>
      <c r="F131" s="3"/>
      <c r="G131" s="3"/>
    </row>
    <row r="132" spans="3:7">
      <c r="C132" s="3"/>
      <c r="D132" s="3"/>
      <c r="E132" s="3"/>
      <c r="F132" s="3"/>
      <c r="G132" s="3"/>
    </row>
    <row r="133" spans="3:7">
      <c r="C133" s="3"/>
      <c r="D133" s="3"/>
      <c r="E133" s="3"/>
      <c r="F133" s="3"/>
      <c r="G133" s="3"/>
    </row>
    <row r="134" spans="3:7">
      <c r="C134" s="3"/>
      <c r="D134" s="3"/>
      <c r="E134" s="3"/>
      <c r="F134" s="3"/>
      <c r="G134" s="3"/>
    </row>
    <row r="135" spans="3:7">
      <c r="C135" s="3"/>
      <c r="D135" s="3"/>
      <c r="E135" s="3"/>
      <c r="F135" s="3"/>
      <c r="G135" s="3"/>
    </row>
    <row r="136" spans="3:7">
      <c r="C136" s="3"/>
      <c r="D136" s="3"/>
      <c r="E136" s="3"/>
      <c r="F136" s="3"/>
      <c r="G136" s="3"/>
    </row>
    <row r="137" spans="3:7">
      <c r="C137" s="3"/>
      <c r="D137" s="3"/>
      <c r="E137" s="3"/>
      <c r="F137" s="3"/>
      <c r="G137" s="3"/>
    </row>
    <row r="138" spans="3:7">
      <c r="C138" s="3"/>
      <c r="D138" s="3"/>
      <c r="E138" s="3"/>
      <c r="F138" s="3"/>
      <c r="G138" s="3"/>
    </row>
    <row r="139" spans="3:7">
      <c r="C139" s="3"/>
      <c r="D139" s="3"/>
      <c r="E139" s="3"/>
      <c r="F139" s="3"/>
      <c r="G139" s="3"/>
    </row>
    <row r="140" spans="3:7">
      <c r="C140" s="3"/>
      <c r="D140" s="3"/>
      <c r="E140" s="3"/>
      <c r="F140" s="3"/>
      <c r="G140" s="3"/>
    </row>
    <row r="141" spans="3:7">
      <c r="C141" s="3"/>
      <c r="D141" s="3"/>
      <c r="E141" s="3"/>
      <c r="F141" s="3"/>
      <c r="G141" s="3"/>
    </row>
    <row r="142" spans="3:7">
      <c r="C142" s="3"/>
      <c r="D142" s="3"/>
      <c r="E142" s="3"/>
      <c r="F142" s="3"/>
      <c r="G142" s="3"/>
    </row>
    <row r="143" spans="3:7">
      <c r="C143" s="3"/>
      <c r="D143" s="3"/>
      <c r="E143" s="3"/>
      <c r="F143" s="3"/>
      <c r="G143" s="3"/>
    </row>
    <row r="144" spans="3:7">
      <c r="C144" s="3"/>
      <c r="D144" s="3"/>
      <c r="E144" s="3"/>
      <c r="F144" s="3"/>
      <c r="G144" s="3"/>
    </row>
    <row r="145" spans="3:7">
      <c r="C145" s="3"/>
      <c r="D145" s="3"/>
      <c r="E145" s="3"/>
      <c r="F145" s="3"/>
      <c r="G145" s="3"/>
    </row>
    <row r="146" spans="3:7">
      <c r="C146" s="3"/>
      <c r="D146" s="3"/>
      <c r="E146" s="3"/>
      <c r="F146" s="3"/>
      <c r="G146" s="3"/>
    </row>
    <row r="147" spans="3:7">
      <c r="C147" s="3"/>
      <c r="D147" s="3"/>
      <c r="E147" s="3"/>
      <c r="F147" s="3"/>
      <c r="G147" s="3"/>
    </row>
    <row r="148" spans="3:7">
      <c r="C148" s="3"/>
      <c r="D148" s="3"/>
      <c r="E148" s="3"/>
      <c r="F148" s="3"/>
      <c r="G148" s="3"/>
    </row>
    <row r="149" spans="3:7">
      <c r="C149" s="3"/>
      <c r="D149" s="3"/>
      <c r="E149" s="3"/>
      <c r="F149" s="3"/>
      <c r="G149" s="3"/>
    </row>
    <row r="150" spans="3:7">
      <c r="C150" s="3"/>
      <c r="D150" s="3"/>
      <c r="E150" s="3"/>
      <c r="F150" s="3"/>
      <c r="G150" s="3"/>
    </row>
    <row r="151" spans="3:7">
      <c r="C151" s="3"/>
      <c r="D151" s="3"/>
      <c r="E151" s="3"/>
      <c r="F151" s="3"/>
      <c r="G151" s="3"/>
    </row>
    <row r="152" spans="3:7">
      <c r="C152" s="3"/>
      <c r="D152" s="3"/>
      <c r="E152" s="3"/>
      <c r="F152" s="3"/>
      <c r="G152" s="3"/>
    </row>
    <row r="153" spans="3:7">
      <c r="C153" s="3"/>
      <c r="D153" s="3"/>
      <c r="E153" s="3"/>
      <c r="F153" s="3"/>
      <c r="G153" s="3"/>
    </row>
    <row r="154" spans="3:7">
      <c r="C154" s="3"/>
      <c r="D154" s="3"/>
      <c r="E154" s="3"/>
      <c r="F154" s="3"/>
      <c r="G154" s="3"/>
    </row>
    <row r="155" spans="3:7">
      <c r="C155" s="3"/>
      <c r="D155" s="3"/>
      <c r="E155" s="3"/>
      <c r="F155" s="3"/>
      <c r="G155" s="3"/>
    </row>
    <row r="156" spans="3:7">
      <c r="C156" s="3"/>
      <c r="D156" s="3"/>
      <c r="E156" s="3"/>
      <c r="F156" s="3"/>
      <c r="G156" s="3"/>
    </row>
    <row r="157" spans="3:7">
      <c r="C157" s="3"/>
      <c r="D157" s="3"/>
      <c r="E157" s="3"/>
      <c r="F157" s="3"/>
      <c r="G157" s="3"/>
    </row>
    <row r="158" spans="3:7">
      <c r="C158" s="3"/>
      <c r="D158" s="3"/>
      <c r="E158" s="3"/>
      <c r="F158" s="3"/>
      <c r="G158" s="3"/>
    </row>
    <row r="159" spans="3:7">
      <c r="C159" s="3"/>
      <c r="D159" s="3"/>
      <c r="E159" s="3"/>
      <c r="F159" s="3"/>
      <c r="G159" s="3"/>
    </row>
    <row r="160" spans="3:7">
      <c r="C160" s="3"/>
      <c r="D160" s="3"/>
      <c r="E160" s="3"/>
      <c r="F160" s="3"/>
      <c r="G160" s="3"/>
    </row>
    <row r="161" spans="3:7">
      <c r="C161" s="3"/>
      <c r="D161" s="3"/>
      <c r="E161" s="3"/>
      <c r="F161" s="3"/>
      <c r="G161" s="3"/>
    </row>
    <row r="162" spans="3:7">
      <c r="C162" s="3"/>
      <c r="D162" s="3"/>
      <c r="E162" s="3"/>
      <c r="F162" s="3"/>
      <c r="G162" s="3"/>
    </row>
    <row r="163" spans="3:7">
      <c r="C163" s="3"/>
      <c r="D163" s="3"/>
      <c r="E163" s="3"/>
      <c r="F163" s="3"/>
      <c r="G163" s="3"/>
    </row>
    <row r="164" spans="3:7">
      <c r="C164" s="3"/>
      <c r="D164" s="3"/>
      <c r="E164" s="3"/>
      <c r="F164" s="3"/>
      <c r="G164" s="3"/>
    </row>
    <row r="165" spans="3:7">
      <c r="C165" s="3"/>
      <c r="D165" s="3"/>
      <c r="E165" s="3"/>
      <c r="F165" s="3"/>
      <c r="G165" s="3"/>
    </row>
    <row r="166" spans="3:7">
      <c r="C166" s="3"/>
      <c r="D166" s="3"/>
      <c r="E166" s="3"/>
      <c r="F166" s="3"/>
      <c r="G166" s="3"/>
    </row>
    <row r="167" spans="3:7">
      <c r="C167" s="3"/>
      <c r="D167" s="3"/>
      <c r="E167" s="3"/>
      <c r="F167" s="3"/>
      <c r="G167" s="3"/>
    </row>
    <row r="168" spans="3:7">
      <c r="C168" s="3"/>
      <c r="D168" s="3"/>
      <c r="E168" s="3"/>
      <c r="F168" s="3"/>
      <c r="G168" s="3"/>
    </row>
    <row r="169" spans="3:7">
      <c r="C169" s="3"/>
      <c r="D169" s="3"/>
      <c r="E169" s="3"/>
      <c r="F169" s="3"/>
      <c r="G169" s="3"/>
    </row>
    <row r="170" spans="3:7">
      <c r="C170" s="3"/>
      <c r="D170" s="3"/>
      <c r="E170" s="3"/>
      <c r="F170" s="3"/>
      <c r="G170" s="3"/>
    </row>
    <row r="171" spans="3:7">
      <c r="C171" s="3"/>
      <c r="D171" s="3"/>
      <c r="E171" s="3"/>
      <c r="F171" s="3"/>
      <c r="G171" s="3"/>
    </row>
    <row r="172" spans="3:7">
      <c r="C172" s="3"/>
      <c r="D172" s="3"/>
      <c r="E172" s="3"/>
      <c r="F172" s="3"/>
      <c r="G172" s="3"/>
    </row>
    <row r="173" spans="3:7">
      <c r="C173" s="3"/>
      <c r="D173" s="3"/>
      <c r="E173" s="3"/>
      <c r="F173" s="3"/>
      <c r="G173" s="3"/>
    </row>
    <row r="174" spans="3:7">
      <c r="C174" s="3"/>
      <c r="D174" s="3"/>
      <c r="E174" s="3"/>
      <c r="F174" s="3"/>
      <c r="G174" s="3"/>
    </row>
    <row r="175" spans="3:7">
      <c r="C175" s="3"/>
      <c r="D175" s="3"/>
      <c r="E175" s="3"/>
      <c r="F175" s="3"/>
      <c r="G175" s="3"/>
    </row>
    <row r="176" spans="3:7">
      <c r="C176" s="3"/>
      <c r="D176" s="3"/>
      <c r="E176" s="3"/>
      <c r="F176" s="3"/>
      <c r="G176" s="3"/>
    </row>
    <row r="177" spans="3:7">
      <c r="C177" s="3"/>
      <c r="D177" s="3"/>
      <c r="E177" s="3"/>
      <c r="F177" s="3"/>
      <c r="G177" s="3"/>
    </row>
    <row r="178" spans="3:7">
      <c r="C178" s="3"/>
      <c r="D178" s="3"/>
      <c r="E178" s="3"/>
      <c r="F178" s="3"/>
      <c r="G178" s="3"/>
    </row>
    <row r="179" spans="3:7">
      <c r="C179" s="3"/>
      <c r="D179" s="3"/>
      <c r="E179" s="3"/>
      <c r="F179" s="3"/>
      <c r="G179" s="3"/>
    </row>
    <row r="180" spans="3:7">
      <c r="C180" s="3"/>
      <c r="D180" s="3"/>
      <c r="E180" s="3"/>
      <c r="F180" s="3"/>
      <c r="G180" s="3"/>
    </row>
    <row r="181" spans="3:7">
      <c r="C181" s="3"/>
      <c r="D181" s="3"/>
      <c r="E181" s="3"/>
      <c r="F181" s="3"/>
      <c r="G181" s="3"/>
    </row>
    <row r="182" spans="3:7">
      <c r="C182" s="3"/>
      <c r="D182" s="3"/>
      <c r="E182" s="3"/>
      <c r="F182" s="3"/>
      <c r="G182" s="3"/>
    </row>
    <row r="183" spans="3:7">
      <c r="C183" s="3"/>
      <c r="D183" s="3"/>
      <c r="E183" s="3"/>
      <c r="F183" s="3"/>
      <c r="G183" s="3"/>
    </row>
    <row r="184" spans="3:7">
      <c r="C184" s="3"/>
      <c r="D184" s="3"/>
      <c r="E184" s="3"/>
      <c r="F184" s="3"/>
      <c r="G184" s="3"/>
    </row>
    <row r="185" spans="3:7">
      <c r="C185" s="3"/>
      <c r="D185" s="3"/>
      <c r="E185" s="3"/>
      <c r="F185" s="3"/>
      <c r="G185" s="3"/>
    </row>
    <row r="186" spans="3:7">
      <c r="C186" s="3"/>
      <c r="D186" s="3"/>
      <c r="E186" s="3"/>
      <c r="F186" s="3"/>
      <c r="G186" s="3"/>
    </row>
    <row r="187" spans="3:7">
      <c r="C187" s="3"/>
      <c r="D187" s="3"/>
      <c r="E187" s="3"/>
      <c r="F187" s="3"/>
      <c r="G187" s="3"/>
    </row>
    <row r="188" spans="3:7">
      <c r="C188" s="3"/>
      <c r="D188" s="3"/>
      <c r="E188" s="3"/>
      <c r="F188" s="3"/>
      <c r="G188" s="3"/>
    </row>
    <row r="189" spans="3:7">
      <c r="C189" s="3"/>
      <c r="D189" s="3"/>
      <c r="E189" s="3"/>
      <c r="F189" s="3"/>
      <c r="G189" s="3"/>
    </row>
    <row r="190" spans="3:7">
      <c r="C190" s="3"/>
      <c r="D190" s="3"/>
      <c r="E190" s="3"/>
      <c r="F190" s="3"/>
      <c r="G190" s="3"/>
    </row>
    <row r="191" spans="3:7">
      <c r="C191" s="3"/>
      <c r="D191" s="3"/>
      <c r="E191" s="3"/>
      <c r="F191" s="3"/>
      <c r="G191" s="3"/>
    </row>
    <row r="192" spans="3:7">
      <c r="C192" s="3"/>
      <c r="D192" s="3"/>
      <c r="E192" s="3"/>
      <c r="F192" s="3"/>
      <c r="G192" s="3"/>
    </row>
    <row r="193" spans="3:7">
      <c r="C193" s="3"/>
      <c r="D193" s="3"/>
      <c r="E193" s="3"/>
      <c r="F193" s="3"/>
      <c r="G193" s="3"/>
    </row>
    <row r="194" spans="3:7">
      <c r="C194" s="3"/>
      <c r="D194" s="3"/>
      <c r="E194" s="3"/>
      <c r="F194" s="3"/>
      <c r="G194" s="3"/>
    </row>
    <row r="195" spans="3:7">
      <c r="C195" s="3"/>
      <c r="D195" s="3"/>
      <c r="E195" s="3"/>
      <c r="F195" s="3"/>
      <c r="G195" s="3"/>
    </row>
    <row r="196" spans="3:7">
      <c r="C196" s="3"/>
      <c r="D196" s="3"/>
      <c r="E196" s="3"/>
      <c r="F196" s="3"/>
      <c r="G196" s="3"/>
    </row>
    <row r="197" spans="3:7">
      <c r="C197" s="3"/>
      <c r="D197" s="3"/>
      <c r="E197" s="3"/>
      <c r="F197" s="3"/>
      <c r="G197" s="3"/>
    </row>
    <row r="198" spans="3:7">
      <c r="C198" s="3"/>
      <c r="D198" s="3"/>
      <c r="E198" s="3"/>
      <c r="F198" s="3"/>
      <c r="G198" s="3"/>
    </row>
    <row r="199" spans="3:7">
      <c r="C199" s="3"/>
      <c r="D199" s="3"/>
      <c r="E199" s="3"/>
      <c r="F199" s="3"/>
      <c r="G199" s="3"/>
    </row>
    <row r="200" spans="3:7">
      <c r="C200" s="3"/>
      <c r="D200" s="3"/>
      <c r="E200" s="3"/>
      <c r="F200" s="3"/>
      <c r="G200" s="3"/>
    </row>
    <row r="201" spans="3:7">
      <c r="C201" s="3"/>
      <c r="D201" s="3"/>
      <c r="E201" s="3"/>
      <c r="F201" s="3"/>
      <c r="G201" s="3"/>
    </row>
    <row r="202" spans="3:7">
      <c r="C202" s="3"/>
      <c r="D202" s="3"/>
      <c r="E202" s="3"/>
      <c r="F202" s="3"/>
      <c r="G202" s="3"/>
    </row>
    <row r="203" spans="3:7">
      <c r="C203" s="3"/>
      <c r="D203" s="3"/>
      <c r="E203" s="3"/>
      <c r="F203" s="3"/>
      <c r="G203" s="3"/>
    </row>
    <row r="204" spans="3:7">
      <c r="C204" s="3"/>
      <c r="D204" s="3"/>
      <c r="E204" s="3"/>
      <c r="F204" s="3"/>
      <c r="G204" s="3"/>
    </row>
    <row r="205" spans="3:7">
      <c r="C205" s="3"/>
      <c r="D205" s="3"/>
      <c r="E205" s="3"/>
      <c r="F205" s="3"/>
      <c r="G205" s="3"/>
    </row>
    <row r="206" spans="3:7">
      <c r="C206" s="3"/>
      <c r="D206" s="3"/>
      <c r="E206" s="3"/>
      <c r="F206" s="3"/>
      <c r="G206" s="3"/>
    </row>
    <row r="207" spans="3:7">
      <c r="C207" s="3"/>
      <c r="D207" s="3"/>
      <c r="E207" s="3"/>
      <c r="F207" s="3"/>
      <c r="G207" s="3"/>
    </row>
    <row r="208" spans="3:7">
      <c r="C208" s="3"/>
      <c r="D208" s="3"/>
      <c r="E208" s="3"/>
      <c r="F208" s="3"/>
      <c r="G208" s="3"/>
    </row>
    <row r="209" spans="3:7">
      <c r="C209" s="3"/>
      <c r="D209" s="3"/>
      <c r="E209" s="3"/>
      <c r="F209" s="3"/>
      <c r="G209" s="3"/>
    </row>
    <row r="210" spans="3:7">
      <c r="C210" s="3"/>
      <c r="D210" s="3"/>
      <c r="E210" s="3"/>
      <c r="F210" s="3"/>
      <c r="G210" s="3"/>
    </row>
    <row r="211" spans="3:7">
      <c r="C211" s="3"/>
      <c r="D211" s="3"/>
      <c r="E211" s="3"/>
      <c r="F211" s="3"/>
      <c r="G211" s="3"/>
    </row>
    <row r="212" spans="3:7">
      <c r="C212" s="3"/>
      <c r="D212" s="3"/>
      <c r="E212" s="3"/>
      <c r="F212" s="3"/>
      <c r="G212" s="3"/>
    </row>
    <row r="213" spans="3:7">
      <c r="C213" s="3"/>
      <c r="D213" s="3"/>
      <c r="E213" s="3"/>
      <c r="F213" s="3"/>
      <c r="G213" s="3"/>
    </row>
    <row r="214" spans="3:7">
      <c r="C214" s="3"/>
      <c r="D214" s="3"/>
      <c r="E214" s="3"/>
      <c r="F214" s="3"/>
      <c r="G214" s="3"/>
    </row>
    <row r="215" spans="3:7">
      <c r="C215" s="3"/>
      <c r="D215" s="3"/>
      <c r="E215" s="3"/>
      <c r="F215" s="3"/>
      <c r="G215" s="3"/>
    </row>
    <row r="216" spans="3:7">
      <c r="C216" s="3"/>
      <c r="D216" s="3"/>
      <c r="E216" s="3"/>
      <c r="F216" s="3"/>
      <c r="G216" s="3"/>
    </row>
    <row r="217" spans="3:7">
      <c r="C217" s="3"/>
      <c r="D217" s="3"/>
      <c r="E217" s="3"/>
      <c r="F217" s="3"/>
      <c r="G217" s="3"/>
    </row>
    <row r="218" spans="3:7">
      <c r="C218" s="3"/>
      <c r="D218" s="3"/>
      <c r="E218" s="3"/>
      <c r="F218" s="3"/>
      <c r="G218" s="3"/>
    </row>
    <row r="219" spans="3:7">
      <c r="C219" s="3"/>
      <c r="D219" s="3"/>
      <c r="E219" s="3"/>
      <c r="F219" s="3"/>
      <c r="G219" s="3"/>
    </row>
    <row r="220" spans="3:7">
      <c r="C220" s="3"/>
      <c r="D220" s="3"/>
      <c r="E220" s="3"/>
      <c r="F220" s="3"/>
      <c r="G220" s="3"/>
    </row>
    <row r="221" spans="3:7">
      <c r="C221" s="3"/>
      <c r="D221" s="3"/>
      <c r="E221" s="3"/>
      <c r="F221" s="3"/>
      <c r="G221" s="3"/>
    </row>
    <row r="222" spans="3:7">
      <c r="C222" s="3"/>
      <c r="D222" s="3"/>
      <c r="E222" s="3"/>
      <c r="F222" s="3"/>
      <c r="G222" s="3"/>
    </row>
    <row r="223" spans="3:7">
      <c r="C223" s="3"/>
      <c r="D223" s="3"/>
      <c r="E223" s="3"/>
      <c r="F223" s="3"/>
      <c r="G223" s="3"/>
    </row>
    <row r="224" spans="3:7">
      <c r="C224" s="3"/>
      <c r="D224" s="3"/>
      <c r="E224" s="3"/>
      <c r="F224" s="3"/>
      <c r="G224" s="3"/>
    </row>
    <row r="225" spans="3:7">
      <c r="C225" s="3"/>
      <c r="D225" s="3"/>
      <c r="E225" s="3"/>
      <c r="F225" s="3"/>
      <c r="G225" s="3"/>
    </row>
    <row r="226" spans="3:7">
      <c r="C226" s="3"/>
      <c r="D226" s="3"/>
      <c r="E226" s="3"/>
      <c r="F226" s="3"/>
      <c r="G226" s="3"/>
    </row>
    <row r="227" spans="3:7">
      <c r="C227" s="3"/>
      <c r="D227" s="3"/>
      <c r="E227" s="3"/>
      <c r="F227" s="3"/>
      <c r="G227" s="3"/>
    </row>
    <row r="228" spans="3:7">
      <c r="C228" s="3"/>
      <c r="D228" s="3"/>
      <c r="E228" s="3"/>
      <c r="F228" s="3"/>
      <c r="G228" s="3"/>
    </row>
    <row r="229" spans="3:7">
      <c r="C229" s="3"/>
      <c r="D229" s="3"/>
      <c r="E229" s="3"/>
      <c r="F229" s="3"/>
      <c r="G229" s="3"/>
    </row>
    <row r="230" spans="3:7">
      <c r="C230" s="3"/>
      <c r="D230" s="3"/>
      <c r="E230" s="3"/>
      <c r="F230" s="3"/>
      <c r="G230" s="3"/>
    </row>
    <row r="231" spans="3:7">
      <c r="C231" s="3"/>
      <c r="D231" s="3"/>
      <c r="E231" s="3"/>
      <c r="F231" s="3"/>
      <c r="G231" s="3"/>
    </row>
    <row r="232" spans="3:7">
      <c r="C232" s="3"/>
      <c r="D232" s="3"/>
      <c r="E232" s="3"/>
      <c r="F232" s="3"/>
      <c r="G232" s="3"/>
    </row>
    <row r="233" spans="3:7">
      <c r="C233" s="3"/>
      <c r="D233" s="3"/>
      <c r="E233" s="3"/>
      <c r="F233" s="3"/>
      <c r="G233" s="3"/>
    </row>
    <row r="234" spans="3:7">
      <c r="C234" s="3"/>
      <c r="D234" s="3"/>
      <c r="E234" s="3"/>
      <c r="F234" s="3"/>
      <c r="G234" s="3"/>
    </row>
    <row r="235" spans="3:7">
      <c r="C235" s="3"/>
      <c r="D235" s="3"/>
      <c r="E235" s="3"/>
      <c r="F235" s="3"/>
      <c r="G235" s="3"/>
    </row>
    <row r="236" spans="3:7">
      <c r="C236" s="3"/>
      <c r="D236" s="3"/>
      <c r="E236" s="3"/>
      <c r="F236" s="3"/>
      <c r="G236" s="3"/>
    </row>
    <row r="237" spans="3:7">
      <c r="C237" s="3"/>
      <c r="D237" s="3"/>
      <c r="E237" s="3"/>
      <c r="F237" s="3"/>
      <c r="G237" s="3"/>
    </row>
    <row r="238" spans="3:7">
      <c r="C238" s="3"/>
      <c r="D238" s="3"/>
      <c r="E238" s="3"/>
      <c r="F238" s="3"/>
      <c r="G238" s="3"/>
    </row>
    <row r="239" spans="3:7">
      <c r="C239" s="3"/>
      <c r="D239" s="3"/>
      <c r="E239" s="3"/>
      <c r="F239" s="3"/>
      <c r="G239" s="3"/>
    </row>
    <row r="240" spans="3:7">
      <c r="C240" s="3"/>
      <c r="D240" s="3"/>
      <c r="E240" s="3"/>
      <c r="F240" s="3"/>
      <c r="G240" s="3"/>
    </row>
    <row r="241" spans="3:7">
      <c r="C241" s="3"/>
      <c r="D241" s="3"/>
      <c r="E241" s="3"/>
      <c r="F241" s="3"/>
      <c r="G241" s="3"/>
    </row>
    <row r="242" spans="3:7">
      <c r="C242" s="3"/>
      <c r="D242" s="3"/>
      <c r="E242" s="3"/>
      <c r="F242" s="3"/>
      <c r="G242" s="3"/>
    </row>
    <row r="243" spans="3:7">
      <c r="C243" s="3"/>
      <c r="D243" s="3"/>
      <c r="E243" s="3"/>
      <c r="F243" s="3"/>
      <c r="G243" s="3"/>
    </row>
    <row r="244" spans="3:7">
      <c r="C244" s="3"/>
      <c r="D244" s="3"/>
      <c r="E244" s="3"/>
      <c r="F244" s="3"/>
      <c r="G244" s="3"/>
    </row>
    <row r="245" spans="3:7">
      <c r="C245" s="3"/>
      <c r="D245" s="3"/>
      <c r="E245" s="3"/>
      <c r="F245" s="3"/>
      <c r="G245" s="3"/>
    </row>
    <row r="246" spans="3:7">
      <c r="C246" s="3"/>
      <c r="D246" s="3"/>
      <c r="E246" s="3"/>
      <c r="F246" s="3"/>
      <c r="G246" s="3"/>
    </row>
    <row r="247" spans="3:7">
      <c r="C247" s="3"/>
      <c r="D247" s="3"/>
      <c r="E247" s="3"/>
      <c r="F247" s="3"/>
      <c r="G247" s="3"/>
    </row>
    <row r="248" spans="3:7">
      <c r="C248" s="3"/>
      <c r="D248" s="3"/>
      <c r="E248" s="3"/>
      <c r="F248" s="3"/>
      <c r="G248" s="3"/>
    </row>
    <row r="249" spans="3:7">
      <c r="C249" s="3"/>
      <c r="D249" s="3"/>
      <c r="E249" s="3"/>
      <c r="F249" s="3"/>
      <c r="G249" s="3"/>
    </row>
    <row r="250" spans="3:7">
      <c r="C250" s="3"/>
      <c r="D250" s="3"/>
      <c r="E250" s="3"/>
      <c r="F250" s="3"/>
      <c r="G250" s="3"/>
    </row>
    <row r="251" spans="3:7">
      <c r="C251" s="3"/>
      <c r="D251" s="3"/>
      <c r="E251" s="3"/>
      <c r="F251" s="3"/>
      <c r="G251" s="3"/>
    </row>
    <row r="252" spans="3:7">
      <c r="C252" s="3"/>
      <c r="D252" s="3"/>
      <c r="E252" s="3"/>
      <c r="F252" s="3"/>
      <c r="G252" s="3"/>
    </row>
    <row r="253" spans="3:7">
      <c r="C253" s="3"/>
      <c r="D253" s="3"/>
      <c r="E253" s="3"/>
      <c r="F253" s="3"/>
      <c r="G253" s="3"/>
    </row>
    <row r="254" spans="3:7">
      <c r="C254" s="3"/>
      <c r="D254" s="3"/>
      <c r="E254" s="3"/>
      <c r="F254" s="3"/>
      <c r="G254" s="3"/>
    </row>
    <row r="255" spans="3:7">
      <c r="C255" s="3"/>
      <c r="D255" s="3"/>
      <c r="E255" s="3"/>
      <c r="F255" s="3"/>
      <c r="G255" s="3"/>
    </row>
    <row r="256" spans="3:7">
      <c r="C256" s="3"/>
      <c r="D256" s="3"/>
      <c r="E256" s="3"/>
      <c r="F256" s="3"/>
      <c r="G256" s="3"/>
    </row>
    <row r="257" spans="3:7">
      <c r="C257" s="3"/>
      <c r="D257" s="3"/>
      <c r="E257" s="3"/>
      <c r="F257" s="3"/>
      <c r="G257" s="3"/>
    </row>
    <row r="258" spans="3:7">
      <c r="C258" s="3"/>
      <c r="D258" s="3"/>
      <c r="E258" s="3"/>
      <c r="F258" s="3"/>
      <c r="G258" s="3"/>
    </row>
    <row r="259" spans="3:7">
      <c r="C259" s="3"/>
      <c r="D259" s="3"/>
      <c r="E259" s="3"/>
      <c r="F259" s="3"/>
      <c r="G259" s="3"/>
    </row>
    <row r="260" spans="3:7">
      <c r="C260" s="3"/>
      <c r="D260" s="3"/>
      <c r="E260" s="3"/>
      <c r="F260" s="3"/>
      <c r="G260" s="3"/>
    </row>
    <row r="261" spans="3:7">
      <c r="C261" s="3"/>
      <c r="D261" s="3"/>
      <c r="E261" s="3"/>
      <c r="F261" s="3"/>
      <c r="G261" s="3"/>
    </row>
    <row r="262" spans="3:7">
      <c r="C262" s="3"/>
      <c r="D262" s="3"/>
      <c r="E262" s="3"/>
      <c r="F262" s="3"/>
      <c r="G262" s="3"/>
    </row>
    <row r="263" spans="3:7">
      <c r="C263" s="3"/>
      <c r="D263" s="3"/>
      <c r="E263" s="3"/>
      <c r="F263" s="3"/>
      <c r="G263" s="3"/>
    </row>
    <row r="264" spans="3:7">
      <c r="C264" s="3"/>
      <c r="D264" s="3"/>
      <c r="E264" s="3"/>
      <c r="F264" s="3"/>
      <c r="G264" s="3"/>
    </row>
    <row r="265" spans="3:7">
      <c r="C265" s="3"/>
      <c r="D265" s="3"/>
      <c r="E265" s="3"/>
      <c r="F265" s="3"/>
      <c r="G265" s="3"/>
    </row>
    <row r="266" spans="3:7">
      <c r="C266" s="3"/>
      <c r="D266" s="3"/>
      <c r="E266" s="3"/>
      <c r="F266" s="3"/>
      <c r="G266" s="3"/>
    </row>
    <row r="267" spans="3:7">
      <c r="C267" s="3"/>
      <c r="D267" s="3"/>
      <c r="E267" s="3"/>
      <c r="F267" s="3"/>
      <c r="G267" s="3"/>
    </row>
    <row r="268" spans="3:7">
      <c r="C268" s="3"/>
      <c r="D268" s="3"/>
      <c r="E268" s="3"/>
      <c r="F268" s="3"/>
      <c r="G268" s="3"/>
    </row>
    <row r="269" spans="3:7">
      <c r="C269" s="3"/>
      <c r="D269" s="3"/>
      <c r="E269" s="3"/>
      <c r="F269" s="3"/>
      <c r="G269" s="3"/>
    </row>
    <row r="270" spans="3:7">
      <c r="C270" s="3"/>
      <c r="D270" s="3"/>
      <c r="E270" s="3"/>
      <c r="F270" s="3"/>
      <c r="G270" s="3"/>
    </row>
    <row r="271" spans="3:7">
      <c r="C271" s="3"/>
      <c r="D271" s="3"/>
      <c r="E271" s="3"/>
      <c r="F271" s="3"/>
      <c r="G271" s="3"/>
    </row>
    <row r="272" spans="3:7">
      <c r="C272" s="3"/>
      <c r="D272" s="3"/>
      <c r="E272" s="3"/>
      <c r="F272" s="3"/>
      <c r="G272" s="3"/>
    </row>
    <row r="273" spans="3:7">
      <c r="C273" s="3"/>
      <c r="D273" s="3"/>
      <c r="E273" s="3"/>
      <c r="F273" s="3"/>
      <c r="G273" s="3"/>
    </row>
    <row r="274" spans="3:7">
      <c r="C274" s="3"/>
      <c r="D274" s="3"/>
      <c r="E274" s="3"/>
      <c r="F274" s="3"/>
      <c r="G274" s="3"/>
    </row>
    <row r="275" spans="3:7">
      <c r="C275" s="3"/>
      <c r="D275" s="3"/>
      <c r="E275" s="3"/>
      <c r="F275" s="3"/>
      <c r="G275" s="3"/>
    </row>
    <row r="276" spans="3:7">
      <c r="C276" s="3"/>
      <c r="D276" s="3"/>
      <c r="E276" s="3"/>
      <c r="F276" s="3"/>
      <c r="G276" s="3"/>
    </row>
    <row r="277" spans="3:7">
      <c r="C277" s="3"/>
      <c r="D277" s="3"/>
      <c r="E277" s="3"/>
      <c r="F277" s="3"/>
      <c r="G277" s="3"/>
    </row>
    <row r="278" spans="3:7">
      <c r="C278" s="3"/>
      <c r="D278" s="3"/>
      <c r="E278" s="3"/>
      <c r="F278" s="3"/>
      <c r="G278" s="3"/>
    </row>
    <row r="279" spans="3:7">
      <c r="C279" s="3"/>
      <c r="D279" s="3"/>
      <c r="E279" s="3"/>
      <c r="F279" s="3"/>
      <c r="G279" s="3"/>
    </row>
    <row r="280" spans="3:7">
      <c r="C280" s="3"/>
      <c r="D280" s="3"/>
      <c r="E280" s="3"/>
      <c r="F280" s="3"/>
      <c r="G280" s="3"/>
    </row>
    <row r="281" spans="3:7">
      <c r="C281" s="3"/>
      <c r="D281" s="3"/>
      <c r="E281" s="3"/>
      <c r="F281" s="3"/>
      <c r="G281" s="3"/>
    </row>
    <row r="282" spans="3:7">
      <c r="C282" s="3"/>
      <c r="D282" s="3"/>
      <c r="E282" s="3"/>
      <c r="F282" s="3"/>
      <c r="G282" s="3"/>
    </row>
    <row r="283" spans="3:7">
      <c r="C283" s="3"/>
      <c r="D283" s="3"/>
      <c r="E283" s="3"/>
      <c r="F283" s="3"/>
      <c r="G283" s="3"/>
    </row>
    <row r="284" spans="3:7">
      <c r="C284" s="3"/>
      <c r="D284" s="3"/>
      <c r="E284" s="3"/>
      <c r="F284" s="3"/>
      <c r="G284" s="3"/>
    </row>
    <row r="285" spans="3:7">
      <c r="C285" s="3"/>
      <c r="D285" s="3"/>
      <c r="E285" s="3"/>
      <c r="F285" s="3"/>
      <c r="G285" s="3"/>
    </row>
    <row r="286" spans="3:7">
      <c r="C286" s="3"/>
      <c r="D286" s="3"/>
      <c r="E286" s="3"/>
      <c r="F286" s="3"/>
      <c r="G286" s="3"/>
    </row>
    <row r="287" spans="3:7">
      <c r="C287" s="3"/>
      <c r="D287" s="3"/>
      <c r="E287" s="3"/>
      <c r="F287" s="3"/>
      <c r="G287" s="3"/>
    </row>
    <row r="288" spans="3:7">
      <c r="C288" s="3"/>
      <c r="D288" s="3"/>
      <c r="E288" s="3"/>
      <c r="F288" s="3"/>
      <c r="G288" s="3"/>
    </row>
    <row r="289" spans="3:7">
      <c r="C289" s="3"/>
      <c r="D289" s="3"/>
      <c r="E289" s="3"/>
      <c r="F289" s="3"/>
      <c r="G289" s="3"/>
    </row>
    <row r="290" spans="3:7">
      <c r="C290" s="3"/>
      <c r="D290" s="3"/>
      <c r="E290" s="3"/>
      <c r="F290" s="3"/>
      <c r="G290" s="3"/>
    </row>
    <row r="291" spans="3:7">
      <c r="C291" s="3"/>
      <c r="D291" s="3"/>
      <c r="E291" s="3"/>
      <c r="F291" s="3"/>
      <c r="G291" s="3"/>
    </row>
    <row r="292" spans="3:7">
      <c r="C292" s="3"/>
      <c r="D292" s="3"/>
      <c r="E292" s="3"/>
      <c r="F292" s="3"/>
      <c r="G292" s="3"/>
    </row>
    <row r="293" spans="3:7">
      <c r="C293" s="3"/>
      <c r="D293" s="3"/>
      <c r="E293" s="3"/>
      <c r="F293" s="3"/>
      <c r="G293" s="3"/>
    </row>
    <row r="294" spans="3:7">
      <c r="C294" s="3"/>
      <c r="D294" s="3"/>
      <c r="E294" s="3"/>
      <c r="F294" s="3"/>
      <c r="G294" s="3"/>
    </row>
    <row r="295" spans="3:7">
      <c r="C295" s="3"/>
      <c r="D295" s="3"/>
      <c r="E295" s="3"/>
      <c r="F295" s="3"/>
      <c r="G295" s="3"/>
    </row>
    <row r="296" spans="3:7">
      <c r="C296" s="3"/>
      <c r="D296" s="3"/>
      <c r="E296" s="3"/>
      <c r="F296" s="3"/>
      <c r="G296" s="3"/>
    </row>
    <row r="297" spans="3:7">
      <c r="C297" s="3"/>
      <c r="D297" s="3"/>
      <c r="E297" s="3"/>
      <c r="F297" s="3"/>
      <c r="G297" s="3"/>
    </row>
    <row r="298" spans="3:7">
      <c r="C298" s="3"/>
      <c r="D298" s="3"/>
      <c r="E298" s="3"/>
      <c r="F298" s="3"/>
      <c r="G298" s="3"/>
    </row>
    <row r="299" spans="3:7">
      <c r="C299" s="3"/>
      <c r="D299" s="3"/>
      <c r="E299" s="3"/>
      <c r="F299" s="3"/>
      <c r="G299" s="3"/>
    </row>
    <row r="300" spans="3:7">
      <c r="C300" s="3"/>
      <c r="D300" s="3"/>
      <c r="E300" s="3"/>
      <c r="F300" s="3"/>
      <c r="G300" s="3"/>
    </row>
    <row r="301" spans="3:7">
      <c r="C301" s="3"/>
      <c r="D301" s="3"/>
      <c r="E301" s="3"/>
      <c r="F301" s="3"/>
      <c r="G301" s="3"/>
    </row>
    <row r="302" spans="3:7">
      <c r="C302" s="3"/>
      <c r="D302" s="3"/>
      <c r="E302" s="3"/>
      <c r="F302" s="3"/>
      <c r="G302" s="3"/>
    </row>
    <row r="303" spans="3:7">
      <c r="C303" s="3"/>
      <c r="D303" s="3"/>
      <c r="E303" s="3"/>
      <c r="F303" s="3"/>
      <c r="G303" s="3"/>
    </row>
    <row r="304" spans="3:7">
      <c r="C304" s="3"/>
      <c r="D304" s="3"/>
      <c r="E304" s="3"/>
      <c r="F304" s="3"/>
      <c r="G304" s="3"/>
    </row>
    <row r="305" spans="3:7">
      <c r="C305" s="3"/>
      <c r="D305" s="3"/>
      <c r="E305" s="3"/>
      <c r="F305" s="3"/>
      <c r="G305" s="3"/>
    </row>
    <row r="306" spans="3:7">
      <c r="C306" s="3"/>
      <c r="D306" s="3"/>
      <c r="E306" s="3"/>
      <c r="F306" s="3"/>
      <c r="G306" s="3"/>
    </row>
    <row r="307" spans="3:7">
      <c r="C307" s="3"/>
      <c r="D307" s="3"/>
      <c r="E307" s="3"/>
      <c r="F307" s="3"/>
      <c r="G307" s="3"/>
    </row>
    <row r="308" spans="3:7">
      <c r="C308" s="3"/>
      <c r="D308" s="3"/>
      <c r="E308" s="3"/>
      <c r="F308" s="3"/>
      <c r="G308" s="3"/>
    </row>
    <row r="309" spans="3:7">
      <c r="C309" s="3"/>
      <c r="D309" s="3"/>
      <c r="E309" s="3"/>
      <c r="F309" s="3"/>
      <c r="G309" s="3"/>
    </row>
    <row r="310" spans="3:7">
      <c r="C310" s="3"/>
      <c r="D310" s="3"/>
      <c r="E310" s="3"/>
      <c r="F310" s="3"/>
      <c r="G310" s="3"/>
    </row>
    <row r="311" spans="3:7">
      <c r="C311" s="3"/>
      <c r="D311" s="3"/>
      <c r="E311" s="3"/>
      <c r="F311" s="3"/>
      <c r="G311" s="3"/>
    </row>
    <row r="312" spans="3:7">
      <c r="C312" s="3"/>
      <c r="D312" s="3"/>
      <c r="E312" s="3"/>
      <c r="F312" s="3"/>
      <c r="G312" s="3"/>
    </row>
    <row r="313" spans="3:7">
      <c r="C313" s="3"/>
      <c r="D313" s="3"/>
      <c r="E313" s="3"/>
      <c r="F313" s="3"/>
      <c r="G313" s="3"/>
    </row>
    <row r="314" spans="3:7">
      <c r="C314" s="3"/>
      <c r="D314" s="3"/>
      <c r="E314" s="3"/>
      <c r="F314" s="3"/>
      <c r="G314" s="3"/>
    </row>
    <row r="315" spans="3:7">
      <c r="C315" s="3"/>
      <c r="D315" s="3"/>
      <c r="E315" s="3"/>
      <c r="F315" s="3"/>
      <c r="G315" s="3"/>
    </row>
    <row r="316" spans="3:7">
      <c r="C316" s="3"/>
      <c r="D316" s="3"/>
      <c r="E316" s="3"/>
      <c r="F316" s="3"/>
      <c r="G316" s="3"/>
    </row>
    <row r="317" spans="3:7">
      <c r="C317" s="3"/>
      <c r="D317" s="3"/>
      <c r="E317" s="3"/>
      <c r="F317" s="3"/>
      <c r="G317" s="3"/>
    </row>
    <row r="318" spans="3:7">
      <c r="C318" s="3"/>
      <c r="D318" s="3"/>
      <c r="E318" s="3"/>
      <c r="F318" s="3"/>
      <c r="G318" s="3"/>
    </row>
    <row r="319" spans="3:7">
      <c r="C319" s="3"/>
      <c r="D319" s="3"/>
      <c r="E319" s="3"/>
      <c r="F319" s="3"/>
      <c r="G319" s="3"/>
    </row>
    <row r="320" spans="3:7">
      <c r="C320" s="3"/>
      <c r="D320" s="3"/>
      <c r="E320" s="3"/>
      <c r="F320" s="3"/>
      <c r="G320" s="3"/>
    </row>
    <row r="321" spans="3:7">
      <c r="C321" s="3"/>
      <c r="D321" s="3"/>
      <c r="E321" s="3"/>
      <c r="F321" s="3"/>
      <c r="G321" s="3"/>
    </row>
    <row r="322" spans="3:7">
      <c r="C322" s="3"/>
      <c r="D322" s="3"/>
      <c r="E322" s="3"/>
      <c r="F322" s="3"/>
      <c r="G322" s="3"/>
    </row>
    <row r="323" spans="3:7">
      <c r="C323" s="3"/>
      <c r="D323" s="3"/>
      <c r="E323" s="3"/>
      <c r="F323" s="3"/>
      <c r="G323" s="3"/>
    </row>
    <row r="324" spans="3:7">
      <c r="C324" s="3"/>
      <c r="D324" s="3"/>
      <c r="E324" s="3"/>
      <c r="F324" s="3"/>
      <c r="G324" s="3"/>
    </row>
    <row r="325" spans="3:7">
      <c r="C325" s="3"/>
      <c r="D325" s="3"/>
      <c r="E325" s="3"/>
      <c r="F325" s="3"/>
      <c r="G325" s="3"/>
    </row>
    <row r="326" spans="3:7">
      <c r="C326" s="3"/>
      <c r="D326" s="3"/>
      <c r="E326" s="3"/>
      <c r="F326" s="3"/>
      <c r="G326" s="3"/>
    </row>
    <row r="327" spans="3:7">
      <c r="C327" s="3"/>
      <c r="D327" s="3"/>
      <c r="E327" s="3"/>
      <c r="F327" s="3"/>
      <c r="G327" s="3"/>
    </row>
    <row r="328" spans="3:7">
      <c r="C328" s="3"/>
      <c r="D328" s="3"/>
      <c r="E328" s="3"/>
      <c r="F328" s="3"/>
      <c r="G328" s="3"/>
    </row>
    <row r="329" spans="3:7">
      <c r="C329" s="3"/>
      <c r="D329" s="3"/>
      <c r="E329" s="3"/>
      <c r="F329" s="3"/>
      <c r="G329" s="3"/>
    </row>
    <row r="330" spans="3:7">
      <c r="C330" s="3"/>
      <c r="D330" s="3"/>
      <c r="E330" s="3"/>
      <c r="F330" s="3"/>
      <c r="G330" s="3"/>
    </row>
    <row r="331" spans="3:7">
      <c r="C331" s="3"/>
      <c r="D331" s="3"/>
      <c r="E331" s="3"/>
      <c r="F331" s="3"/>
      <c r="G331" s="3"/>
    </row>
    <row r="332" spans="3:7">
      <c r="C332" s="3"/>
      <c r="D332" s="3"/>
      <c r="E332" s="3"/>
      <c r="F332" s="3"/>
      <c r="G332" s="3"/>
    </row>
    <row r="333" spans="3:7">
      <c r="C333" s="3"/>
      <c r="D333" s="3"/>
      <c r="E333" s="3"/>
      <c r="F333" s="3"/>
      <c r="G333" s="3"/>
    </row>
    <row r="334" spans="3:7">
      <c r="C334" s="3"/>
      <c r="D334" s="3"/>
      <c r="E334" s="3"/>
      <c r="F334" s="3"/>
      <c r="G334" s="3"/>
    </row>
    <row r="335" spans="3:7">
      <c r="C335" s="3"/>
      <c r="D335" s="3"/>
      <c r="E335" s="3"/>
      <c r="F335" s="3"/>
      <c r="G335" s="3"/>
    </row>
    <row r="336" spans="3:7">
      <c r="C336" s="3"/>
      <c r="D336" s="3"/>
      <c r="E336" s="3"/>
      <c r="F336" s="3"/>
      <c r="G336" s="3"/>
    </row>
    <row r="337" spans="3:7">
      <c r="C337" s="3"/>
      <c r="D337" s="3"/>
      <c r="E337" s="3"/>
      <c r="F337" s="3"/>
      <c r="G337" s="3"/>
    </row>
    <row r="338" spans="3:7">
      <c r="C338" s="3"/>
      <c r="D338" s="3"/>
      <c r="E338" s="3"/>
      <c r="F338" s="3"/>
      <c r="G338" s="3"/>
    </row>
    <row r="339" spans="3:7">
      <c r="C339" s="3"/>
      <c r="D339" s="3"/>
      <c r="E339" s="3"/>
      <c r="F339" s="3"/>
      <c r="G339" s="3"/>
    </row>
    <row r="340" spans="3:7">
      <c r="C340" s="3"/>
      <c r="D340" s="3"/>
      <c r="E340" s="3"/>
      <c r="F340" s="3"/>
      <c r="G340" s="3"/>
    </row>
    <row r="341" spans="3:7">
      <c r="C341" s="3"/>
      <c r="D341" s="3"/>
      <c r="E341" s="3"/>
      <c r="F341" s="3"/>
      <c r="G341" s="3"/>
    </row>
    <row r="342" spans="3:7">
      <c r="C342" s="3"/>
      <c r="D342" s="3"/>
      <c r="E342" s="3"/>
      <c r="F342" s="3"/>
      <c r="G342" s="3"/>
    </row>
    <row r="343" spans="3:7">
      <c r="C343" s="3"/>
      <c r="D343" s="3"/>
      <c r="E343" s="3"/>
      <c r="F343" s="3"/>
      <c r="G343" s="3"/>
    </row>
    <row r="344" spans="3:7">
      <c r="C344" s="3"/>
      <c r="D344" s="3"/>
      <c r="E344" s="3"/>
      <c r="F344" s="3"/>
      <c r="G344" s="3"/>
    </row>
    <row r="345" spans="3:7">
      <c r="C345" s="3"/>
      <c r="D345" s="3"/>
      <c r="E345" s="3"/>
      <c r="F345" s="3"/>
      <c r="G345" s="3"/>
    </row>
    <row r="346" spans="3:7">
      <c r="C346" s="3"/>
      <c r="D346" s="3"/>
      <c r="E346" s="3"/>
      <c r="F346" s="3"/>
      <c r="G346" s="3"/>
    </row>
    <row r="347" spans="3:7">
      <c r="C347" s="3"/>
      <c r="D347" s="3"/>
      <c r="E347" s="3"/>
      <c r="F347" s="3"/>
      <c r="G347" s="3"/>
    </row>
    <row r="348" spans="3:7">
      <c r="C348" s="3"/>
      <c r="D348" s="3"/>
      <c r="E348" s="3"/>
      <c r="F348" s="3"/>
      <c r="G348" s="3"/>
    </row>
    <row r="349" spans="3:7">
      <c r="C349" s="3"/>
      <c r="D349" s="3"/>
      <c r="E349" s="3"/>
      <c r="F349" s="3"/>
      <c r="G349" s="3"/>
    </row>
    <row r="350" spans="3:7">
      <c r="C350" s="3"/>
      <c r="D350" s="3"/>
      <c r="E350" s="3"/>
      <c r="F350" s="3"/>
      <c r="G350" s="3"/>
    </row>
    <row r="351" spans="3:7">
      <c r="C351" s="3"/>
      <c r="D351" s="3"/>
      <c r="E351" s="3"/>
      <c r="F351" s="3"/>
      <c r="G351" s="3"/>
    </row>
    <row r="352" spans="3:7">
      <c r="C352" s="3"/>
      <c r="D352" s="3"/>
      <c r="E352" s="3"/>
      <c r="F352" s="3"/>
      <c r="G352" s="3"/>
    </row>
    <row r="353" spans="3:7">
      <c r="C353" s="3"/>
      <c r="D353" s="3"/>
      <c r="E353" s="3"/>
      <c r="F353" s="3"/>
      <c r="G353" s="3"/>
    </row>
    <row r="354" spans="3:7">
      <c r="C354" s="3"/>
      <c r="D354" s="3"/>
      <c r="E354" s="3"/>
      <c r="F354" s="3"/>
      <c r="G354" s="3"/>
    </row>
    <row r="355" spans="3:7">
      <c r="C355" s="3"/>
      <c r="D355" s="3"/>
      <c r="E355" s="3"/>
      <c r="F355" s="3"/>
      <c r="G355" s="3"/>
    </row>
    <row r="356" spans="3:7">
      <c r="C356" s="3"/>
      <c r="D356" s="3"/>
      <c r="E356" s="3"/>
      <c r="F356" s="3"/>
      <c r="G356" s="3"/>
    </row>
    <row r="357" spans="3:7">
      <c r="C357" s="3"/>
      <c r="D357" s="3"/>
      <c r="E357" s="3"/>
      <c r="F357" s="3"/>
      <c r="G357" s="3"/>
    </row>
    <row r="358" spans="3:7">
      <c r="C358" s="3"/>
      <c r="D358" s="3"/>
      <c r="E358" s="3"/>
      <c r="F358" s="3"/>
      <c r="G358" s="3"/>
    </row>
    <row r="359" spans="3:7">
      <c r="C359" s="3"/>
      <c r="D359" s="3"/>
      <c r="E359" s="3"/>
      <c r="F359" s="3"/>
      <c r="G359" s="3"/>
    </row>
    <row r="360" spans="3:7">
      <c r="C360" s="3"/>
      <c r="D360" s="3"/>
      <c r="E360" s="3"/>
      <c r="F360" s="3"/>
      <c r="G360" s="3"/>
    </row>
    <row r="361" spans="3:7">
      <c r="C361" s="3"/>
      <c r="D361" s="3"/>
      <c r="E361" s="3"/>
      <c r="F361" s="3"/>
      <c r="G361" s="3"/>
    </row>
    <row r="362" spans="3:7">
      <c r="C362" s="3"/>
      <c r="D362" s="3"/>
      <c r="E362" s="3"/>
      <c r="F362" s="3"/>
      <c r="G362" s="3"/>
    </row>
    <row r="363" spans="3:7">
      <c r="C363" s="3"/>
      <c r="D363" s="3"/>
      <c r="E363" s="3"/>
      <c r="F363" s="3"/>
      <c r="G363" s="3"/>
    </row>
    <row r="364" spans="3:7">
      <c r="C364" s="3"/>
      <c r="D364" s="3"/>
      <c r="E364" s="3"/>
      <c r="F364" s="3"/>
      <c r="G364" s="3"/>
    </row>
    <row r="365" spans="3:7">
      <c r="C365" s="3"/>
      <c r="D365" s="3"/>
      <c r="E365" s="3"/>
      <c r="F365" s="3"/>
      <c r="G365" s="3"/>
    </row>
    <row r="366" spans="3:7">
      <c r="C366" s="3"/>
      <c r="D366" s="3"/>
      <c r="E366" s="3"/>
      <c r="F366" s="3"/>
      <c r="G366" s="3"/>
    </row>
    <row r="367" spans="3:7">
      <c r="C367" s="3"/>
      <c r="D367" s="3"/>
      <c r="E367" s="3"/>
      <c r="F367" s="3"/>
      <c r="G367" s="3"/>
    </row>
    <row r="368" spans="3:7">
      <c r="C368" s="3"/>
      <c r="D368" s="3"/>
      <c r="E368" s="3"/>
      <c r="F368" s="3"/>
      <c r="G368" s="3"/>
    </row>
    <row r="369" spans="3:7">
      <c r="C369" s="3"/>
      <c r="D369" s="3"/>
      <c r="E369" s="3"/>
      <c r="F369" s="3"/>
      <c r="G369" s="3"/>
    </row>
    <row r="370" spans="3:7">
      <c r="C370" s="3"/>
      <c r="D370" s="3"/>
      <c r="E370" s="3"/>
      <c r="F370" s="3"/>
      <c r="G370" s="3"/>
    </row>
    <row r="371" spans="3:7">
      <c r="C371" s="3"/>
      <c r="D371" s="3"/>
      <c r="E371" s="3"/>
      <c r="F371" s="3"/>
      <c r="G371" s="3"/>
    </row>
    <row r="372" spans="3:7">
      <c r="C372" s="3"/>
      <c r="D372" s="3"/>
      <c r="E372" s="3"/>
      <c r="F372" s="3"/>
      <c r="G372" s="3"/>
    </row>
    <row r="373" spans="3:7">
      <c r="C373" s="3"/>
      <c r="D373" s="3"/>
      <c r="E373" s="3"/>
      <c r="F373" s="3"/>
      <c r="G373" s="3"/>
    </row>
    <row r="374" spans="3:7">
      <c r="C374" s="3"/>
      <c r="D374" s="3"/>
      <c r="E374" s="3"/>
      <c r="F374" s="3"/>
      <c r="G374" s="3"/>
    </row>
    <row r="375" spans="3:7">
      <c r="C375" s="3"/>
      <c r="D375" s="3"/>
      <c r="E375" s="3"/>
      <c r="F375" s="3"/>
      <c r="G375" s="3"/>
    </row>
    <row r="376" spans="3:7">
      <c r="C376" s="3"/>
      <c r="D376" s="3"/>
      <c r="E376" s="3"/>
      <c r="F376" s="3"/>
      <c r="G376" s="3"/>
    </row>
    <row r="377" spans="3:7">
      <c r="C377" s="3"/>
      <c r="D377" s="3"/>
      <c r="E377" s="3"/>
      <c r="F377" s="3"/>
      <c r="G377" s="3"/>
    </row>
    <row r="378" spans="3:7">
      <c r="C378" s="3"/>
      <c r="D378" s="3"/>
      <c r="E378" s="3"/>
      <c r="F378" s="3"/>
      <c r="G378" s="3"/>
    </row>
    <row r="379" spans="3:7">
      <c r="C379" s="3"/>
      <c r="D379" s="3"/>
      <c r="E379" s="3"/>
      <c r="F379" s="3"/>
      <c r="G379" s="3"/>
    </row>
    <row r="380" spans="3:7">
      <c r="C380" s="3"/>
      <c r="D380" s="3"/>
      <c r="E380" s="3"/>
      <c r="F380" s="3"/>
      <c r="G380" s="3"/>
    </row>
    <row r="381" spans="3:7">
      <c r="C381" s="3"/>
      <c r="D381" s="3"/>
      <c r="E381" s="3"/>
      <c r="F381" s="3"/>
      <c r="G381" s="3"/>
    </row>
    <row r="382" spans="3:7">
      <c r="C382" s="3"/>
      <c r="D382" s="3"/>
      <c r="E382" s="3"/>
      <c r="F382" s="3"/>
      <c r="G382" s="3"/>
    </row>
    <row r="383" spans="3:7">
      <c r="C383" s="3"/>
      <c r="D383" s="3"/>
      <c r="E383" s="3"/>
      <c r="F383" s="3"/>
      <c r="G383" s="3"/>
    </row>
    <row r="384" spans="3:7">
      <c r="C384" s="3"/>
      <c r="D384" s="3"/>
      <c r="E384" s="3"/>
      <c r="F384" s="3"/>
      <c r="G384" s="3"/>
    </row>
    <row r="385" spans="3:7">
      <c r="C385" s="3"/>
      <c r="D385" s="3"/>
      <c r="E385" s="3"/>
      <c r="F385" s="3"/>
      <c r="G385" s="3"/>
    </row>
    <row r="386" spans="3:7">
      <c r="C386" s="3"/>
      <c r="D386" s="3"/>
      <c r="E386" s="3"/>
      <c r="F386" s="3"/>
      <c r="G386" s="3"/>
    </row>
    <row r="387" spans="3:7">
      <c r="C387" s="3"/>
      <c r="D387" s="3"/>
      <c r="E387" s="3"/>
      <c r="F387" s="3"/>
      <c r="G387" s="3"/>
    </row>
    <row r="388" spans="3:7">
      <c r="C388" s="3"/>
      <c r="D388" s="3"/>
      <c r="E388" s="3"/>
      <c r="F388" s="3"/>
      <c r="G388" s="3"/>
    </row>
    <row r="389" spans="3:7">
      <c r="C389" s="3"/>
      <c r="D389" s="3"/>
      <c r="E389" s="3"/>
      <c r="F389" s="3"/>
      <c r="G389" s="3"/>
    </row>
    <row r="390" spans="3:7">
      <c r="C390" s="3"/>
      <c r="D390" s="3"/>
      <c r="E390" s="3"/>
      <c r="F390" s="3"/>
      <c r="G390" s="3"/>
    </row>
    <row r="391" spans="3:7">
      <c r="C391" s="3"/>
      <c r="D391" s="3"/>
      <c r="E391" s="3"/>
      <c r="F391" s="3"/>
      <c r="G391" s="3"/>
    </row>
    <row r="392" spans="3:7">
      <c r="C392" s="3"/>
      <c r="D392" s="3"/>
      <c r="E392" s="3"/>
      <c r="F392" s="3"/>
      <c r="G392" s="3"/>
    </row>
    <row r="393" spans="3:7">
      <c r="C393" s="3"/>
      <c r="D393" s="3"/>
      <c r="E393" s="3"/>
      <c r="F393" s="3"/>
      <c r="G393" s="3"/>
    </row>
    <row r="394" spans="3:7">
      <c r="C394" s="3"/>
      <c r="D394" s="3"/>
      <c r="E394" s="3"/>
      <c r="F394" s="3"/>
      <c r="G394" s="3"/>
    </row>
    <row r="395" spans="3:7">
      <c r="C395" s="3"/>
      <c r="D395" s="3"/>
      <c r="E395" s="3"/>
      <c r="F395" s="3"/>
      <c r="G395" s="3"/>
    </row>
    <row r="396" spans="3:7">
      <c r="C396" s="3"/>
      <c r="D396" s="3"/>
      <c r="E396" s="3"/>
      <c r="F396" s="3"/>
      <c r="G396" s="3"/>
    </row>
    <row r="397" spans="3:7">
      <c r="C397" s="3"/>
      <c r="D397" s="3"/>
      <c r="E397" s="3"/>
      <c r="F397" s="3"/>
      <c r="G397" s="3"/>
    </row>
    <row r="398" spans="3:7">
      <c r="C398" s="3"/>
      <c r="D398" s="3"/>
      <c r="E398" s="3"/>
      <c r="F398" s="3"/>
      <c r="G398" s="3"/>
    </row>
    <row r="399" spans="3:7">
      <c r="C399" s="3"/>
      <c r="D399" s="3"/>
      <c r="E399" s="3"/>
      <c r="F399" s="3"/>
      <c r="G399" s="3"/>
    </row>
    <row r="400" spans="3:7">
      <c r="C400" s="3"/>
      <c r="D400" s="3"/>
      <c r="E400" s="3"/>
      <c r="F400" s="3"/>
      <c r="G400" s="3"/>
    </row>
    <row r="401" spans="3:7">
      <c r="C401" s="3"/>
      <c r="D401" s="3"/>
      <c r="E401" s="3"/>
      <c r="F401" s="3"/>
      <c r="G401" s="3"/>
    </row>
    <row r="402" spans="3:7">
      <c r="C402" s="3"/>
      <c r="D402" s="3"/>
      <c r="E402" s="3"/>
      <c r="F402" s="3"/>
      <c r="G402" s="3"/>
    </row>
    <row r="403" spans="3:7">
      <c r="C403" s="3"/>
      <c r="D403" s="3"/>
      <c r="E403" s="3"/>
      <c r="F403" s="3"/>
      <c r="G403" s="3"/>
    </row>
    <row r="404" spans="3:7">
      <c r="C404" s="3"/>
      <c r="D404" s="3"/>
      <c r="E404" s="3"/>
      <c r="F404" s="3"/>
      <c r="G404" s="3"/>
    </row>
    <row r="405" spans="3:7">
      <c r="C405" s="3"/>
      <c r="D405" s="3"/>
      <c r="E405" s="3"/>
      <c r="F405" s="3"/>
      <c r="G405" s="3"/>
    </row>
    <row r="406" spans="3:7">
      <c r="C406" s="3"/>
      <c r="D406" s="3"/>
      <c r="E406" s="3"/>
      <c r="F406" s="3"/>
      <c r="G406" s="3"/>
    </row>
    <row r="407" spans="3:7">
      <c r="C407" s="3"/>
      <c r="D407" s="3"/>
      <c r="E407" s="3"/>
      <c r="F407" s="3"/>
      <c r="G407" s="3"/>
    </row>
    <row r="408" spans="3:7">
      <c r="C408" s="3"/>
      <c r="D408" s="3"/>
      <c r="E408" s="3"/>
      <c r="F408" s="3"/>
      <c r="G408" s="3"/>
    </row>
    <row r="409" spans="3:7">
      <c r="C409" s="3"/>
      <c r="D409" s="3"/>
      <c r="E409" s="3"/>
      <c r="F409" s="3"/>
      <c r="G409" s="3"/>
    </row>
    <row r="410" spans="3:7">
      <c r="C410" s="3"/>
      <c r="D410" s="3"/>
      <c r="E410" s="3"/>
      <c r="F410" s="3"/>
      <c r="G410" s="3"/>
    </row>
    <row r="411" spans="3:7">
      <c r="C411" s="3"/>
      <c r="D411" s="3"/>
      <c r="E411" s="3"/>
      <c r="F411" s="3"/>
      <c r="G411" s="3"/>
    </row>
    <row r="412" spans="3:7">
      <c r="C412" s="3"/>
      <c r="D412" s="3"/>
      <c r="E412" s="3"/>
      <c r="F412" s="3"/>
      <c r="G412" s="3"/>
    </row>
    <row r="413" spans="3:7">
      <c r="C413" s="3"/>
      <c r="D413" s="3"/>
      <c r="E413" s="3"/>
      <c r="F413" s="3"/>
      <c r="G413" s="3"/>
    </row>
    <row r="414" spans="3:7">
      <c r="C414" s="3"/>
      <c r="D414" s="3"/>
      <c r="E414" s="3"/>
      <c r="F414" s="3"/>
      <c r="G414" s="3"/>
    </row>
    <row r="415" spans="3:7">
      <c r="C415" s="3"/>
      <c r="D415" s="3"/>
      <c r="E415" s="3"/>
      <c r="F415" s="3"/>
      <c r="G415" s="3"/>
    </row>
    <row r="416" spans="3:7">
      <c r="C416" s="3"/>
      <c r="D416" s="3"/>
      <c r="E416" s="3"/>
      <c r="F416" s="3"/>
      <c r="G416" s="3"/>
    </row>
    <row r="417" spans="3:7">
      <c r="C417" s="3"/>
      <c r="D417" s="3"/>
      <c r="E417" s="3"/>
      <c r="F417" s="3"/>
      <c r="G417" s="3"/>
    </row>
    <row r="418" spans="3:7">
      <c r="C418" s="3"/>
      <c r="D418" s="3"/>
      <c r="E418" s="3"/>
      <c r="F418" s="3"/>
      <c r="G418" s="3"/>
    </row>
    <row r="419" spans="3:7">
      <c r="C419" s="3"/>
      <c r="D419" s="3"/>
      <c r="E419" s="3"/>
      <c r="F419" s="3"/>
      <c r="G419" s="3"/>
    </row>
    <row r="420" spans="3:7">
      <c r="C420" s="3"/>
      <c r="D420" s="3"/>
      <c r="E420" s="3"/>
      <c r="F420" s="3"/>
      <c r="G420" s="3"/>
    </row>
    <row r="421" spans="3:7">
      <c r="C421" s="3"/>
      <c r="D421" s="3"/>
      <c r="E421" s="3"/>
      <c r="F421" s="3"/>
      <c r="G421" s="3"/>
    </row>
    <row r="422" spans="3:7">
      <c r="C422" s="3"/>
      <c r="D422" s="3"/>
      <c r="E422" s="3"/>
      <c r="F422" s="3"/>
      <c r="G422" s="3"/>
    </row>
    <row r="423" spans="3:7">
      <c r="C423" s="3"/>
      <c r="D423" s="3"/>
      <c r="E423" s="3"/>
      <c r="F423" s="3"/>
      <c r="G423" s="3"/>
    </row>
    <row r="424" spans="3:7">
      <c r="C424" s="3"/>
      <c r="D424" s="3"/>
      <c r="E424" s="3"/>
      <c r="F424" s="3"/>
      <c r="G424" s="3"/>
    </row>
    <row r="425" spans="3:7">
      <c r="C425" s="3"/>
      <c r="D425" s="3"/>
      <c r="E425" s="3"/>
      <c r="F425" s="3"/>
      <c r="G425" s="3"/>
    </row>
    <row r="426" spans="3:7">
      <c r="C426" s="3"/>
      <c r="D426" s="3"/>
      <c r="E426" s="3"/>
      <c r="F426" s="3"/>
      <c r="G426" s="3"/>
    </row>
    <row r="427" spans="3:7">
      <c r="C427" s="3"/>
      <c r="D427" s="3"/>
      <c r="E427" s="3"/>
      <c r="F427" s="3"/>
      <c r="G427" s="3"/>
    </row>
    <row r="428" spans="3:7">
      <c r="C428" s="3"/>
      <c r="D428" s="3"/>
      <c r="E428" s="3"/>
      <c r="F428" s="3"/>
      <c r="G428" s="3"/>
    </row>
    <row r="429" spans="3:7">
      <c r="C429" s="3"/>
      <c r="D429" s="3"/>
      <c r="E429" s="3"/>
      <c r="F429" s="3"/>
      <c r="G429" s="3"/>
    </row>
    <row r="430" spans="3:7">
      <c r="C430" s="3"/>
      <c r="D430" s="3"/>
      <c r="E430" s="3"/>
      <c r="F430" s="3"/>
      <c r="G430" s="3"/>
    </row>
    <row r="431" spans="3:7">
      <c r="C431" s="3"/>
      <c r="D431" s="3"/>
      <c r="E431" s="3"/>
      <c r="F431" s="3"/>
      <c r="G431" s="3"/>
    </row>
    <row r="432" spans="3:7">
      <c r="C432" s="3"/>
      <c r="D432" s="3"/>
      <c r="E432" s="3"/>
      <c r="F432" s="3"/>
      <c r="G432" s="3"/>
    </row>
    <row r="433" spans="3:7">
      <c r="C433" s="3"/>
      <c r="D433" s="3"/>
      <c r="E433" s="3"/>
      <c r="F433" s="3"/>
      <c r="G433" s="3"/>
    </row>
  </sheetData>
  <sheetProtection algorithmName="SHA-512" hashValue="i6QVmq3+moIT0+xuPhi6aFS/T4HGBt9EzL05R+mjucJWND7PZGC1H4iUlx77uf8xJn6R3UA92hUzKgKUS3SzfA==" saltValue="MwdEequ4wDFTD+/w59eSAg==" spinCount="100000" sheet="1" objects="1" scenarios="1" selectLockedCells="1"/>
  <mergeCells count="5">
    <mergeCell ref="C82:E82"/>
    <mergeCell ref="C110:F113"/>
    <mergeCell ref="D68:F68"/>
    <mergeCell ref="C97:F104"/>
    <mergeCell ref="C83:E83"/>
  </mergeCells>
  <conditionalFormatting sqref="C32">
    <cfRule type="expression" dxfId="378" priority="1">
      <formula>IF(OR($D$30="Yes",$D$31="Yes"),TRUE,FALSE)</formula>
    </cfRule>
  </conditionalFormatting>
  <conditionalFormatting sqref="D14:D15">
    <cfRule type="expression" dxfId="377" priority="3">
      <formula>IF(OR(Will_this_project_be_utilizing_federal_assistance?="Yes",Will_this_project_be_receiving_project_based_federal_rental_assistance?="Yes"),TRUE,FALSE)</formula>
    </cfRule>
  </conditionalFormatting>
  <conditionalFormatting sqref="D32">
    <cfRule type="expression" dxfId="376" priority="2">
      <formula>IF(OR($D$30="Yes",$D$31="Yes"),TRUE,FALSE)</formula>
    </cfRule>
  </conditionalFormatting>
  <conditionalFormatting sqref="F17:F25">
    <cfRule type="expression" dxfId="375" priority="6">
      <formula>D17="Yes"</formula>
    </cfRule>
  </conditionalFormatting>
  <conditionalFormatting sqref="F38:F42">
    <cfRule type="expression" dxfId="374" priority="5">
      <formula>D38="Yes"</formula>
    </cfRule>
  </conditionalFormatting>
  <conditionalFormatting sqref="F63:F64">
    <cfRule type="expression" dxfId="373" priority="4">
      <formula>D63="Yes"</formula>
    </cfRule>
  </conditionalFormatting>
  <dataValidations count="13">
    <dataValidation type="list" allowBlank="1" showInputMessage="1" showErrorMessage="1" sqref="D14" xr:uid="{54295144-A428-4DB9-8AE3-BE02F34DFF8C}">
      <formula1>SubsidySource</formula1>
    </dataValidation>
    <dataValidation type="list" allowBlank="1" showInputMessage="1" showErrorMessage="1" sqref="D57" xr:uid="{31944691-F3C0-4645-82A9-8D89A58EA5E8}">
      <formula1>FederalFinancingType</formula1>
    </dataValidation>
    <dataValidation type="list" allowBlank="1" showInputMessage="1" showErrorMessage="1" sqref="D6" xr:uid="{32A0F2DF-43E0-4289-A65F-AF4A65A9424E}">
      <formula1>ProjectType</formula1>
    </dataValidation>
    <dataValidation type="list" allowBlank="1" showInputMessage="1" showErrorMessage="1" sqref="D53" xr:uid="{4A9D0313-33C9-4BB2-ADA7-E21CEA7623C2}">
      <formula1>SetAside</formula1>
    </dataValidation>
    <dataValidation type="list" allowBlank="1" showInputMessage="1" showErrorMessage="1" sqref="D54" xr:uid="{14255F70-F2D7-4145-9D0A-8ED6F7EB4C14}">
      <formula1>ApplicationType</formula1>
    </dataValidation>
    <dataValidation type="custom" allowBlank="1" showInputMessage="1" showErrorMessage="1" sqref="E1" xr:uid="{FDF3C1EF-8E8E-4BC0-9368-CD515B3AB559}">
      <formula1>"&lt;0&gt;0"</formula1>
    </dataValidation>
    <dataValidation type="list" allowBlank="1" showInputMessage="1" showErrorMessage="1" sqref="D25" xr:uid="{467094F4-AF59-45DE-9E67-E6E65540492D}">
      <formula1>YesNo</formula1>
    </dataValidation>
    <dataValidation type="decimal" allowBlank="1" showInputMessage="1" showErrorMessage="1" sqref="D55" xr:uid="{CA121C23-76F8-4085-865C-D263803A5C7D}">
      <formula1>1</formula1>
      <formula2>2</formula2>
    </dataValidation>
    <dataValidation type="date" errorStyle="information" allowBlank="1" showInputMessage="1" showErrorMessage="1" error="Enter a valid date." sqref="D87:D91 D93 F87:F89 F93" xr:uid="{DFD0D24E-C744-4256-ABDE-AE07876E4338}">
      <formula1>36892</formula1>
      <formula2>401768</formula2>
    </dataValidation>
    <dataValidation type="custom" allowBlank="1" showInputMessage="1" showErrorMessage="1" promptTitle="Number of Units Error" prompt="Please enter numeric values only." sqref="F17:F25" xr:uid="{E1B75B8D-F6AC-4784-B4F1-F5B0BECDFF50}">
      <formula1>ISNUMBER(F17)</formula1>
    </dataValidation>
    <dataValidation type="custom" allowBlank="1" showInputMessage="1" showErrorMessage="1" errorTitle="Number of Stories Error" error="Please enter numeric values only." sqref="F63:F64" xr:uid="{6BBD6F66-2FAF-4923-B699-33B24E3C1442}">
      <formula1>ISNUMBER(F63)</formula1>
    </dataValidation>
    <dataValidation type="custom" allowBlank="1" showInputMessage="1" showErrorMessage="1" errorTitle="Numeric Value Error" error="Please enter numeric values only." sqref="D8:D11 D15 F38:F42" xr:uid="{71012AC5-3711-460F-BFC0-0313FA98AD36}">
      <formula1>ISNUMBER(D8)</formula1>
    </dataValidation>
    <dataValidation type="custom" allowBlank="1" showInputMessage="1" showErrorMessage="1" errorTitle="Project Number Error" error="Please enter numerical value only of previous project number." sqref="D32" xr:uid="{371E388E-B163-4C79-B4F0-7E1AE7242F04}">
      <formula1>ISNUMBER(D32)</formula1>
    </dataValidation>
  </dataValidations>
  <pageMargins left="0.7" right="0.7" top="0.75" bottom="0.75" header="0.3" footer="0.3"/>
  <pageSetup scale="39" orientation="portrait" r:id="rId1"/>
  <headerFooter>
    <oddHeader>&amp;L&amp;G</oddHeader>
    <oddFooter>&amp;LVersion - 2023.0.01&amp;CWHEDA MULTIFAMILY APPLICATION&amp;R&amp;P of &amp;N</oddFooter>
  </headerFooter>
  <rowBreaks count="1" manualBreakCount="1">
    <brk id="60" max="5" man="1"/>
  </rowBreaks>
  <colBreaks count="1" manualBreakCount="1">
    <brk id="7" min="3" max="109" man="1"/>
  </col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73704E6-9583-46FB-9D9D-4DE0CFFB5C8A}">
          <x14:formula1>
            <xm:f>'Dropdown Lists'!$A$2:$A$3</xm:f>
          </x14:formula1>
          <xm:sqref>H77:H79 D12:D13 H69 S46 D47 D56 D72:D75 D63:D67 E65 D27:D31 D17:D24 D49 D79:D80 D38:D42</xm:sqref>
        </x14:dataValidation>
        <x14:dataValidation type="list" allowBlank="1" showInputMessage="1" showErrorMessage="1" xr:uid="{B890749C-6DA3-4B33-B752-BF5E38E94231}">
          <x14:formula1>
            <xm:f>'Dropdown Lists'!$E$2:$E$4</xm:f>
          </x14:formula1>
          <xm:sqref>D59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D8F17D25AA8384AA27727847BFF0B3C" ma:contentTypeVersion="6" ma:contentTypeDescription="Create a new document." ma:contentTypeScope="" ma:versionID="9481bcdcd41f20e92f0da1b252cfd212">
  <xsd:schema xmlns:xsd="http://www.w3.org/2001/XMLSchema" xmlns:xs="http://www.w3.org/2001/XMLSchema" xmlns:p="http://schemas.microsoft.com/office/2006/metadata/properties" xmlns:ns2="b2384318-937f-4b70-b332-2ba71823d630" xmlns:ns3="d04aab37-8f6d-4ba7-9de4-699b96c7c5cc" targetNamespace="http://schemas.microsoft.com/office/2006/metadata/properties" ma:root="true" ma:fieldsID="5e60949bb67e1568573febec16c13bcb" ns2:_="" ns3:_="">
    <xsd:import namespace="b2384318-937f-4b70-b332-2ba71823d630"/>
    <xsd:import namespace="d04aab37-8f6d-4ba7-9de4-699b96c7c5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384318-937f-4b70-b332-2ba71823d6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4aab37-8f6d-4ba7-9de4-699b96c7c5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CC3A7C-2267-41BD-B410-32C8FEBBC1A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b2384318-937f-4b70-b332-2ba71823d630"/>
    <ds:schemaRef ds:uri="d04aab37-8f6d-4ba7-9de4-699b96c7c5cc"/>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E68BD1F-6141-48E1-B96C-A67C8C81A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384318-937f-4b70-b332-2ba71823d630"/>
    <ds:schemaRef ds:uri="d04aab37-8f6d-4ba7-9de4-699b96c7c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C71921-F1A3-4D83-91F9-02040B9B76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39</vt:i4>
      </vt:variant>
      <vt:variant>
        <vt:lpstr>Named Ranges</vt:lpstr>
      </vt:variant>
      <vt:variant>
        <vt:i4>1835</vt:i4>
      </vt:variant>
    </vt:vector>
  </HeadingPairs>
  <TitlesOfParts>
    <vt:vector size="1874" baseType="lpstr">
      <vt:lpstr>Change Log</vt:lpstr>
      <vt:lpstr>QAP Constants</vt:lpstr>
      <vt:lpstr>Dropdown Lists</vt:lpstr>
      <vt:lpstr>ProLink</vt:lpstr>
      <vt:lpstr>ProLink Mapping</vt:lpstr>
      <vt:lpstr>1. TOC</vt:lpstr>
      <vt:lpstr>2. Project Summary</vt:lpstr>
      <vt:lpstr>3. Project Location</vt:lpstr>
      <vt:lpstr>4. Project Description</vt:lpstr>
      <vt:lpstr>5. Applicant Information</vt:lpstr>
      <vt:lpstr>6. Site Description</vt:lpstr>
      <vt:lpstr>7. Site Control</vt:lpstr>
      <vt:lpstr>8. Zoning</vt:lpstr>
      <vt:lpstr>9. Ownership and Project Team</vt:lpstr>
      <vt:lpstr>10. Project and Unit Amenities</vt:lpstr>
      <vt:lpstr>Unit Mix Helper</vt:lpstr>
      <vt:lpstr>State HTC Gap</vt:lpstr>
      <vt:lpstr>11. Unit Mix</vt:lpstr>
      <vt:lpstr>12. Funding Sources</vt:lpstr>
      <vt:lpstr>13. Construction Cost SOV</vt:lpstr>
      <vt:lpstr>14. Project Costs</vt:lpstr>
      <vt:lpstr>15. Credit Calculation</vt:lpstr>
      <vt:lpstr>16. Projected Operating Costs</vt:lpstr>
      <vt:lpstr>17. Cash Flow and Reserves</vt:lpstr>
      <vt:lpstr>18. Max Cost Model</vt:lpstr>
      <vt:lpstr>19. Construction Draw Schedule</vt:lpstr>
      <vt:lpstr>20. Instructions Scoring Sum</vt:lpstr>
      <vt:lpstr>21. Location Score</vt:lpstr>
      <vt:lpstr>22. Tenants Served Score</vt:lpstr>
      <vt:lpstr>23. Building Design Score</vt:lpstr>
      <vt:lpstr>24. Development Process Score</vt:lpstr>
      <vt:lpstr>Threshold Checklist</vt:lpstr>
      <vt:lpstr>Self Scoring Checklist</vt:lpstr>
      <vt:lpstr>WHEDA Loan Signatures</vt:lpstr>
      <vt:lpstr>Tax Credit Signatures</vt:lpstr>
      <vt:lpstr>App R Data</vt:lpstr>
      <vt:lpstr>RentLimits</vt:lpstr>
      <vt:lpstr>IncomeLimits</vt:lpstr>
      <vt:lpstr>ACR Form</vt:lpstr>
      <vt:lpstr>_20RentLimit</vt:lpstr>
      <vt:lpstr>_24_Hour_On_Site_Resident_Manager</vt:lpstr>
      <vt:lpstr>_30RentLimit</vt:lpstr>
      <vt:lpstr>_40RentLimit</vt:lpstr>
      <vt:lpstr>_50RentLimit</vt:lpstr>
      <vt:lpstr>A_C_Sleeve</vt:lpstr>
      <vt:lpstr>Accountant</vt:lpstr>
      <vt:lpstr>Accountant_City</vt:lpstr>
      <vt:lpstr>Accountant_Contact_First_Name</vt:lpstr>
      <vt:lpstr>Accountant_Contact_Last_Name</vt:lpstr>
      <vt:lpstr>Accountant_Email_Address</vt:lpstr>
      <vt:lpstr>Accountant_Identity_of_Interest?</vt:lpstr>
      <vt:lpstr>Accountant_State</vt:lpstr>
      <vt:lpstr>Accountant_Street_Address</vt:lpstr>
      <vt:lpstr>Accountant_Telephone_Number</vt:lpstr>
      <vt:lpstr>Accountant_Zipcode</vt:lpstr>
      <vt:lpstr>Acquisition_Rehab_Units</vt:lpstr>
      <vt:lpstr>Activities_Purchased_Serv</vt:lpstr>
      <vt:lpstr>Activities_Supplies</vt:lpstr>
      <vt:lpstr>Adaptive_Reuse_Units</vt:lpstr>
      <vt:lpstr>Adjusted_building_basis</vt:lpstr>
      <vt:lpstr>Administrative_Rent___Free_Unit</vt:lpstr>
      <vt:lpstr>Advertising___Marketing_Expense</vt:lpstr>
      <vt:lpstr>Age_Restricted_Number_of_Units</vt:lpstr>
      <vt:lpstr>Amount_1</vt:lpstr>
      <vt:lpstr>Amount_10</vt:lpstr>
      <vt:lpstr>Amount_11</vt:lpstr>
      <vt:lpstr>Amount_12</vt:lpstr>
      <vt:lpstr>Amount_13</vt:lpstr>
      <vt:lpstr>Amount_2</vt:lpstr>
      <vt:lpstr>Amount_3</vt:lpstr>
      <vt:lpstr>Amount_4</vt:lpstr>
      <vt:lpstr>Amount_5</vt:lpstr>
      <vt:lpstr>Amount_6</vt:lpstr>
      <vt:lpstr>Amount_7</vt:lpstr>
      <vt:lpstr>Amount_8</vt:lpstr>
      <vt:lpstr>Amount_9</vt:lpstr>
      <vt:lpstr>And_Number_of_Units</vt:lpstr>
      <vt:lpstr>Annual_DSC_1</vt:lpstr>
      <vt:lpstr>Annual_DSC_10</vt:lpstr>
      <vt:lpstr>Annual_DSC_2</vt:lpstr>
      <vt:lpstr>Annual_DSC_3</vt:lpstr>
      <vt:lpstr>Annual_DSC_4</vt:lpstr>
      <vt:lpstr>Annual_DSC_5</vt:lpstr>
      <vt:lpstr>Annual_DSC_6</vt:lpstr>
      <vt:lpstr>Annual_DSC_7</vt:lpstr>
      <vt:lpstr>Annual_DSC_8</vt:lpstr>
      <vt:lpstr>Annual_DSC_9</vt:lpstr>
      <vt:lpstr>Annual_Replacement_Reserve</vt:lpstr>
      <vt:lpstr>AnnualPermanentDebtSevice</vt:lpstr>
      <vt:lpstr>Any_existing_LURA?</vt:lpstr>
      <vt:lpstr>Applicant_Information</vt:lpstr>
      <vt:lpstr>Application_Threshold</vt:lpstr>
      <vt:lpstr>'21. Location Score'!ApplicationType</vt:lpstr>
      <vt:lpstr>'22. Tenants Served Score'!ApplicationType</vt:lpstr>
      <vt:lpstr>'23. Building Design Score'!ApplicationType</vt:lpstr>
      <vt:lpstr>'24. Development Process Score'!ApplicationType</vt:lpstr>
      <vt:lpstr>ApplicationType</vt:lpstr>
      <vt:lpstr>ApplName</vt:lpstr>
      <vt:lpstr>ApplNmbr</vt:lpstr>
      <vt:lpstr>Apt_Type_1</vt:lpstr>
      <vt:lpstr>Apt_Type_10</vt:lpstr>
      <vt:lpstr>Apt_Type_11</vt:lpstr>
      <vt:lpstr>Apt_Type_12</vt:lpstr>
      <vt:lpstr>Apt_Type_13</vt:lpstr>
      <vt:lpstr>Apt_Type_14</vt:lpstr>
      <vt:lpstr>Apt_Type_15</vt:lpstr>
      <vt:lpstr>Apt_Type_16</vt:lpstr>
      <vt:lpstr>Apt_Type_17</vt:lpstr>
      <vt:lpstr>Apt_Type_18</vt:lpstr>
      <vt:lpstr>Apt_Type_19</vt:lpstr>
      <vt:lpstr>Apt_Type_2</vt:lpstr>
      <vt:lpstr>Apt_Type_20</vt:lpstr>
      <vt:lpstr>Apt_Type_21</vt:lpstr>
      <vt:lpstr>Apt_Type_22</vt:lpstr>
      <vt:lpstr>Apt_Type_23</vt:lpstr>
      <vt:lpstr>Apt_Type_24</vt:lpstr>
      <vt:lpstr>Apt_Type_25</vt:lpstr>
      <vt:lpstr>Apt_Type_26</vt:lpstr>
      <vt:lpstr>Apt_Type_27</vt:lpstr>
      <vt:lpstr>Apt_Type_28</vt:lpstr>
      <vt:lpstr>Apt_Type_29</vt:lpstr>
      <vt:lpstr>Apt_Type_3</vt:lpstr>
      <vt:lpstr>Apt_Type_30</vt:lpstr>
      <vt:lpstr>Apt_Type_31</vt:lpstr>
      <vt:lpstr>Apt_Type_32</vt:lpstr>
      <vt:lpstr>Apt_Type_33</vt:lpstr>
      <vt:lpstr>Apt_Type_34</vt:lpstr>
      <vt:lpstr>Apt_Type_35</vt:lpstr>
      <vt:lpstr>Apt_Type_36</vt:lpstr>
      <vt:lpstr>Apt_Type_37</vt:lpstr>
      <vt:lpstr>Apt_Type_38</vt:lpstr>
      <vt:lpstr>Apt_Type_39</vt:lpstr>
      <vt:lpstr>Apt_Type_4</vt:lpstr>
      <vt:lpstr>Apt_Type_40</vt:lpstr>
      <vt:lpstr>Apt_Type_41</vt:lpstr>
      <vt:lpstr>Apt_Type_42</vt:lpstr>
      <vt:lpstr>Apt_Type_43</vt:lpstr>
      <vt:lpstr>Apt_Type_44</vt:lpstr>
      <vt:lpstr>Apt_Type_45</vt:lpstr>
      <vt:lpstr>Apt_Type_46</vt:lpstr>
      <vt:lpstr>Apt_Type_47</vt:lpstr>
      <vt:lpstr>Apt_Type_48</vt:lpstr>
      <vt:lpstr>Apt_Type_49</vt:lpstr>
      <vt:lpstr>Apt_Type_5</vt:lpstr>
      <vt:lpstr>Apt_Type_50</vt:lpstr>
      <vt:lpstr>Apt_Type_51</vt:lpstr>
      <vt:lpstr>Apt_Type_52</vt:lpstr>
      <vt:lpstr>Apt_Type_53</vt:lpstr>
      <vt:lpstr>Apt_Type_54</vt:lpstr>
      <vt:lpstr>Apt_Type_55</vt:lpstr>
      <vt:lpstr>Apt_Type_56</vt:lpstr>
      <vt:lpstr>Apt_Type_57</vt:lpstr>
      <vt:lpstr>Apt_Type_58</vt:lpstr>
      <vt:lpstr>Apt_Type_59</vt:lpstr>
      <vt:lpstr>Apt_Type_6</vt:lpstr>
      <vt:lpstr>Apt_Type_60</vt:lpstr>
      <vt:lpstr>Apt_Type_61</vt:lpstr>
      <vt:lpstr>Apt_Type_62</vt:lpstr>
      <vt:lpstr>Apt_Type_63</vt:lpstr>
      <vt:lpstr>Apt_Type_7</vt:lpstr>
      <vt:lpstr>Apt_Type_8</vt:lpstr>
      <vt:lpstr>Apt_Type_9</vt:lpstr>
      <vt:lpstr>Architect</vt:lpstr>
      <vt:lpstr>Architect_City</vt:lpstr>
      <vt:lpstr>Architect_Contact_First_Name</vt:lpstr>
      <vt:lpstr>Architect_Contact_Last_Name</vt:lpstr>
      <vt:lpstr>Architect_Email_Address</vt:lpstr>
      <vt:lpstr>Architect_Identity_of_Interest?</vt:lpstr>
      <vt:lpstr>Architect_State</vt:lpstr>
      <vt:lpstr>Architect_Street_Address</vt:lpstr>
      <vt:lpstr>Architect_Telephone_Number</vt:lpstr>
      <vt:lpstr>Architect_Zipcode</vt:lpstr>
      <vt:lpstr>Area_of_Economic_Opportunity</vt:lpstr>
      <vt:lpstr>Areas_Economic_Opp_Points</vt:lpstr>
      <vt:lpstr>Attorney</vt:lpstr>
      <vt:lpstr>Attorney_City</vt:lpstr>
      <vt:lpstr>Attorney_Email_Address</vt:lpstr>
      <vt:lpstr>Attorney_First_Name</vt:lpstr>
      <vt:lpstr>Attorney_Identity_of_Interest?</vt:lpstr>
      <vt:lpstr>Attorney_Last_Name</vt:lpstr>
      <vt:lpstr>Attorney_State</vt:lpstr>
      <vt:lpstr>Attorney_Street_Address</vt:lpstr>
      <vt:lpstr>Attorney_Telephone_Number</vt:lpstr>
      <vt:lpstr>Attorney_Zipcode</vt:lpstr>
      <vt:lpstr>Auditing_Expenses___Project_Only</vt:lpstr>
      <vt:lpstr>Bad_Debt_Expense</vt:lpstr>
      <vt:lpstr>Beauty_Salon_Barber</vt:lpstr>
      <vt:lpstr>Bookkeeping_Fees_Accounting_Services</vt:lpstr>
      <vt:lpstr>Building_Address_1</vt:lpstr>
      <vt:lpstr>Building_Address_10</vt:lpstr>
      <vt:lpstr>Building_Address_11</vt:lpstr>
      <vt:lpstr>Building_Address_12</vt:lpstr>
      <vt:lpstr>Building_Address_13</vt:lpstr>
      <vt:lpstr>Building_Address_14</vt:lpstr>
      <vt:lpstr>Building_Address_15</vt:lpstr>
      <vt:lpstr>Building_Address_16</vt:lpstr>
      <vt:lpstr>Building_Address_17</vt:lpstr>
      <vt:lpstr>Building_Address_18</vt:lpstr>
      <vt:lpstr>Building_Address_19</vt:lpstr>
      <vt:lpstr>Building_Address_2</vt:lpstr>
      <vt:lpstr>Building_Address_20</vt:lpstr>
      <vt:lpstr>Building_Address_21</vt:lpstr>
      <vt:lpstr>Building_Address_22</vt:lpstr>
      <vt:lpstr>Building_Address_23</vt:lpstr>
      <vt:lpstr>Building_Address_24</vt:lpstr>
      <vt:lpstr>Building_Address_25</vt:lpstr>
      <vt:lpstr>Building_Address_26</vt:lpstr>
      <vt:lpstr>Building_Address_27</vt:lpstr>
      <vt:lpstr>Building_Address_28</vt:lpstr>
      <vt:lpstr>Building_Address_29</vt:lpstr>
      <vt:lpstr>Building_Address_3</vt:lpstr>
      <vt:lpstr>Building_Address_30</vt:lpstr>
      <vt:lpstr>Building_Address_31</vt:lpstr>
      <vt:lpstr>Building_Address_32</vt:lpstr>
      <vt:lpstr>Building_Address_33</vt:lpstr>
      <vt:lpstr>Building_Address_34</vt:lpstr>
      <vt:lpstr>Building_Address_4</vt:lpstr>
      <vt:lpstr>Building_Address_5</vt:lpstr>
      <vt:lpstr>Building_Address_6</vt:lpstr>
      <vt:lpstr>Building_Address_7</vt:lpstr>
      <vt:lpstr>Building_Address_8</vt:lpstr>
      <vt:lpstr>Building_Address_9</vt:lpstr>
      <vt:lpstr>Building_City_1</vt:lpstr>
      <vt:lpstr>Building_City_10</vt:lpstr>
      <vt:lpstr>Building_City_11</vt:lpstr>
      <vt:lpstr>Building_City_12</vt:lpstr>
      <vt:lpstr>Building_City_13</vt:lpstr>
      <vt:lpstr>Building_City_14</vt:lpstr>
      <vt:lpstr>Building_City_15</vt:lpstr>
      <vt:lpstr>Building_City_16</vt:lpstr>
      <vt:lpstr>Building_City_17</vt:lpstr>
      <vt:lpstr>Building_City_18</vt:lpstr>
      <vt:lpstr>Building_City_19</vt:lpstr>
      <vt:lpstr>Building_City_2</vt:lpstr>
      <vt:lpstr>Building_City_20</vt:lpstr>
      <vt:lpstr>Building_City_21</vt:lpstr>
      <vt:lpstr>Building_City_22</vt:lpstr>
      <vt:lpstr>Building_City_23</vt:lpstr>
      <vt:lpstr>Building_City_24</vt:lpstr>
      <vt:lpstr>Building_City_25</vt:lpstr>
      <vt:lpstr>Building_City_26</vt:lpstr>
      <vt:lpstr>Building_City_27</vt:lpstr>
      <vt:lpstr>Building_City_28</vt:lpstr>
      <vt:lpstr>Building_City_29</vt:lpstr>
      <vt:lpstr>Building_City_3</vt:lpstr>
      <vt:lpstr>Building_City_30</vt:lpstr>
      <vt:lpstr>Building_City_31</vt:lpstr>
      <vt:lpstr>Building_City_32</vt:lpstr>
      <vt:lpstr>Building_City_33</vt:lpstr>
      <vt:lpstr>Building_City_34</vt:lpstr>
      <vt:lpstr>Building_City_4</vt:lpstr>
      <vt:lpstr>Building_City_5</vt:lpstr>
      <vt:lpstr>Building_City_6</vt:lpstr>
      <vt:lpstr>Building_City_7</vt:lpstr>
      <vt:lpstr>Building_City_8</vt:lpstr>
      <vt:lpstr>Building_City_9</vt:lpstr>
      <vt:lpstr>Building_Zip_Code_1</vt:lpstr>
      <vt:lpstr>Building_Zip_Code_10</vt:lpstr>
      <vt:lpstr>Building_Zip_Code_11</vt:lpstr>
      <vt:lpstr>Building_Zip_Code_12</vt:lpstr>
      <vt:lpstr>Building_Zip_Code_13</vt:lpstr>
      <vt:lpstr>Building_Zip_Code_14</vt:lpstr>
      <vt:lpstr>Building_Zip_Code_15</vt:lpstr>
      <vt:lpstr>Building_Zip_Code_16</vt:lpstr>
      <vt:lpstr>Building_Zip_Code_17</vt:lpstr>
      <vt:lpstr>Building_Zip_Code_18</vt:lpstr>
      <vt:lpstr>Building_Zip_Code_19</vt:lpstr>
      <vt:lpstr>Building_Zip_Code_2</vt:lpstr>
      <vt:lpstr>Building_Zip_Code_20</vt:lpstr>
      <vt:lpstr>Building_Zip_Code_21</vt:lpstr>
      <vt:lpstr>Building_Zip_Code_22</vt:lpstr>
      <vt:lpstr>Building_Zip_Code_23</vt:lpstr>
      <vt:lpstr>Building_Zip_Code_24</vt:lpstr>
      <vt:lpstr>Building_Zip_Code_25</vt:lpstr>
      <vt:lpstr>Building_Zip_Code_26</vt:lpstr>
      <vt:lpstr>Building_Zip_Code_27</vt:lpstr>
      <vt:lpstr>Building_Zip_Code_28</vt:lpstr>
      <vt:lpstr>Building_Zip_Code_29</vt:lpstr>
      <vt:lpstr>Building_Zip_Code_3</vt:lpstr>
      <vt:lpstr>Building_Zip_Code_30</vt:lpstr>
      <vt:lpstr>Building_Zip_Code_31</vt:lpstr>
      <vt:lpstr>Building_Zip_Code_32</vt:lpstr>
      <vt:lpstr>Building_Zip_Code_33</vt:lpstr>
      <vt:lpstr>Building_Zip_Code_34</vt:lpstr>
      <vt:lpstr>Building_Zip_Code_4</vt:lpstr>
      <vt:lpstr>Building_Zip_Code_5</vt:lpstr>
      <vt:lpstr>Building_Zip_Code_6</vt:lpstr>
      <vt:lpstr>Building_Zip_Code_7</vt:lpstr>
      <vt:lpstr>Building_Zip_Code_8</vt:lpstr>
      <vt:lpstr>Building_Zip_Code_9</vt:lpstr>
      <vt:lpstr>Buildings_Occupied</vt:lpstr>
      <vt:lpstr>C_O</vt:lpstr>
      <vt:lpstr>Car_Care_Area</vt:lpstr>
      <vt:lpstr>Carpet</vt:lpstr>
      <vt:lpstr>CBRF</vt:lpstr>
      <vt:lpstr>CBRF_Number_of_Units</vt:lpstr>
      <vt:lpstr>Ceiling_fans</vt:lpstr>
      <vt:lpstr>Central_Air</vt:lpstr>
      <vt:lpstr>Ceramic_Tile</vt:lpstr>
      <vt:lpstr>Chapel</vt:lpstr>
      <vt:lpstr>CMI_1</vt:lpstr>
      <vt:lpstr>CMI_10</vt:lpstr>
      <vt:lpstr>CMI_11</vt:lpstr>
      <vt:lpstr>CMI_12</vt:lpstr>
      <vt:lpstr>CMI_13</vt:lpstr>
      <vt:lpstr>CMI_14</vt:lpstr>
      <vt:lpstr>CMI_15</vt:lpstr>
      <vt:lpstr>CMI_16</vt:lpstr>
      <vt:lpstr>CMI_17</vt:lpstr>
      <vt:lpstr>CMI_18</vt:lpstr>
      <vt:lpstr>CMI_19</vt:lpstr>
      <vt:lpstr>CMI_2</vt:lpstr>
      <vt:lpstr>CMI_20</vt:lpstr>
      <vt:lpstr>CMI_21</vt:lpstr>
      <vt:lpstr>CMI_22</vt:lpstr>
      <vt:lpstr>CMI_23</vt:lpstr>
      <vt:lpstr>CMI_24</vt:lpstr>
      <vt:lpstr>CMI_25</vt:lpstr>
      <vt:lpstr>CMI_26</vt:lpstr>
      <vt:lpstr>CMI_27</vt:lpstr>
      <vt:lpstr>CMI_28</vt:lpstr>
      <vt:lpstr>CMI_29</vt:lpstr>
      <vt:lpstr>CMI_3</vt:lpstr>
      <vt:lpstr>CMI_30</vt:lpstr>
      <vt:lpstr>CMI_31</vt:lpstr>
      <vt:lpstr>CMI_32</vt:lpstr>
      <vt:lpstr>CMI_33</vt:lpstr>
      <vt:lpstr>CMI_34</vt:lpstr>
      <vt:lpstr>CMI_35</vt:lpstr>
      <vt:lpstr>CMI_36</vt:lpstr>
      <vt:lpstr>CMI_37</vt:lpstr>
      <vt:lpstr>CMI_38</vt:lpstr>
      <vt:lpstr>CMI_39</vt:lpstr>
      <vt:lpstr>CMI_4</vt:lpstr>
      <vt:lpstr>CMI_40</vt:lpstr>
      <vt:lpstr>CMI_41</vt:lpstr>
      <vt:lpstr>CMI_42</vt:lpstr>
      <vt:lpstr>CMI_43</vt:lpstr>
      <vt:lpstr>CMI_44</vt:lpstr>
      <vt:lpstr>CMI_45</vt:lpstr>
      <vt:lpstr>CMI_46</vt:lpstr>
      <vt:lpstr>CMI_47</vt:lpstr>
      <vt:lpstr>CMI_48</vt:lpstr>
      <vt:lpstr>CMI_49</vt:lpstr>
      <vt:lpstr>CMI_5</vt:lpstr>
      <vt:lpstr>CMI_50</vt:lpstr>
      <vt:lpstr>CMI_6</vt:lpstr>
      <vt:lpstr>CMI_7</vt:lpstr>
      <vt:lpstr>CMI_8</vt:lpstr>
      <vt:lpstr>CMI_9</vt:lpstr>
      <vt:lpstr>'21. Location Score'!CMI_Percentage_Unit_Mix</vt:lpstr>
      <vt:lpstr>'22. Tenants Served Score'!CMI_Percentage_Unit_Mix</vt:lpstr>
      <vt:lpstr>'23. Building Design Score'!CMI_Percentage_Unit_Mix</vt:lpstr>
      <vt:lpstr>'24. Development Process Score'!CMI_Percentage_Unit_Mix</vt:lpstr>
      <vt:lpstr>CMI_Percentage_Unit_Mix</vt:lpstr>
      <vt:lpstr>Community_Building</vt:lpstr>
      <vt:lpstr>Community_Building___Sq._Ft.</vt:lpstr>
      <vt:lpstr>Community_Dining_Room</vt:lpstr>
      <vt:lpstr>Community_Patio</vt:lpstr>
      <vt:lpstr>Community_Room</vt:lpstr>
      <vt:lpstr>Community_Room___Sq._Ft.</vt:lpstr>
      <vt:lpstr>Community_Service_Facilities</vt:lpstr>
      <vt:lpstr>Community_Service_Facilities_Points</vt:lpstr>
      <vt:lpstr>Construction_Amount_1</vt:lpstr>
      <vt:lpstr>Construction_Amount_10</vt:lpstr>
      <vt:lpstr>Construction_Amount_11</vt:lpstr>
      <vt:lpstr>Construction_Amount_12</vt:lpstr>
      <vt:lpstr>Construction_Amount_2</vt:lpstr>
      <vt:lpstr>Construction_Amount_3</vt:lpstr>
      <vt:lpstr>Construction_Amount_4</vt:lpstr>
      <vt:lpstr>Construction_Amount_5</vt:lpstr>
      <vt:lpstr>Construction_Amount_6</vt:lpstr>
      <vt:lpstr>Construction_Amount_7</vt:lpstr>
      <vt:lpstr>Construction_Amount_8</vt:lpstr>
      <vt:lpstr>Construction_Amount_9</vt:lpstr>
      <vt:lpstr>Construction_Complete</vt:lpstr>
      <vt:lpstr>Construction_Draw_Schedule</vt:lpstr>
      <vt:lpstr>Construction_Loan_Closing</vt:lpstr>
      <vt:lpstr>Construction_Rate_1</vt:lpstr>
      <vt:lpstr>Construction_Rate_10</vt:lpstr>
      <vt:lpstr>Construction_Rate_11</vt:lpstr>
      <vt:lpstr>Construction_Rate_12</vt:lpstr>
      <vt:lpstr>Construction_Rate_2</vt:lpstr>
      <vt:lpstr>Construction_Rate_3</vt:lpstr>
      <vt:lpstr>Construction_Rate_4</vt:lpstr>
      <vt:lpstr>Construction_Rate_5</vt:lpstr>
      <vt:lpstr>Construction_Rate_6</vt:lpstr>
      <vt:lpstr>Construction_Rate_7</vt:lpstr>
      <vt:lpstr>Construction_Rate_8</vt:lpstr>
      <vt:lpstr>Construction_Rate_9</vt:lpstr>
      <vt:lpstr>Construction_Source_1</vt:lpstr>
      <vt:lpstr>Construction_Source_10</vt:lpstr>
      <vt:lpstr>Construction_Source_11</vt:lpstr>
      <vt:lpstr>Construction_Source_12</vt:lpstr>
      <vt:lpstr>Construction_Source_2</vt:lpstr>
      <vt:lpstr>Construction_Source_3</vt:lpstr>
      <vt:lpstr>Construction_Source_4</vt:lpstr>
      <vt:lpstr>Construction_Source_5</vt:lpstr>
      <vt:lpstr>Construction_Source_6</vt:lpstr>
      <vt:lpstr>Construction_Source_7</vt:lpstr>
      <vt:lpstr>Construction_Source_8</vt:lpstr>
      <vt:lpstr>Construction_Source_9</vt:lpstr>
      <vt:lpstr>Construction_Start_Date</vt:lpstr>
      <vt:lpstr>Construction_Term_1</vt:lpstr>
      <vt:lpstr>Construction_Term_10</vt:lpstr>
      <vt:lpstr>Construction_Term_11</vt:lpstr>
      <vt:lpstr>Construction_Term_12</vt:lpstr>
      <vt:lpstr>Construction_Term_2</vt:lpstr>
      <vt:lpstr>Construction_Term_3</vt:lpstr>
      <vt:lpstr>Construction_Term_4</vt:lpstr>
      <vt:lpstr>Construction_Term_5</vt:lpstr>
      <vt:lpstr>Construction_Term_6</vt:lpstr>
      <vt:lpstr>Construction_Term_7</vt:lpstr>
      <vt:lpstr>Construction_Term_8</vt:lpstr>
      <vt:lpstr>Construction_Term_9</vt:lpstr>
      <vt:lpstr>Consultant_City</vt:lpstr>
      <vt:lpstr>Consultant_Contact_First_Name</vt:lpstr>
      <vt:lpstr>Consultant_Contact_Last_Name</vt:lpstr>
      <vt:lpstr>Consultant_Email_Address</vt:lpstr>
      <vt:lpstr>Consultant_Identity_of_Interest?</vt:lpstr>
      <vt:lpstr>Consultant_Name</vt:lpstr>
      <vt:lpstr>Consultant_State</vt:lpstr>
      <vt:lpstr>Consultant_Street_Address</vt:lpstr>
      <vt:lpstr>Consultant_Telephone_Number</vt:lpstr>
      <vt:lpstr>Consultant_Zipcode</vt:lpstr>
      <vt:lpstr>Contractor_City</vt:lpstr>
      <vt:lpstr>Contractor_Contact_First_Name</vt:lpstr>
      <vt:lpstr>Contractor_Contact_Last_Name</vt:lpstr>
      <vt:lpstr>Contractor_Email_Address</vt:lpstr>
      <vt:lpstr>Contractor_Identity_of_Interest?</vt:lpstr>
      <vt:lpstr>Contractor_Name</vt:lpstr>
      <vt:lpstr>Contractor_State</vt:lpstr>
      <vt:lpstr>Contractor_Street_Address</vt:lpstr>
      <vt:lpstr>Contractor_Telephone_Number</vt:lpstr>
      <vt:lpstr>Contractor_Zipcode</vt:lpstr>
      <vt:lpstr>Contracts</vt:lpstr>
      <vt:lpstr>Convention_and_Meetings</vt:lpstr>
      <vt:lpstr>Cooking</vt:lpstr>
      <vt:lpstr>Cooling</vt:lpstr>
      <vt:lpstr>Covered_Drive_Thru</vt:lpstr>
      <vt:lpstr>Credit_Calc</vt:lpstr>
      <vt:lpstr>Credit_percentage_applied_for</vt:lpstr>
      <vt:lpstr>DA_City</vt:lpstr>
      <vt:lpstr>DA_Email_Address</vt:lpstr>
      <vt:lpstr>DA_First_Name</vt:lpstr>
      <vt:lpstr>DA_Identity_of_Interest?</vt:lpstr>
      <vt:lpstr>DA_Last_Name</vt:lpstr>
      <vt:lpstr>DA_State</vt:lpstr>
      <vt:lpstr>DA_Street_Address</vt:lpstr>
      <vt:lpstr>DA_Telephone_Number</vt:lpstr>
      <vt:lpstr>DA_Zipcode</vt:lpstr>
      <vt:lpstr>Date_first_building_is_to_be_placed_in_service</vt:lpstr>
      <vt:lpstr>Date_last_building_is_to_be_placed_in_service</vt:lpstr>
      <vt:lpstr>DDA</vt:lpstr>
      <vt:lpstr>Deal_Stage</vt:lpstr>
      <vt:lpstr>Deal_Status</vt:lpstr>
      <vt:lpstr>Demand_Score</vt:lpstr>
      <vt:lpstr>Demotition_Required</vt:lpstr>
      <vt:lpstr>Describe_Differences_in_Low_income___Market_rate_Unit_Amenities</vt:lpstr>
      <vt:lpstr>Design_Architect</vt:lpstr>
      <vt:lpstr>Detached_Single_Family</vt:lpstr>
      <vt:lpstr>Detached_Two_Family__Duplex</vt:lpstr>
      <vt:lpstr>DEV_Contact_First_Name</vt:lpstr>
      <vt:lpstr>DEV_Contact_First_Name_2</vt:lpstr>
      <vt:lpstr>DEV_Contact_First_Name_3</vt:lpstr>
      <vt:lpstr>DEV_Contact_First_Name_4</vt:lpstr>
      <vt:lpstr>DEV_Contact_Last_Name</vt:lpstr>
      <vt:lpstr>DEV_Contact_Last_Name_2</vt:lpstr>
      <vt:lpstr>DEV_Contact_Last_Name_3</vt:lpstr>
      <vt:lpstr>DEV_Contact_Last_Name_4</vt:lpstr>
      <vt:lpstr>DEV_Email_Address</vt:lpstr>
      <vt:lpstr>DEV_Street_Address</vt:lpstr>
      <vt:lpstr>DEV_Telephone_Number</vt:lpstr>
      <vt:lpstr>DEV2_City</vt:lpstr>
      <vt:lpstr>DEV2_Email_Address</vt:lpstr>
      <vt:lpstr>DEV2_State</vt:lpstr>
      <vt:lpstr>DEV2_Street_Address</vt:lpstr>
      <vt:lpstr>DEV2_Telephone_Number</vt:lpstr>
      <vt:lpstr>DEV2_Zip_Code</vt:lpstr>
      <vt:lpstr>DEV3_City</vt:lpstr>
      <vt:lpstr>DEV3_Email_Address</vt:lpstr>
      <vt:lpstr>DEV3_State</vt:lpstr>
      <vt:lpstr>DEV3_Street_Address</vt:lpstr>
      <vt:lpstr>DEV3_Telephone_Number</vt:lpstr>
      <vt:lpstr>DEV3_Zip_Code</vt:lpstr>
      <vt:lpstr>DEV4_City</vt:lpstr>
      <vt:lpstr>DEV4_Email_Address</vt:lpstr>
      <vt:lpstr>DEV4_State</vt:lpstr>
      <vt:lpstr>DEV4_Street_Address</vt:lpstr>
      <vt:lpstr>DEV4_Telephone_Number</vt:lpstr>
      <vt:lpstr>DEV4_Zip_Code</vt:lpstr>
      <vt:lpstr>Developer_City</vt:lpstr>
      <vt:lpstr>Developer_Name</vt:lpstr>
      <vt:lpstr>Developer_Name_2</vt:lpstr>
      <vt:lpstr>Developer_Name_3</vt:lpstr>
      <vt:lpstr>Developer_Name_4</vt:lpstr>
      <vt:lpstr>Developer_Score</vt:lpstr>
      <vt:lpstr>Developer_State</vt:lpstr>
      <vt:lpstr>Developer_Zip_Code</vt:lpstr>
      <vt:lpstr>Development_Team_Points</vt:lpstr>
      <vt:lpstr>Dietary_Purchased_Serv</vt:lpstr>
      <vt:lpstr>Dietary_Salaries</vt:lpstr>
      <vt:lpstr>Dishwasher</vt:lpstr>
      <vt:lpstr>Disposal</vt:lpstr>
      <vt:lpstr>Drapes</vt:lpstr>
      <vt:lpstr>Effective_Gross_Income</vt:lpstr>
      <vt:lpstr>Elderly</vt:lpstr>
      <vt:lpstr>Electric_Heat</vt:lpstr>
      <vt:lpstr>Electric_Pump</vt:lpstr>
      <vt:lpstr>Electricity</vt:lpstr>
      <vt:lpstr>Elevator_Building</vt:lpstr>
      <vt:lpstr>'21. Location Score'!EncNA</vt:lpstr>
      <vt:lpstr>'22. Tenants Served Score'!EncNA</vt:lpstr>
      <vt:lpstr>'23. Building Design Score'!EncNA</vt:lpstr>
      <vt:lpstr>'24. Development Process Score'!EncNA</vt:lpstr>
      <vt:lpstr>EncNA</vt:lpstr>
      <vt:lpstr>Energy_Efficiency_and_Sustainablilty</vt:lpstr>
      <vt:lpstr>Energy_Points</vt:lpstr>
      <vt:lpstr>Entity_Principal_Function_1</vt:lpstr>
      <vt:lpstr>Entity_Principal_Function_2</vt:lpstr>
      <vt:lpstr>Entity_Principal_Function_3</vt:lpstr>
      <vt:lpstr>Entity_Principal_Name_1</vt:lpstr>
      <vt:lpstr>Entity_Principal_Name_2</vt:lpstr>
      <vt:lpstr>Entity_Principal_Name_3</vt:lpstr>
      <vt:lpstr>Entity_Status</vt:lpstr>
      <vt:lpstr>Entity_Type</vt:lpstr>
      <vt:lpstr>'21. Location Score'!EntityPrincipalFunction</vt:lpstr>
      <vt:lpstr>'22. Tenants Served Score'!EntityPrincipalFunction</vt:lpstr>
      <vt:lpstr>'23. Building Design Score'!EntityPrincipalFunction</vt:lpstr>
      <vt:lpstr>'24. Development Process Score'!EntityPrincipalFunction</vt:lpstr>
      <vt:lpstr>EntityPrincipalFunction</vt:lpstr>
      <vt:lpstr>'21. Location Score'!EntityStatus</vt:lpstr>
      <vt:lpstr>'22. Tenants Served Score'!EntityStatus</vt:lpstr>
      <vt:lpstr>'23. Building Design Score'!EntityStatus</vt:lpstr>
      <vt:lpstr>'24. Development Process Score'!EntityStatus</vt:lpstr>
      <vt:lpstr>EntityStatus</vt:lpstr>
      <vt:lpstr>'21. Location Score'!EntityType</vt:lpstr>
      <vt:lpstr>'22. Tenants Served Score'!EntityType</vt:lpstr>
      <vt:lpstr>'23. Building Design Score'!EntityType</vt:lpstr>
      <vt:lpstr>'24. Development Process Score'!EntityType</vt:lpstr>
      <vt:lpstr>EntityType</vt:lpstr>
      <vt:lpstr>Environmental_Issues</vt:lpstr>
      <vt:lpstr>Equity_Takeout_Refinance_Units</vt:lpstr>
      <vt:lpstr>Eventual_Tenant_Own_Points</vt:lpstr>
      <vt:lpstr>Eventual_Tenant_Ownership</vt:lpstr>
      <vt:lpstr>Exam_Room</vt:lpstr>
      <vt:lpstr>Exercise_Room</vt:lpstr>
      <vt:lpstr>Expenses_Other</vt:lpstr>
      <vt:lpstr>Explanation</vt:lpstr>
      <vt:lpstr>Exterior_Storage</vt:lpstr>
      <vt:lpstr>Family</vt:lpstr>
      <vt:lpstr>Family_Number_of_Units</vt:lpstr>
      <vt:lpstr>Federal_Credits</vt:lpstr>
      <vt:lpstr>Federal_HTC_Equity</vt:lpstr>
      <vt:lpstr>Federal_Tax_ID_Number_of_Ownership_Entity</vt:lpstr>
      <vt:lpstr>'21. Location Score'!FederalFinancingType</vt:lpstr>
      <vt:lpstr>'22. Tenants Served Score'!FederalFinancingType</vt:lpstr>
      <vt:lpstr>'23. Building Design Score'!FederalFinancingType</vt:lpstr>
      <vt:lpstr>'24. Development Process Score'!FederalFinancingType</vt:lpstr>
      <vt:lpstr>FederalFinancingType</vt:lpstr>
      <vt:lpstr>Fidelity_Bond_Issuance</vt:lpstr>
      <vt:lpstr>Financial_Leverage</vt:lpstr>
      <vt:lpstr>Financial_Leverage_Points</vt:lpstr>
      <vt:lpstr>FinancingType</vt:lpstr>
      <vt:lpstr>Flood_Zone</vt:lpstr>
      <vt:lpstr>Food</vt:lpstr>
      <vt:lpstr>Front_Porches</vt:lpstr>
      <vt:lpstr>Fuel_Oil</vt:lpstr>
      <vt:lpstr>Funding_Sources</vt:lpstr>
      <vt:lpstr>Game_Craft_Room</vt:lpstr>
      <vt:lpstr>Garage_Rent_Per_Year</vt:lpstr>
      <vt:lpstr>Garages</vt:lpstr>
      <vt:lpstr>Garbage_and_Trash_Removal</vt:lpstr>
      <vt:lpstr>Garden_Plots</vt:lpstr>
      <vt:lpstr>Gas</vt:lpstr>
      <vt:lpstr>Gas_Heat</vt:lpstr>
      <vt:lpstr>Gazebos</vt:lpstr>
      <vt:lpstr>GC_Telephone_Number</vt:lpstr>
      <vt:lpstr>Grant_1</vt:lpstr>
      <vt:lpstr>Grant_10</vt:lpstr>
      <vt:lpstr>Grant_11</vt:lpstr>
      <vt:lpstr>Grant_2</vt:lpstr>
      <vt:lpstr>Grant_3</vt:lpstr>
      <vt:lpstr>Grant_4</vt:lpstr>
      <vt:lpstr>Grant_5</vt:lpstr>
      <vt:lpstr>Grant_6</vt:lpstr>
      <vt:lpstr>Grant_7</vt:lpstr>
      <vt:lpstr>Grant_8</vt:lpstr>
      <vt:lpstr>Grant_9</vt:lpstr>
      <vt:lpstr>Grant_Amount_1</vt:lpstr>
      <vt:lpstr>Grant_Amount_10</vt:lpstr>
      <vt:lpstr>Grant_Amount_11</vt:lpstr>
      <vt:lpstr>Grant_Amount_2</vt:lpstr>
      <vt:lpstr>Grant_Amount_3</vt:lpstr>
      <vt:lpstr>Grant_Amount_4</vt:lpstr>
      <vt:lpstr>Grant_Amount_5</vt:lpstr>
      <vt:lpstr>Grant_Amount_6</vt:lpstr>
      <vt:lpstr>Grant_Amount_7</vt:lpstr>
      <vt:lpstr>Grant_Amount_8</vt:lpstr>
      <vt:lpstr>Grant_Amount_9</vt:lpstr>
      <vt:lpstr>Guest_Lodging</vt:lpstr>
      <vt:lpstr>Health_Insurance_and_Other_Employee_Benefits</vt:lpstr>
      <vt:lpstr>Heat_Pump</vt:lpstr>
      <vt:lpstr>Heating___Cooling_Repairs_Maintenance</vt:lpstr>
      <vt:lpstr>Homeless</vt:lpstr>
      <vt:lpstr>Homeless_Number_of_Units</vt:lpstr>
      <vt:lpstr>Hot_Water</vt:lpstr>
      <vt:lpstr>Housekeeping_Purchased_Serv</vt:lpstr>
      <vt:lpstr>Housekeeping_Salary</vt:lpstr>
      <vt:lpstr>Housekeeping_Supply</vt:lpstr>
      <vt:lpstr>How_Score</vt:lpstr>
      <vt:lpstr>HUD_RAD</vt:lpstr>
      <vt:lpstr>HUD_RAD_Number_of_Units</vt:lpstr>
      <vt:lpstr>'2. Project Summary'!HUD202NoOfUnits</vt:lpstr>
      <vt:lpstr>'2. Project Summary'!HUD236NoOfUnits</vt:lpstr>
      <vt:lpstr>'2. Project Summary'!HUD811NoOfUnits</vt:lpstr>
      <vt:lpstr>'2. Project Summary'!HUDRADNoOfUnits</vt:lpstr>
      <vt:lpstr>'2. Project Summary'!HUDSection8NoOfUnits</vt:lpstr>
      <vt:lpstr>Identity_Interest_Direct_Indirect</vt:lpstr>
      <vt:lpstr>If_yes__list_name_of_project_and_WHEDA_application_number</vt:lpstr>
      <vt:lpstr>If_yes__provide_the_subsidy_source</vt:lpstr>
      <vt:lpstr>In_Unit_Internet_Access</vt:lpstr>
      <vt:lpstr>Instructions_Scoring_Summary</vt:lpstr>
      <vt:lpstr>Is_HUD_approval_for_transfer_of_physical_asset_required?</vt:lpstr>
      <vt:lpstr>Is_project_a_Scattered_Site?</vt:lpstr>
      <vt:lpstr>Is_project_in_a_Difficult_Development_Area?</vt:lpstr>
      <vt:lpstr>Is_project_in_a_Qualified_Census_Tract?</vt:lpstr>
      <vt:lpstr>Is_RD_approval_for_transfer_of_physical_asset_required?</vt:lpstr>
      <vt:lpstr>Is_this_a_credit_application_for_a_property_that_has_completed_its_HTC_compliance_period?</vt:lpstr>
      <vt:lpstr>Is_this_an_application_for_additional_credit?</vt:lpstr>
      <vt:lpstr>Is_WHEDA_approval_for_transfer_of_physical_asset_required?</vt:lpstr>
      <vt:lpstr>isQualifiedSenior</vt:lpstr>
      <vt:lpstr>Judgements</vt:lpstr>
      <vt:lpstr>Jurisdiction_CEO_First_Name</vt:lpstr>
      <vt:lpstr>Jurisdiction_CEO_Last_Name</vt:lpstr>
      <vt:lpstr>Jurisdiction_City</vt:lpstr>
      <vt:lpstr>Jurisdiction_E_Mail_Address</vt:lpstr>
      <vt:lpstr>Jurisdiction_Phone</vt:lpstr>
      <vt:lpstr>Jurisdiction_Street_Address</vt:lpstr>
      <vt:lpstr>Jurisdiction_Title</vt:lpstr>
      <vt:lpstr>Jurisdiction_Zip_Code</vt:lpstr>
      <vt:lpstr>Laundry_Linen</vt:lpstr>
      <vt:lpstr>Laundry_Purchased_Serv</vt:lpstr>
      <vt:lpstr>Laundry_Room</vt:lpstr>
      <vt:lpstr>Laundry_Salaries</vt:lpstr>
      <vt:lpstr>Laundry_Supplies</vt:lpstr>
      <vt:lpstr>Legal_Expenses___Project_Only</vt:lpstr>
      <vt:lpstr>Lender_Name</vt:lpstr>
      <vt:lpstr>Litigation</vt:lpstr>
      <vt:lpstr>Location_Score</vt:lpstr>
      <vt:lpstr>Low_Income_Total_Units</vt:lpstr>
      <vt:lpstr>Lower_Income_Area_Points</vt:lpstr>
      <vt:lpstr>Lower_Income_Areas</vt:lpstr>
      <vt:lpstr>LowIncome3BRUnits</vt:lpstr>
      <vt:lpstr>LURA_Project_Number</vt:lpstr>
      <vt:lpstr>MA_City</vt:lpstr>
      <vt:lpstr>MA_Email_Address</vt:lpstr>
      <vt:lpstr>MA_Identity_of_Interest?</vt:lpstr>
      <vt:lpstr>MA_State</vt:lpstr>
      <vt:lpstr>MA_Street_Address</vt:lpstr>
      <vt:lpstr>MA_Telephone_Number</vt:lpstr>
      <vt:lpstr>MA_Zipcode</vt:lpstr>
      <vt:lpstr>Management_Agent_Email_Address</vt:lpstr>
      <vt:lpstr>Management_Consultants</vt:lpstr>
      <vt:lpstr>Management_Fee___Commercial_Rents</vt:lpstr>
      <vt:lpstr>Management_Fee___Misc._Income</vt:lpstr>
      <vt:lpstr>Management_Fee___Residential_Rents</vt:lpstr>
      <vt:lpstr>Manager_Superintendent_Salaries</vt:lpstr>
      <vt:lpstr>Max_Cost_Model</vt:lpstr>
      <vt:lpstr>Med_Records_Purchased_Srv</vt:lpstr>
      <vt:lpstr>Media_Center_Room</vt:lpstr>
      <vt:lpstr>Medical_Purchased_Serv</vt:lpstr>
      <vt:lpstr>Medical_Records_Salary</vt:lpstr>
      <vt:lpstr>Medical_Records_Supply</vt:lpstr>
      <vt:lpstr>Medical_Supplies</vt:lpstr>
      <vt:lpstr>Mgmt_Company_Name</vt:lpstr>
      <vt:lpstr>Mgmt_Contact_First_Name</vt:lpstr>
      <vt:lpstr>Mgmt_Contact_Last_Name</vt:lpstr>
      <vt:lpstr>Microwave</vt:lpstr>
      <vt:lpstr>Mini_blinds</vt:lpstr>
      <vt:lpstr>Minimum_Set_Aside_Requirements</vt:lpstr>
      <vt:lpstr>Misc._Operating___Maintenance_Expenses</vt:lpstr>
      <vt:lpstr>Misc._Taxes__Licenses__Permits__and_Insuaance</vt:lpstr>
      <vt:lpstr>Miscellaneous_Taxes__Licenses_and_Permits</vt:lpstr>
      <vt:lpstr>Mixed_Income_Points</vt:lpstr>
      <vt:lpstr>MKT_Units_1</vt:lpstr>
      <vt:lpstr>MKT_Units_10</vt:lpstr>
      <vt:lpstr>MKT_Units_11</vt:lpstr>
      <vt:lpstr>MKT_Units_12</vt:lpstr>
      <vt:lpstr>MKT_Units_13</vt:lpstr>
      <vt:lpstr>MKT_Units_14</vt:lpstr>
      <vt:lpstr>MKT_Units_15</vt:lpstr>
      <vt:lpstr>MKT_Units_16</vt:lpstr>
      <vt:lpstr>MKT_Units_17</vt:lpstr>
      <vt:lpstr>MKT_Units_18</vt:lpstr>
      <vt:lpstr>MKT_Units_19</vt:lpstr>
      <vt:lpstr>MKT_Units_2</vt:lpstr>
      <vt:lpstr>MKT_Units_20</vt:lpstr>
      <vt:lpstr>MKT_Units_21</vt:lpstr>
      <vt:lpstr>MKT_Units_22</vt:lpstr>
      <vt:lpstr>MKT_Units_23</vt:lpstr>
      <vt:lpstr>MKT_Units_24</vt:lpstr>
      <vt:lpstr>MKT_Units_25</vt:lpstr>
      <vt:lpstr>MKT_Units_26</vt:lpstr>
      <vt:lpstr>MKT_Units_27</vt:lpstr>
      <vt:lpstr>MKT_Units_28</vt:lpstr>
      <vt:lpstr>MKT_Units_29</vt:lpstr>
      <vt:lpstr>MKT_Units_3</vt:lpstr>
      <vt:lpstr>MKT_Units_30</vt:lpstr>
      <vt:lpstr>MKT_Units_31</vt:lpstr>
      <vt:lpstr>MKT_Units_32</vt:lpstr>
      <vt:lpstr>MKT_Units_33</vt:lpstr>
      <vt:lpstr>MKT_Units_34</vt:lpstr>
      <vt:lpstr>MKT_Units_4</vt:lpstr>
      <vt:lpstr>MKT_Units_5</vt:lpstr>
      <vt:lpstr>MKT_Units_6</vt:lpstr>
      <vt:lpstr>MKT_Units_7</vt:lpstr>
      <vt:lpstr>MKT_Units_8</vt:lpstr>
      <vt:lpstr>MKT_Units_9</vt:lpstr>
      <vt:lpstr>Monthly_Rent_1</vt:lpstr>
      <vt:lpstr>Monthly_Rent_10</vt:lpstr>
      <vt:lpstr>Monthly_Rent_11</vt:lpstr>
      <vt:lpstr>Monthly_Rent_12</vt:lpstr>
      <vt:lpstr>Monthly_Rent_13</vt:lpstr>
      <vt:lpstr>Monthly_Rent_14</vt:lpstr>
      <vt:lpstr>Monthly_Rent_15</vt:lpstr>
      <vt:lpstr>Monthly_Rent_16</vt:lpstr>
      <vt:lpstr>Monthly_Rent_17</vt:lpstr>
      <vt:lpstr>Monthly_Rent_18</vt:lpstr>
      <vt:lpstr>Monthly_Rent_19</vt:lpstr>
      <vt:lpstr>Monthly_Rent_2</vt:lpstr>
      <vt:lpstr>Monthly_Rent_20</vt:lpstr>
      <vt:lpstr>Monthly_Rent_21</vt:lpstr>
      <vt:lpstr>Monthly_Rent_22</vt:lpstr>
      <vt:lpstr>Monthly_Rent_23</vt:lpstr>
      <vt:lpstr>Monthly_Rent_24</vt:lpstr>
      <vt:lpstr>Monthly_Rent_25</vt:lpstr>
      <vt:lpstr>Monthly_Rent_26</vt:lpstr>
      <vt:lpstr>Monthly_Rent_27</vt:lpstr>
      <vt:lpstr>Monthly_Rent_28</vt:lpstr>
      <vt:lpstr>Monthly_Rent_29</vt:lpstr>
      <vt:lpstr>Monthly_Rent_3</vt:lpstr>
      <vt:lpstr>Monthly_Rent_30</vt:lpstr>
      <vt:lpstr>Monthly_Rent_31</vt:lpstr>
      <vt:lpstr>Monthly_Rent_32</vt:lpstr>
      <vt:lpstr>Monthly_Rent_33</vt:lpstr>
      <vt:lpstr>Monthly_Rent_34</vt:lpstr>
      <vt:lpstr>Monthly_Rent_35</vt:lpstr>
      <vt:lpstr>Monthly_Rent_36</vt:lpstr>
      <vt:lpstr>Monthly_Rent_37</vt:lpstr>
      <vt:lpstr>Monthly_Rent_38</vt:lpstr>
      <vt:lpstr>Monthly_Rent_39</vt:lpstr>
      <vt:lpstr>Monthly_Rent_4</vt:lpstr>
      <vt:lpstr>Monthly_Rent_40</vt:lpstr>
      <vt:lpstr>Monthly_Rent_41</vt:lpstr>
      <vt:lpstr>Monthly_Rent_42</vt:lpstr>
      <vt:lpstr>Monthly_Rent_43</vt:lpstr>
      <vt:lpstr>Monthly_Rent_44</vt:lpstr>
      <vt:lpstr>Monthly_Rent_45</vt:lpstr>
      <vt:lpstr>Monthly_Rent_46</vt:lpstr>
      <vt:lpstr>Monthly_Rent_47</vt:lpstr>
      <vt:lpstr>Monthly_Rent_48</vt:lpstr>
      <vt:lpstr>Monthly_Rent_49</vt:lpstr>
      <vt:lpstr>Monthly_Rent_5</vt:lpstr>
      <vt:lpstr>Monthly_Rent_50</vt:lpstr>
      <vt:lpstr>Monthly_Rent_6</vt:lpstr>
      <vt:lpstr>Monthly_Rent_7</vt:lpstr>
      <vt:lpstr>Monthly_Rent_8</vt:lpstr>
      <vt:lpstr>Monthly_Rent_9</vt:lpstr>
      <vt:lpstr>Name_Project_App_Nunber</vt:lpstr>
      <vt:lpstr>New_Construction_Units</vt:lpstr>
      <vt:lpstr>Non_elevator_Building</vt:lpstr>
      <vt:lpstr>Non_Voucher_Unit_Types</vt:lpstr>
      <vt:lpstr>Number_Garages</vt:lpstr>
      <vt:lpstr>Number_of__Units_1</vt:lpstr>
      <vt:lpstr>Number_of__Units_10</vt:lpstr>
      <vt:lpstr>Number_of__Units_11</vt:lpstr>
      <vt:lpstr>Number_of__Units_12</vt:lpstr>
      <vt:lpstr>Number_of__Units_13</vt:lpstr>
      <vt:lpstr>Number_of__Units_14</vt:lpstr>
      <vt:lpstr>Number_of__Units_15</vt:lpstr>
      <vt:lpstr>Number_of__Units_16</vt:lpstr>
      <vt:lpstr>Number_of__Units_17</vt:lpstr>
      <vt:lpstr>Number_of__Units_18</vt:lpstr>
      <vt:lpstr>Number_of__Units_19</vt:lpstr>
      <vt:lpstr>Number_of__Units_2</vt:lpstr>
      <vt:lpstr>Number_of__Units_20</vt:lpstr>
      <vt:lpstr>Number_of__Units_21</vt:lpstr>
      <vt:lpstr>Number_of__Units_22</vt:lpstr>
      <vt:lpstr>Number_of__Units_23</vt:lpstr>
      <vt:lpstr>Number_of__Units_24</vt:lpstr>
      <vt:lpstr>Number_of__Units_25</vt:lpstr>
      <vt:lpstr>Number_of__Units_26</vt:lpstr>
      <vt:lpstr>Number_of__Units_27</vt:lpstr>
      <vt:lpstr>Number_of__Units_28</vt:lpstr>
      <vt:lpstr>Number_of__Units_29</vt:lpstr>
      <vt:lpstr>Number_of__Units_3</vt:lpstr>
      <vt:lpstr>Number_of__Units_30</vt:lpstr>
      <vt:lpstr>Number_of__Units_31</vt:lpstr>
      <vt:lpstr>Number_of__Units_32</vt:lpstr>
      <vt:lpstr>Number_of__Units_33</vt:lpstr>
      <vt:lpstr>Number_of__Units_34</vt:lpstr>
      <vt:lpstr>Number_of__Units_4</vt:lpstr>
      <vt:lpstr>Number_of__Units_5</vt:lpstr>
      <vt:lpstr>Number_of__Units_6</vt:lpstr>
      <vt:lpstr>Number_of__Units_7</vt:lpstr>
      <vt:lpstr>Number_of__Units_8</vt:lpstr>
      <vt:lpstr>Number_of__Units_9</vt:lpstr>
      <vt:lpstr>Number_of_existing_units</vt:lpstr>
      <vt:lpstr>Number_of_Stories_Elevator</vt:lpstr>
      <vt:lpstr>Number_of_Stories_No_Elevator</vt:lpstr>
      <vt:lpstr>Number_Surface_Parking</vt:lpstr>
      <vt:lpstr>Number_Underground_Parking</vt:lpstr>
      <vt:lpstr>'21. Location Score'!NumberBedrooms</vt:lpstr>
      <vt:lpstr>'22. Tenants Served Score'!NumberBedrooms</vt:lpstr>
      <vt:lpstr>'23. Building Design Score'!NumberBedrooms</vt:lpstr>
      <vt:lpstr>'24. Development Process Score'!NumberBedrooms</vt:lpstr>
      <vt:lpstr>NumberBedrooms</vt:lpstr>
      <vt:lpstr>Office_Expenses</vt:lpstr>
      <vt:lpstr>Office_or_Model_Apartment_Rent</vt:lpstr>
      <vt:lpstr>Office_Salaries</vt:lpstr>
      <vt:lpstr>Onsite_Leasing_Office</vt:lpstr>
      <vt:lpstr>Operating_and_Maintenance_Rent_Fee_Unit</vt:lpstr>
      <vt:lpstr>Other</vt:lpstr>
      <vt:lpstr>Other__Please_describe</vt:lpstr>
      <vt:lpstr>Other_Administrative_Expenses</vt:lpstr>
      <vt:lpstr>Other_Housekeeping</vt:lpstr>
      <vt:lpstr>Other_Number_of_Units</vt:lpstr>
      <vt:lpstr>Other_Support_Serv</vt:lpstr>
      <vt:lpstr>Owner___Paid_Amenities</vt:lpstr>
      <vt:lpstr>Owner_Address</vt:lpstr>
      <vt:lpstr>Owner_City</vt:lpstr>
      <vt:lpstr>Owner_Name</vt:lpstr>
      <vt:lpstr>Owner_State</vt:lpstr>
      <vt:lpstr>Owner_Zip</vt:lpstr>
      <vt:lpstr>Ownership_Contact_Person_First_Name</vt:lpstr>
      <vt:lpstr>Ownership_Contact_Person_Last_Name</vt:lpstr>
      <vt:lpstr>Ownership_Entity</vt:lpstr>
      <vt:lpstr>Pantry</vt:lpstr>
      <vt:lpstr>Patio_Balcony</vt:lpstr>
      <vt:lpstr>Payroll</vt:lpstr>
      <vt:lpstr>Payroll_Taxes___Project_Share</vt:lpstr>
      <vt:lpstr>PC_ACQ_ACQ_Subtotal_4</vt:lpstr>
      <vt:lpstr>PC_ACQ_ACQ_Subtotal_9</vt:lpstr>
      <vt:lpstr>PC_ACQ_ACQ_Subtotal_State</vt:lpstr>
      <vt:lpstr>PC_ACQ_ACQ_Subtotal_Total</vt:lpstr>
      <vt:lpstr>PC_ACQ_Building_Acq</vt:lpstr>
      <vt:lpstr>PC_ACQ_Building_Acq_State</vt:lpstr>
      <vt:lpstr>PC_ACQ_Building_Acq_Total</vt:lpstr>
      <vt:lpstr>PC_ACQ_Land_Acq_Total</vt:lpstr>
      <vt:lpstr>PC_ACQ_Other_Acq_4</vt:lpstr>
      <vt:lpstr>PC_ACQ_Other_Acq_9</vt:lpstr>
      <vt:lpstr>PC_ACQ_Other_Acq_State</vt:lpstr>
      <vt:lpstr>PC_ACQ_Other_Acq_Total</vt:lpstr>
      <vt:lpstr>PC_ACQ_Other_Purchase</vt:lpstr>
      <vt:lpstr>PC_ACQ_Other_Purchase_State</vt:lpstr>
      <vt:lpstr>PC_ACQ_Other_Purchase_Total</vt:lpstr>
      <vt:lpstr>PC_ARC_ALTA_4</vt:lpstr>
      <vt:lpstr>PC_ARC_ALTA_9</vt:lpstr>
      <vt:lpstr>PC_ARC_ALTA_State</vt:lpstr>
      <vt:lpstr>PC_ARC_ALTA_Total</vt:lpstr>
      <vt:lpstr>PC_ARC_Arch_Design_4</vt:lpstr>
      <vt:lpstr>PC_ARC_Arch_Design_9</vt:lpstr>
      <vt:lpstr>PC_ARC_Arch_Design_State</vt:lpstr>
      <vt:lpstr>PC_ARC_Arch_Design_Total</vt:lpstr>
      <vt:lpstr>PC_ARC_Arch_Super_4</vt:lpstr>
      <vt:lpstr>PC_ARC_Arch_Super_9</vt:lpstr>
      <vt:lpstr>PC_ARC_Arch_Super_State</vt:lpstr>
      <vt:lpstr>PC_ARC_Arch_Super_Total</vt:lpstr>
      <vt:lpstr>PC_ARC_Engineer_Fee_4</vt:lpstr>
      <vt:lpstr>PC_ARC_Engineer_Fee_9</vt:lpstr>
      <vt:lpstr>PC_ARC_Engineer_Fee_State</vt:lpstr>
      <vt:lpstr>PC_ARC_Engineer_Fee_Total</vt:lpstr>
      <vt:lpstr>PC_ARC_Other_Arch_4</vt:lpstr>
      <vt:lpstr>PC_ARC_Other_Arch_9</vt:lpstr>
      <vt:lpstr>PC_ARC_Other_Arch_State</vt:lpstr>
      <vt:lpstr>PC_ARC_Other_Arch_Total</vt:lpstr>
      <vt:lpstr>PC_CAP_Capital_Needs_Res_Total</vt:lpstr>
      <vt:lpstr>PC_CAP_Capitalized_Reserv_Subtotal_4</vt:lpstr>
      <vt:lpstr>PC_CAP_Capitalized_Reserv_Subtotal_9</vt:lpstr>
      <vt:lpstr>PC_CAP_Capitalized_Reserv_Subtotal_State</vt:lpstr>
      <vt:lpstr>PC_CAP_Capitalized_Reserv_Subtotal_Total</vt:lpstr>
      <vt:lpstr>PC_CAP_Debt_Serv_Reserve_Total</vt:lpstr>
      <vt:lpstr>PC_CAP_Escrow_Total</vt:lpstr>
      <vt:lpstr>PC_CAP_Operating_Expen_Res_Total</vt:lpstr>
      <vt:lpstr>PC_CAP_Other_Cap_Reserves_Total</vt:lpstr>
      <vt:lpstr>PC_CAP_Other_Reserve_Total</vt:lpstr>
      <vt:lpstr>PC_CAP_Replacement_Reserves_Total</vt:lpstr>
      <vt:lpstr>PC_CAP_Stab_RentUp_Res_Total</vt:lpstr>
      <vt:lpstr>PC_CNT_Contingency_Subtotal_4</vt:lpstr>
      <vt:lpstr>PC_CNT_Contingency_Subtotal_9</vt:lpstr>
      <vt:lpstr>PC_CNT_Contingency_Subtotal_State</vt:lpstr>
      <vt:lpstr>PC_CNT_Contingency_Subtotal_Total</vt:lpstr>
      <vt:lpstr>PC_CNT_Res_HC_Contingency</vt:lpstr>
      <vt:lpstr>PC_CNT_Res_HC_Contingency_State</vt:lpstr>
      <vt:lpstr>PC_CNT_Res_HC_Contingency_Total</vt:lpstr>
      <vt:lpstr>PC_CNT_Res_SC_Contingency</vt:lpstr>
      <vt:lpstr>PC_CNT_Res_SC_Contingency_State</vt:lpstr>
      <vt:lpstr>PC_CNT_Res_SC_Contingency_Total</vt:lpstr>
      <vt:lpstr>PC_CSP_Bond_Issuance_Fee_Total</vt:lpstr>
      <vt:lpstr>PC_CSP_Bonding_Fee_Subtotal_4</vt:lpstr>
      <vt:lpstr>PC_CSP_Bonding_Fee_Subtotal_9</vt:lpstr>
      <vt:lpstr>PC_CSP_Bonding_Fee_Subtotal_State</vt:lpstr>
      <vt:lpstr>PC_CSP_Bonding_Fee_Subtotal_Total</vt:lpstr>
      <vt:lpstr>PC_CSP_Constr_Hazard_insur_4</vt:lpstr>
      <vt:lpstr>PC_CSP_Constr_Hazard_insur_9</vt:lpstr>
      <vt:lpstr>PC_CSP_Constr_Hazard_insur_State</vt:lpstr>
      <vt:lpstr>PC_CSP_Constr_Hazard_insur_Total</vt:lpstr>
      <vt:lpstr>PC_CSP_Constr_Lender_Fees_4</vt:lpstr>
      <vt:lpstr>PC_CSP_Constr_Lender_Fees_9</vt:lpstr>
      <vt:lpstr>PC_CSP_Constr_Lender_Fees_State</vt:lpstr>
      <vt:lpstr>PC_CSP_Constr_Lender_Fees_Total</vt:lpstr>
      <vt:lpstr>PC_CSP_Constr_Liability_4</vt:lpstr>
      <vt:lpstr>PC_CSP_Constr_Liability_9</vt:lpstr>
      <vt:lpstr>PC_CSP_Constr_Liability_State</vt:lpstr>
      <vt:lpstr>PC_CSP_Constr_Liability_Total</vt:lpstr>
      <vt:lpstr>PC_CSP_Constr_Period_Int_4</vt:lpstr>
      <vt:lpstr>PC_CSP_Constr_Period_Int_9</vt:lpstr>
      <vt:lpstr>PC_CSP_Constr_Period_Int_State</vt:lpstr>
      <vt:lpstr>PC_CSP_Constr_Period_Int_Total</vt:lpstr>
      <vt:lpstr>PC_CSP_Contractor_Related_Fees_Subtotal_4</vt:lpstr>
      <vt:lpstr>PC_CSP_Contractor_Related_Fees_Subtotal_9</vt:lpstr>
      <vt:lpstr>PC_CSP_Contractor_Related_Fees_Subtotal_State</vt:lpstr>
      <vt:lpstr>PC_CSP_Contractor_Related_Fees_Subtotal_Total</vt:lpstr>
      <vt:lpstr>PC_CSP_Credit_Enhance_Fee_4</vt:lpstr>
      <vt:lpstr>PC_CSP_Credit_Enhance_Fee_9</vt:lpstr>
      <vt:lpstr>PC_CSP_Credit_Enhance_Fee_State</vt:lpstr>
      <vt:lpstr>PC_CSP_Credit_Enhance_Fee_Total</vt:lpstr>
      <vt:lpstr>PC_CSP_Green_Building_4</vt:lpstr>
      <vt:lpstr>PC_CSP_Green_Building_9</vt:lpstr>
      <vt:lpstr>PC_CSP_Green_Building_State</vt:lpstr>
      <vt:lpstr>PC_CSP_Green_Building_Total</vt:lpstr>
      <vt:lpstr>PC_CSP_Lender_Insp_Fees_4</vt:lpstr>
      <vt:lpstr>PC_CSP_Lender_Insp_Fees_9</vt:lpstr>
      <vt:lpstr>PC_CSP_Lender_Insp_Fees_State</vt:lpstr>
      <vt:lpstr>PC_CSP_Lender_Insp_Fees_Total</vt:lpstr>
      <vt:lpstr>PC_CSP_LU_Period_Constr_4</vt:lpstr>
      <vt:lpstr>PC_CSP_LU_Period_Constr_9</vt:lpstr>
      <vt:lpstr>PC_CSP_LU_Period_Constr_State</vt:lpstr>
      <vt:lpstr>PC_CSP_LU_Period_Constr_Total</vt:lpstr>
      <vt:lpstr>PC_CSP_Other_Constr_Costs_4</vt:lpstr>
      <vt:lpstr>PC_CSP_Other_Constr_Costs_9</vt:lpstr>
      <vt:lpstr>PC_CSP_Other_Constr_Costs_State</vt:lpstr>
      <vt:lpstr>PC_CSP_Other_Constr_Costs_Total</vt:lpstr>
      <vt:lpstr>PC_CSP_Other_Fees_4</vt:lpstr>
      <vt:lpstr>PC_CSP_Other_Fees_9</vt:lpstr>
      <vt:lpstr>PC_CSP_Other_Fees_State</vt:lpstr>
      <vt:lpstr>PC_CSP_Other_Fees_Total</vt:lpstr>
      <vt:lpstr>PC_CSP_Other_Interim_4</vt:lpstr>
      <vt:lpstr>PC_CSP_Other_Interim_9</vt:lpstr>
      <vt:lpstr>PC_CSP_Other_Interim_State</vt:lpstr>
      <vt:lpstr>PC_CSP_Other_Interim_Total</vt:lpstr>
      <vt:lpstr>PC_CSP_Other_Lender_Fees_4</vt:lpstr>
      <vt:lpstr>PC_CSP_Other_Lender_Fees_9</vt:lpstr>
      <vt:lpstr>PC_CSP_Other_Lender_Fees_State</vt:lpstr>
      <vt:lpstr>PC_CSP_Other_Lender_Fees_Total</vt:lpstr>
      <vt:lpstr>PC_CSP_Other_Lender_Subtotal_4</vt:lpstr>
      <vt:lpstr>PC_CSP_Other_Lender_Subtotal_9</vt:lpstr>
      <vt:lpstr>PC_CSP_Other_Lender_Subtotal_State</vt:lpstr>
      <vt:lpstr>PC_CSP_Other_Lender_Subtotal_Total</vt:lpstr>
      <vt:lpstr>PC_CSP_Perm_Relocation_Total</vt:lpstr>
      <vt:lpstr>PC_CSP_Predev_Bridge_Finan_Fees_Total</vt:lpstr>
      <vt:lpstr>PC_CSP_Predev_Bridge_Loan_Int_Total</vt:lpstr>
      <vt:lpstr>PC_CSP_Predev_Bridge_Orig_Fees_Total</vt:lpstr>
      <vt:lpstr>PC_CSP_Taxes_During_Constr_4</vt:lpstr>
      <vt:lpstr>PC_CSP_Taxes_During_Constr_9</vt:lpstr>
      <vt:lpstr>PC_CSP_Taxes_During_Constr_State</vt:lpstr>
      <vt:lpstr>PC_CSP_Taxes_During_Constr_Total</vt:lpstr>
      <vt:lpstr>PC_CSP_TE_Bond_Alloc_Total</vt:lpstr>
      <vt:lpstr>PC_CSP_Temp_Relocation_State</vt:lpstr>
      <vt:lpstr>PC_CSP_Temp_Reloocation_4</vt:lpstr>
      <vt:lpstr>PC_CSP_Temp_Reloocation_9</vt:lpstr>
      <vt:lpstr>PC_CSP_Temp_Reloocation_Total</vt:lpstr>
      <vt:lpstr>PC_CSP_Title_Recording_4</vt:lpstr>
      <vt:lpstr>PC_CSP_Title_Recording_9</vt:lpstr>
      <vt:lpstr>PC_CSP_Title_Recording_State</vt:lpstr>
      <vt:lpstr>PC_CSP_Title_Recording_Total</vt:lpstr>
      <vt:lpstr>PC_CSP_WHEDA_App_Fees_4</vt:lpstr>
      <vt:lpstr>PC_CSP_WHEDA_App_Fees_9</vt:lpstr>
      <vt:lpstr>PC_CSP_WHEDA_App_Fees_State</vt:lpstr>
      <vt:lpstr>PC_CSP_WHEDA_App_Fees_Total</vt:lpstr>
      <vt:lpstr>PC_CSP_WHEDA_Constr_Inspect_4</vt:lpstr>
      <vt:lpstr>PC_CSP_WHEDA_Constr_Inspect_9</vt:lpstr>
      <vt:lpstr>PC_CSP_WHEDA_Constr_Inspect_State</vt:lpstr>
      <vt:lpstr>PC_CSP_WHEDA_Constr_Inspect_Total</vt:lpstr>
      <vt:lpstr>PC_CSP_WHEDA_Constr_Loan</vt:lpstr>
      <vt:lpstr>PC_CSP_WHEDA_Constr_Loan_State</vt:lpstr>
      <vt:lpstr>PC_CSP_WHEDA_Constr_Loan_Total</vt:lpstr>
      <vt:lpstr>PC_CSP_WHEDA_Fees_Subtotal_4</vt:lpstr>
      <vt:lpstr>PC_CSP_WHEDA_Fees_Subtotal_9</vt:lpstr>
      <vt:lpstr>PC_CSP_WHEDA_Fees_Subtotal_State</vt:lpstr>
      <vt:lpstr>PC_CSP_WHEDA_Fees_Subtotal_Total</vt:lpstr>
      <vt:lpstr>PC_CSP_WHEDA_Legal_4</vt:lpstr>
      <vt:lpstr>PC_CSP_WHEDA_Legal_9</vt:lpstr>
      <vt:lpstr>PC_CSP_WHEDA_Legal_State</vt:lpstr>
      <vt:lpstr>PC_CSP_WHEDA_Legal_Total</vt:lpstr>
      <vt:lpstr>PC_CSP_WHEDA_Other_Finan</vt:lpstr>
      <vt:lpstr>PC_CSP_WHEDA_Other_Finan_State</vt:lpstr>
      <vt:lpstr>PC_CSP_WHEDA_Other_Finan_Total</vt:lpstr>
      <vt:lpstr>PC_CST_Accessory_Building</vt:lpstr>
      <vt:lpstr>PC_CST_Accessory_Building_State</vt:lpstr>
      <vt:lpstr>PC_CST_Accessory_Building_Total</vt:lpstr>
      <vt:lpstr>PC_CST_Builders_Overhead</vt:lpstr>
      <vt:lpstr>PC_CST_Builders_Overhead_State</vt:lpstr>
      <vt:lpstr>PC_CST_Builders_Overhead_Total</vt:lpstr>
      <vt:lpstr>PC_CST_Builders_Profit</vt:lpstr>
      <vt:lpstr>PC_CST_Builders_Profit_State</vt:lpstr>
      <vt:lpstr>PC_CST_Builders_Profit_Total</vt:lpstr>
      <vt:lpstr>PC_CST_Builders_Risk_Ins_4</vt:lpstr>
      <vt:lpstr>PC_CST_Builders_Risk_Ins_9</vt:lpstr>
      <vt:lpstr>PC_CST_Builders_Risk_Ins_State</vt:lpstr>
      <vt:lpstr>PC_CST_Builders_Risk_Ins_Total</vt:lpstr>
      <vt:lpstr>PC_CST_Building</vt:lpstr>
      <vt:lpstr>PC_CST_Building_State</vt:lpstr>
      <vt:lpstr>PC_CST_Building_Total</vt:lpstr>
      <vt:lpstr>PC_CST_Constr_Mgmt_Fee</vt:lpstr>
      <vt:lpstr>PC_CST_Constr_Mgmt_Fee_State</vt:lpstr>
      <vt:lpstr>PC_CST_Constr_Mgmt_Fee_Total</vt:lpstr>
      <vt:lpstr>PC_CST_Demolition</vt:lpstr>
      <vt:lpstr>PC_CST_Demolition_State</vt:lpstr>
      <vt:lpstr>PC_CST_Demolition_Total</vt:lpstr>
      <vt:lpstr>PC_CST_Earthwork</vt:lpstr>
      <vt:lpstr>PC_CST_Earthwork_Other_4</vt:lpstr>
      <vt:lpstr>PC_CST_Earthwork_Other_9</vt:lpstr>
      <vt:lpstr>PC_CST_Earthwork_Other_State</vt:lpstr>
      <vt:lpstr>PC_CST_Earthwork_Other_Total</vt:lpstr>
      <vt:lpstr>PC_CST_Earthwork_State</vt:lpstr>
      <vt:lpstr>PC_CST_Earthwork_Total</vt:lpstr>
      <vt:lpstr>PC_CST_Fixtures_Furn</vt:lpstr>
      <vt:lpstr>PC_CST_Fixtures_Furn_State</vt:lpstr>
      <vt:lpstr>PC_CST_Fixtures_Furn_Total</vt:lpstr>
      <vt:lpstr>PC_CST_General_Requirements</vt:lpstr>
      <vt:lpstr>PC_CST_General_Requirements_State</vt:lpstr>
      <vt:lpstr>PC_CST_General_Requirements_Total</vt:lpstr>
      <vt:lpstr>PC_CST_Lawn_4</vt:lpstr>
      <vt:lpstr>PC_CST_Lawn_9</vt:lpstr>
      <vt:lpstr>PC_CST_Lawn_Planting</vt:lpstr>
      <vt:lpstr>PC_CST_Lawn_Planting_State</vt:lpstr>
      <vt:lpstr>PC_CST_Lawn_Planting_Total</vt:lpstr>
      <vt:lpstr>PC_CST_Lawn_State</vt:lpstr>
      <vt:lpstr>PC_CST_Lawn_Total</vt:lpstr>
      <vt:lpstr>PC_CST_New_Constr_Subtotal_4</vt:lpstr>
      <vt:lpstr>PC_CST_New_Constr_Subtotal_9</vt:lpstr>
      <vt:lpstr>PC_CST_New_Constr_Subtotal_State</vt:lpstr>
      <vt:lpstr>PC_CST_New_Constr_Subtotal_Total</vt:lpstr>
      <vt:lpstr>PC_CST_Off_Site_Work_4</vt:lpstr>
      <vt:lpstr>PC_CST_Off_Site_Work_9</vt:lpstr>
      <vt:lpstr>PC_CST_Off_Site_Work_State</vt:lpstr>
      <vt:lpstr>PC_CST_Off_Site_Work_Total</vt:lpstr>
      <vt:lpstr>PC_CST_OffSite_Subtotal</vt:lpstr>
      <vt:lpstr>PC_CST_OffSite_Subtotal_State</vt:lpstr>
      <vt:lpstr>PC_CST_OffSite_Subtotal_Total</vt:lpstr>
      <vt:lpstr>PC_CST_Other_Contractor_Fee_4</vt:lpstr>
      <vt:lpstr>PC_CST_Other_Contractor_Fee_9</vt:lpstr>
      <vt:lpstr>PC_CST_Other_Contractor_Fee_State</vt:lpstr>
      <vt:lpstr>PC_CST_Other_Contractor_Fee_Total</vt:lpstr>
      <vt:lpstr>PC_CST_Other_New_Construction</vt:lpstr>
      <vt:lpstr>PC_CST_Other_New_Construction_State</vt:lpstr>
      <vt:lpstr>PC_CST_Other_New_Construction_Total</vt:lpstr>
      <vt:lpstr>PC_CST_Other_Site_Work</vt:lpstr>
      <vt:lpstr>PC_CST_Other_Site_Work_State</vt:lpstr>
      <vt:lpstr>PC_CST_Other_Site_Work_Total</vt:lpstr>
      <vt:lpstr>PC_CST_Personal_Property</vt:lpstr>
      <vt:lpstr>PC_CST_Personal_Property_State</vt:lpstr>
      <vt:lpstr>PC_CST_Personal_Property_Total</vt:lpstr>
      <vt:lpstr>PC_CST_Roads_4</vt:lpstr>
      <vt:lpstr>PC_CST_Roads_9</vt:lpstr>
      <vt:lpstr>PC_CST_Roads_State</vt:lpstr>
      <vt:lpstr>PC_CST_Roads_Total</vt:lpstr>
      <vt:lpstr>PC_CST_Roads_Walks_4</vt:lpstr>
      <vt:lpstr>PC_CST_Roads_Walks_9</vt:lpstr>
      <vt:lpstr>PC_CST_Roads_Walks_State</vt:lpstr>
      <vt:lpstr>PC_CST_Roads_Walks_Total</vt:lpstr>
      <vt:lpstr>PC_CST_Site_Subtotal_4</vt:lpstr>
      <vt:lpstr>PC_CST_Site_Subtotal_9</vt:lpstr>
      <vt:lpstr>PC_CST_Site_Subtotal_State</vt:lpstr>
      <vt:lpstr>PC_CST_Site_Subtotal_Total</vt:lpstr>
      <vt:lpstr>PC_CST_Site_Utilities_4</vt:lpstr>
      <vt:lpstr>PC_CST_Site_Utilities_9</vt:lpstr>
      <vt:lpstr>PC_CST_Site_Utilities_State</vt:lpstr>
      <vt:lpstr>PC_CST_Site_Utilities_Total</vt:lpstr>
      <vt:lpstr>PC_CST_Unusual_SC_4</vt:lpstr>
      <vt:lpstr>PC_CST_Unusual_SC_9</vt:lpstr>
      <vt:lpstr>PC_CST_Unusual_SC_State</vt:lpstr>
      <vt:lpstr>PC_CST_Unusual_SC_Total</vt:lpstr>
      <vt:lpstr>PC_CST_Unusual_Site_4</vt:lpstr>
      <vt:lpstr>PC_CST_Unusual_Site_9</vt:lpstr>
      <vt:lpstr>PC_CST_Unusual_Site_State</vt:lpstr>
      <vt:lpstr>PC_CST_Unusual_Site_Total</vt:lpstr>
      <vt:lpstr>PC_CST_Utilities_4</vt:lpstr>
      <vt:lpstr>PC_CST_Utilities_9</vt:lpstr>
      <vt:lpstr>PC_CST_Utilities_State</vt:lpstr>
      <vt:lpstr>PC_CST_Utilities_Total</vt:lpstr>
      <vt:lpstr>PC_DEV_Consult_Agent_4</vt:lpstr>
      <vt:lpstr>PC_DEV_Consult_Agent_9</vt:lpstr>
      <vt:lpstr>PC_DEV_Consult_Agent_State</vt:lpstr>
      <vt:lpstr>PC_DEV_Consult_Agent_Total</vt:lpstr>
      <vt:lpstr>PC_DEV_Dev_Fee_Deferred_4</vt:lpstr>
      <vt:lpstr>PC_DEV_Dev_Fee_Deferred_9</vt:lpstr>
      <vt:lpstr>PC_DEV_Dev_Fee_Deferred_State</vt:lpstr>
      <vt:lpstr>PC_DEV_Dev_Fee_Deferred_Total</vt:lpstr>
      <vt:lpstr>PC_DEV_Dev_Fee_Received_4</vt:lpstr>
      <vt:lpstr>PC_DEV_Dev_Fee_Received_9</vt:lpstr>
      <vt:lpstr>PC_DEV_Dev_Fee_Received_State</vt:lpstr>
      <vt:lpstr>PC_DEV_Dev_Fee_Received_Total</vt:lpstr>
      <vt:lpstr>PC_DEV_Dev_Overhead_4</vt:lpstr>
      <vt:lpstr>PC_DEV_Dev_Overhead_9</vt:lpstr>
      <vt:lpstr>PC_DEV_Dev_Overhead_State</vt:lpstr>
      <vt:lpstr>PC_DEV_Dev_Overhead_Total</vt:lpstr>
      <vt:lpstr>PC_DEV_Developer_Costs_Subtotal_Total</vt:lpstr>
      <vt:lpstr>PC_DEV_Other_Dev_Fees_4</vt:lpstr>
      <vt:lpstr>PC_DEV_Other_Dev_Fees_9</vt:lpstr>
      <vt:lpstr>PC_DEV_Other_Dev_Fees_State</vt:lpstr>
      <vt:lpstr>PC_DEV_Other_Dev_Fees_Total</vt:lpstr>
      <vt:lpstr>PC_FIN_Credit_Enhance_Perm_Loan_Total</vt:lpstr>
      <vt:lpstr>PC_FIN_Legal_Fees_RE_Total</vt:lpstr>
      <vt:lpstr>PC_FIN_Other_Perm_Finan_Total</vt:lpstr>
      <vt:lpstr>PC_FIN_Perm_Closing_Property_Total</vt:lpstr>
      <vt:lpstr>PC_FIN_Perm_Closing_Title_Total</vt:lpstr>
      <vt:lpstr>PC_FIN_Perm_Lender_Finan_Total</vt:lpstr>
      <vt:lpstr>PC_FIN_Perm_Lender_Legal_Total</vt:lpstr>
      <vt:lpstr>PC_FIN_Perm_Lender_Orig_Total</vt:lpstr>
      <vt:lpstr>PC_FIN_Permanent_Loan_Fees_Subtotal_4</vt:lpstr>
      <vt:lpstr>PC_FIN_Permanent_Loan_Fees_Subtotal_9</vt:lpstr>
      <vt:lpstr>PC_FIN_Permanent_Loan_Fees_Subtotal_State</vt:lpstr>
      <vt:lpstr>PC_FIN_Permanent_Loan_Fees_Subtotal_Total</vt:lpstr>
      <vt:lpstr>PC_FIN_WHEDA_Perm_Loan_Total</vt:lpstr>
      <vt:lpstr>PC_OLD_Applicable_Fraction_9</vt:lpstr>
      <vt:lpstr>PC_OLD_Applicable_Fraction_State</vt:lpstr>
      <vt:lpstr>PC_OLD_Equity_Gap_4</vt:lpstr>
      <vt:lpstr>PC_OLD_Equity_Gap_State</vt:lpstr>
      <vt:lpstr>PC_OLD_Fed_Applicable_Fraction</vt:lpstr>
      <vt:lpstr>PC_OLD_Fed_Total_Eligible_Basis</vt:lpstr>
      <vt:lpstr>PC_OLD_Tax_Credits_Requested_4</vt:lpstr>
      <vt:lpstr>PC_OLD_Tax_Credits_Requested_State</vt:lpstr>
      <vt:lpstr>PC_RPT_Additonal_Reports_Subtotal_4</vt:lpstr>
      <vt:lpstr>PC_RPT_Additonal_Reports_Subtotal_9</vt:lpstr>
      <vt:lpstr>PC_RPT_Additonal_Reports_Subtotal_State</vt:lpstr>
      <vt:lpstr>PC_RPT_Additonal_Reports_Subtotal_Total</vt:lpstr>
      <vt:lpstr>PC_RPT_Appraisals_4</vt:lpstr>
      <vt:lpstr>PC_RPT_Appraisals_9</vt:lpstr>
      <vt:lpstr>PC_RPT_Appraisals_State</vt:lpstr>
      <vt:lpstr>PC_RPT_Appraisals_Total</vt:lpstr>
      <vt:lpstr>PC_RPT_Boundry_4</vt:lpstr>
      <vt:lpstr>PC_RPT_Boundry_9</vt:lpstr>
      <vt:lpstr>PC_RPT_Boundry_State</vt:lpstr>
      <vt:lpstr>PC_RPT_Boundry_Total</vt:lpstr>
      <vt:lpstr>PC_RPT_Environmental_Review_4</vt:lpstr>
      <vt:lpstr>PC_RPT_Environmental_Review_9</vt:lpstr>
      <vt:lpstr>PC_RPT_Environmental_Review_State</vt:lpstr>
      <vt:lpstr>PC_RPT_Environmental_Review_Total</vt:lpstr>
      <vt:lpstr>PC_RPT_Environmental_Study_4</vt:lpstr>
      <vt:lpstr>PC_RPT_Environmental_Study_9</vt:lpstr>
      <vt:lpstr>PC_RPT_Environmental_Study_State</vt:lpstr>
      <vt:lpstr>PC_RPT_Environmental_Study_Total</vt:lpstr>
      <vt:lpstr>PC_RPT_Market_Study_4</vt:lpstr>
      <vt:lpstr>PC_RPT_Market_Study_9</vt:lpstr>
      <vt:lpstr>PC_RPT_Market_Study_State</vt:lpstr>
      <vt:lpstr>PC_RPT_Market_Study_Total</vt:lpstr>
      <vt:lpstr>PC_RPT_Other_Reports_4</vt:lpstr>
      <vt:lpstr>PC_RPT_Other_Reports_9</vt:lpstr>
      <vt:lpstr>PC_RPT_Other_Reports_State</vt:lpstr>
      <vt:lpstr>PC_RPT_Other_Reports_Total</vt:lpstr>
      <vt:lpstr>PC_RPT_Other_Zoning_Fees_4</vt:lpstr>
      <vt:lpstr>PC_RPT_Other_Zoning_Fees_9</vt:lpstr>
      <vt:lpstr>PC_RPT_Other_Zoning_Fees_State</vt:lpstr>
      <vt:lpstr>PC_RPT_Other_Zoning_Fees_Total</vt:lpstr>
      <vt:lpstr>PC_RPT_Physical_Capital_4</vt:lpstr>
      <vt:lpstr>PC_RPT_Physical_Capital_9</vt:lpstr>
      <vt:lpstr>PC_RPT_Physical_Capital_State</vt:lpstr>
      <vt:lpstr>PC_RPT_Physical_Capital_Total</vt:lpstr>
      <vt:lpstr>PC_RPT_Soils_4</vt:lpstr>
      <vt:lpstr>PC_RPT_Soils_9</vt:lpstr>
      <vt:lpstr>PC_RPT_Soils_State</vt:lpstr>
      <vt:lpstr>PC_RPT_Soils_Total</vt:lpstr>
      <vt:lpstr>PC_RPT_Third_Party_Review_4</vt:lpstr>
      <vt:lpstr>PC_RPT_Third_Party_Review_9</vt:lpstr>
      <vt:lpstr>PC_RPT_Third_Party_Review_State</vt:lpstr>
      <vt:lpstr>PC_RPT_Third_Party_Review_Total</vt:lpstr>
      <vt:lpstr>PC_SFT_Accting_Fees_4</vt:lpstr>
      <vt:lpstr>PC_SFT_Accting_Fees_9</vt:lpstr>
      <vt:lpstr>PC_SFT_Accting_Fees_State</vt:lpstr>
      <vt:lpstr>PC_SFT_Accting_Fees_Total</vt:lpstr>
      <vt:lpstr>PC_SFT_Developer_Costs_Subtotal_4</vt:lpstr>
      <vt:lpstr>PC_SFT_Developer_Costs_Subtotal_9</vt:lpstr>
      <vt:lpstr>PC_SFT_Developer_Costs_Subtotal_State</vt:lpstr>
      <vt:lpstr>PC_SFT_HTC_Fees_Total</vt:lpstr>
      <vt:lpstr>PC_SFT_LIHTC_App_Fees_Total</vt:lpstr>
      <vt:lpstr>PC_SFT_LIHTC_Monitoring_Fees_Total</vt:lpstr>
      <vt:lpstr>PC_SFT_LIHTC_Reserv_Fees_Total</vt:lpstr>
      <vt:lpstr>PC_SFT_Local_Bldg_Permit_4</vt:lpstr>
      <vt:lpstr>PC_SFT_Local_Bldg_Permit_9</vt:lpstr>
      <vt:lpstr>PC_SFT_Local_Bldg_Permit_State</vt:lpstr>
      <vt:lpstr>PC_SFT_Local_Bldg_Permit_Total</vt:lpstr>
      <vt:lpstr>PC_SFT_Net_Local_Dev_4</vt:lpstr>
      <vt:lpstr>PC_SFT_Net_Local_Dev_9</vt:lpstr>
      <vt:lpstr>PC_SFT_Net_Local_Dev_State</vt:lpstr>
      <vt:lpstr>PC_SFT_Net_Local_Dev_Total</vt:lpstr>
      <vt:lpstr>PC_SFT_Other_Misc_Costs_4</vt:lpstr>
      <vt:lpstr>PC_SFT_Other_Misc_Costs_9</vt:lpstr>
      <vt:lpstr>PC_SFT_Other_Misc_Costs_State</vt:lpstr>
      <vt:lpstr>PC_SFT_Other_Misc_Costs_Total</vt:lpstr>
      <vt:lpstr>PC_SFT_Other_SC_Subtotal_4</vt:lpstr>
      <vt:lpstr>PC_SFT_Other_SC_Subtotal_9</vt:lpstr>
      <vt:lpstr>PC_SFT_Other_SC_Subtotal_State</vt:lpstr>
      <vt:lpstr>PC_SFT_Other_SC_Subtotal_Total</vt:lpstr>
      <vt:lpstr>PC_SFT_Water_Sewer_4</vt:lpstr>
      <vt:lpstr>PC_SFT_Water_Sewer_9</vt:lpstr>
      <vt:lpstr>PC_SFT_Water_Sewer_State</vt:lpstr>
      <vt:lpstr>PC_SFT_Water_Sewer_Total</vt:lpstr>
      <vt:lpstr>PC_SYN_Organ_Legal_Fees_Total</vt:lpstr>
      <vt:lpstr>PC_SYN_Other_Syn_Costs_Total</vt:lpstr>
      <vt:lpstr>PC_SYN_Other_Syn_Fees_Total</vt:lpstr>
      <vt:lpstr>PC_SYN_Syndication_Fee_Subtotal_4</vt:lpstr>
      <vt:lpstr>PC_SYN_Syndication_Fee_Subtotal_9</vt:lpstr>
      <vt:lpstr>PC_SYN_Syndication_Fee_Subtotal_State</vt:lpstr>
      <vt:lpstr>PC_SYN_Syndication_Fee_Subtotal_Total</vt:lpstr>
      <vt:lpstr>PC_SYN_Tax_Opinion_Total</vt:lpstr>
      <vt:lpstr>Per_Unit_Per_Month</vt:lpstr>
      <vt:lpstr>Permanent_Financing</vt:lpstr>
      <vt:lpstr>Permanently_Displaced</vt:lpstr>
      <vt:lpstr>Picnic_Area</vt:lpstr>
      <vt:lpstr>Playground</vt:lpstr>
      <vt:lpstr>Political_Jurisdiction</vt:lpstr>
      <vt:lpstr>Pool</vt:lpstr>
      <vt:lpstr>Principal1_Address</vt:lpstr>
      <vt:lpstr>Principal1_City</vt:lpstr>
      <vt:lpstr>Principal1_Email</vt:lpstr>
      <vt:lpstr>Principal1_First_Name</vt:lpstr>
      <vt:lpstr>Principal1_Last_Name</vt:lpstr>
      <vt:lpstr>Principal1_State</vt:lpstr>
      <vt:lpstr>Principal1_Telephone</vt:lpstr>
      <vt:lpstr>Principal1_Zip</vt:lpstr>
      <vt:lpstr>Principal2_Address</vt:lpstr>
      <vt:lpstr>Principal2_City</vt:lpstr>
      <vt:lpstr>Principal2_Email</vt:lpstr>
      <vt:lpstr>Principal2_First_Name</vt:lpstr>
      <vt:lpstr>Principal2_Last_Name</vt:lpstr>
      <vt:lpstr>Principal2_State</vt:lpstr>
      <vt:lpstr>Principal2_Telephone</vt:lpstr>
      <vt:lpstr>Principal2_Zip</vt:lpstr>
      <vt:lpstr>Principal3_Address</vt:lpstr>
      <vt:lpstr>Principal3_City</vt:lpstr>
      <vt:lpstr>Principal3_Email</vt:lpstr>
      <vt:lpstr>Principal3_First_Name</vt:lpstr>
      <vt:lpstr>Principal3_Last_Name</vt:lpstr>
      <vt:lpstr>Principal3_State</vt:lpstr>
      <vt:lpstr>Principal3_Telephone</vt:lpstr>
      <vt:lpstr>Principal3_Zip</vt:lpstr>
      <vt:lpstr>'1. TOC'!Print_Area</vt:lpstr>
      <vt:lpstr>'10. Project and Unit Amenities'!Print_Area</vt:lpstr>
      <vt:lpstr>'11. Unit Mix'!Print_Area</vt:lpstr>
      <vt:lpstr>'12. Funding Sources'!Print_Area</vt:lpstr>
      <vt:lpstr>'13. Construction Cost SOV'!Print_Area</vt:lpstr>
      <vt:lpstr>'14. Project Costs'!Print_Area</vt:lpstr>
      <vt:lpstr>'15. Credit Calculation'!Print_Area</vt:lpstr>
      <vt:lpstr>'16. Projected Operating Costs'!Print_Area</vt:lpstr>
      <vt:lpstr>'17. Cash Flow and Reserves'!Print_Area</vt:lpstr>
      <vt:lpstr>'18. Max Cost Model'!Print_Area</vt:lpstr>
      <vt:lpstr>'19. Construction Draw Schedule'!Print_Area</vt:lpstr>
      <vt:lpstr>'20. Instructions Scoring Sum'!Print_Area</vt:lpstr>
      <vt:lpstr>'21. Location Score'!Print_Area</vt:lpstr>
      <vt:lpstr>'22. Tenants Served Score'!Print_Area</vt:lpstr>
      <vt:lpstr>'23. Building Design Score'!Print_Area</vt:lpstr>
      <vt:lpstr>'24. Development Process Score'!Print_Area</vt:lpstr>
      <vt:lpstr>'3. Project Location'!Print_Area</vt:lpstr>
      <vt:lpstr>'4. Project Description'!Print_Area</vt:lpstr>
      <vt:lpstr>'5. Applicant Information'!Print_Area</vt:lpstr>
      <vt:lpstr>'6. Site Description'!Print_Area</vt:lpstr>
      <vt:lpstr>'7. Site Control'!Print_Area</vt:lpstr>
      <vt:lpstr>'8. Zoning'!Print_Area</vt:lpstr>
      <vt:lpstr>'9. Ownership and Project Team'!Print_Area</vt:lpstr>
      <vt:lpstr>'Self Scoring Checklist'!Print_Area</vt:lpstr>
      <vt:lpstr>'Tax Credit Signatures'!Print_Area</vt:lpstr>
      <vt:lpstr>'Threshold Checklist'!Print_Area</vt:lpstr>
      <vt:lpstr>'WHEDA Loan Signatures'!Print_Area</vt:lpstr>
      <vt:lpstr>Project_and_Unit_Amenities</vt:lpstr>
      <vt:lpstr>Project_Cash_Flow</vt:lpstr>
      <vt:lpstr>Project_Costs_and_Credit_Calculation</vt:lpstr>
      <vt:lpstr>Project_Description</vt:lpstr>
      <vt:lpstr>Project_Name</vt:lpstr>
      <vt:lpstr>Project_Name_and_Location</vt:lpstr>
      <vt:lpstr>Project_SOV</vt:lpstr>
      <vt:lpstr>Project_Summary_Tab</vt:lpstr>
      <vt:lpstr>Project_Team</vt:lpstr>
      <vt:lpstr>Project_Type</vt:lpstr>
      <vt:lpstr>'2. Project Summary'!ProjectBasedVASHRuralNoOfUnits</vt:lpstr>
      <vt:lpstr>Projected_Operating_Costs</vt:lpstr>
      <vt:lpstr>'21. Location Score'!ProjectType</vt:lpstr>
      <vt:lpstr>'22. Tenants Served Score'!ProjectType</vt:lpstr>
      <vt:lpstr>'23. Building Design Score'!ProjectType</vt:lpstr>
      <vt:lpstr>'24. Development Process Score'!ProjectType</vt:lpstr>
      <vt:lpstr>ProjectType</vt:lpstr>
      <vt:lpstr>Property_address</vt:lpstr>
      <vt:lpstr>Property_and_Liability_Insurance__Hazard</vt:lpstr>
      <vt:lpstr>Property_Census_Tract</vt:lpstr>
      <vt:lpstr>Property_City</vt:lpstr>
      <vt:lpstr>Property_County</vt:lpstr>
      <vt:lpstr>Property_Description</vt:lpstr>
      <vt:lpstr>Property_Score</vt:lpstr>
      <vt:lpstr>Property_State</vt:lpstr>
      <vt:lpstr>Property_Zip_Code</vt:lpstr>
      <vt:lpstr>Range_Hood</vt:lpstr>
      <vt:lpstr>Range_Oven</vt:lpstr>
      <vt:lpstr>Rate_1</vt:lpstr>
      <vt:lpstr>Rate_10</vt:lpstr>
      <vt:lpstr>Rate_11</vt:lpstr>
      <vt:lpstr>Rate_12</vt:lpstr>
      <vt:lpstr>Rate_13</vt:lpstr>
      <vt:lpstr>Rate_2</vt:lpstr>
      <vt:lpstr>Rate_3</vt:lpstr>
      <vt:lpstr>Rate_4</vt:lpstr>
      <vt:lpstr>Rate_5</vt:lpstr>
      <vt:lpstr>Rate_6</vt:lpstr>
      <vt:lpstr>Rate_7</vt:lpstr>
      <vt:lpstr>Rate_8</vt:lpstr>
      <vt:lpstr>Rate_9</vt:lpstr>
      <vt:lpstr>RCAC</vt:lpstr>
      <vt:lpstr>RCAC_Number_of_Units</vt:lpstr>
      <vt:lpstr>RD_Rental_Assistance</vt:lpstr>
      <vt:lpstr>RD_Rental_Assistance_Number_of_Units</vt:lpstr>
      <vt:lpstr>Readiness_to_Proceed_Points</vt:lpstr>
      <vt:lpstr>Reading_Room_Library</vt:lpstr>
      <vt:lpstr>Real_Estate___Personal_Property__Taxes</vt:lpstr>
      <vt:lpstr>Recreation_Rehab</vt:lpstr>
      <vt:lpstr>Refrigerator</vt:lpstr>
      <vt:lpstr>Registerd_Nurse_Salary</vt:lpstr>
      <vt:lpstr>Rehab_Neighborhood_Points</vt:lpstr>
      <vt:lpstr>Rehab_Neighborhood_Stabilization</vt:lpstr>
      <vt:lpstr>Rehab_Purchased_Serv</vt:lpstr>
      <vt:lpstr>Rehab_Salaries</vt:lpstr>
      <vt:lpstr>Rehab_Supplies</vt:lpstr>
      <vt:lpstr>Rehabilitation_expenditures_allocable_to_low_income_units</vt:lpstr>
      <vt:lpstr>Rent_Surface_Parking</vt:lpstr>
      <vt:lpstr>Rent_Underground_Parking</vt:lpstr>
      <vt:lpstr>Rental</vt:lpstr>
      <vt:lpstr>Rental_Targeted_For_Eventual_Resident_Ownership</vt:lpstr>
      <vt:lpstr>Replacement_Reserves</vt:lpstr>
      <vt:lpstr>Resident_Computer_Center</vt:lpstr>
      <vt:lpstr>Revitalization</vt:lpstr>
      <vt:lpstr>Row_House_Town_House</vt:lpstr>
      <vt:lpstr>rural_area_points</vt:lpstr>
      <vt:lpstr>Rural_Areas_Points</vt:lpstr>
      <vt:lpstr>'2. Project Summary'!RuralDevNoOfUnits</vt:lpstr>
      <vt:lpstr>Screened_Porch</vt:lpstr>
      <vt:lpstr>Section_221_d__3__BMIR</vt:lpstr>
      <vt:lpstr>Section_221_d__3__BMIR_Number_of_Units</vt:lpstr>
      <vt:lpstr>Section_236</vt:lpstr>
      <vt:lpstr>Section_236_Number_of_Units</vt:lpstr>
      <vt:lpstr>Section_8_Housing_Assistance_Payment_Contract</vt:lpstr>
      <vt:lpstr>Section_8_Housing_Assistance_Payment_Contract_Number_of_Units</vt:lpstr>
      <vt:lpstr>Section_8_Rent_Supplemental_or_Rental_Assistance_Payment</vt:lpstr>
      <vt:lpstr>Section_8_Rent_Supplemental_or_Rental_Assistance_Payment_Number_of_Units</vt:lpstr>
      <vt:lpstr>Section_811_Vouchers_Number_of_Units</vt:lpstr>
      <vt:lpstr>Security_Locked_Building</vt:lpstr>
      <vt:lpstr>Security_Payroll___Contract__incl_taxes_and_benefits</vt:lpstr>
      <vt:lpstr>Security_Rent_Free_Unit</vt:lpstr>
      <vt:lpstr>Self_Scoring</vt:lpstr>
      <vt:lpstr>Serve_Low_Income_Ponts</vt:lpstr>
      <vt:lpstr>Serves_Large_Families</vt:lpstr>
      <vt:lpstr>Serves_Large_Family_Points</vt:lpstr>
      <vt:lpstr>Serves_Lowest_Income_Residents</vt:lpstr>
      <vt:lpstr>Set_Aside</vt:lpstr>
      <vt:lpstr>'21. Location Score'!SetAside</vt:lpstr>
      <vt:lpstr>'22. Tenants Served Score'!SetAside</vt:lpstr>
      <vt:lpstr>'23. Building Design Score'!SetAside</vt:lpstr>
      <vt:lpstr>'24. Development Process Score'!SetAside</vt:lpstr>
      <vt:lpstr>SetAside</vt:lpstr>
      <vt:lpstr>Sewer</vt:lpstr>
      <vt:lpstr>Single_Room_Occupancy</vt:lpstr>
      <vt:lpstr>Single_Room_Occupancy_Number_of_Units</vt:lpstr>
      <vt:lpstr>Site_Contol</vt:lpstr>
      <vt:lpstr>Site_Description</vt:lpstr>
      <vt:lpstr>Snow_Removal</vt:lpstr>
      <vt:lpstr>Source_1</vt:lpstr>
      <vt:lpstr>Source_10</vt:lpstr>
      <vt:lpstr>Source_11</vt:lpstr>
      <vt:lpstr>Source_12</vt:lpstr>
      <vt:lpstr>Source_13</vt:lpstr>
      <vt:lpstr>Source_2</vt:lpstr>
      <vt:lpstr>Source_3</vt:lpstr>
      <vt:lpstr>Source_4</vt:lpstr>
      <vt:lpstr>Source_5</vt:lpstr>
      <vt:lpstr>Source_6</vt:lpstr>
      <vt:lpstr>Source_7</vt:lpstr>
      <vt:lpstr>Source_8</vt:lpstr>
      <vt:lpstr>Source_9</vt:lpstr>
      <vt:lpstr>'21. Location Score'!SourceOfUtilityAllowanceAssumptions</vt:lpstr>
      <vt:lpstr>'22. Tenants Served Score'!SourceOfUtilityAllowanceAssumptions</vt:lpstr>
      <vt:lpstr>'23. Building Design Score'!SourceOfUtilityAllowanceAssumptions</vt:lpstr>
      <vt:lpstr>'24. Development Process Score'!SourceOfUtilityAllowanceAssumptions</vt:lpstr>
      <vt:lpstr>SourceOfUtilityAllowanceAssumptions</vt:lpstr>
      <vt:lpstr>SourceUtlityAllowanceAssumptions</vt:lpstr>
      <vt:lpstr>State_Credits</vt:lpstr>
      <vt:lpstr>State_HTC_Equity</vt:lpstr>
      <vt:lpstr>Storage_Units</vt:lpstr>
      <vt:lpstr>'21. Location Score'!SubsidySource</vt:lpstr>
      <vt:lpstr>'22. Tenants Served Score'!SubsidySource</vt:lpstr>
      <vt:lpstr>'23. Building Design Score'!SubsidySource</vt:lpstr>
      <vt:lpstr>'24. Development Process Score'!SubsidySource</vt:lpstr>
      <vt:lpstr>SubsidySource</vt:lpstr>
      <vt:lpstr>Subtotal__Administrative_Expenses</vt:lpstr>
      <vt:lpstr>Subtotal__Operating___Maintenance_Expenses</vt:lpstr>
      <vt:lpstr>Subtotal__Rent_Expense</vt:lpstr>
      <vt:lpstr>Subtotal__Service_Expense</vt:lpstr>
      <vt:lpstr>Subtotal__Taxes_and_Insurance</vt:lpstr>
      <vt:lpstr>Subtotal__Utilities_Expenses</vt:lpstr>
      <vt:lpstr>Sunrooms</vt:lpstr>
      <vt:lpstr>Supplies</vt:lpstr>
      <vt:lpstr>Supportive_Housing</vt:lpstr>
      <vt:lpstr>Supportive_Housing_Header</vt:lpstr>
      <vt:lpstr>Supportive_Housing_Number_of_Units</vt:lpstr>
      <vt:lpstr>Supportive_Housing_Points</vt:lpstr>
      <vt:lpstr>Surface_Parking</vt:lpstr>
      <vt:lpstr>Surface_Rent_Per_Year</vt:lpstr>
      <vt:lpstr>Syndicator</vt:lpstr>
      <vt:lpstr>Syndicator_City</vt:lpstr>
      <vt:lpstr>Syndicator_Email_Address</vt:lpstr>
      <vt:lpstr>Syndicator_First_Name</vt:lpstr>
      <vt:lpstr>Syndicator_Identity_of_Interest?</vt:lpstr>
      <vt:lpstr>Syndicator_Last_Name</vt:lpstr>
      <vt:lpstr>Syndicator_State</vt:lpstr>
      <vt:lpstr>Syndicator_Street_Address</vt:lpstr>
      <vt:lpstr>Syndicator_Telephone_Number</vt:lpstr>
      <vt:lpstr>Syndicator_Zipcode</vt:lpstr>
      <vt:lpstr>Table_of_Contents</vt:lpstr>
      <vt:lpstr>Tax_Credit_Monitoring_Fees</vt:lpstr>
      <vt:lpstr>Tax_Credit_Signature_Page</vt:lpstr>
      <vt:lpstr>Tax_Credit_Year</vt:lpstr>
      <vt:lpstr>TC_Percent</vt:lpstr>
      <vt:lpstr>TC_Units_1</vt:lpstr>
      <vt:lpstr>TC_Units_10</vt:lpstr>
      <vt:lpstr>TC_Units_11</vt:lpstr>
      <vt:lpstr>TC_Units_12</vt:lpstr>
      <vt:lpstr>TC_Units_13</vt:lpstr>
      <vt:lpstr>TC_Units_14</vt:lpstr>
      <vt:lpstr>TC_Units_15</vt:lpstr>
      <vt:lpstr>TC_Units_16</vt:lpstr>
      <vt:lpstr>TC_Units_17</vt:lpstr>
      <vt:lpstr>TC_Units_18</vt:lpstr>
      <vt:lpstr>TC_Units_19</vt:lpstr>
      <vt:lpstr>TC_Units_2</vt:lpstr>
      <vt:lpstr>TC_Units_20</vt:lpstr>
      <vt:lpstr>TC_Units_21</vt:lpstr>
      <vt:lpstr>TC_Units_22</vt:lpstr>
      <vt:lpstr>TC_Units_23</vt:lpstr>
      <vt:lpstr>TC_Units_24</vt:lpstr>
      <vt:lpstr>TC_Units_25</vt:lpstr>
      <vt:lpstr>TC_Units_26</vt:lpstr>
      <vt:lpstr>TC_Units_27</vt:lpstr>
      <vt:lpstr>TC_Units_28</vt:lpstr>
      <vt:lpstr>TC_Units_29</vt:lpstr>
      <vt:lpstr>TC_Units_3</vt:lpstr>
      <vt:lpstr>TC_Units_30</vt:lpstr>
      <vt:lpstr>TC_Units_31</vt:lpstr>
      <vt:lpstr>TC_Units_32</vt:lpstr>
      <vt:lpstr>TC_Units_33</vt:lpstr>
      <vt:lpstr>TC_Units_34</vt:lpstr>
      <vt:lpstr>TC_Units_4</vt:lpstr>
      <vt:lpstr>TC_Units_5</vt:lpstr>
      <vt:lpstr>TC_Units_6</vt:lpstr>
      <vt:lpstr>TC_Units_7</vt:lpstr>
      <vt:lpstr>TC_Units_8</vt:lpstr>
      <vt:lpstr>TC_Units_9</vt:lpstr>
      <vt:lpstr>Temporary_Displaced</vt:lpstr>
      <vt:lpstr>Term_1</vt:lpstr>
      <vt:lpstr>Term_10</vt:lpstr>
      <vt:lpstr>Term_11</vt:lpstr>
      <vt:lpstr>Term_12</vt:lpstr>
      <vt:lpstr>Term_13</vt:lpstr>
      <vt:lpstr>Term_2</vt:lpstr>
      <vt:lpstr>Term_3</vt:lpstr>
      <vt:lpstr>Term_4</vt:lpstr>
      <vt:lpstr>Term_5</vt:lpstr>
      <vt:lpstr>Term_6</vt:lpstr>
      <vt:lpstr>Term_7</vt:lpstr>
      <vt:lpstr>Term_8</vt:lpstr>
      <vt:lpstr>Term_9</vt:lpstr>
      <vt:lpstr>Test</vt:lpstr>
      <vt:lpstr>Therapeutic_Whirlpool_Tub</vt:lpstr>
      <vt:lpstr>Total____of__Units_1</vt:lpstr>
      <vt:lpstr>Total____of__Units_10</vt:lpstr>
      <vt:lpstr>Total____of__Units_11</vt:lpstr>
      <vt:lpstr>Total____of__Units_12</vt:lpstr>
      <vt:lpstr>Total____of__Units_13</vt:lpstr>
      <vt:lpstr>Total____of__Units_14</vt:lpstr>
      <vt:lpstr>Total____of__Units_15</vt:lpstr>
      <vt:lpstr>Total____of__Units_16</vt:lpstr>
      <vt:lpstr>Total____of__Units_17</vt:lpstr>
      <vt:lpstr>Total____of__Units_18</vt:lpstr>
      <vt:lpstr>Total____of__Units_19</vt:lpstr>
      <vt:lpstr>Total____of__Units_2</vt:lpstr>
      <vt:lpstr>Total____of__Units_20</vt:lpstr>
      <vt:lpstr>Total____of__Units_21</vt:lpstr>
      <vt:lpstr>Total____of__Units_22</vt:lpstr>
      <vt:lpstr>Total____of__Units_23</vt:lpstr>
      <vt:lpstr>Total____of__Units_24</vt:lpstr>
      <vt:lpstr>Total____of__Units_25</vt:lpstr>
      <vt:lpstr>Total____of__Units_26</vt:lpstr>
      <vt:lpstr>Total____of__Units_27</vt:lpstr>
      <vt:lpstr>Total____of__Units_28</vt:lpstr>
      <vt:lpstr>Total____of__Units_29</vt:lpstr>
      <vt:lpstr>Total____of__Units_3</vt:lpstr>
      <vt:lpstr>Total____of__Units_30</vt:lpstr>
      <vt:lpstr>Total____of__Units_31</vt:lpstr>
      <vt:lpstr>Total____of__Units_32</vt:lpstr>
      <vt:lpstr>Total____of__Units_33</vt:lpstr>
      <vt:lpstr>Total____of__Units_34</vt:lpstr>
      <vt:lpstr>Total____of__Units_35</vt:lpstr>
      <vt:lpstr>Total____of__Units_36</vt:lpstr>
      <vt:lpstr>Total____of__Units_37</vt:lpstr>
      <vt:lpstr>Total____of__Units_38</vt:lpstr>
      <vt:lpstr>Total____of__Units_39</vt:lpstr>
      <vt:lpstr>Total____of__Units_4</vt:lpstr>
      <vt:lpstr>Total____of__Units_40</vt:lpstr>
      <vt:lpstr>Total____of__Units_41</vt:lpstr>
      <vt:lpstr>Total____of__Units_42</vt:lpstr>
      <vt:lpstr>Total____of__Units_43</vt:lpstr>
      <vt:lpstr>Total____of__Units_44</vt:lpstr>
      <vt:lpstr>Total____of__Units_45</vt:lpstr>
      <vt:lpstr>Total____of__Units_46</vt:lpstr>
      <vt:lpstr>Total____of__Units_47</vt:lpstr>
      <vt:lpstr>Total____of__Units_48</vt:lpstr>
      <vt:lpstr>Total____of__Units_49</vt:lpstr>
      <vt:lpstr>Total____of__Units_5</vt:lpstr>
      <vt:lpstr>Total____of__Units_50</vt:lpstr>
      <vt:lpstr>Total____of__Units_51</vt:lpstr>
      <vt:lpstr>Total____of__Units_52</vt:lpstr>
      <vt:lpstr>Total____of__Units_53</vt:lpstr>
      <vt:lpstr>Total____of__Units_54</vt:lpstr>
      <vt:lpstr>Total____of__Units_55</vt:lpstr>
      <vt:lpstr>Total____of__Units_56</vt:lpstr>
      <vt:lpstr>Total____of__Units_57</vt:lpstr>
      <vt:lpstr>Total____of__Units_58</vt:lpstr>
      <vt:lpstr>Total____of__Units_59</vt:lpstr>
      <vt:lpstr>Total____of__Units_6</vt:lpstr>
      <vt:lpstr>Total____of__Units_60</vt:lpstr>
      <vt:lpstr>Total____of__Units_61</vt:lpstr>
      <vt:lpstr>Total____of__Units_62</vt:lpstr>
      <vt:lpstr>Total____of__Units_63</vt:lpstr>
      <vt:lpstr>Total____of__Units_7</vt:lpstr>
      <vt:lpstr>Total____of__Units_8</vt:lpstr>
      <vt:lpstr>Total____of__Units_9</vt:lpstr>
      <vt:lpstr>Total_Buildable_Acreage</vt:lpstr>
      <vt:lpstr>Total_Operating_Expenses</vt:lpstr>
      <vt:lpstr>Total_Points</vt:lpstr>
      <vt:lpstr>Total_Site_Acreage</vt:lpstr>
      <vt:lpstr>Total_Units</vt:lpstr>
      <vt:lpstr>Total60Voucher</vt:lpstr>
      <vt:lpstr>TotalFundingSources</vt:lpstr>
      <vt:lpstr>Trash_Disposal_Chutes</vt:lpstr>
      <vt:lpstr>Tribal_Name</vt:lpstr>
      <vt:lpstr>'21. Location Score'!TypeOfControl</vt:lpstr>
      <vt:lpstr>'22. Tenants Served Score'!TypeOfControl</vt:lpstr>
      <vt:lpstr>'23. Building Design Score'!TypeOfControl</vt:lpstr>
      <vt:lpstr>'24. Development Process Score'!TypeOfControl</vt:lpstr>
      <vt:lpstr>TypeOfControl</vt:lpstr>
      <vt:lpstr>UM_Bathrooms_1</vt:lpstr>
      <vt:lpstr>UM_Bathrooms_10</vt:lpstr>
      <vt:lpstr>UM_Bathrooms_11</vt:lpstr>
      <vt:lpstr>UM_Bathrooms_12</vt:lpstr>
      <vt:lpstr>UM_Bathrooms_13</vt:lpstr>
      <vt:lpstr>UM_Bathrooms_14</vt:lpstr>
      <vt:lpstr>UM_Bathrooms_15</vt:lpstr>
      <vt:lpstr>UM_Bathrooms_16</vt:lpstr>
      <vt:lpstr>UM_Bathrooms_17</vt:lpstr>
      <vt:lpstr>UM_Bathrooms_18</vt:lpstr>
      <vt:lpstr>UM_Bathrooms_19</vt:lpstr>
      <vt:lpstr>UM_Bathrooms_2</vt:lpstr>
      <vt:lpstr>UM_Bathrooms_20</vt:lpstr>
      <vt:lpstr>UM_Bathrooms_21</vt:lpstr>
      <vt:lpstr>UM_Bathrooms_22</vt:lpstr>
      <vt:lpstr>UM_Bathrooms_23</vt:lpstr>
      <vt:lpstr>UM_Bathrooms_24</vt:lpstr>
      <vt:lpstr>UM_Bathrooms_25</vt:lpstr>
      <vt:lpstr>UM_Bathrooms_26</vt:lpstr>
      <vt:lpstr>UM_Bathrooms_27</vt:lpstr>
      <vt:lpstr>UM_Bathrooms_28</vt:lpstr>
      <vt:lpstr>UM_Bathrooms_29</vt:lpstr>
      <vt:lpstr>UM_Bathrooms_3</vt:lpstr>
      <vt:lpstr>UM_Bathrooms_30</vt:lpstr>
      <vt:lpstr>UM_Bathrooms_31</vt:lpstr>
      <vt:lpstr>UM_Bathrooms_32</vt:lpstr>
      <vt:lpstr>UM_Bathrooms_33</vt:lpstr>
      <vt:lpstr>UM_Bathrooms_34</vt:lpstr>
      <vt:lpstr>UM_Bathrooms_35</vt:lpstr>
      <vt:lpstr>UM_Bathrooms_36</vt:lpstr>
      <vt:lpstr>UM_Bathrooms_37</vt:lpstr>
      <vt:lpstr>UM_Bathrooms_38</vt:lpstr>
      <vt:lpstr>UM_Bathrooms_39</vt:lpstr>
      <vt:lpstr>UM_Bathrooms_4</vt:lpstr>
      <vt:lpstr>UM_Bathrooms_40</vt:lpstr>
      <vt:lpstr>UM_Bathrooms_41</vt:lpstr>
      <vt:lpstr>UM_Bathrooms_42</vt:lpstr>
      <vt:lpstr>UM_Bathrooms_43</vt:lpstr>
      <vt:lpstr>UM_Bathrooms_44</vt:lpstr>
      <vt:lpstr>UM_Bathrooms_45</vt:lpstr>
      <vt:lpstr>UM_Bathrooms_46</vt:lpstr>
      <vt:lpstr>UM_Bathrooms_47</vt:lpstr>
      <vt:lpstr>UM_Bathrooms_48</vt:lpstr>
      <vt:lpstr>UM_Bathrooms_49</vt:lpstr>
      <vt:lpstr>UM_Bathrooms_5</vt:lpstr>
      <vt:lpstr>UM_Bathrooms_50</vt:lpstr>
      <vt:lpstr>UM_Bathrooms_51</vt:lpstr>
      <vt:lpstr>UM_Bathrooms_52</vt:lpstr>
      <vt:lpstr>UM_Bathrooms_53</vt:lpstr>
      <vt:lpstr>UM_Bathrooms_54</vt:lpstr>
      <vt:lpstr>UM_Bathrooms_55</vt:lpstr>
      <vt:lpstr>UM_Bathrooms_56</vt:lpstr>
      <vt:lpstr>UM_Bathrooms_57</vt:lpstr>
      <vt:lpstr>UM_Bathrooms_58</vt:lpstr>
      <vt:lpstr>UM_Bathrooms_59</vt:lpstr>
      <vt:lpstr>UM_Bathrooms_6</vt:lpstr>
      <vt:lpstr>UM_Bathrooms_60</vt:lpstr>
      <vt:lpstr>UM_Bathrooms_61</vt:lpstr>
      <vt:lpstr>UM_Bathrooms_62</vt:lpstr>
      <vt:lpstr>UM_Bathrooms_63</vt:lpstr>
      <vt:lpstr>UM_Bathrooms_7</vt:lpstr>
      <vt:lpstr>UM_Bathrooms_8</vt:lpstr>
      <vt:lpstr>UM_Bathrooms_9</vt:lpstr>
      <vt:lpstr>UM_Bedroom_1</vt:lpstr>
      <vt:lpstr>UM_Bedroom_10</vt:lpstr>
      <vt:lpstr>UM_Bedroom_11</vt:lpstr>
      <vt:lpstr>UM_Bedroom_12</vt:lpstr>
      <vt:lpstr>UM_Bedroom_13</vt:lpstr>
      <vt:lpstr>UM_Bedroom_14</vt:lpstr>
      <vt:lpstr>UM_Bedroom_15</vt:lpstr>
      <vt:lpstr>UM_Bedroom_16</vt:lpstr>
      <vt:lpstr>UM_Bedroom_17</vt:lpstr>
      <vt:lpstr>UM_Bedroom_18</vt:lpstr>
      <vt:lpstr>UM_Bedroom_19</vt:lpstr>
      <vt:lpstr>UM_Bedroom_2</vt:lpstr>
      <vt:lpstr>UM_Bedroom_20</vt:lpstr>
      <vt:lpstr>UM_Bedroom_21</vt:lpstr>
      <vt:lpstr>UM_Bedroom_22</vt:lpstr>
      <vt:lpstr>UM_Bedroom_23</vt:lpstr>
      <vt:lpstr>UM_Bedroom_24</vt:lpstr>
      <vt:lpstr>UM_Bedroom_25</vt:lpstr>
      <vt:lpstr>UM_Bedroom_26</vt:lpstr>
      <vt:lpstr>UM_Bedroom_27</vt:lpstr>
      <vt:lpstr>UM_Bedroom_28</vt:lpstr>
      <vt:lpstr>UM_Bedroom_29</vt:lpstr>
      <vt:lpstr>UM_Bedroom_3</vt:lpstr>
      <vt:lpstr>UM_Bedroom_30</vt:lpstr>
      <vt:lpstr>UM_Bedroom_31</vt:lpstr>
      <vt:lpstr>UM_Bedroom_32</vt:lpstr>
      <vt:lpstr>UM_Bedroom_33</vt:lpstr>
      <vt:lpstr>UM_Bedroom_34</vt:lpstr>
      <vt:lpstr>UM_Bedroom_35</vt:lpstr>
      <vt:lpstr>UM_Bedroom_36</vt:lpstr>
      <vt:lpstr>UM_Bedroom_37</vt:lpstr>
      <vt:lpstr>UM_Bedroom_38</vt:lpstr>
      <vt:lpstr>UM_Bedroom_39</vt:lpstr>
      <vt:lpstr>UM_Bedroom_4</vt:lpstr>
      <vt:lpstr>UM_Bedroom_40</vt:lpstr>
      <vt:lpstr>UM_Bedroom_41</vt:lpstr>
      <vt:lpstr>UM_Bedroom_42</vt:lpstr>
      <vt:lpstr>UM_Bedroom_43</vt:lpstr>
      <vt:lpstr>UM_Bedroom_44</vt:lpstr>
      <vt:lpstr>UM_Bedroom_45</vt:lpstr>
      <vt:lpstr>UM_Bedroom_46</vt:lpstr>
      <vt:lpstr>UM_Bedroom_47</vt:lpstr>
      <vt:lpstr>UM_Bedroom_48</vt:lpstr>
      <vt:lpstr>UM_Bedroom_49</vt:lpstr>
      <vt:lpstr>UM_Bedroom_5</vt:lpstr>
      <vt:lpstr>UM_Bedroom_50</vt:lpstr>
      <vt:lpstr>UM_Bedroom_51</vt:lpstr>
      <vt:lpstr>UM_Bedroom_52</vt:lpstr>
      <vt:lpstr>UM_Bedroom_53</vt:lpstr>
      <vt:lpstr>UM_Bedroom_54</vt:lpstr>
      <vt:lpstr>UM_Bedroom_55</vt:lpstr>
      <vt:lpstr>UM_Bedroom_56</vt:lpstr>
      <vt:lpstr>UM_Bedroom_57</vt:lpstr>
      <vt:lpstr>UM_Bedroom_58</vt:lpstr>
      <vt:lpstr>UM_Bedroom_59</vt:lpstr>
      <vt:lpstr>UM_Bedroom_6</vt:lpstr>
      <vt:lpstr>UM_Bedroom_60</vt:lpstr>
      <vt:lpstr>UM_Bedroom_61</vt:lpstr>
      <vt:lpstr>UM_Bedroom_62</vt:lpstr>
      <vt:lpstr>UM_Bedroom_63</vt:lpstr>
      <vt:lpstr>UM_Bedroom_7</vt:lpstr>
      <vt:lpstr>UM_Bedroom_8</vt:lpstr>
      <vt:lpstr>UM_Bedroom_9</vt:lpstr>
      <vt:lpstr>UM_Net_SF_1</vt:lpstr>
      <vt:lpstr>UM_Net_SF_10</vt:lpstr>
      <vt:lpstr>UM_Net_SF_11</vt:lpstr>
      <vt:lpstr>UM_Net_SF_12</vt:lpstr>
      <vt:lpstr>UM_Net_SF_13</vt:lpstr>
      <vt:lpstr>UM_Net_SF_14</vt:lpstr>
      <vt:lpstr>UM_Net_SF_15</vt:lpstr>
      <vt:lpstr>UM_Net_SF_16</vt:lpstr>
      <vt:lpstr>UM_Net_SF_17</vt:lpstr>
      <vt:lpstr>UM_Net_SF_18</vt:lpstr>
      <vt:lpstr>UM_Net_SF_19</vt:lpstr>
      <vt:lpstr>UM_Net_SF_2</vt:lpstr>
      <vt:lpstr>UM_Net_SF_20</vt:lpstr>
      <vt:lpstr>UM_Net_SF_21</vt:lpstr>
      <vt:lpstr>UM_Net_SF_22</vt:lpstr>
      <vt:lpstr>UM_Net_SF_23</vt:lpstr>
      <vt:lpstr>UM_Net_SF_24</vt:lpstr>
      <vt:lpstr>UM_Net_SF_25</vt:lpstr>
      <vt:lpstr>UM_Net_SF_26</vt:lpstr>
      <vt:lpstr>UM_Net_SF_27</vt:lpstr>
      <vt:lpstr>UM_Net_SF_28</vt:lpstr>
      <vt:lpstr>UM_Net_SF_29</vt:lpstr>
      <vt:lpstr>UM_Net_SF_3</vt:lpstr>
      <vt:lpstr>UM_Net_SF_30</vt:lpstr>
      <vt:lpstr>UM_Net_SF_31</vt:lpstr>
      <vt:lpstr>UM_Net_SF_32</vt:lpstr>
      <vt:lpstr>UM_Net_SF_33</vt:lpstr>
      <vt:lpstr>UM_Net_SF_34</vt:lpstr>
      <vt:lpstr>UM_Net_SF_35</vt:lpstr>
      <vt:lpstr>UM_Net_SF_36</vt:lpstr>
      <vt:lpstr>UM_Net_SF_37</vt:lpstr>
      <vt:lpstr>UM_Net_SF_38</vt:lpstr>
      <vt:lpstr>UM_Net_SF_39</vt:lpstr>
      <vt:lpstr>UM_Net_SF_4</vt:lpstr>
      <vt:lpstr>UM_Net_SF_40</vt:lpstr>
      <vt:lpstr>UM_Net_SF_41</vt:lpstr>
      <vt:lpstr>UM_Net_SF_42</vt:lpstr>
      <vt:lpstr>UM_Net_SF_43</vt:lpstr>
      <vt:lpstr>UM_Net_SF_44</vt:lpstr>
      <vt:lpstr>UM_Net_SF_45</vt:lpstr>
      <vt:lpstr>UM_Net_SF_46</vt:lpstr>
      <vt:lpstr>UM_Net_SF_47</vt:lpstr>
      <vt:lpstr>UM_Net_SF_48</vt:lpstr>
      <vt:lpstr>UM_Net_SF_49</vt:lpstr>
      <vt:lpstr>UM_Net_SF_5</vt:lpstr>
      <vt:lpstr>UM_Net_SF_50</vt:lpstr>
      <vt:lpstr>UM_Net_SF_51</vt:lpstr>
      <vt:lpstr>UM_Net_SF_52</vt:lpstr>
      <vt:lpstr>UM_Net_SF_53</vt:lpstr>
      <vt:lpstr>UM_Net_SF_54</vt:lpstr>
      <vt:lpstr>UM_Net_SF_55</vt:lpstr>
      <vt:lpstr>UM_Net_SF_56</vt:lpstr>
      <vt:lpstr>UM_Net_SF_57</vt:lpstr>
      <vt:lpstr>UM_Net_SF_58</vt:lpstr>
      <vt:lpstr>UM_Net_SF_59</vt:lpstr>
      <vt:lpstr>UM_Net_SF_6</vt:lpstr>
      <vt:lpstr>UM_Net_SF_60</vt:lpstr>
      <vt:lpstr>UM_Net_SF_61</vt:lpstr>
      <vt:lpstr>UM_Net_SF_62</vt:lpstr>
      <vt:lpstr>UM_Net_SF_63</vt:lpstr>
      <vt:lpstr>UM_Net_SF_7</vt:lpstr>
      <vt:lpstr>UM_Net_SF_8</vt:lpstr>
      <vt:lpstr>UM_Net_SF_9</vt:lpstr>
      <vt:lpstr>UM_Rent_1</vt:lpstr>
      <vt:lpstr>UM_Rent_10</vt:lpstr>
      <vt:lpstr>UM_Rent_11</vt:lpstr>
      <vt:lpstr>UM_Rent_12</vt:lpstr>
      <vt:lpstr>UM_Rent_13</vt:lpstr>
      <vt:lpstr>UM_Rent_14</vt:lpstr>
      <vt:lpstr>UM_Rent_15</vt:lpstr>
      <vt:lpstr>UM_Rent_16</vt:lpstr>
      <vt:lpstr>UM_Rent_17</vt:lpstr>
      <vt:lpstr>UM_Rent_18</vt:lpstr>
      <vt:lpstr>UM_Rent_19</vt:lpstr>
      <vt:lpstr>UM_Rent_2</vt:lpstr>
      <vt:lpstr>UM_Rent_20</vt:lpstr>
      <vt:lpstr>UM_Rent_21</vt:lpstr>
      <vt:lpstr>UM_Rent_22</vt:lpstr>
      <vt:lpstr>UM_Rent_23</vt:lpstr>
      <vt:lpstr>UM_Rent_24</vt:lpstr>
      <vt:lpstr>UM_Rent_25</vt:lpstr>
      <vt:lpstr>UM_Rent_26</vt:lpstr>
      <vt:lpstr>UM_Rent_27</vt:lpstr>
      <vt:lpstr>UM_Rent_28</vt:lpstr>
      <vt:lpstr>UM_Rent_29</vt:lpstr>
      <vt:lpstr>UM_Rent_3</vt:lpstr>
      <vt:lpstr>UM_Rent_30</vt:lpstr>
      <vt:lpstr>UM_Rent_31</vt:lpstr>
      <vt:lpstr>UM_Rent_32</vt:lpstr>
      <vt:lpstr>UM_Rent_33</vt:lpstr>
      <vt:lpstr>UM_Rent_34</vt:lpstr>
      <vt:lpstr>UM_Rent_35</vt:lpstr>
      <vt:lpstr>UM_Rent_36</vt:lpstr>
      <vt:lpstr>UM_Rent_37</vt:lpstr>
      <vt:lpstr>UM_Rent_38</vt:lpstr>
      <vt:lpstr>UM_Rent_39</vt:lpstr>
      <vt:lpstr>UM_Rent_4</vt:lpstr>
      <vt:lpstr>UM_Rent_40</vt:lpstr>
      <vt:lpstr>UM_Rent_41</vt:lpstr>
      <vt:lpstr>UM_Rent_42</vt:lpstr>
      <vt:lpstr>UM_Rent_43</vt:lpstr>
      <vt:lpstr>UM_Rent_44</vt:lpstr>
      <vt:lpstr>UM_Rent_45</vt:lpstr>
      <vt:lpstr>UM_Rent_46</vt:lpstr>
      <vt:lpstr>UM_Rent_47</vt:lpstr>
      <vt:lpstr>UM_Rent_48</vt:lpstr>
      <vt:lpstr>UM_Rent_49</vt:lpstr>
      <vt:lpstr>UM_Rent_5</vt:lpstr>
      <vt:lpstr>UM_Rent_50</vt:lpstr>
      <vt:lpstr>UM_Rent_51</vt:lpstr>
      <vt:lpstr>UM_Rent_52</vt:lpstr>
      <vt:lpstr>UM_Rent_53</vt:lpstr>
      <vt:lpstr>UM_Rent_54</vt:lpstr>
      <vt:lpstr>UM_Rent_55</vt:lpstr>
      <vt:lpstr>UM_Rent_56</vt:lpstr>
      <vt:lpstr>UM_Rent_57</vt:lpstr>
      <vt:lpstr>UM_Rent_58</vt:lpstr>
      <vt:lpstr>UM_Rent_59</vt:lpstr>
      <vt:lpstr>UM_Rent_6</vt:lpstr>
      <vt:lpstr>UM_Rent_60</vt:lpstr>
      <vt:lpstr>UM_Rent_61</vt:lpstr>
      <vt:lpstr>UM_Rent_62</vt:lpstr>
      <vt:lpstr>UM_Rent_63</vt:lpstr>
      <vt:lpstr>UM_Rent_7</vt:lpstr>
      <vt:lpstr>UM_Rent_8</vt:lpstr>
      <vt:lpstr>UM_Rent_9</vt:lpstr>
      <vt:lpstr>Underground_Parking</vt:lpstr>
      <vt:lpstr>Underground_Rent_Per_Year</vt:lpstr>
      <vt:lpstr>Unit_Mix</vt:lpstr>
      <vt:lpstr>Unit_Mix_Analysis</vt:lpstr>
      <vt:lpstr>'21. Location Score'!UnitTypes</vt:lpstr>
      <vt:lpstr>'22. Tenants Served Score'!UnitTypes</vt:lpstr>
      <vt:lpstr>'23. Building Design Score'!UnitTypes</vt:lpstr>
      <vt:lpstr>'24. Development Process Score'!UnitTypes</vt:lpstr>
      <vt:lpstr>UnitTypes</vt:lpstr>
      <vt:lpstr>Universal_Design</vt:lpstr>
      <vt:lpstr>Universal_Design_Points</vt:lpstr>
      <vt:lpstr>US_Congress_District</vt:lpstr>
      <vt:lpstr>'21. Location Score'!UtilityApplianceType</vt:lpstr>
      <vt:lpstr>'22. Tenants Served Score'!UtilityApplianceType</vt:lpstr>
      <vt:lpstr>'23. Building Design Score'!UtilityApplianceType</vt:lpstr>
      <vt:lpstr>'24. Development Process Score'!UtilityApplianceType</vt:lpstr>
      <vt:lpstr>UtilityApplianceType</vt:lpstr>
      <vt:lpstr>UtilityApplicanceType</vt:lpstr>
      <vt:lpstr>'21. Location Score'!UtilityTypes</vt:lpstr>
      <vt:lpstr>'22. Tenants Served Score'!UtilityTypes</vt:lpstr>
      <vt:lpstr>'23. Building Design Score'!UtilityTypes</vt:lpstr>
      <vt:lpstr>'24. Development Process Score'!UtilityTypes</vt:lpstr>
      <vt:lpstr>UtilityTypes</vt:lpstr>
      <vt:lpstr>VASH_Vouchers_Number_of_Units</vt:lpstr>
      <vt:lpstr>Vehicle___Maintenace_Equipment_Operation___Repairs</vt:lpstr>
      <vt:lpstr>Veterans_Housing</vt:lpstr>
      <vt:lpstr>Veterans_Housing_Points</vt:lpstr>
      <vt:lpstr>Vetersn_Housing_Points</vt:lpstr>
      <vt:lpstr>Vinyl</vt:lpstr>
      <vt:lpstr>Voucher_CMI</vt:lpstr>
      <vt:lpstr>W_D_Hookups</vt:lpstr>
      <vt:lpstr>Walk_in_Closets</vt:lpstr>
      <vt:lpstr>Walking_Trails</vt:lpstr>
      <vt:lpstr>Washer_Dryer</vt:lpstr>
      <vt:lpstr>Water</vt:lpstr>
      <vt:lpstr>What_Score</vt:lpstr>
      <vt:lpstr>WHEDA_Loan_Signature_Page</vt:lpstr>
      <vt:lpstr>'21. Location Score'!WHEDA_Project_Number</vt:lpstr>
      <vt:lpstr>'22. Tenants Served Score'!WHEDA_Project_Number</vt:lpstr>
      <vt:lpstr>'23. Building Design Score'!WHEDA_Project_Number</vt:lpstr>
      <vt:lpstr>'24. Development Process Score'!WHEDA_Project_Number</vt:lpstr>
      <vt:lpstr>WHEDA_Project_Number</vt:lpstr>
      <vt:lpstr>WHEDATermSheet1</vt:lpstr>
      <vt:lpstr>WHEDATermSheet2</vt:lpstr>
      <vt:lpstr>WHEDATermSheet3</vt:lpstr>
      <vt:lpstr>WHEDATermSheet4</vt:lpstr>
      <vt:lpstr>WHEDATermSheet5</vt:lpstr>
      <vt:lpstr>Where_Score</vt:lpstr>
      <vt:lpstr>Who_Score</vt:lpstr>
      <vt:lpstr>Will_this_project_be_receiving_project_based_federal_rental_assistance?</vt:lpstr>
      <vt:lpstr>Will_this_project_be_utilizing_federal_assistance?</vt:lpstr>
      <vt:lpstr>Window_A_C</vt:lpstr>
      <vt:lpstr>Wisconsin_Assembly_District</vt:lpstr>
      <vt:lpstr>Wood</vt:lpstr>
      <vt:lpstr>Workforce_Housing_Communities</vt:lpstr>
      <vt:lpstr>Workforce_Housing_Points</vt:lpstr>
      <vt:lpstr>Workmen_s_Compensation</vt:lpstr>
      <vt:lpstr>Year_Built</vt:lpstr>
      <vt:lpstr>'21. Location Score'!YesNo</vt:lpstr>
      <vt:lpstr>'22. Tenants Served Score'!YesNo</vt:lpstr>
      <vt:lpstr>'23. Building Design Score'!YesNo</vt:lpstr>
      <vt:lpstr>'24. Development Process Score'!YesNo</vt:lpstr>
      <vt:lpstr>YesNo</vt:lpstr>
      <vt:lpstr>ZeroOneTwo</vt:lpstr>
      <vt:lpstr>Zoning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josh.fisher@wheda.com</dc:creator>
  <cp:keywords/>
  <dc:description/>
  <cp:lastModifiedBy>Andrea E. Shaw</cp:lastModifiedBy>
  <cp:revision/>
  <dcterms:created xsi:type="dcterms:W3CDTF">2020-02-27T14:51:49Z</dcterms:created>
  <dcterms:modified xsi:type="dcterms:W3CDTF">2024-11-22T22:53:12Z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0x0101009D8F17D25AA8384AA27727847BFF0B3C</vt:lpwstr>
  </property>
  <property fmtid="{D5CDD505-2E9C-101B-9397-08002B2CF9AE}" pid="3" name="SchemaType">
    <vt:lpwstr>Tax Credit Deal</vt:lpwstr>
  </property>
  <property fmtid="{D5CDD505-2E9C-101B-9397-08002B2CF9AE}" pid="4" name="BeforeSendVBAMethod">
    <vt:lpwstr/>
  </property>
  <property fmtid="{D5CDD505-2E9C-101B-9397-08002B2CF9AE}" pid="5" name="SD_RESERVED_IsProtected">
    <vt:lpwstr>True</vt:lpwstr>
  </property>
  <property fmtid="{D5CDD505-2E9C-101B-9397-08002B2CF9AE}" pid="6" name="SmartDoxTemplateName">
    <vt:lpwstr/>
  </property>
  <property fmtid="{D5CDD505-2E9C-101B-9397-08002B2CF9AE}" pid="7" name="AfterGetVBAMethod">
    <vt:lpwstr/>
  </property>
  <property fmtid="{D5CDD505-2E9C-101B-9397-08002B2CF9AE}" pid="8" name="BeforeGetVBAMethod">
    <vt:lpwstr/>
  </property>
  <property fmtid="{D5CDD505-2E9C-101B-9397-08002B2CF9AE}" pid="9" name="AfterSendVBAMethod">
    <vt:lpwstr/>
  </property>
  <property fmtid="{D5CDD505-2E9C-101B-9397-08002B2CF9AE}" pid="10" name="MediaServiceImageTags">
    <vt:lpwstr/>
  </property>
  <property fmtid="{D5CDD505-2E9C-101B-9397-08002B2CF9AE}" pid="11" name="SD_RESERVED_Protection0«bZRdb9owFIb/yhG3k8JgXbtKgJSFUphAZDhbtt5ZyYGYOnZwnNL++52EEQfaG4Lf85HXz7EzChmE4972Lo5M8HTsF+vF6lPwd9jHzQ/LGZP7pPgTzfBweNwvDttZ8jDuwSIO6WFNhfV/5ha+P+7d9CAO2VmJw5i6c1libzKKWRTWv5Mg42qHsNS7UZ+WtfTTDyHQqrRc2bJVp0YXqT4qWIqyI4dGL4V6vl7Dihe">
    <vt:lpwstr>SD_RESERVED_Protection1«FUK7pwINoHbTLoQeUucfEAqvynJu3NvTFhZY64VZo1cZuXGyKZWJEcRH+6oFfFFIk5BwWaqtNfll/6wETFj8svvsfo61bo2Wrf/PgSavuXu49WB8VmjITBXCVtp4i5Lnb8Wdntk76pYQFP0d6CHQAG3klXmGOskDT6sxyMjOPAnjkhWtKHM8VTiSas0ql5BGYrkzSaT8gnM0wTZXU26VFSczXv11GB2od7NQSz8</vt:lpwstr>
  </property>
  <property fmtid="{D5CDD505-2E9C-101B-9397-08002B2CF9AE}" pid="12" name="SD_RESERVED_Protection2«BgSq8LuEwqeQlzcNsWYgprMk9xsnDVhLgGvMxgJvWxAbHBEs1L1yMhXvHXk7WVTtHBH9xf2Z8afgSWZJhWEt1xItYLl1VShjYNjsoNZEjszieqSejUE8EIVX3ggdXm0usEwvi9ErJhTKdH7N61IIxTfEGpC5qxrcnQHMqrrCgzWGZaphBkmDxLuktu4ii3rfH34Xj+MPVpA5zeTK/ntjIdhlHN7zSrD6J0K2ADU">
    <vt:lpwstr>SD_RESERVED_Protection3«255K23I5FLkojOqhUp0jleiH2xgRhfpJPRPH45+yCb/AA==§</vt:lpwstr>
  </property>
</Properties>
</file>